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732" windowWidth="17916" windowHeight="9312" tabRatio="604" activeTab="2"/>
  </bookViews>
  <sheets>
    <sheet name="macro" sheetId="1" r:id="rId1"/>
    <sheet name="orig_alloc" sheetId="2" r:id="rId2"/>
    <sheet name="coss" sheetId="3" r:id="rId3"/>
    <sheet name="backup" sheetId="4" r:id="rId4"/>
    <sheet name="rateincr_exhibit" sheetId="5" r:id="rId5"/>
    <sheet name="SFR_tie" sheetId="6" r:id="rId6"/>
  </sheets>
  <externalReferences>
    <externalReference r:id="rId9"/>
    <externalReference r:id="rId10"/>
  </externalReferences>
  <definedNames>
    <definedName name="__123Graph_DCURRENT" hidden="1">'coss'!$B$141:$B$149</definedName>
    <definedName name="__123Graph_ECURRENT" hidden="1">'coss'!#REF!</definedName>
    <definedName name="__123Graph_FCURRENT" hidden="1">'coss'!$C$141:$C$149</definedName>
    <definedName name="_Fill" hidden="1">#REF!</definedName>
    <definedName name="_Order1" hidden="1">255</definedName>
    <definedName name="ALL">'coss'!$A$47:$W$801</definedName>
    <definedName name="Allocator_A1">'orig_alloc'!$B$1</definedName>
    <definedName name="allocator_body">'orig_alloc'!$B$12:$X$164</definedName>
    <definedName name="Allocators">'orig_alloc'!$B$12:$X$164</definedName>
    <definedName name="BLANK">'coss'!$T$6:$T$799</definedName>
    <definedName name="BODY_BLANK">'coss'!$T$6:$T$800</definedName>
    <definedName name="BODY_DP">'coss'!$O$6:$O$800</definedName>
    <definedName name="BODY_DP_RTP">'coss'!$P$6:$P$800</definedName>
    <definedName name="BODY_DS">'coss'!$F$6:$F$800</definedName>
    <definedName name="BODY_DS_RTP">'coss'!$G$6:$G$800</definedName>
    <definedName name="BODY_DT_PRI">'coss'!$M$6:$M$800</definedName>
    <definedName name="BODY_DT_PRI_RTP">'coss'!$N$6:$N$800</definedName>
    <definedName name="BODY_DT_SEC">'coss'!$K$6:$K$800</definedName>
    <definedName name="BODY_DT_SEC_RTP">'coss'!$L$6:$L$800</definedName>
    <definedName name="BODY_eh">'coss'!$I$6:$I$800</definedName>
    <definedName name="BODY_GSFL">'coss'!$H$6:$H$800</definedName>
    <definedName name="BODY_LT">'coss'!$S$6:$S$800</definedName>
    <definedName name="BODY_OTHER">'coss'!$U$6:$U$800</definedName>
    <definedName name="BODY_PDDT">'coss'!$M$6:$M$800</definedName>
    <definedName name="BODY_RS">'coss'!$E$6:$E$800</definedName>
    <definedName name="BODY_sp">'coss'!$J$6:$J$800</definedName>
    <definedName name="BODY_TT">'coss'!$Q$6:$Q$800</definedName>
    <definedName name="BODY_tt_RTP">'coss'!$R$6:$R$800</definedName>
    <definedName name="CAPITAL">'coss'!$D$699:$E$720</definedName>
    <definedName name="CAPITALIZATION">'coss'!$D$338</definedName>
    <definedName name="case_name">'macro'!$B$3</definedName>
    <definedName name="CLASS_BODY">'coss'!$A$10:$W$799</definedName>
    <definedName name="COSS_A1">'coss'!$A$1</definedName>
    <definedName name="coss_summary">'coss'!$D$12:$W$46</definedName>
    <definedName name="date">'macro'!$B$6</definedName>
    <definedName name="date_class">'coss'!$W$1</definedName>
    <definedName name="def">'coss'!$D$34</definedName>
    <definedName name="deprecExp">'coss'!$D$438</definedName>
    <definedName name="depreciation">'coss'!$D$99</definedName>
    <definedName name="DEPRESERVE">'coss'!$A$99:$W$200</definedName>
    <definedName name="DEPREXPENSE">'coss'!$A$438:$W$465</definedName>
    <definedName name="DL">'coss'!$T$51:$T$799</definedName>
    <definedName name="ds">'coss'!$F$51:$F$799</definedName>
    <definedName name="dsDT">'coss'!$K$51:$K$799</definedName>
    <definedName name="fit">'coss'!$D$498</definedName>
    <definedName name="FLAP">'coss'!$A$10:$A$799</definedName>
    <definedName name="gross_plant">'coss'!$D$49</definedName>
    <definedName name="GROSSPLANT">'coss'!$A$98:$W$801</definedName>
    <definedName name="header_name">'macro'!$B$2</definedName>
    <definedName name="INCOMETAX">'coss'!$A$498:$W$655</definedName>
    <definedName name="INCTAXREV">'coss'!$A$745:$W$799</definedName>
    <definedName name="interest">'coss'!$D$501</definedName>
    <definedName name="LT">'coss'!$S$51:$S$799</definedName>
    <definedName name="Netplant">'coss'!$D$150</definedName>
    <definedName name="O_M">'coss'!$A$436</definedName>
    <definedName name="O_MEXPENSE">'coss'!$A$343:$W$437</definedName>
    <definedName name="OandM">'coss'!$D$343</definedName>
    <definedName name="other">'coss'!$A$656</definedName>
    <definedName name="otherRev">'coss'!$D$656</definedName>
    <definedName name="OTHERREVENUE">'coss'!$A$656:$W$695</definedName>
    <definedName name="OTHERTAX">'coss'!$A$466:$W$497</definedName>
    <definedName name="otherTaxes">'coss'!$D$466</definedName>
    <definedName name="othrev">'coss'!$D$669</definedName>
    <definedName name="PD">'coss'!#REF!</definedName>
    <definedName name="PDDT">'coss'!$N$51:$N$799</definedName>
    <definedName name="_xlnm.Print_Area" localSheetId="3">'backup'!$A$1:$I$48</definedName>
    <definedName name="_xlnm.Print_Area" localSheetId="2">'coss'!$A$10:$W$799</definedName>
    <definedName name="_xlnm.Print_Area" localSheetId="0">'macro'!$A$1:$G$43</definedName>
    <definedName name="_xlnm.Print_Area" localSheetId="1">'orig_alloc'!$B$12:$X$164</definedName>
    <definedName name="_xlnm.Print_Area" localSheetId="4">'rateincr_exhibit'!$C$1:$N$45</definedName>
    <definedName name="print_home">'macro'!$A$1</definedName>
    <definedName name="_xlnm.Print_Titles" localSheetId="2">'coss'!$A:$C,'coss'!$1:$8</definedName>
    <definedName name="_xlnm.Print_Titles" localSheetId="1">'orig_alloc'!$A:$C,'orig_alloc'!$1:$11</definedName>
    <definedName name="_xlnm.Print_Titles" localSheetId="4">'rateincr_exhibit'!$A:$B</definedName>
    <definedName name="propertytax">'coss'!$D$468:$W$472</definedName>
    <definedName name="ratebase">'coss'!$D$336</definedName>
    <definedName name="RATEBASEADJ">'coss'!$A$235:$W$342</definedName>
    <definedName name="RATEOFRETURN">'coss'!$A$696:$W$727</definedName>
    <definedName name="rb_additive">'coss'!$D$266</definedName>
    <definedName name="RB_Subtractive">'coss'!$D$235</definedName>
    <definedName name="revenue">'coss'!$D$729</definedName>
    <definedName name="rorearn">'coss'!$D$37</definedName>
    <definedName name="RS">'coss'!$E$51:$E$799</definedName>
    <definedName name="rs_body">'coss'!$E$51:$E$799</definedName>
    <definedName name="SE_FLAP">#REF!</definedName>
    <definedName name="sit">'coss'!$D$588</definedName>
    <definedName name="SUMMARY">'coss'!$A$800:$W$801</definedName>
    <definedName name="summary_body">'coss'!$D$9:$W$46</definedName>
    <definedName name="TABLE">'orig_alloc'!$D$1:$X$64</definedName>
    <definedName name="table2">'orig_alloc'!$D$67:$X$166</definedName>
    <definedName name="taxrates">'coss'!$D$722</definedName>
    <definedName name="time_period">'macro'!$B$4</definedName>
    <definedName name="totcapstructure">'coss'!$D$699:$E$720</definedName>
    <definedName name="TOTCO">'coss'!$D$51:$D$799</definedName>
    <definedName name="TOTELEC">'coss'!$V$51:$V$799</definedName>
    <definedName name="TRANS">'coss'!$S$51:$S$799</definedName>
    <definedName name="TS">'coss'!$Q$51:$Q$799</definedName>
    <definedName name="VERSION">'macro'!$B$5:$B$5</definedName>
    <definedName name="WEIGHTEDRATIOS">'coss'!$A$51:$W$720</definedName>
    <definedName name="workingcapital">'coss'!$D$298</definedName>
    <definedName name="xs_tax">'coss'!$D$689:$W$694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Marlene Rainbolt</author>
    <author>t61190</author>
  </authors>
  <commentList>
    <comment ref="A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B-3</t>
        </r>
      </text>
    </comment>
    <comment ref="A4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B2.1</t>
        </r>
      </text>
    </comment>
    <comment ref="A28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B-4</t>
        </r>
      </text>
    </comment>
    <comment ref="A6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J-1</t>
        </r>
      </text>
    </comment>
    <comment ref="A23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B-6
wpb6b</t>
        </r>
      </text>
    </comment>
    <comment ref="A30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wpb-5</t>
        </r>
      </text>
    </comment>
    <comment ref="A323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wpb-5.1a
</t>
        </r>
      </text>
    </comment>
    <comment ref="A438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b3.2</t>
        </r>
      </text>
    </comment>
    <comment ref="A2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c-2
</t>
        </r>
      </text>
    </comment>
    <comment ref="A11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d2.23, j27
</t>
        </r>
      </text>
    </comment>
    <comment ref="A72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TAXTABLE</t>
        </r>
      </text>
    </comment>
    <comment ref="A657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WPC-2a</t>
        </r>
      </text>
    </comment>
    <comment ref="A55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E-1,p 3
</t>
        </r>
      </text>
    </comment>
    <comment ref="A4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E-1
</t>
        </r>
      </text>
    </comment>
    <comment ref="A504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SIGNS
</t>
        </r>
      </text>
    </comment>
    <comment ref="A501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
</t>
        </r>
      </text>
    </comment>
    <comment ref="A524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SAME SIGN</t>
        </r>
      </text>
    </comment>
    <comment ref="A55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 e  sign
</t>
        </r>
      </text>
    </comment>
    <comment ref="A591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</t>
        </r>
      </text>
    </comment>
    <comment ref="D731" authorId="1">
      <text>
        <r>
          <rPr>
            <b/>
            <sz val="8"/>
            <rFont val="Tahoma"/>
            <family val="0"/>
          </rPr>
          <t>t61190:</t>
        </r>
        <r>
          <rPr>
            <sz val="8"/>
            <rFont val="Tahoma"/>
            <family val="0"/>
          </rPr>
          <t xml:space="preserve">
cut and paste values from E36
</t>
        </r>
      </text>
    </comment>
  </commentList>
</comments>
</file>

<file path=xl/comments6.xml><?xml version="1.0" encoding="utf-8"?>
<comments xmlns="http://schemas.openxmlformats.org/spreadsheetml/2006/main">
  <authors>
    <author>Marlene Rainbolt</author>
  </authors>
  <commentList>
    <comment ref="B7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WPC-2a</t>
        </r>
      </text>
    </comment>
  </commentList>
</comments>
</file>

<file path=xl/sharedStrings.xml><?xml version="1.0" encoding="utf-8"?>
<sst xmlns="http://schemas.openxmlformats.org/spreadsheetml/2006/main" count="2341" uniqueCount="1368">
  <si>
    <t>PRELIM FED INCOME TAX</t>
  </si>
  <si>
    <t>I869</t>
  </si>
  <si>
    <t xml:space="preserve">  NET FED INCOME TAX ALLOWABLE</t>
  </si>
  <si>
    <t>I879</t>
  </si>
  <si>
    <t>FEDERAL INCOME TAX PAYABLE</t>
  </si>
  <si>
    <t>PRELIM FEDERAL INCOME TAX</t>
  </si>
  <si>
    <t xml:space="preserve">  NET FED INCOME TAX PAYABLE</t>
  </si>
  <si>
    <t>I889</t>
  </si>
  <si>
    <t>STATE INCOME TAX</t>
  </si>
  <si>
    <t xml:space="preserve"> DEDUCTIONS IN ADDITION TO Y871</t>
  </si>
  <si>
    <t>Y890</t>
  </si>
  <si>
    <t>Y892</t>
  </si>
  <si>
    <t>Y894</t>
  </si>
  <si>
    <t xml:space="preserve">  DEDUCTIONS IN ADD TO Y871</t>
  </si>
  <si>
    <t>Y911</t>
  </si>
  <si>
    <t>STATE INCOME TAX ADJUSTMENTS</t>
  </si>
  <si>
    <t>Z892</t>
  </si>
  <si>
    <t>Z894</t>
  </si>
  <si>
    <t>Z896</t>
  </si>
  <si>
    <t>Z898</t>
  </si>
  <si>
    <t>Z902</t>
  </si>
  <si>
    <t>Z904</t>
  </si>
  <si>
    <t>Z906</t>
  </si>
  <si>
    <t>Z914</t>
  </si>
  <si>
    <t>Z916</t>
  </si>
  <si>
    <t>Z918</t>
  </si>
  <si>
    <t>Z920</t>
  </si>
  <si>
    <t>Z922</t>
  </si>
  <si>
    <t>Z928</t>
  </si>
  <si>
    <t xml:space="preserve"> OTHER SIT ADJUSTMENTS</t>
  </si>
  <si>
    <t>Z934</t>
  </si>
  <si>
    <t>Z955</t>
  </si>
  <si>
    <t>TOTAL STATE INC TAX ADJUSTMENT</t>
  </si>
  <si>
    <t>Z957</t>
  </si>
  <si>
    <t>SUMMARY OF SIT CALCULATION</t>
  </si>
  <si>
    <t>NET FED INCOME TAX ALLOWABLE</t>
  </si>
  <si>
    <t>NET FED. DED. AND ADDITIONS</t>
  </si>
  <si>
    <t>DEDUCTIONS IN ADD TO Y871</t>
  </si>
  <si>
    <t>TOTAL STATE INC TAX ADJ</t>
  </si>
  <si>
    <t xml:space="preserve">  BASE FOR SIT COMPUTATION</t>
  </si>
  <si>
    <t>J965</t>
  </si>
  <si>
    <t>SIT FACTOR K192/(1-K192)</t>
  </si>
  <si>
    <t>J967</t>
  </si>
  <si>
    <t>PRELIMINARY STATE INCOME TAX</t>
  </si>
  <si>
    <t>J969</t>
  </si>
  <si>
    <t>TOTAL STATE INCOME TAX ADJ.</t>
  </si>
  <si>
    <t xml:space="preserve">  NET STATE INC TAX ALLOWABLE</t>
  </si>
  <si>
    <t>J979</t>
  </si>
  <si>
    <t>STATE INCOME TAX PAYABLE</t>
  </si>
  <si>
    <t>OTHER SIT ADJUSTMENTS</t>
  </si>
  <si>
    <t xml:space="preserve">  NET STATE INCOME TAX PAYABLE</t>
  </si>
  <si>
    <t>J989</t>
  </si>
  <si>
    <t>COMPOSITE TAX RATE</t>
  </si>
  <si>
    <t>CTAX</t>
  </si>
  <si>
    <t>COST OF SERVICE COMPUTATION</t>
  </si>
  <si>
    <t>Schedule 10</t>
  </si>
  <si>
    <t>OTHER OPERATING REVENUES</t>
  </si>
  <si>
    <t>Q000</t>
  </si>
  <si>
    <t>Q002</t>
  </si>
  <si>
    <t>Q004</t>
  </si>
  <si>
    <t>Q012</t>
  </si>
  <si>
    <t xml:space="preserve">  TOTAL OTHER OPERATING REVS</t>
  </si>
  <si>
    <t>Q027</t>
  </si>
  <si>
    <t>TOTAL OP EXP EXC INC &amp; REV TAX</t>
  </si>
  <si>
    <t>NET STATE INCOME TAX ALLOWABLE</t>
  </si>
  <si>
    <t>TOTAL OTHER OPERATING REVENUES</t>
  </si>
  <si>
    <t xml:space="preserve">  SUBTOTAL B</t>
  </si>
  <si>
    <t>CS03</t>
  </si>
  <si>
    <t>OTHER OPERATING REVS TO BE TAXED</t>
  </si>
  <si>
    <t>OORT</t>
  </si>
  <si>
    <t>REVENUE TAX FACTOR</t>
  </si>
  <si>
    <t>L030</t>
  </si>
  <si>
    <t>REVENUE TAX ON OTHER OPERATING REVS</t>
  </si>
  <si>
    <t>L031</t>
  </si>
  <si>
    <t>L032</t>
  </si>
  <si>
    <t>L033</t>
  </si>
  <si>
    <t>PROPOSED REVENUES</t>
  </si>
  <si>
    <t>R602</t>
  </si>
  <si>
    <t>TOTAL ELECTRIC COST OF SERVICE</t>
  </si>
  <si>
    <t>EXCESS REVENUES</t>
  </si>
  <si>
    <t>XREV</t>
  </si>
  <si>
    <t>EXCESS TAX</t>
  </si>
  <si>
    <t>XTAX</t>
  </si>
  <si>
    <t>EXCESS RETURN</t>
  </si>
  <si>
    <t>XRET</t>
  </si>
  <si>
    <t>Schedule 11</t>
  </si>
  <si>
    <t>RATE OF RETURN</t>
  </si>
  <si>
    <t xml:space="preserve"> CAPITALIZATION AMOUNTS</t>
  </si>
  <si>
    <t>Total Company</t>
  </si>
  <si>
    <t>LONG TERM DEBT</t>
  </si>
  <si>
    <t>K100</t>
  </si>
  <si>
    <t>PREFERRED STOCK</t>
  </si>
  <si>
    <t>K102</t>
  </si>
  <si>
    <t>COMMON STOCK</t>
  </si>
  <si>
    <t>K104</t>
  </si>
  <si>
    <t>SHORT TERM DEBT</t>
  </si>
  <si>
    <t>K106</t>
  </si>
  <si>
    <t>UNAMORTIZED DISCOUNT</t>
  </si>
  <si>
    <t>K108</t>
  </si>
  <si>
    <t xml:space="preserve">  TOTAL</t>
  </si>
  <si>
    <t>K115</t>
  </si>
  <si>
    <t xml:space="preserve"> COST OF CAPITAL</t>
  </si>
  <si>
    <t>K120</t>
  </si>
  <si>
    <t>K122</t>
  </si>
  <si>
    <t>K124</t>
  </si>
  <si>
    <t>K126</t>
  </si>
  <si>
    <t>K128</t>
  </si>
  <si>
    <t xml:space="preserve"> WEIGHTED COST OF CAPITAL</t>
  </si>
  <si>
    <t>K141</t>
  </si>
  <si>
    <t>K143</t>
  </si>
  <si>
    <t>K145</t>
  </si>
  <si>
    <t>K147</t>
  </si>
  <si>
    <t>K149</t>
  </si>
  <si>
    <t xml:space="preserve">  TOT RATE OF RETURN ALLOWABLE</t>
  </si>
  <si>
    <t>TAX RATES AND SPECIAL FACTORS</t>
  </si>
  <si>
    <t>SHORT TERM DEBT COST</t>
  </si>
  <si>
    <t>K180</t>
  </si>
  <si>
    <t>FEDERAL INCOME TAX RATE</t>
  </si>
  <si>
    <t>K190</t>
  </si>
  <si>
    <t>STATE INCOME TAX RATE</t>
  </si>
  <si>
    <t>K192</t>
  </si>
  <si>
    <t>REVENUE TAX RATE</t>
  </si>
  <si>
    <t>K196</t>
  </si>
  <si>
    <t>PRESENT REVENUES</t>
  </si>
  <si>
    <t>R600</t>
  </si>
  <si>
    <t>manual input</t>
  </si>
  <si>
    <t>K_DA</t>
  </si>
  <si>
    <t>INCOME TAX BASED ON REVENUES</t>
  </si>
  <si>
    <t>NET INCOME COMPUTATION</t>
  </si>
  <si>
    <t xml:space="preserve">  TOTAL ELECTRIC REVENUE</t>
  </si>
  <si>
    <t>CS07</t>
  </si>
  <si>
    <t>T429</t>
  </si>
  <si>
    <t>G429</t>
  </si>
  <si>
    <t>C429</t>
  </si>
  <si>
    <t>P429</t>
  </si>
  <si>
    <t>D449</t>
  </si>
  <si>
    <t>NT49</t>
  </si>
  <si>
    <t>NP49</t>
  </si>
  <si>
    <t>O429</t>
  </si>
  <si>
    <t>RTXP</t>
  </si>
  <si>
    <t xml:space="preserve">  NET INCOME</t>
  </si>
  <si>
    <t>NI01</t>
  </si>
  <si>
    <t>ADJUSTMENTS TO NET INCOME</t>
  </si>
  <si>
    <t>TOTAL INTEREST EXPENSE</t>
  </si>
  <si>
    <t>TOTAL OTHER DEDUCTIONS</t>
  </si>
  <si>
    <t xml:space="preserve">  PRELIMINARY TAXABLE INCOME</t>
  </si>
  <si>
    <t>TI01</t>
  </si>
  <si>
    <t>STATE INCOME TAX COMPUTATION</t>
  </si>
  <si>
    <t xml:space="preserve">  STATE TAXABLE INCOME</t>
  </si>
  <si>
    <t>SI01</t>
  </si>
  <si>
    <t>PRELIM SIT = SI01 * K192</t>
  </si>
  <si>
    <t>ST01</t>
  </si>
  <si>
    <t xml:space="preserve">  STATE INCOME TAX PAYABLE</t>
  </si>
  <si>
    <t>SP01</t>
  </si>
  <si>
    <t>SIT ALLOWABLE</t>
  </si>
  <si>
    <t>TOTAL STATE PROV DEF IT(410.1)</t>
  </si>
  <si>
    <t>TOTAL STATE PROV DEF IT(411.1)</t>
  </si>
  <si>
    <t>SA01</t>
  </si>
  <si>
    <t>STATE INC TAX PAYABLE</t>
  </si>
  <si>
    <t xml:space="preserve">  NET FEDERAL TAXABLE INCOME</t>
  </si>
  <si>
    <t>FI01</t>
  </si>
  <si>
    <t xml:space="preserve">  FEDERAL INCOME TAX RATE</t>
  </si>
  <si>
    <t>PRELIMINARY FIT = FI01 * K190</t>
  </si>
  <si>
    <t>FT01</t>
  </si>
  <si>
    <t xml:space="preserve">  NET FED INC TAX ALLOWABLE</t>
  </si>
  <si>
    <t>FA01</t>
  </si>
  <si>
    <t>PRELIM FIT</t>
  </si>
  <si>
    <t xml:space="preserve">  FED INC TAX PAYABLE</t>
  </si>
  <si>
    <t>FP01</t>
  </si>
  <si>
    <t>NET FED INC TAX ALLOWABLE</t>
  </si>
  <si>
    <t>NET STATE INC TAX ALLOWABLE</t>
  </si>
  <si>
    <t>RETU</t>
  </si>
  <si>
    <t>RORX</t>
  </si>
  <si>
    <t>SUMMARY OF RESULTS</t>
  </si>
  <si>
    <t>Schedule 1</t>
  </si>
  <si>
    <t>OPERATING EXPENSES</t>
  </si>
  <si>
    <t xml:space="preserve">  TOTAL OP EXP EXC INC &amp; R TAX</t>
  </si>
  <si>
    <t>LO33</t>
  </si>
  <si>
    <t xml:space="preserve">  TOTAL OPERATING EXPENSE</t>
  </si>
  <si>
    <t>OPEX</t>
  </si>
  <si>
    <t>TOTAL RETURN EARNED</t>
  </si>
  <si>
    <t>RETE</t>
  </si>
  <si>
    <t>RORE</t>
  </si>
  <si>
    <t>NET PROD &amp; TRANS PLANT</t>
  </si>
  <si>
    <t>TOTAL TRANS &amp; DIST DEPREC RESERVE</t>
  </si>
  <si>
    <t>TOTAL GROSS PTD PLANT DEPREC RESERVE</t>
  </si>
  <si>
    <t>TOTAL PROD &amp; TRANS DEPREC RESERVE</t>
  </si>
  <si>
    <t>RETURN EARNED ON COMMON EQUITY</t>
  </si>
  <si>
    <t>REOE</t>
  </si>
  <si>
    <t>ALLOWED RETURN ON COMMON EQUITY</t>
  </si>
  <si>
    <t>AROE</t>
  </si>
  <si>
    <t>REVENUE INCREASE JUSTIFIED</t>
  </si>
  <si>
    <t>RIJD</t>
  </si>
  <si>
    <t>PER UNIT PRES REV</t>
  </si>
  <si>
    <t>RIJP</t>
  </si>
  <si>
    <t>REVENUE INCREASE REQUESTED</t>
  </si>
  <si>
    <t>RIRD</t>
  </si>
  <si>
    <t>RIRP</t>
  </si>
  <si>
    <t>Note:A&amp;G factor=[(Distr.NCP%*85%)+(DistCust%*.15)*Distlabor%]+[(TotKW%*Prod&amp;Translabor%)+</t>
  </si>
  <si>
    <t xml:space="preserve">           +(All Cust%*Cust.Labor%)]</t>
  </si>
  <si>
    <t>DEMAND ENERGY &amp; SPEC. ASSIGN</t>
  </si>
  <si>
    <t>ASSIGN 100% TO LIGHTING</t>
  </si>
  <si>
    <t>DISTRIBUTION CUSTOMERS</t>
  </si>
  <si>
    <t>K207</t>
  </si>
  <si>
    <t>ALLOCATORS &amp; WEIGHTED RATIOS</t>
  </si>
  <si>
    <t>POLES, TOWERS &amp; FIXTURES</t>
  </si>
  <si>
    <t>WEIGHTED RATIOS</t>
  </si>
  <si>
    <t>WTD GROSS PROD PLANT RATIOS</t>
  </si>
  <si>
    <t>P129</t>
  </si>
  <si>
    <t>WTD GROSS TRANS PLANT RATIOS</t>
  </si>
  <si>
    <t>T129</t>
  </si>
  <si>
    <t>WTD GROSS P &amp; T PLT RATIOS</t>
  </si>
  <si>
    <t>PT29</t>
  </si>
  <si>
    <t>WTD GROSS DIST PLANT RATIOS</t>
  </si>
  <si>
    <t>WTD GROSS TRANS &amp; DIST RATIOS</t>
  </si>
  <si>
    <t>TD29</t>
  </si>
  <si>
    <t>WTD GROSS PTD PLT RATIOS</t>
  </si>
  <si>
    <t>PD29</t>
  </si>
  <si>
    <t>WTD GROSS G &amp; I PLT RATIOS</t>
  </si>
  <si>
    <t>G129</t>
  </si>
  <si>
    <t>WTD GROSS C &amp; O PLANT RATIOS</t>
  </si>
  <si>
    <t>C129</t>
  </si>
  <si>
    <t>WTD GROSS PLANT RATIOS</t>
  </si>
  <si>
    <t>GP19</t>
  </si>
  <si>
    <t>WTD TOTAL DEPRC RES RATIOS</t>
  </si>
  <si>
    <t>DR19</t>
  </si>
  <si>
    <t>WTD NET PROD PLANT RATIOS</t>
  </si>
  <si>
    <t>WTD NET TRANS PLANT RATIOS</t>
  </si>
  <si>
    <t>WTD NET TRANS &amp; DIST RATIOS</t>
  </si>
  <si>
    <t>NT29</t>
  </si>
  <si>
    <t>WTD NET G &amp; I PLT RATIOS</t>
  </si>
  <si>
    <t>WTD NET C &amp; O PLANT RATIOS</t>
  </si>
  <si>
    <t>WTD NET PLANT RATIOS</t>
  </si>
  <si>
    <t>WTD MATERIAL &amp; SUPPLY RATIOS</t>
  </si>
  <si>
    <t>W669</t>
  </si>
  <si>
    <t>WTD PREPAYMENTS RATIOS</t>
  </si>
  <si>
    <t>W689</t>
  </si>
  <si>
    <t>WTD CASH WORKING CAP RATIOS</t>
  </si>
  <si>
    <t>W719</t>
  </si>
  <si>
    <t>WTD TOTAL WORKING CASH RATIOS</t>
  </si>
  <si>
    <t>W729</t>
  </si>
  <si>
    <t>WTD TOTAL WRKNG CAP RATIOS</t>
  </si>
  <si>
    <t>WC79</t>
  </si>
  <si>
    <t>RATE BASE</t>
  </si>
  <si>
    <t>WTD NET OCRB RATIOS</t>
  </si>
  <si>
    <t>RB29</t>
  </si>
  <si>
    <t>WTD TOTAL RATE BASE RATIOS</t>
  </si>
  <si>
    <t>O &amp; M EXPENSES</t>
  </si>
  <si>
    <t>P349</t>
  </si>
  <si>
    <t>WTD TRANS O&amp;M EXP RATIOS</t>
  </si>
  <si>
    <t>T349</t>
  </si>
  <si>
    <t>WTD DIST O&amp;M EXP RATIOS</t>
  </si>
  <si>
    <t>D349</t>
  </si>
  <si>
    <t>C319</t>
  </si>
  <si>
    <t>S319</t>
  </si>
  <si>
    <t>WTD A&amp;G EXP RATIOS</t>
  </si>
  <si>
    <t>WTD O&amp;M EXP RATIOS</t>
  </si>
  <si>
    <t>OM39</t>
  </si>
  <si>
    <t>DEPRECIATION EXPENSES</t>
  </si>
  <si>
    <t>WTD PRODUCTION DEPREC RATIOS</t>
  </si>
  <si>
    <t>P489</t>
  </si>
  <si>
    <t>WTD TRANS DEPREC RATIOS</t>
  </si>
  <si>
    <t>T489</t>
  </si>
  <si>
    <t>WTD DIST DEPREC RATIOS</t>
  </si>
  <si>
    <t>D489</t>
  </si>
  <si>
    <t>WTD GENERAL DEPREC EXP RATIOS</t>
  </si>
  <si>
    <t>G489</t>
  </si>
  <si>
    <t>WTD COM &amp; OTHER DEP EXP RATIOS</t>
  </si>
  <si>
    <t>C489</t>
  </si>
  <si>
    <t>WTD TOT DEPREC EXP RATIOS</t>
  </si>
  <si>
    <t>DE49</t>
  </si>
  <si>
    <t>OTHER TAXES &amp; MISC EXPENSES</t>
  </si>
  <si>
    <t>WTD R. E. &amp; PROP TAX RATIOS</t>
  </si>
  <si>
    <t>L529</t>
  </si>
  <si>
    <t>WTD MISC TAX RATIOS</t>
  </si>
  <si>
    <t>WTD OTHER TAX RATIOS</t>
  </si>
  <si>
    <t>L599</t>
  </si>
  <si>
    <t>WTD OP EXP EX IT &amp; REV RATIOS</t>
  </si>
  <si>
    <t>OP69</t>
  </si>
  <si>
    <t>INCOME TAXES</t>
  </si>
  <si>
    <t>WTD TOTAL ELEC REVENUE</t>
  </si>
  <si>
    <t>CS09</t>
  </si>
  <si>
    <t>P459</t>
  </si>
  <si>
    <t>WAGES &amp; SALARIES (K600-K639)</t>
  </si>
  <si>
    <t>WTD RATIOS</t>
  </si>
  <si>
    <t>K669</t>
  </si>
  <si>
    <t>OC General</t>
  </si>
  <si>
    <t>OC Common</t>
  </si>
  <si>
    <t>Plant on Payroll</t>
  </si>
  <si>
    <t>Prod Plant</t>
  </si>
  <si>
    <t>Energy Related</t>
  </si>
  <si>
    <t>Trans Plant</t>
  </si>
  <si>
    <t>Dist Plant</t>
  </si>
  <si>
    <t>Customer Acctg</t>
  </si>
  <si>
    <t>Cust Service &amp; Info</t>
  </si>
  <si>
    <t>Sales</t>
  </si>
  <si>
    <t>Total O&amp;M excl A&amp;G</t>
  </si>
  <si>
    <t>A&amp;G</t>
  </si>
  <si>
    <t>Total O&amp;M</t>
  </si>
  <si>
    <t>Ratio</t>
  </si>
  <si>
    <t>=IF(backup!$C20=1,+backup!D25,0)</t>
  </si>
  <si>
    <t xml:space="preserve">      </t>
  </si>
  <si>
    <t>BLANK</t>
  </si>
  <si>
    <t>ALLOCATORS</t>
  </si>
  <si>
    <t>TOTAL</t>
  </si>
  <si>
    <t>Total</t>
  </si>
  <si>
    <t/>
  </si>
  <si>
    <t>LIGHTING</t>
  </si>
  <si>
    <t>ALL</t>
  </si>
  <si>
    <t>ITEM</t>
  </si>
  <si>
    <t>ALLO</t>
  </si>
  <si>
    <t>ELECTRIC</t>
  </si>
  <si>
    <t>RESIDENTIAL</t>
  </si>
  <si>
    <t>DISTRIBUTION</t>
  </si>
  <si>
    <t>TRANSMISSION</t>
  </si>
  <si>
    <t>AT ISSUE</t>
  </si>
  <si>
    <t>OTHER</t>
  </si>
  <si>
    <t>RATIO TO TOTAL ELECTRIC</t>
  </si>
  <si>
    <t>K201</t>
  </si>
  <si>
    <t>TOTAL KWH</t>
  </si>
  <si>
    <t>K301</t>
  </si>
  <si>
    <t>DISTRIBUTION KWH</t>
  </si>
  <si>
    <t>K303</t>
  </si>
  <si>
    <t>K305</t>
  </si>
  <si>
    <t>C324</t>
  </si>
  <si>
    <t>C326</t>
  </si>
  <si>
    <t>K203</t>
  </si>
  <si>
    <t>RB99</t>
  </si>
  <si>
    <t>NP29</t>
  </si>
  <si>
    <t>P229</t>
  </si>
  <si>
    <t>T229</t>
  </si>
  <si>
    <t>D249</t>
  </si>
  <si>
    <t>ALLOC</t>
  </si>
  <si>
    <t>GROSS ELECTRIC PLANT IN SERVICE</t>
  </si>
  <si>
    <t>Schedule 2</t>
  </si>
  <si>
    <t>PRODUCTION PLANT</t>
  </si>
  <si>
    <t>PRODUCTION - STEAM</t>
  </si>
  <si>
    <t>P100</t>
  </si>
  <si>
    <t>P106</t>
  </si>
  <si>
    <t xml:space="preserve">  PRODUCTION PLANT IN SERVICE</t>
  </si>
  <si>
    <t>TRANSMISSION PLANT</t>
  </si>
  <si>
    <t>MAIN STEP-UP TRANSFORMERS</t>
  </si>
  <si>
    <t>OTHER TRANSMISSION</t>
  </si>
  <si>
    <t>T100</t>
  </si>
  <si>
    <t xml:space="preserve">  TRANSMISSION PLANT IN SERVICE</t>
  </si>
  <si>
    <t>TOTAL PROD &amp; TRANS PLANT</t>
  </si>
  <si>
    <t>DISTRIBUTION PLANT</t>
  </si>
  <si>
    <t>SUBSTATIONS</t>
  </si>
  <si>
    <t>D100</t>
  </si>
  <si>
    <t>D102</t>
  </si>
  <si>
    <t>K405</t>
  </si>
  <si>
    <t>CONDUCTORS</t>
  </si>
  <si>
    <t>D104</t>
  </si>
  <si>
    <t>TRANSFORMERS</t>
  </si>
  <si>
    <t>D106</t>
  </si>
  <si>
    <t>SERVICES</t>
  </si>
  <si>
    <t>D108</t>
  </si>
  <si>
    <t>METERS</t>
  </si>
  <si>
    <t>D110</t>
  </si>
  <si>
    <t>K407</t>
  </si>
  <si>
    <t>D112</t>
  </si>
  <si>
    <t>STREET LIGHTS</t>
  </si>
  <si>
    <t>D114</t>
  </si>
  <si>
    <t>K401</t>
  </si>
  <si>
    <t>D116</t>
  </si>
  <si>
    <t xml:space="preserve">  DISTRIBUTION PLANT IN SERVICE</t>
  </si>
  <si>
    <t>TOTAL TRANS &amp; DIST PLANT</t>
  </si>
  <si>
    <t>TOTAL GROSS PTD PLANT</t>
  </si>
  <si>
    <t>GENERAL &amp; INTANGIBLE PLANT</t>
  </si>
  <si>
    <t>PRODUCTION-DEMAND</t>
  </si>
  <si>
    <t>PRODUCTION-ENERGY</t>
  </si>
  <si>
    <t>SALES</t>
  </si>
  <si>
    <t>G100</t>
  </si>
  <si>
    <t>G102</t>
  </si>
  <si>
    <t>G104</t>
  </si>
  <si>
    <t>COMMON &amp; OTHER PLANT</t>
  </si>
  <si>
    <t>PRODUCTION-DEMAND RELATED</t>
  </si>
  <si>
    <t>PRODUCTION-ENERGY RELATED</t>
  </si>
  <si>
    <t xml:space="preserve">DISTRIBUTION </t>
  </si>
  <si>
    <t>C121</t>
  </si>
  <si>
    <t>DEPRECIATION RESERVE</t>
  </si>
  <si>
    <t>Schedule 3</t>
  </si>
  <si>
    <t>P150</t>
  </si>
  <si>
    <t>P152</t>
  </si>
  <si>
    <t xml:space="preserve">  TOTAL PROD DEPREC RESERVE</t>
  </si>
  <si>
    <t>Class</t>
  </si>
  <si>
    <t>Not a Valid</t>
  </si>
  <si>
    <t>P171</t>
  </si>
  <si>
    <t>T150</t>
  </si>
  <si>
    <t>TOTAL TRANS DEPREC RESERVE</t>
  </si>
  <si>
    <t>T171</t>
  </si>
  <si>
    <t>D150</t>
  </si>
  <si>
    <t>D152</t>
  </si>
  <si>
    <t>D154</t>
  </si>
  <si>
    <t>D156</t>
  </si>
  <si>
    <t>D158</t>
  </si>
  <si>
    <t>D160</t>
  </si>
  <si>
    <t>D162</t>
  </si>
  <si>
    <t>D164</t>
  </si>
  <si>
    <t>D166</t>
  </si>
  <si>
    <t>D149</t>
  </si>
  <si>
    <t xml:space="preserve">  TOTAL DIST DEPREC RESERVE</t>
  </si>
  <si>
    <t>D191</t>
  </si>
  <si>
    <t>G150</t>
  </si>
  <si>
    <t>G152</t>
  </si>
  <si>
    <t>G171</t>
  </si>
  <si>
    <t>C150</t>
  </si>
  <si>
    <t xml:space="preserve">  TOTAL COM &amp; OTHER PLT RESERVE</t>
  </si>
  <si>
    <t>C171</t>
  </si>
  <si>
    <t>TOTAL DEPRECIATION RESERVE</t>
  </si>
  <si>
    <t>NET ELECTRIC PLANT IN SERVICE</t>
  </si>
  <si>
    <t>Schedule 4</t>
  </si>
  <si>
    <t xml:space="preserve">  TOTAL PROD</t>
  </si>
  <si>
    <t>TOTAL TRANSMISSION</t>
  </si>
  <si>
    <t>CONSTRUCTION NOT CLASSIFIED</t>
  </si>
  <si>
    <t xml:space="preserve">  TOTAL DIST</t>
  </si>
  <si>
    <t>NET PTD PLANT</t>
  </si>
  <si>
    <t>NET TRANS &amp; DIST PLANT</t>
  </si>
  <si>
    <t xml:space="preserve">  TOTAL COM &amp; OTHER PLT</t>
  </si>
  <si>
    <t>TOTAL ELECTRIC PLANT IN SERVICE</t>
  </si>
  <si>
    <t>NET ELECTRIC PLANT</t>
  </si>
  <si>
    <t>PRODUCTION PLANT IN SERVICE</t>
  </si>
  <si>
    <t>TOTAL PROD DEPRC RESERVE</t>
  </si>
  <si>
    <t xml:space="preserve">  NET PRODUCTION PLANT</t>
  </si>
  <si>
    <t>TRANSMISSION PLANT IN SERVICE</t>
  </si>
  <si>
    <t xml:space="preserve">    NET TRANSMISSION PLANT</t>
  </si>
  <si>
    <t>DISTRIBUTION PLANT IN SERVICE</t>
  </si>
  <si>
    <t>TOTAL DIST DEPREC RESERVE</t>
  </si>
  <si>
    <t xml:space="preserve">  NET DISTRIBUTION PLANT</t>
  </si>
  <si>
    <t>GEN &amp; INTANG PLANT IN SERVICE</t>
  </si>
  <si>
    <t>TOTAL GEN &amp; INTG DEPREC RESERVE</t>
  </si>
  <si>
    <t xml:space="preserve">  NET GENERAL &amp; INTANG PLANT</t>
  </si>
  <si>
    <t>COMMON &amp; OTH PLT IN SERVICE</t>
  </si>
  <si>
    <t>TOTAL COM &amp; OTH DEPREC RESERVE</t>
  </si>
  <si>
    <t xml:space="preserve">  NET COMMON &amp; OTHER PLANT</t>
  </si>
  <si>
    <t>NP21</t>
  </si>
  <si>
    <t>RATE BASE ADJUSTMENTS</t>
  </si>
  <si>
    <t>Schedule 5</t>
  </si>
  <si>
    <t>SUBTRACTIVE ADJUSTMENTS</t>
  </si>
  <si>
    <t xml:space="preserve"> ACCUM DEF INC TAXES (282)</t>
  </si>
  <si>
    <t>B200</t>
  </si>
  <si>
    <t>B202</t>
  </si>
  <si>
    <t>B204</t>
  </si>
  <si>
    <t>PAYROLL TAXES-IN SERVICE</t>
  </si>
  <si>
    <t>B206</t>
  </si>
  <si>
    <t>CAPITALIZED INTEREST</t>
  </si>
  <si>
    <t>B208</t>
  </si>
  <si>
    <t>B210</t>
  </si>
  <si>
    <t>B212</t>
  </si>
  <si>
    <t>B214</t>
  </si>
  <si>
    <t xml:space="preserve">  TOTAL ACCOUNT 282</t>
  </si>
  <si>
    <t>B221</t>
  </si>
  <si>
    <t>B226</t>
  </si>
  <si>
    <t>B228</t>
  </si>
  <si>
    <t>UNCOLLECTIBLE ACCOUNTS</t>
  </si>
  <si>
    <t>B230</t>
  </si>
  <si>
    <t>B232</t>
  </si>
  <si>
    <t>B238</t>
  </si>
  <si>
    <t>B243</t>
  </si>
  <si>
    <t>INVESTMENT TAX CREDIT</t>
  </si>
  <si>
    <t>B244</t>
  </si>
  <si>
    <t>CUSTOMER SERVICE DEPOSITS</t>
  </si>
  <si>
    <t>B250</t>
  </si>
  <si>
    <t xml:space="preserve">  TOTAL OTHER SUBTRACTIVE ADJS</t>
  </si>
  <si>
    <t>B285</t>
  </si>
  <si>
    <t>TOTAL SUBTRACTIVE ADJUSTMENTS</t>
  </si>
  <si>
    <t>B287</t>
  </si>
  <si>
    <t>ADDITIVE ADJUSTMENTS</t>
  </si>
  <si>
    <t xml:space="preserve"> ACCUM DEF INC TAXES (190)</t>
  </si>
  <si>
    <t>V202</t>
  </si>
  <si>
    <t>K409</t>
  </si>
  <si>
    <t>V204</t>
  </si>
  <si>
    <t>V206</t>
  </si>
  <si>
    <t>V208</t>
  </si>
  <si>
    <t xml:space="preserve">  TOTAL ACCOUNT 190</t>
  </si>
  <si>
    <t>A356</t>
  </si>
  <si>
    <t xml:space="preserve">  TOTAL RATE BASE CWIP</t>
  </si>
  <si>
    <t>V255</t>
  </si>
  <si>
    <t>TOTAL ADDITIVE ADJUSTMENTS</t>
  </si>
  <si>
    <t>V289</t>
  </si>
  <si>
    <t>NET ORIGINAL COST RATE BASE</t>
  </si>
  <si>
    <t>WORKING CAPITAL</t>
  </si>
  <si>
    <t>PLANT MATERIALS &amp; SUPPLIES</t>
  </si>
  <si>
    <t>W646</t>
  </si>
  <si>
    <t>PREPAYMENTS</t>
  </si>
  <si>
    <t>W670</t>
  </si>
  <si>
    <t>W684</t>
  </si>
  <si>
    <t xml:space="preserve">  TOTAL PREPAYMENTS</t>
  </si>
  <si>
    <t>CASH WORKING CAPITAL - RATE BASE</t>
  </si>
  <si>
    <t>W690</t>
  </si>
  <si>
    <t xml:space="preserve">  TOTAL FUEL, PP &amp; OTHER</t>
  </si>
  <si>
    <t>W705</t>
  </si>
  <si>
    <t>AUTO CALC (O&amp;M-F-PP)/8</t>
  </si>
  <si>
    <t xml:space="preserve">  TOTAL WORKING CASH</t>
  </si>
  <si>
    <t>TOTAL WORKING CAPITAL</t>
  </si>
  <si>
    <t>WC71</t>
  </si>
  <si>
    <t>PRELIMINARY SUMMARY</t>
  </si>
  <si>
    <t xml:space="preserve">  TOTAL RATE BASE ADJUSTMENTS</t>
  </si>
  <si>
    <t>RB71</t>
  </si>
  <si>
    <t>RATE BASE CALCULATION</t>
  </si>
  <si>
    <t>TOTAL RATE BASE ADJUSTMENTS</t>
  </si>
  <si>
    <t xml:space="preserve">  TOTAL RATE BASE</t>
  </si>
  <si>
    <t>TOTAL RATE OF RETURN ALLOWABLE</t>
  </si>
  <si>
    <t>RORA</t>
  </si>
  <si>
    <t>R751</t>
  </si>
  <si>
    <t>O&amp;M EXPENSES</t>
  </si>
  <si>
    <t>Schedule 6</t>
  </si>
  <si>
    <t>PRODUCTION O&amp;M</t>
  </si>
  <si>
    <t>ENERGY RELATED PRODUCTION O&amp;M</t>
  </si>
  <si>
    <t>P300</t>
  </si>
  <si>
    <t>P302</t>
  </si>
  <si>
    <t>P304</t>
  </si>
  <si>
    <t>P308</t>
  </si>
  <si>
    <t>P310</t>
  </si>
  <si>
    <t xml:space="preserve">  TOTAL ENERGY RELATED</t>
  </si>
  <si>
    <t>DEMAND RELATED PROD O&amp;M</t>
  </si>
  <si>
    <t xml:space="preserve">  TOTAL DEMAND RELATED</t>
  </si>
  <si>
    <t>TOTAL PRODUCTION O&amp;M</t>
  </si>
  <si>
    <t>TRANSMISSION O &amp; M</t>
  </si>
  <si>
    <t>T300</t>
  </si>
  <si>
    <t xml:space="preserve">  TOTAL TRANSMISSION O &amp; M</t>
  </si>
  <si>
    <t>T102</t>
  </si>
  <si>
    <t>G106</t>
  </si>
  <si>
    <t>G108</t>
  </si>
  <si>
    <t>G110</t>
  </si>
  <si>
    <t>G112</t>
  </si>
  <si>
    <t>C100</t>
  </si>
  <si>
    <t>C102</t>
  </si>
  <si>
    <t>C104</t>
  </si>
  <si>
    <t>C106</t>
  </si>
  <si>
    <t>C108</t>
  </si>
  <si>
    <t>C110</t>
  </si>
  <si>
    <t>C112</t>
  </si>
  <si>
    <t>G154</t>
  </si>
  <si>
    <t>G156</t>
  </si>
  <si>
    <t>G158</t>
  </si>
  <si>
    <t>G160</t>
  </si>
  <si>
    <t>G162</t>
  </si>
  <si>
    <t>C152</t>
  </si>
  <si>
    <t>C154</t>
  </si>
  <si>
    <t>C156</t>
  </si>
  <si>
    <t>C158</t>
  </si>
  <si>
    <t>C160</t>
  </si>
  <si>
    <t>C162</t>
  </si>
  <si>
    <t>A302</t>
  </si>
  <si>
    <t>A304</t>
  </si>
  <si>
    <t>A315</t>
  </si>
  <si>
    <t>A346</t>
  </si>
  <si>
    <t>A348</t>
  </si>
  <si>
    <t>A352</t>
  </si>
  <si>
    <t>A354</t>
  </si>
  <si>
    <t>A357</t>
  </si>
  <si>
    <t>P462</t>
  </si>
  <si>
    <t>T460</t>
  </si>
  <si>
    <t>T462</t>
  </si>
  <si>
    <t>D462</t>
  </si>
  <si>
    <t>G462</t>
  </si>
  <si>
    <t>C462</t>
  </si>
  <si>
    <t>L502</t>
  </si>
  <si>
    <t>L514</t>
  </si>
  <si>
    <t>Y828</t>
  </si>
  <si>
    <t>Q020</t>
  </si>
  <si>
    <t>DISTRIBUTION O &amp; M</t>
  </si>
  <si>
    <t>D300</t>
  </si>
  <si>
    <t>D302</t>
  </si>
  <si>
    <t>D304</t>
  </si>
  <si>
    <t>D306</t>
  </si>
  <si>
    <t>D308</t>
  </si>
  <si>
    <t>D310</t>
  </si>
  <si>
    <t>D314</t>
  </si>
  <si>
    <t xml:space="preserve">  TOTAL DISTRIBUTION O &amp; M</t>
  </si>
  <si>
    <t>CUSTOMER ACCOUNTING</t>
  </si>
  <si>
    <t>C300</t>
  </si>
  <si>
    <t>C302</t>
  </si>
  <si>
    <t>C304</t>
  </si>
  <si>
    <t>C306</t>
  </si>
  <si>
    <t xml:space="preserve">  TOTAL CUSTOMER ACCT EXPENSE</t>
  </si>
  <si>
    <t>CUSTOMER SERVICE &amp; INFORMATION</t>
  </si>
  <si>
    <t>C320</t>
  </si>
  <si>
    <t>C322</t>
  </si>
  <si>
    <t>C331</t>
  </si>
  <si>
    <t>S300</t>
  </si>
  <si>
    <t>S302</t>
  </si>
  <si>
    <t>S304</t>
  </si>
  <si>
    <t xml:space="preserve">  TOTAL SALES EXPENSE</t>
  </si>
  <si>
    <t xml:space="preserve">   SUBTOTAL O&amp;M EXCL. A&amp;G</t>
  </si>
  <si>
    <t xml:space="preserve">ADMINISTRATIVE &amp; GENERAL </t>
  </si>
  <si>
    <t>A&amp;G EXPENSE EXCL. REGULATORY EXP</t>
  </si>
  <si>
    <t>A300</t>
  </si>
  <si>
    <t>A306</t>
  </si>
  <si>
    <t>A308</t>
  </si>
  <si>
    <t>ANNUALIZE WAGES</t>
  </si>
  <si>
    <t>A310</t>
  </si>
  <si>
    <t>RATE CASE EXPENSE</t>
  </si>
  <si>
    <t>A312</t>
  </si>
  <si>
    <t>A316</t>
  </si>
  <si>
    <t>A318</t>
  </si>
  <si>
    <t>A320</t>
  </si>
  <si>
    <t>A326</t>
  </si>
  <si>
    <t>ELIMINATE ADVERTISING</t>
  </si>
  <si>
    <t>A330</t>
  </si>
  <si>
    <t>EEI DUES</t>
  </si>
  <si>
    <t>A332</t>
  </si>
  <si>
    <t>RENT</t>
  </si>
  <si>
    <t>A338</t>
  </si>
  <si>
    <t>A340</t>
  </si>
  <si>
    <t>A342</t>
  </si>
  <si>
    <t>A344</t>
  </si>
  <si>
    <t xml:space="preserve">  TOTAL ADMIN. &amp; GENERAL</t>
  </si>
  <si>
    <t>TOTAL O &amp; M EXPENSE</t>
  </si>
  <si>
    <t>DEPRECIATION EXPENSE</t>
  </si>
  <si>
    <t>Schedule 7</t>
  </si>
  <si>
    <t>PRODUCTION DEPRECIATION</t>
  </si>
  <si>
    <t xml:space="preserve">    PRODUCTION DEPRECIATION</t>
  </si>
  <si>
    <t>P460</t>
  </si>
  <si>
    <t xml:space="preserve">  TOTAL PRODUCTION DEPREC EXP.</t>
  </si>
  <si>
    <t>TRANSMISSION DEPRECIATION</t>
  </si>
  <si>
    <t xml:space="preserve">   TRANSMISSION DEPRECIATION</t>
  </si>
  <si>
    <t xml:space="preserve">  TOTAL TRANSMISSION DEP. EXP.</t>
  </si>
  <si>
    <t>DISTRIBUTION DEPRECIATION</t>
  </si>
  <si>
    <t xml:space="preserve">   DISTRIBUTION DEPRECIATION</t>
  </si>
  <si>
    <t>D460</t>
  </si>
  <si>
    <t xml:space="preserve">  TOTAL DIST. DEPREC EXP.</t>
  </si>
  <si>
    <t>GENERAL DEPRECIATION</t>
  </si>
  <si>
    <t xml:space="preserve">   GENERAL DEPRECIATION</t>
  </si>
  <si>
    <t>G460</t>
  </si>
  <si>
    <t>G229</t>
  </si>
  <si>
    <t xml:space="preserve">  TOTAL GENERAL DEPREC EXP.</t>
  </si>
  <si>
    <t>COMMON AND OTHER DEPRECIATION</t>
  </si>
  <si>
    <t xml:space="preserve">   COMMON DEPRECIATION</t>
  </si>
  <si>
    <t>C460</t>
  </si>
  <si>
    <t>C229</t>
  </si>
  <si>
    <t xml:space="preserve">  TOTAL COM &amp; OTHER DEPREC EXP.</t>
  </si>
  <si>
    <t>TOTAL DEPRECIATION EXPENSE</t>
  </si>
  <si>
    <t>TAXES OTHER THAN INC &amp; REV</t>
  </si>
  <si>
    <t>Schedule 8</t>
  </si>
  <si>
    <t xml:space="preserve"> REAL ESTATE &amp; PROPERTY TAX</t>
  </si>
  <si>
    <t>L500</t>
  </si>
  <si>
    <t xml:space="preserve">  TOTAL REAL EST &amp; PROP TAX</t>
  </si>
  <si>
    <t xml:space="preserve"> MISCELLANEOUS TAXES</t>
  </si>
  <si>
    <t>AUTO LICENSES, ETC</t>
  </si>
  <si>
    <t>L560</t>
  </si>
  <si>
    <t>L562</t>
  </si>
  <si>
    <t>L564</t>
  </si>
  <si>
    <t>L566</t>
  </si>
  <si>
    <t>L568</t>
  </si>
  <si>
    <t xml:space="preserve">  TOTAL MISCELLANEOUS TAXES</t>
  </si>
  <si>
    <t>MISCELLANEOUS EXPENSES</t>
  </si>
  <si>
    <t>UNCOLLECTIBLE EXPENSE ON INCR</t>
  </si>
  <si>
    <t>L582</t>
  </si>
  <si>
    <t>L584</t>
  </si>
  <si>
    <t xml:space="preserve">  TOTAL MISCELLANEOUS EXPENSES</t>
  </si>
  <si>
    <t>L589</t>
  </si>
  <si>
    <t>TOTAL OTHER TAX &amp; MISC EXPENSE</t>
  </si>
  <si>
    <t>TOTAL O&amp;M EXPENSE</t>
  </si>
  <si>
    <t>L591</t>
  </si>
  <si>
    <t>OP61</t>
  </si>
  <si>
    <t>INCOME TAX BASED ON RETURN</t>
  </si>
  <si>
    <t>Schedule 9</t>
  </si>
  <si>
    <t>FEDERAL INCOME TAX DEDUCTIONS</t>
  </si>
  <si>
    <t xml:space="preserve"> AUTOMATIC INTEREST CALCULATION</t>
  </si>
  <si>
    <t xml:space="preserve">   </t>
  </si>
  <si>
    <t>AUTO PROC INTEREST DED</t>
  </si>
  <si>
    <t>Y751</t>
  </si>
  <si>
    <t xml:space="preserve">  TOTAL INTEREST EXPENSE</t>
  </si>
  <si>
    <t>Y783</t>
  </si>
  <si>
    <t xml:space="preserve"> OTHER DEDUCTIONS</t>
  </si>
  <si>
    <t>Y790</t>
  </si>
  <si>
    <t>COST OF REMOVAL</t>
  </si>
  <si>
    <t>Y792</t>
  </si>
  <si>
    <t>Y794</t>
  </si>
  <si>
    <t>Y798</t>
  </si>
  <si>
    <t>Y800</t>
  </si>
  <si>
    <t>Y804</t>
  </si>
  <si>
    <t>Y808</t>
  </si>
  <si>
    <t>Y816</t>
  </si>
  <si>
    <t>Y818</t>
  </si>
  <si>
    <t>Y826</t>
  </si>
  <si>
    <t xml:space="preserve">  TOTAL OTHER DEDUCTIONS</t>
  </si>
  <si>
    <t>NET DEDUCTIONS AND ADDITIONS</t>
  </si>
  <si>
    <t>Y871</t>
  </si>
  <si>
    <t>FEDERAL INCOME TAX ADJUSTMENTS</t>
  </si>
  <si>
    <t>Z762</t>
  </si>
  <si>
    <t>Z764</t>
  </si>
  <si>
    <t>Z766</t>
  </si>
  <si>
    <t>Z768</t>
  </si>
  <si>
    <t>Z770</t>
  </si>
  <si>
    <t>Z772</t>
  </si>
  <si>
    <t>Z780</t>
  </si>
  <si>
    <t>Z781</t>
  </si>
  <si>
    <t>Z782</t>
  </si>
  <si>
    <t>Z786</t>
  </si>
  <si>
    <t>Z788</t>
  </si>
  <si>
    <t>Z792</t>
  </si>
  <si>
    <t>Z794</t>
  </si>
  <si>
    <t>Z796</t>
  </si>
  <si>
    <t>Z798</t>
  </si>
  <si>
    <t>Z800</t>
  </si>
  <si>
    <t>Z804</t>
  </si>
  <si>
    <t>Z803</t>
  </si>
  <si>
    <t>Z806</t>
  </si>
  <si>
    <t>Z813</t>
  </si>
  <si>
    <t>Z823</t>
  </si>
  <si>
    <t>TOTAL FED PROV DEF IT (410.1)</t>
  </si>
  <si>
    <t>TOTAL FED PROV DEF IT (411.1)</t>
  </si>
  <si>
    <t xml:space="preserve">  TOTAL FEDERAL TAX ADJUSTMENTS</t>
  </si>
  <si>
    <t>Z863</t>
  </si>
  <si>
    <t>FEDERAL INCOME TAX COMPUTATION</t>
  </si>
  <si>
    <t>TOTAL FEDERAL TAX ADJUSTMENTS</t>
  </si>
  <si>
    <t>TOTAL STATE PROV DEF IT (410.1)</t>
  </si>
  <si>
    <t>Z911</t>
  </si>
  <si>
    <t>TOTAL STATE PROV DEF IT (411.1)</t>
  </si>
  <si>
    <t>Z933</t>
  </si>
  <si>
    <t>I865</t>
  </si>
  <si>
    <t>FIT FACTOR K190/(1-K190)</t>
  </si>
  <si>
    <t>I867</t>
  </si>
  <si>
    <t xml:space="preserve">THE UNION LIGHT,  HEAT &amp; POWER COMPANY </t>
  </si>
  <si>
    <t>COST OF SERVICE STUDY</t>
  </si>
  <si>
    <t>TIME OF DAY</t>
  </si>
  <si>
    <t>LIBERALIZED DEPRECIATION</t>
  </si>
  <si>
    <t>LAND HELD FOR FUTURE USE</t>
  </si>
  <si>
    <t xml:space="preserve">  TOTAL LAND HELD FOR FUTURE USE</t>
  </si>
  <si>
    <t>CONSTRUCTION WORK IN PROGRESS</t>
  </si>
  <si>
    <t>COMMON</t>
  </si>
  <si>
    <t>INSURANCE</t>
  </si>
  <si>
    <t>10 DAYS OF PURCHASED PWR COSTS</t>
  </si>
  <si>
    <t>PURCHASED POWER ADJ. - PASS THRU</t>
  </si>
  <si>
    <t>SALES EXPENSE</t>
  </si>
  <si>
    <t>CHARITABLE CONTRIBUTIONS</t>
  </si>
  <si>
    <t>STORM DAMAGES ADJ.</t>
  </si>
  <si>
    <t>INJURIES &amp; DAMAGES ADJ.</t>
  </si>
  <si>
    <t>DEPR. EXCESS TAX OVER BOOK</t>
  </si>
  <si>
    <t xml:space="preserve">  TOTAL FED PROV DEF IT DEFERRALS (410.1)</t>
  </si>
  <si>
    <t xml:space="preserve"> FED PROV DEF INC TAX DEFERRALS (410.1)</t>
  </si>
  <si>
    <t>MISCELLANEOUS</t>
  </si>
  <si>
    <t xml:space="preserve"> FED PROV DEF INC TAX WRITEBACKS (411.1)</t>
  </si>
  <si>
    <t xml:space="preserve">  TOTAL FED PROV DEF IT WRITEBACKS (411.1)</t>
  </si>
  <si>
    <t xml:space="preserve">LIBERALIZED DEPRECIATION </t>
  </si>
  <si>
    <t xml:space="preserve">  TOT STATE PROV DEF IT DEFERRALS (410.1)</t>
  </si>
  <si>
    <t xml:space="preserve"> STATE PROV DEF INC TAX DEFERRALS (410.1)</t>
  </si>
  <si>
    <t xml:space="preserve"> STATE PROV DEF INC TAX WRITEBACKS (411.1)</t>
  </si>
  <si>
    <t xml:space="preserve">  TOT STATE PROV DEF IT WRITEBACKS (411.1)</t>
  </si>
  <si>
    <t>K209</t>
  </si>
  <si>
    <t>TOTAL KWH LESS LIGHTING</t>
  </si>
  <si>
    <t>OTHER SUBTRACTIVE ADJUSTMENTS</t>
  </si>
  <si>
    <t>V234</t>
  </si>
  <si>
    <t>V236</t>
  </si>
  <si>
    <t>V240</t>
  </si>
  <si>
    <t>P306</t>
  </si>
  <si>
    <t>TRUCK STOCK INVENTORY</t>
  </si>
  <si>
    <t>D316</t>
  </si>
  <si>
    <t>Depr. OC General</t>
  </si>
  <si>
    <t>Depr. OC Common</t>
  </si>
  <si>
    <t>SECONDARY</t>
  </si>
  <si>
    <t>PRIMARY</t>
  </si>
  <si>
    <t>PROPERTY INSURANCE</t>
  </si>
  <si>
    <t>A328</t>
  </si>
  <si>
    <t>E349</t>
  </si>
  <si>
    <t>WTD PROD DEMAND O&amp;M EXP RATIOS</t>
  </si>
  <si>
    <t>WTD PROD ENERGY O&amp;M EXP RATIOS</t>
  </si>
  <si>
    <t>WTD CUST SERV &amp; INFO O&amp;M  EXP RATIOS</t>
  </si>
  <si>
    <t>WTD SALES O&amp;M EXP RATIOS</t>
  </si>
  <si>
    <t>WTD CUST ACCT O&amp;M EXP RATIOS</t>
  </si>
  <si>
    <t>WTD NET DIST SUBSTATIONS PLANT RATIOS</t>
  </si>
  <si>
    <t>WTD NET DIST TRANSFORMERS PLT RATIOS</t>
  </si>
  <si>
    <t>WTD NET SERVICES PLANT RATIOS</t>
  </si>
  <si>
    <t>WTD NET METERS PLANT RATIOS</t>
  </si>
  <si>
    <t>WTD NET TOTAL DIST PLANT RATIOS</t>
  </si>
  <si>
    <t>WTD NET STREET LIGHT PLANT RATIOS</t>
  </si>
  <si>
    <t>S249</t>
  </si>
  <si>
    <t>F249</t>
  </si>
  <si>
    <t>SV49</t>
  </si>
  <si>
    <t>M249</t>
  </si>
  <si>
    <t>L249</t>
  </si>
  <si>
    <t>JURISDICTIONAL KW DEMAND (COIN PEAK)</t>
  </si>
  <si>
    <t>J349</t>
  </si>
  <si>
    <t>A &amp; G EXPENSES</t>
  </si>
  <si>
    <t>WTD PROD DEMAND A&amp;G EXP RATIOS</t>
  </si>
  <si>
    <t>WTD PROD ENERGY A&amp;G EXP RATIOS</t>
  </si>
  <si>
    <t>WTD TRANS A&amp;G EXP RATIOS</t>
  </si>
  <si>
    <t>WTD DIST A&amp;G EXP RATIOS</t>
  </si>
  <si>
    <t>WTD CUST ACCT A&amp;G EXP RATIOS</t>
  </si>
  <si>
    <t>WTD CUST SERV &amp; INFO A&amp;G  EXP RATIOS</t>
  </si>
  <si>
    <t>WTD SALES A&amp;G EXP RATIOS</t>
  </si>
  <si>
    <t>WTD TOTAL PROD O&amp;M EXP RATIOS</t>
  </si>
  <si>
    <t>JURISDICTIONAL RATE BASE, NET PLANT, A&amp;G AND O&amp;M RATIOS</t>
  </si>
  <si>
    <t>JUR. WTD NET TRANS PLANT RATIOS</t>
  </si>
  <si>
    <t>JUR. WTD NET DIST PLANT RATIOS</t>
  </si>
  <si>
    <t>JUR. WTD NET TRANS &amp; DIST RATIOS</t>
  </si>
  <si>
    <t>JUR. WTD NET G &amp; I PLT RATIOS</t>
  </si>
  <si>
    <t>JUR. WTD NET C &amp; O PLANT RATIOS</t>
  </si>
  <si>
    <t>JUR. WTD NET PLANT RATIOS</t>
  </si>
  <si>
    <t>JUR. WTD NET GEN &amp; COMMON PLT RATIOS</t>
  </si>
  <si>
    <t>JUR. WTD  PROD O&amp;M RATIOS</t>
  </si>
  <si>
    <t>JUR. WTD NET PROD PLANT RATIOS</t>
  </si>
  <si>
    <t>JUR. OCD RATE BASE</t>
  </si>
  <si>
    <t>JR99</t>
  </si>
  <si>
    <t>J315</t>
  </si>
  <si>
    <t>JUR. WTD A&amp;G EXCL. REGULATORY RATIOS</t>
  </si>
  <si>
    <t>JUR. PRESENT REVENUE RATIOS</t>
  </si>
  <si>
    <t>JUR. PROPOSED REVENUE RATIOS</t>
  </si>
  <si>
    <t>J600</t>
  </si>
  <si>
    <t>J602</t>
  </si>
  <si>
    <t>JUR. BASE FOR FIT COMPUTATION RATIOS</t>
  </si>
  <si>
    <t>J865</t>
  </si>
  <si>
    <t>PRI. DIST</t>
  </si>
  <si>
    <t>SEC. DIST</t>
  </si>
  <si>
    <t>NT39</t>
  </si>
  <si>
    <t>O249</t>
  </si>
  <si>
    <t>CN49</t>
  </si>
  <si>
    <t>TOTAL DIVERSIFIED CLASS DEMANDS</t>
  </si>
  <si>
    <t>K215</t>
  </si>
  <si>
    <t>GENERAL</t>
  </si>
  <si>
    <t>V238</t>
  </si>
  <si>
    <t>A&amp;G RELATED</t>
  </si>
  <si>
    <t>PURCHASED SOFTWARE</t>
  </si>
  <si>
    <t>METERS AND TRANSFORMERS</t>
  </si>
  <si>
    <t>MISCELLANEOUS DEFERRALS</t>
  </si>
  <si>
    <t>V210</t>
  </si>
  <si>
    <t>V212</t>
  </si>
  <si>
    <t>OTHER ADDITIVE ADJUSTMENTS</t>
  </si>
  <si>
    <t xml:space="preserve">  TOTAL OTHER</t>
  </si>
  <si>
    <t>MERGER COSTS</t>
  </si>
  <si>
    <t>WORK FORCE REDUCTIONS</t>
  </si>
  <si>
    <t>ANNUALIZED DEPRECIATION</t>
  </si>
  <si>
    <t>V215</t>
  </si>
  <si>
    <t>V216</t>
  </si>
  <si>
    <t>V218</t>
  </si>
  <si>
    <t>V220</t>
  </si>
  <si>
    <t>V222</t>
  </si>
  <si>
    <t>V224</t>
  </si>
  <si>
    <t>V229</t>
  </si>
  <si>
    <t>LOAD DISPATCHING</t>
  </si>
  <si>
    <t>ANNUALIZE HEALTH CARE</t>
  </si>
  <si>
    <t>OTHER STATE TAXES</t>
  </si>
  <si>
    <t xml:space="preserve">PAYROLL RELATED </t>
  </si>
  <si>
    <t>AFUDC</t>
  </si>
  <si>
    <t>AFUDC ADJUSTMENT</t>
  </si>
  <si>
    <t>PAYROLL RELATED</t>
  </si>
  <si>
    <t>TRUCK STOCK</t>
  </si>
  <si>
    <t>ALLOCATED FROM SERVICE COMPANY</t>
  </si>
  <si>
    <t>AMORTIZATION OF INVESTMENT TAX CREDIT</t>
  </si>
  <si>
    <t>C.S.S. CAPITALIZED</t>
  </si>
  <si>
    <t>LOSS ON REACQUIRED DEBT</t>
  </si>
  <si>
    <t>DEFERRED GAIN INTER-CO SALES</t>
  </si>
  <si>
    <t>DSM - PROGRAM COSTS</t>
  </si>
  <si>
    <t>MISCELLANEOUS DEFERRED ITEMS</t>
  </si>
  <si>
    <t>LOSS ON  REACQUIRED DEBT</t>
  </si>
  <si>
    <t xml:space="preserve">  TOTAL GENERAL AND INTANGIBLE PLANT</t>
  </si>
  <si>
    <t xml:space="preserve">  TOTAL GEN &amp; INTANGIBLE DEPREC RES.</t>
  </si>
  <si>
    <t>RETIREMENT WORK IN PROGRESS</t>
  </si>
  <si>
    <t>PRODUCTION - OTHER</t>
  </si>
  <si>
    <t>RENTAL REVENUE</t>
  </si>
  <si>
    <t>SCHEDULE: 13</t>
  </si>
  <si>
    <t>ROR AND TAX RATES</t>
  </si>
  <si>
    <t>PRIOR YEAR TAX ADJ.</t>
  </si>
  <si>
    <t>ADJUSTMENTS</t>
  </si>
  <si>
    <t>LOSS ON ACRS PROPERTY</t>
  </si>
  <si>
    <t xml:space="preserve">  TEST YEAR INV TAX CREDIT</t>
  </si>
  <si>
    <t>TEST YEAR INV TAX CREDIT</t>
  </si>
  <si>
    <t>TOTAL AMORTIZED ITC &amp; SERVICE CO ALLOC.</t>
  </si>
  <si>
    <t>Net Plant</t>
  </si>
  <si>
    <t>Other</t>
  </si>
  <si>
    <t>PL49</t>
  </si>
  <si>
    <t>SL49</t>
  </si>
  <si>
    <t>Depreciation</t>
  </si>
  <si>
    <t>BACK UP STUDIES</t>
  </si>
  <si>
    <t xml:space="preserve"> TEST YEAR INV TAX CREDIT</t>
  </si>
  <si>
    <t>METER INSTALLATION COSTS</t>
  </si>
  <si>
    <t>UNBILLED REVENUE - FUEL</t>
  </si>
  <si>
    <t>DSM PROGRAM COSTS</t>
  </si>
  <si>
    <t>B216</t>
  </si>
  <si>
    <t>P340</t>
  </si>
  <si>
    <t>P342</t>
  </si>
  <si>
    <t>P344</t>
  </si>
  <si>
    <t>P346</t>
  </si>
  <si>
    <t>DEFERRED GAIN - INTERCO SALES</t>
  </si>
  <si>
    <t>B234</t>
  </si>
  <si>
    <t>METER READING</t>
  </si>
  <si>
    <t>DSM ELIMINATION</t>
  </si>
  <si>
    <t>Z760</t>
  </si>
  <si>
    <t>K411</t>
  </si>
  <si>
    <t>K413</t>
  </si>
  <si>
    <t>K419</t>
  </si>
  <si>
    <t>CUSTOMER ACCOUNTS 901-3, 905</t>
  </si>
  <si>
    <t>UNCOLLECTIBLE ACCOUNT 904</t>
  </si>
  <si>
    <t>SALES ACCOUNTS 911, 913</t>
  </si>
  <si>
    <t>CUST SERVICE &amp; INFORM ACCOUNTS 908-10</t>
  </si>
  <si>
    <t>SECONDARY NON-COIN PEAK (KW)</t>
  </si>
  <si>
    <t>C311</t>
  </si>
  <si>
    <t>WTD UNCOLLECTIBLE ACCOUNT O&amp;M</t>
  </si>
  <si>
    <t>ASSIGN 100% TO RESIDENTIAL</t>
  </si>
  <si>
    <t>K307</t>
  </si>
  <si>
    <t>A&amp;G EXPENSE UNADJUSTED</t>
  </si>
  <si>
    <t>WTD A&amp;G EXPENSE UNADJUSTED</t>
  </si>
  <si>
    <t>Excl. Adjustments</t>
  </si>
  <si>
    <t>COSS</t>
  </si>
  <si>
    <t>Rev Req Mod</t>
  </si>
  <si>
    <t>Difference</t>
  </si>
  <si>
    <t>Gross Plant</t>
  </si>
  <si>
    <t>Cash WC</t>
  </si>
  <si>
    <t>Fuel stock</t>
  </si>
  <si>
    <t>Mat &amp; Supp</t>
  </si>
  <si>
    <t>PIPP Uncollectibles/oth</t>
  </si>
  <si>
    <t>Tot WC</t>
  </si>
  <si>
    <t>Contributions in Aid of Construction (a)</t>
  </si>
  <si>
    <t>Acct 271</t>
  </si>
  <si>
    <t>Postretirement Benefits</t>
  </si>
  <si>
    <t>Acct 252</t>
  </si>
  <si>
    <t>ITC  &amp; other Acct 255 etc</t>
  </si>
  <si>
    <t>ITC   Acct 255</t>
  </si>
  <si>
    <t>Acct 190</t>
  </si>
  <si>
    <t>Acct 282</t>
  </si>
  <si>
    <t xml:space="preserve">Def Inc Taxes Acct 190-284 </t>
  </si>
  <si>
    <t>Tot Def IT</t>
  </si>
  <si>
    <t xml:space="preserve"> </t>
  </si>
  <si>
    <t>Jurisdictional Rate Base</t>
  </si>
  <si>
    <t>O&amp;M Expenses</t>
  </si>
  <si>
    <t>Prod</t>
  </si>
  <si>
    <t>Trans</t>
  </si>
  <si>
    <t>Dist</t>
  </si>
  <si>
    <t>Cust Acct</t>
  </si>
  <si>
    <t>Cust serv</t>
  </si>
  <si>
    <t>A&amp;G &amp; AMOT OF DEF EXP</t>
  </si>
  <si>
    <t>Amort of def Exp</t>
  </si>
  <si>
    <t>total O&amp;M</t>
  </si>
  <si>
    <t>Total Deprec Exp</t>
  </si>
  <si>
    <t>Property Tax</t>
  </si>
  <si>
    <t>Misc taxes</t>
  </si>
  <si>
    <t>total prop &amp; misc taxes</t>
  </si>
  <si>
    <t>Misc. Expenses</t>
  </si>
  <si>
    <t>Change in Uncollectibles, OCC/PUCO Maint. Due to revenue increase</t>
  </si>
  <si>
    <t>Total O&amp;M, Depr &amp; MISC TAX</t>
  </si>
  <si>
    <t>FIT Tax Calculation</t>
  </si>
  <si>
    <t>interest deduction</t>
  </si>
  <si>
    <t>Oth Deductions</t>
  </si>
  <si>
    <t>FIT prov Acct 410.1</t>
  </si>
  <si>
    <t>FIT Acct 411.1 &amp; ITC</t>
  </si>
  <si>
    <t>Total FIT Adj</t>
  </si>
  <si>
    <t>SIT Tax Calculation</t>
  </si>
  <si>
    <t>SIT prov Acct 410.1</t>
  </si>
  <si>
    <t>SIT Acct 411.1 &amp; ITC</t>
  </si>
  <si>
    <t>SIT Adj - Current</t>
  </si>
  <si>
    <t>Total SIT Adj</t>
  </si>
  <si>
    <t>State Inc Tax</t>
  </si>
  <si>
    <t>Deficiency @ROR</t>
  </si>
  <si>
    <t>Incr Uncollectible Exp/Ucoll</t>
  </si>
  <si>
    <t>CWIP</t>
  </si>
  <si>
    <t>Other Additive Adjustments</t>
  </si>
  <si>
    <t>prepayment</t>
  </si>
  <si>
    <t>Subtractive</t>
  </si>
  <si>
    <t>Additive</t>
  </si>
  <si>
    <t>SUM WORKING CAPITAL</t>
  </si>
  <si>
    <t>Misc taxes &amp; Exp.</t>
  </si>
  <si>
    <t>Fed Inc Tax Allowable</t>
  </si>
  <si>
    <t>BODY_BLANK</t>
  </si>
  <si>
    <t>BODY_DS</t>
  </si>
  <si>
    <t>BODY_DSDT</t>
  </si>
  <si>
    <t>BODY_LT</t>
  </si>
  <si>
    <t>BODY_Other</t>
  </si>
  <si>
    <t>BODY_PDDT</t>
  </si>
  <si>
    <t>BODY_RS</t>
  </si>
  <si>
    <t>CAPITAL</t>
  </si>
  <si>
    <t>CLASS_BODY</t>
  </si>
  <si>
    <t>coss_summary</t>
  </si>
  <si>
    <t>DEPRESERVE</t>
  </si>
  <si>
    <t>DEPREXPENSE</t>
  </si>
  <si>
    <t>DL</t>
  </si>
  <si>
    <t>ds</t>
  </si>
  <si>
    <t>dsDT</t>
  </si>
  <si>
    <t>GROSSPLANT</t>
  </si>
  <si>
    <t>INCOMETAX</t>
  </si>
  <si>
    <t>INCTAXREV</t>
  </si>
  <si>
    <t>LT</t>
  </si>
  <si>
    <t>O_M</t>
  </si>
  <si>
    <t>O_MEXPENSE</t>
  </si>
  <si>
    <t>other</t>
  </si>
  <si>
    <t>OTHERREVENUE</t>
  </si>
  <si>
    <t>OTHERTAX</t>
  </si>
  <si>
    <t>PD</t>
  </si>
  <si>
    <t>PDDT</t>
  </si>
  <si>
    <t>propertytax</t>
  </si>
  <si>
    <t>RATEBASEADJ</t>
  </si>
  <si>
    <t>RATEOFRETURN</t>
  </si>
  <si>
    <t>RS</t>
  </si>
  <si>
    <t>rs_body</t>
  </si>
  <si>
    <t>SE_FLAP</t>
  </si>
  <si>
    <t>=#REF!$A$1:$B$62</t>
  </si>
  <si>
    <t>SUMMARY</t>
  </si>
  <si>
    <t>TABLE</t>
  </si>
  <si>
    <t>table2</t>
  </si>
  <si>
    <t>totcapstructure</t>
  </si>
  <si>
    <t>TOTCO</t>
  </si>
  <si>
    <t>TOTELEC</t>
  </si>
  <si>
    <t>TRANS</t>
  </si>
  <si>
    <t>TS</t>
  </si>
  <si>
    <t>WEIGHTEDRATIOS</t>
  </si>
  <si>
    <t>xs_tax</t>
  </si>
  <si>
    <t>COMPUTATION OF THE RATE INCREASE AMOUNT BY RATE CLASS</t>
  </si>
  <si>
    <t>Gross</t>
  </si>
  <si>
    <t>Present</t>
  </si>
  <si>
    <t>Revenues</t>
  </si>
  <si>
    <t>Reduction</t>
  </si>
  <si>
    <t>Proposed</t>
  </si>
  <si>
    <t>ROR</t>
  </si>
  <si>
    <t>Net Operating</t>
  </si>
  <si>
    <t>At Average</t>
  </si>
  <si>
    <t>Subsidy ()</t>
  </si>
  <si>
    <t>In Subsidy ()</t>
  </si>
  <si>
    <t>Rate</t>
  </si>
  <si>
    <t>Percent</t>
  </si>
  <si>
    <t>At Proposed</t>
  </si>
  <si>
    <t>Less</t>
  </si>
  <si>
    <t>Line</t>
  </si>
  <si>
    <t>Income</t>
  </si>
  <si>
    <t>Excess</t>
  </si>
  <si>
    <t>Increase</t>
  </si>
  <si>
    <t>Rates</t>
  </si>
  <si>
    <t>Subsidy/Excess</t>
  </si>
  <si>
    <t>No.</t>
  </si>
  <si>
    <t>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</si>
  <si>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</si>
  <si>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</si>
  <si>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</si>
  <si>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</si>
  <si>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</si>
  <si>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</si>
  <si>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</si>
  <si>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</si>
  <si>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</si>
  <si>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</si>
  <si>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</si>
  <si>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</si>
  <si>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(C) / (A)</t>
  </si>
  <si>
    <t>(B) - (G) + (H)</t>
  </si>
  <si>
    <t>Rate RS</t>
  </si>
  <si>
    <t>Lighting</t>
  </si>
  <si>
    <t xml:space="preserve">     Total</t>
  </si>
  <si>
    <t>header_name</t>
  </si>
  <si>
    <t>case_name</t>
  </si>
  <si>
    <t>time_period</t>
  </si>
  <si>
    <t>Go to buttons</t>
  </si>
  <si>
    <t>Print buttons</t>
  </si>
  <si>
    <t>K205</t>
  </si>
  <si>
    <t>DS</t>
  </si>
  <si>
    <t>EH</t>
  </si>
  <si>
    <t>GSFL</t>
  </si>
  <si>
    <t>DP</t>
  </si>
  <si>
    <t>PRESENT NOI</t>
  </si>
  <si>
    <t>SUBSIDY EXCESS</t>
  </si>
  <si>
    <t>REDUCTION IN SUBSIDY EXCESS</t>
  </si>
  <si>
    <t>RATE INCREASE</t>
  </si>
  <si>
    <t>TAX COMPLEMENT</t>
  </si>
  <si>
    <t>COSS w/summary</t>
  </si>
  <si>
    <t>COSS with summary &amp; Alloc</t>
  </si>
  <si>
    <t>SP</t>
  </si>
  <si>
    <t>SCHEDULE: 13a</t>
  </si>
  <si>
    <t>SCHEDULE: 13b</t>
  </si>
  <si>
    <t>SEC. DISTR.</t>
  </si>
  <si>
    <t>PRI. DISTR.</t>
  </si>
  <si>
    <t>TT</t>
  </si>
  <si>
    <t>CUSTOMER ACCOUNTING EXPENSE</t>
  </si>
  <si>
    <t xml:space="preserve">  BASE FOR FIT COMPUTATION</t>
  </si>
  <si>
    <t xml:space="preserve">  OTHER SIT ADJUSTMENTS</t>
  </si>
  <si>
    <t>CONTRIBUTION IN AID OF CONSTRUCTION</t>
  </si>
  <si>
    <t xml:space="preserve">  TOTAL CUSTOMER SERV &amp; INFORMATION</t>
  </si>
  <si>
    <t>PSC MAINTENANCE ON INCREASE</t>
  </si>
  <si>
    <t>=coss!$A$47:$X$791</t>
  </si>
  <si>
    <t>Allocator_A1</t>
  </si>
  <si>
    <t>=orig_alloc!$B$1</t>
  </si>
  <si>
    <t>allocator_body</t>
  </si>
  <si>
    <t>=orig_alloc!$B$12:$Y$166</t>
  </si>
  <si>
    <t>Allocators</t>
  </si>
  <si>
    <t>=coss!$U$51:$U$789</t>
  </si>
  <si>
    <t>=coss!$D$683:$E$704</t>
  </si>
  <si>
    <t>=macro!$B$3</t>
  </si>
  <si>
    <t>=coss!$A$10:$X$792</t>
  </si>
  <si>
    <t>COSS_A1</t>
  </si>
  <si>
    <t>=coss!$A$1</t>
  </si>
  <si>
    <t>=coss!$D$12:$X$46</t>
  </si>
  <si>
    <t>deprecExp</t>
  </si>
  <si>
    <t>=coss!$D$417</t>
  </si>
  <si>
    <t>depreciation</t>
  </si>
  <si>
    <t>=coss!$D$99</t>
  </si>
  <si>
    <t>=coss!$A$99:$X$198</t>
  </si>
  <si>
    <t>=coss!$A$417:$X$444</t>
  </si>
  <si>
    <t>=coss!$F$51:$F$789</t>
  </si>
  <si>
    <t>=coss!$M$51:$M$789</t>
  </si>
  <si>
    <t>fit</t>
  </si>
  <si>
    <t>=coss!$D$475</t>
  </si>
  <si>
    <t>gross_plant</t>
  </si>
  <si>
    <t>=coss!$D$49</t>
  </si>
  <si>
    <t>=coss!$A$98:$X$791</t>
  </si>
  <si>
    <t>=macro!$B$2</t>
  </si>
  <si>
    <t>=coss!$A$475:$X$637</t>
  </si>
  <si>
    <t>=coss!$A$735:$X$789</t>
  </si>
  <si>
    <t>=coss!$T$51:$T$789</t>
  </si>
  <si>
    <t>Netplant</t>
  </si>
  <si>
    <t>=coss!$D$149</t>
  </si>
  <si>
    <t>=coss!$A$415</t>
  </si>
  <si>
    <t>=coss!$A$328:$X$416</t>
  </si>
  <si>
    <t>OandM</t>
  </si>
  <si>
    <t>=coss!$D$328</t>
  </si>
  <si>
    <t>=coss!$V$51:$V$789</t>
  </si>
  <si>
    <t>otherRev</t>
  </si>
  <si>
    <t>=coss!$D$638</t>
  </si>
  <si>
    <t>=coss!$A$638:$X$679</t>
  </si>
  <si>
    <t>=coss!$A$445:$X$474</t>
  </si>
  <si>
    <t>otherTaxes</t>
  </si>
  <si>
    <t>=coss!$D$445</t>
  </si>
  <si>
    <t>=coss!$K$51:$K$789</t>
  </si>
  <si>
    <t>=coss!$P$51:$P$789</t>
  </si>
  <si>
    <t>print_home</t>
  </si>
  <si>
    <t>=macro!$A$1</t>
  </si>
  <si>
    <t>=coss!$D$447:$X$450</t>
  </si>
  <si>
    <t>ratebase</t>
  </si>
  <si>
    <t>=coss!$D$323</t>
  </si>
  <si>
    <t>=coss!$A$233:$X$327</t>
  </si>
  <si>
    <t>=coss!$A$680:$X$711</t>
  </si>
  <si>
    <t>rb_additive</t>
  </si>
  <si>
    <t>=coss!$D$264</t>
  </si>
  <si>
    <t>RB_Subtractive</t>
  </si>
  <si>
    <t>=coss!$D$233</t>
  </si>
  <si>
    <t>revenue</t>
  </si>
  <si>
    <t>=coss!$D$713</t>
  </si>
  <si>
    <t>=coss!$E$51:$E$789</t>
  </si>
  <si>
    <t>sit</t>
  </si>
  <si>
    <t>=coss!$D$565</t>
  </si>
  <si>
    <t>=coss!$A$790:$X$791</t>
  </si>
  <si>
    <t>summary_body</t>
  </si>
  <si>
    <t>=coss!$D$9:$X$46</t>
  </si>
  <si>
    <t>=orig_alloc!$D$1:$Y$66</t>
  </si>
  <si>
    <t>=orig_alloc!$D$69:$Y$168</t>
  </si>
  <si>
    <t>taxrates</t>
  </si>
  <si>
    <t>=coss!$D$706</t>
  </si>
  <si>
    <t>=macro!$B$4</t>
  </si>
  <si>
    <t>=coss!$D$51:$D$789</t>
  </si>
  <si>
    <t>=coss!$W$51:$W$789</t>
  </si>
  <si>
    <t>=coss!$R$51:$R$789</t>
  </si>
  <si>
    <t>=coss!$A$51:$X$704</t>
  </si>
  <si>
    <t>workingcapital</t>
  </si>
  <si>
    <t>=coss!$D$295</t>
  </si>
  <si>
    <t>=coss!$D$673:$X$678</t>
  </si>
  <si>
    <t>=coss!$U$6:$U$789</t>
  </si>
  <si>
    <t>BODY_DP</t>
  </si>
  <si>
    <t>=coss!$K$6:$K$789</t>
  </si>
  <si>
    <t>BODY_DP_RTPincr</t>
  </si>
  <si>
    <t>=coss!$L$6:$L$789</t>
  </si>
  <si>
    <t>=coss!$F$6:$F$789</t>
  </si>
  <si>
    <t>BODY_DS_RTPincr</t>
  </si>
  <si>
    <t>=coss!$G$6:$G$789</t>
  </si>
  <si>
    <t>=coss!$M$6:$M$789</t>
  </si>
  <si>
    <t>BODY_DSDT_RTPincr</t>
  </si>
  <si>
    <t>=coss!$O$6:$O$789</t>
  </si>
  <si>
    <t>=coss!$T$6:$T$789</t>
  </si>
  <si>
    <t>=coss!$P$6:$P$789</t>
  </si>
  <si>
    <t>BODY_PDDT_RTP_incr</t>
  </si>
  <si>
    <t>=coss!$Q$6:$Q$789</t>
  </si>
  <si>
    <t>=coss!$E$6:$E$789</t>
  </si>
  <si>
    <t>BODY_TT</t>
  </si>
  <si>
    <t>=coss!$R$6:$R$789</t>
  </si>
  <si>
    <t>BODY_TT_RTPincr</t>
  </si>
  <si>
    <t>=coss!$S$6:$S$789</t>
  </si>
  <si>
    <t>BODY_eh</t>
  </si>
  <si>
    <t>=coss!$J$6:$J$789</t>
  </si>
  <si>
    <t>BODY_GSFL</t>
  </si>
  <si>
    <t>BODY_sp</t>
  </si>
  <si>
    <t>=coss!$N$6:$N$789</t>
  </si>
  <si>
    <t>=coss!$I$6:$I$789</t>
  </si>
  <si>
    <t>=coss!$H$6:$H$789</t>
  </si>
  <si>
    <t>INCR.</t>
  </si>
  <si>
    <t>INCR. TRANS</t>
  </si>
  <si>
    <t>AT</t>
  </si>
  <si>
    <t>ISSUE</t>
  </si>
  <si>
    <t>DS_RTP</t>
  </si>
  <si>
    <t>DT_PRI</t>
  </si>
  <si>
    <t>DP_RTP</t>
  </si>
  <si>
    <t>TT_RTP</t>
  </si>
  <si>
    <t>DT_SEC</t>
  </si>
  <si>
    <t>DT_SEC_RTP</t>
  </si>
  <si>
    <t>Schedule 12</t>
  </si>
  <si>
    <t>SCHEDULE: 13c</t>
  </si>
  <si>
    <t>PRODUCTION</t>
  </si>
  <si>
    <t>L501</t>
  </si>
  <si>
    <t>ULH&amp;P Payroll</t>
  </si>
  <si>
    <t>V232</t>
  </si>
  <si>
    <t>V230</t>
  </si>
  <si>
    <t>MATERIALS &amp; SUPPLIES</t>
  </si>
  <si>
    <t>FUEL</t>
  </si>
  <si>
    <t xml:space="preserve">  TOTAL PLANT  MATERIALS &amp; SUPPLIES</t>
  </si>
  <si>
    <t>W640</t>
  </si>
  <si>
    <t>W642</t>
  </si>
  <si>
    <t>W644</t>
  </si>
  <si>
    <t>W648</t>
  </si>
  <si>
    <t>W650</t>
  </si>
  <si>
    <t xml:space="preserve">  TOTAL FUEL STOCKS</t>
  </si>
  <si>
    <t>TOTAL  MATERIALS &amp; SUPPLIES</t>
  </si>
  <si>
    <t>date</t>
  </si>
  <si>
    <t>Add Date to Class File</t>
  </si>
  <si>
    <t>Rate EH</t>
  </si>
  <si>
    <t>Rate GS-FL</t>
  </si>
  <si>
    <t>Rate SP</t>
  </si>
  <si>
    <t>Schedule 9a</t>
  </si>
  <si>
    <t>Schedule 9b</t>
  </si>
  <si>
    <t>Schedule 9c</t>
  </si>
  <si>
    <t>Rate DS-RTP</t>
  </si>
  <si>
    <t>Rate DT RTP-Primary</t>
  </si>
  <si>
    <t>Rate TT</t>
  </si>
  <si>
    <t>Rate TT-RTP</t>
  </si>
  <si>
    <t>Rate DP</t>
  </si>
  <si>
    <t>Rate DP-RTP</t>
  </si>
  <si>
    <t>Blank</t>
  </si>
  <si>
    <t>VERSION</t>
  </si>
  <si>
    <t>Tax Complement</t>
  </si>
  <si>
    <t>Rate DT - Secondary</t>
  </si>
  <si>
    <t>Rate DT-Primary</t>
  </si>
  <si>
    <t>Rate DS</t>
  </si>
  <si>
    <t>calc</t>
  </si>
  <si>
    <t>input from before subsidy excess run</t>
  </si>
  <si>
    <t>GROSS PRESENT REV AT AVERAGE ROR</t>
  </si>
  <si>
    <t xml:space="preserve">OTHER </t>
  </si>
  <si>
    <t>DISTRIBUTION LINE - WTD. DIVERSIFIED CLASS</t>
  </si>
  <si>
    <t>Acct 283-4</t>
  </si>
  <si>
    <t>Other Rate Base Adjustments</t>
  </si>
  <si>
    <t>PROPERTY TAX CAPITALIZED</t>
  </si>
  <si>
    <t xml:space="preserve"> ACCUM DEF INC TAXES (283/284)</t>
  </si>
  <si>
    <t>DEFERRED PROJECT COSTS</t>
  </si>
  <si>
    <t xml:space="preserve">  TOTAL ACCOUNT 283/284</t>
  </si>
  <si>
    <t>linked</t>
  </si>
  <si>
    <t>D318</t>
  </si>
  <si>
    <t>OTHER OPERATIONS</t>
  </si>
  <si>
    <t>OTHER MAINTENANCE</t>
  </si>
  <si>
    <t>D320</t>
  </si>
  <si>
    <t>C308</t>
  </si>
  <si>
    <t>SALES EXPENSE PROFORMA</t>
  </si>
  <si>
    <t>PUMPING</t>
  </si>
  <si>
    <t>WATER</t>
  </si>
  <si>
    <t>CAPITALIZATION ALLOC TO ELECTRIC OPER</t>
  </si>
  <si>
    <t>ECAP</t>
  </si>
  <si>
    <t>AFUDC OFFSET</t>
  </si>
  <si>
    <t>Z935</t>
  </si>
  <si>
    <t>Schedule 4a</t>
  </si>
  <si>
    <t>Schedule 5a</t>
  </si>
  <si>
    <r>
      <t xml:space="preserve">NOTE:  - MUST PUT </t>
    </r>
    <r>
      <rPr>
        <b/>
        <sz val="12"/>
        <color indexed="10"/>
        <rFont val="Arial"/>
        <family val="2"/>
      </rPr>
      <t xml:space="preserve">SUBSIDY EXCESS </t>
    </r>
    <r>
      <rPr>
        <b/>
        <sz val="12"/>
        <rFont val="Arial"/>
        <family val="2"/>
      </rPr>
      <t xml:space="preserve">OR </t>
    </r>
    <r>
      <rPr>
        <b/>
        <sz val="12"/>
        <color indexed="10"/>
        <rFont val="Arial"/>
        <family val="2"/>
      </rPr>
      <t>PRIOR TO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SUBSIDY EXCESS</t>
    </r>
    <r>
      <rPr>
        <b/>
        <sz val="12"/>
        <rFont val="Arial"/>
        <family val="2"/>
      </rPr>
      <t xml:space="preserve"> ON COSS COLUMN F ROW 2 FOR SUBSIDY EXCESS CALCULATION TO WORK PROPERLY.  Controls Rate of Return Row 338 &amp; proposed rev row 724.</t>
    </r>
  </si>
  <si>
    <t>TWELVE MONTHS ENDING DECEMBER 31, 2007</t>
  </si>
  <si>
    <t>LINKS ON ORIG_ALLOC PAGE TO ALLOCATOR FILE.</t>
  </si>
  <si>
    <t>LINKS ON SFR TIE PAGE</t>
  </si>
  <si>
    <t>DUKE ENERGY KENTUCKY</t>
  </si>
  <si>
    <t>K217</t>
  </si>
  <si>
    <t>WEIGHTED CUSTOMER SERVICE</t>
  </si>
  <si>
    <t>CW29</t>
  </si>
  <si>
    <t>WTD CWIP</t>
  </si>
  <si>
    <t>PRELIMINARY TAX ABLE INCOME (INCL AFUDC)</t>
  </si>
  <si>
    <t>PRELIMINARY TAXABLE INCOME (INCL AFUDC)</t>
  </si>
  <si>
    <t xml:space="preserve">  OVERALL RETURN EARNED-SCH 12</t>
  </si>
  <si>
    <t xml:space="preserve">  RATE OF RETURN EARNED-SCH 12</t>
  </si>
  <si>
    <t>RETURN ON CAPITALIZATION</t>
  </si>
  <si>
    <t>LESS: OTHER ITEMS</t>
  </si>
  <si>
    <t>C2.1</t>
  </si>
  <si>
    <t>COMPLETED  CONSTRUCTION NOT CLASSIFIED</t>
  </si>
  <si>
    <t>DEFERRED INCOME TAXES</t>
  </si>
  <si>
    <t>PURCHASED POWER - INTERCOMPANY</t>
  </si>
  <si>
    <t>INFORMATIONAL &amp; INSTRUCTIONAL ADV</t>
  </si>
  <si>
    <t>EMISSION ALLOWANCES</t>
  </si>
  <si>
    <t>MISO TRANSMISSION  CHARGES ACCT IN 555</t>
  </si>
  <si>
    <t>OTHER PRODUCTION EXPENSE - OPERATIONS</t>
  </si>
  <si>
    <t>OTHER PRODUCTION EXPENSE - MAINTENANCE</t>
  </si>
  <si>
    <t>LINK ON VERSION</t>
  </si>
  <si>
    <t>Capitalization</t>
  </si>
  <si>
    <t>MISCELLANEOUS ADJUSTMENTS</t>
  </si>
  <si>
    <t>MISCELLANEOUS EXPENSE ADJUSTMENT</t>
  </si>
  <si>
    <t>ELIMINATE MISCELLANEOUS EXPENSES</t>
  </si>
  <si>
    <t>ELIMINATE INCENTIVE COMPENSATION</t>
  </si>
  <si>
    <t>AMORTIZATION OF  DEFERRED EXPENSES</t>
  </si>
  <si>
    <t>Emission Allowances</t>
  </si>
  <si>
    <t>COAL, SYNFUEL AND  MARGIN DEPOSITS</t>
  </si>
  <si>
    <t>FUEL INVENTORIES</t>
  </si>
  <si>
    <t>ELIMINATE NON-NATIVE SALES</t>
  </si>
  <si>
    <t xml:space="preserve">PURCHASED INTER-COMPANY </t>
  </si>
  <si>
    <t>ELIMINATE UNBILLED REVENUE</t>
  </si>
  <si>
    <t>AFFILIATED COMPANY RENTS</t>
  </si>
  <si>
    <t>ADJUST UNCOLLECTIBLE ACCOUNTS</t>
  </si>
  <si>
    <t>ELIMINATE MISCELLANEOUS</t>
  </si>
  <si>
    <t>ELIMINATE EMISSION ALLOW &amp; OTHER VAR COST</t>
  </si>
  <si>
    <t>P312</t>
  </si>
  <si>
    <t>SALES FOR RESALE</t>
  </si>
  <si>
    <t>UNBILLED REVENUE</t>
  </si>
  <si>
    <t>Q014</t>
  </si>
  <si>
    <t>Q022</t>
  </si>
  <si>
    <t>Q024</t>
  </si>
  <si>
    <t>ELIMINATE DSM REVENUES</t>
  </si>
  <si>
    <t>Q026</t>
  </si>
  <si>
    <t>Q028</t>
  </si>
  <si>
    <t>Q030</t>
  </si>
  <si>
    <t>Q035</t>
  </si>
  <si>
    <t>OTHER PERMANENT DIFFERENCES</t>
  </si>
  <si>
    <t xml:space="preserve"> OTHER</t>
  </si>
  <si>
    <t xml:space="preserve">    PROFORMA ADJUSTMENT</t>
  </si>
  <si>
    <t xml:space="preserve">   PROFORMA ADJUSTMENT</t>
  </si>
  <si>
    <t>OTHER DEDUCTIONS TO COST OF SERVICE</t>
  </si>
  <si>
    <t xml:space="preserve">MISCELLANEOUS </t>
  </si>
  <si>
    <t>ANNUALIZE DEPRECIATION</t>
  </si>
  <si>
    <t>RECLASSIFY NON-JURIS INCOME TAX</t>
  </si>
  <si>
    <t>BONUS DEPRECIATION</t>
  </si>
  <si>
    <t>NET DEFERRED TAXES</t>
  </si>
  <si>
    <t>NON-JURISDICTIONAL TAX</t>
  </si>
  <si>
    <t xml:space="preserve">AMORTIZE ITC </t>
  </si>
  <si>
    <t>ELIMINATE  NON-NATIVE SALES</t>
  </si>
  <si>
    <t>LOSS ON SALE OF A/R &amp; INCRE A/R ON INCREASE</t>
  </si>
  <si>
    <t>ANNUALIZE YEAR  EXPENSE</t>
  </si>
  <si>
    <t>MISCELLANEOUS PROFORMA ADJUSTMENT</t>
  </si>
  <si>
    <t xml:space="preserve">  TOTAL ELECTRIC COST OF SERVICE</t>
  </si>
  <si>
    <t>AMORTIZATION OF GAIN ON ADR PROPERTY</t>
  </si>
  <si>
    <t xml:space="preserve">  GENERAL &amp; INTANGIBLE PLANT IN SERVICE</t>
  </si>
  <si>
    <t xml:space="preserve">  COMMON &amp; OTHER PLANT IN SERVICE</t>
  </si>
  <si>
    <t>RATE OF RETURN EARNED ON CAPITALIZATION</t>
  </si>
  <si>
    <t>OTHERS</t>
  </si>
  <si>
    <t>GROSS DISTR PLANT N0T INCL. ACCT 106</t>
  </si>
  <si>
    <t>GROSS DISTR RESEV. NOT INCL. ACCT 106</t>
  </si>
  <si>
    <t>NET DIST.PLT LESS ACCT 106</t>
  </si>
  <si>
    <t>SPECIAL ALLOCATOR INFO FOR K209</t>
  </si>
  <si>
    <t>K211</t>
  </si>
  <si>
    <t>GROSS DISTRIBUTION PLANT EXCL. CCNC</t>
  </si>
  <si>
    <t>NETWORK SERVICE RATES ADJUSTMENT</t>
  </si>
  <si>
    <t>WPB-6</t>
  </si>
  <si>
    <t>METER CAPITAL LEASE PRINCIPLE PAYMENTS</t>
  </si>
  <si>
    <t xml:space="preserve">  TOTAL OP EXP EXC IT &amp; OTHER TAX</t>
  </si>
  <si>
    <t xml:space="preserve">KY STATE TAX ADJ </t>
  </si>
  <si>
    <t>ELECTRIC CASE NO: 2006-00172</t>
  </si>
  <si>
    <t>WTD NET DIST LINES - PRI/SEC RATIOS</t>
  </si>
  <si>
    <t>WTD NET DIST LINES  - PRI/SEC RATIOS</t>
  </si>
  <si>
    <t>DEPRECIATION EXPENSE ADJUSTMENT</t>
  </si>
  <si>
    <t>hide</t>
  </si>
  <si>
    <t>1. Functionalized General &amp; Common Plant &amp; Depr on Payroll.</t>
  </si>
  <si>
    <t>Sate Inc Allow</t>
  </si>
  <si>
    <t>TRANSFORMER LEASE PAYMENTS</t>
  </si>
  <si>
    <t>DT_PRI_RTP</t>
  </si>
  <si>
    <t>RECONNECTION CHARGES</t>
  </si>
  <si>
    <t>INTERRUPTIBLE CREDIT</t>
  </si>
  <si>
    <t>Other Operating Revenue</t>
  </si>
  <si>
    <t>Revenue</t>
  </si>
  <si>
    <t>Long Term Debt</t>
  </si>
  <si>
    <t>Preferred Stock</t>
  </si>
  <si>
    <t>Common Stock</t>
  </si>
  <si>
    <t>Short Term Debt</t>
  </si>
  <si>
    <t>Unamortized Discount</t>
  </si>
  <si>
    <t xml:space="preserve">  Total</t>
  </si>
  <si>
    <t xml:space="preserve"> Cost Of Capital</t>
  </si>
  <si>
    <t xml:space="preserve"> Capitalization Amounts</t>
  </si>
  <si>
    <t>IMPLEMENT AUTOMATED METER READING</t>
  </si>
  <si>
    <t>MiSCELLANEOUS</t>
  </si>
  <si>
    <t>OTHER MISCELLANEOUS REVENUES</t>
  </si>
  <si>
    <t>BAD CHECK CHARGE</t>
  </si>
  <si>
    <t>Incremental tax</t>
  </si>
  <si>
    <t>Rate DT RTP-Sec.</t>
  </si>
  <si>
    <t>NET INCOME EXCLUDING AFUDC OFFSET</t>
  </si>
  <si>
    <t>ELECTRIC CASE NO:  2006-00172</t>
  </si>
  <si>
    <t>K302</t>
  </si>
  <si>
    <t>KWH SALES LESS RTP</t>
  </si>
  <si>
    <t xml:space="preserve"> AMORTIZED INV TAX CREDIT</t>
  </si>
  <si>
    <t xml:space="preserve">  TOTAL AMORTIZED ITC</t>
  </si>
  <si>
    <t>TOTAL AMORTIZED ITC</t>
  </si>
  <si>
    <t>TOTAL OP EXP EXC IT &amp; OTHER DEDUCTIONS</t>
  </si>
  <si>
    <t>CUSTOMER SERVICE &amp; INFORM PROFORMA</t>
  </si>
  <si>
    <t>AMI</t>
  </si>
  <si>
    <t>BILLING CYCLE IMPROVEMENT</t>
  </si>
  <si>
    <t>fuel = 85,741,670</t>
  </si>
  <si>
    <t xml:space="preserve">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</si>
</sst>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00_);\(#,##0.00000\)"/>
    <numFmt numFmtId="167" formatCode="#,##0.000000000_);\(#,##0.000000000\)"/>
    <numFmt numFmtId="168" formatCode="#,##0.0000000_);\(#,##0.0000000\)"/>
    <numFmt numFmtId="169" formatCode="#,##0.0000_);\(#,##0.0000\)"/>
    <numFmt numFmtId="170" formatCode="#,##0.000000_);\(#,##0.000000\)"/>
    <numFmt numFmtId="171" formatCode="#,##0.0_);\(#,##0.0\)"/>
    <numFmt numFmtId="172" formatCode="0.0000%"/>
    <numFmt numFmtId="173" formatCode="_(* #,##0.0_);_(* \(#,##0.0\);_(* &quot;-&quot;??_);_(@_)"/>
    <numFmt numFmtId="174" formatCode="_(* #,##0_);_(* \(#,##0\);_(* &quot;-&quot;??_);_(@_)"/>
    <numFmt numFmtId="175" formatCode="#,##0.00000000_);\(#,##0.00000000\)"/>
    <numFmt numFmtId="176" formatCode="#,##0.000_);\(#,##0.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_);_(* \(#,##0.0000000000\);_(* &quot;-&quot;????????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#,##0.0000000000_);\(#,##0.0000000000\)"/>
    <numFmt numFmtId="199" formatCode="#,##0.00000000000_);\(#,##0.00000000000\)"/>
    <numFmt numFmtId="200" formatCode="#,##0.000000000000_);\(#,##0.000000000000\)"/>
    <numFmt numFmtId="201" formatCode="0.00000%"/>
    <numFmt numFmtId="202" formatCode="0.000%"/>
    <numFmt numFmtId="203" formatCode="0.0%"/>
    <numFmt numFmtId="204" formatCode="m/d/yy\ h:mm\ AM/PM"/>
    <numFmt numFmtId="205" formatCode="0.00000000000"/>
    <numFmt numFmtId="206" formatCode="0.000000%"/>
    <numFmt numFmtId="207" formatCode="0.00000_)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000000000%"/>
    <numFmt numFmtId="216" formatCode="[$-409]dddd\,\ mmmm\ dd\,\ yyyy"/>
    <numFmt numFmtId="217" formatCode="[$-409]m/d/yy\ h:mm\ AM/PM;@"/>
    <numFmt numFmtId="218" formatCode="#,##0.0000000000000_);\(#,##0.0000000000000\)"/>
    <numFmt numFmtId="219" formatCode="#,##0.00000000000000_);\(#,##0.00000000000000\)"/>
    <numFmt numFmtId="220" formatCode="#,##0.000000000000000_);\(#,##0.000000000000000\)"/>
    <numFmt numFmtId="221" formatCode="#,##0.0000000000000000_);\(#,##0.0000000000000000\)"/>
    <numFmt numFmtId="222" formatCode="#,##0.00000000000000000_);\(#,##0.00000000000000000\)"/>
    <numFmt numFmtId="223" formatCode="#,##0.000000000000000000_);\(#,##0.000000000000000000\)"/>
    <numFmt numFmtId="224" formatCode="#,##0.0000000000000000000_);\(#,##0.0000000000000000000\)"/>
  </numFmts>
  <fonts count="6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 New"/>
      <family val="3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2"/>
      <color indexed="11"/>
      <name val="Arial MT"/>
      <family val="0"/>
    </font>
    <font>
      <b/>
      <sz val="12"/>
      <color indexed="11"/>
      <name val="Arial MT"/>
      <family val="0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name val="Arial MT"/>
      <family val="0"/>
    </font>
    <font>
      <sz val="12"/>
      <color indexed="53"/>
      <name val="Arial"/>
      <family val="2"/>
    </font>
    <font>
      <b/>
      <sz val="14"/>
      <color indexed="12"/>
      <name val="Arial"/>
      <family val="2"/>
    </font>
    <font>
      <sz val="14"/>
      <color indexed="57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Arial MT"/>
      <family val="0"/>
    </font>
    <font>
      <sz val="8"/>
      <name val="Arial MT"/>
      <family val="0"/>
    </font>
    <font>
      <sz val="14"/>
      <name val="Arial MT"/>
      <family val="0"/>
    </font>
    <font>
      <sz val="14"/>
      <color indexed="62"/>
      <name val="Arial"/>
      <family val="2"/>
    </font>
    <font>
      <sz val="16"/>
      <color indexed="11"/>
      <name val="Arial"/>
      <family val="2"/>
    </font>
    <font>
      <sz val="16"/>
      <color indexed="14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8"/>
      <name val="Arial"/>
      <family val="2"/>
    </font>
    <font>
      <sz val="16"/>
      <color indexed="8"/>
      <name val="Courier"/>
      <family val="3"/>
    </font>
    <font>
      <sz val="16"/>
      <color indexed="59"/>
      <name val="Arial"/>
      <family val="2"/>
    </font>
    <font>
      <sz val="16"/>
      <color indexed="17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u val="double"/>
      <sz val="12"/>
      <name val="Arial MT"/>
      <family val="0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1"/>
      <name val="Arial MT"/>
      <family val="0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3"/>
      <name val="Arial MT"/>
      <family val="0"/>
    </font>
    <font>
      <sz val="12"/>
      <color indexed="13"/>
      <name val="Arial MT"/>
      <family val="0"/>
    </font>
    <font>
      <b/>
      <i/>
      <sz val="12"/>
      <color indexed="10"/>
      <name val="Arial MT"/>
      <family val="0"/>
    </font>
    <font>
      <b/>
      <sz val="12"/>
      <color indexed="56"/>
      <name val="Arial"/>
      <family val="2"/>
    </font>
    <font>
      <u val="single"/>
      <sz val="12"/>
      <name val="Arial MT"/>
      <family val="0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MT"/>
      <family val="0"/>
    </font>
    <font>
      <sz val="16"/>
      <color indexed="48"/>
      <name val="Arial"/>
      <family val="2"/>
    </font>
    <font>
      <b/>
      <sz val="8"/>
      <name val="Arial MT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 quotePrefix="1">
      <alignment/>
      <protection locked="0"/>
    </xf>
    <xf numFmtId="0" fontId="10" fillId="0" borderId="0" xfId="0" applyFont="1" applyAlignment="1" applyProtection="1">
      <alignment horizontal="center"/>
      <protection/>
    </xf>
    <xf numFmtId="174" fontId="6" fillId="0" borderId="0" xfId="15" applyNumberFormat="1" applyFont="1" applyAlignment="1">
      <alignment/>
    </xf>
    <xf numFmtId="174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 horizontal="center"/>
      <protection/>
    </xf>
    <xf numFmtId="10" fontId="21" fillId="0" borderId="0" xfId="0" applyNumberFormat="1" applyFont="1" applyAlignment="1" applyProtection="1">
      <alignment/>
      <protection/>
    </xf>
    <xf numFmtId="184" fontId="21" fillId="0" borderId="0" xfId="0" applyNumberFormat="1" applyFont="1" applyAlignment="1">
      <alignment/>
    </xf>
    <xf numFmtId="174" fontId="21" fillId="0" borderId="0" xfId="15" applyNumberFormat="1" applyFont="1" applyAlignment="1">
      <alignment/>
    </xf>
    <xf numFmtId="0" fontId="26" fillId="0" borderId="0" xfId="0" applyFont="1" applyAlignment="1">
      <alignment/>
    </xf>
    <xf numFmtId="0" fontId="10" fillId="0" borderId="3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37" fontId="8" fillId="0" borderId="0" xfId="0" applyNumberFormat="1" applyFont="1" applyFill="1" applyAlignment="1" applyProtection="1" quotePrefix="1">
      <alignment/>
      <protection locked="0"/>
    </xf>
    <xf numFmtId="0" fontId="34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21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30" fillId="0" borderId="1" xfId="0" applyFont="1" applyBorder="1" applyAlignment="1" applyProtection="1">
      <alignment/>
      <protection/>
    </xf>
    <xf numFmtId="37" fontId="30" fillId="0" borderId="0" xfId="0" applyNumberFormat="1" applyFont="1" applyAlignment="1" applyProtection="1">
      <alignment horizontal="left"/>
      <protection/>
    </xf>
    <xf numFmtId="0" fontId="30" fillId="0" borderId="1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/>
    </xf>
    <xf numFmtId="37" fontId="30" fillId="0" borderId="3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37" fontId="23" fillId="0" borderId="0" xfId="0" applyNumberFormat="1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 horizontal="center"/>
      <protection/>
    </xf>
    <xf numFmtId="0" fontId="35" fillId="0" borderId="1" xfId="0" applyFont="1" applyBorder="1" applyAlignment="1" applyProtection="1">
      <alignment/>
      <protection/>
    </xf>
    <xf numFmtId="37" fontId="0" fillId="0" borderId="0" xfId="0" applyNumberFormat="1" applyAlignment="1">
      <alignment/>
    </xf>
    <xf numFmtId="16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1" xfId="0" applyFont="1" applyBorder="1" applyAlignment="1" applyProtection="1">
      <alignment/>
      <protection/>
    </xf>
    <xf numFmtId="37" fontId="20" fillId="0" borderId="3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7" fontId="20" fillId="0" borderId="3" xfId="0" applyNumberFormat="1" applyFont="1" applyBorder="1" applyAlignment="1" applyProtection="1">
      <alignment horizontal="right"/>
      <protection/>
    </xf>
    <xf numFmtId="167" fontId="7" fillId="0" borderId="0" xfId="0" applyNumberFormat="1" applyFont="1" applyAlignment="1">
      <alignment/>
    </xf>
    <xf numFmtId="166" fontId="20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 locked="0"/>
    </xf>
    <xf numFmtId="204" fontId="32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205" fontId="0" fillId="0" borderId="0" xfId="0" applyNumberFormat="1" applyFill="1" applyAlignment="1" quotePrefix="1">
      <alignment/>
    </xf>
    <xf numFmtId="205" fontId="0" fillId="2" borderId="0" xfId="0" applyNumberFormat="1" applyFill="1" applyAlignment="1" quotePrefix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0" fontId="6" fillId="0" borderId="0" xfId="0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197" fontId="0" fillId="0" borderId="4" xfId="17" applyNumberForma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5" xfId="0" applyNumberFormat="1" applyFont="1" applyFill="1" applyBorder="1" applyAlignment="1">
      <alignment/>
    </xf>
    <xf numFmtId="0" fontId="0" fillId="0" borderId="0" xfId="0" applyAlignment="1">
      <alignment horizontal="centerContinuous"/>
    </xf>
    <xf numFmtId="0" fontId="51" fillId="0" borderId="0" xfId="0" applyFont="1" applyAlignment="1">
      <alignment horizontal="centerContinuous"/>
    </xf>
    <xf numFmtId="9" fontId="0" fillId="0" borderId="0" xfId="2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97" fontId="0" fillId="0" borderId="0" xfId="17" applyNumberFormat="1" applyAlignment="1">
      <alignment/>
    </xf>
    <xf numFmtId="174" fontId="0" fillId="0" borderId="0" xfId="15" applyNumberFormat="1" applyAlignment="1">
      <alignment/>
    </xf>
    <xf numFmtId="174" fontId="0" fillId="0" borderId="0" xfId="0" applyNumberFormat="1" applyAlignment="1">
      <alignment/>
    </xf>
    <xf numFmtId="174" fontId="0" fillId="0" borderId="3" xfId="15" applyNumberFormat="1" applyBorder="1" applyAlignment="1">
      <alignment/>
    </xf>
    <xf numFmtId="197" fontId="53" fillId="0" borderId="4" xfId="17" applyNumberFormat="1" applyFont="1" applyFill="1" applyBorder="1" applyAlignment="1">
      <alignment/>
    </xf>
    <xf numFmtId="10" fontId="0" fillId="0" borderId="4" xfId="21" applyNumberFormat="1" applyBorder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37" fontId="17" fillId="0" borderId="0" xfId="0" applyNumberFormat="1" applyFont="1" applyFill="1" applyAlignment="1" applyProtection="1">
      <alignment/>
      <protection/>
    </xf>
    <xf numFmtId="0" fontId="21" fillId="0" borderId="3" xfId="0" applyFont="1" applyBorder="1" applyAlignment="1">
      <alignment horizontal="center"/>
    </xf>
    <xf numFmtId="0" fontId="11" fillId="0" borderId="0" xfId="0" applyFont="1" applyAlignment="1" applyProtection="1" quotePrefix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21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 locked="0"/>
    </xf>
    <xf numFmtId="0" fontId="33" fillId="0" borderId="3" xfId="0" applyFont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28" fillId="0" borderId="0" xfId="0" applyFont="1" applyAlignment="1" applyProtection="1">
      <alignment horizontal="centerContinuous"/>
      <protection locked="0"/>
    </xf>
    <xf numFmtId="0" fontId="55" fillId="0" borderId="0" xfId="0" applyFont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204" fontId="1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174" fontId="52" fillId="0" borderId="0" xfId="15" applyNumberFormat="1" applyFont="1" applyFill="1" applyAlignment="1">
      <alignment/>
    </xf>
    <xf numFmtId="174" fontId="19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4" fontId="19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169" fontId="19" fillId="0" borderId="0" xfId="15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37" fontId="52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21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/>
      <protection/>
    </xf>
    <xf numFmtId="10" fontId="24" fillId="0" borderId="0" xfId="0" applyNumberFormat="1" applyFont="1" applyBorder="1" applyAlignment="1" applyProtection="1">
      <alignment horizontal="center"/>
      <protection/>
    </xf>
    <xf numFmtId="10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10" fontId="21" fillId="0" borderId="0" xfId="21" applyNumberFormat="1" applyFont="1" applyBorder="1" applyAlignment="1" applyProtection="1">
      <alignment/>
      <protection/>
    </xf>
    <xf numFmtId="10" fontId="21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 horizontal="left"/>
    </xf>
    <xf numFmtId="37" fontId="2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21" fillId="0" borderId="0" xfId="0" applyFont="1" applyBorder="1" applyAlignment="1">
      <alignment/>
    </xf>
    <xf numFmtId="184" fontId="21" fillId="0" borderId="0" xfId="0" applyNumberFormat="1" applyFont="1" applyBorder="1" applyAlignment="1">
      <alignment/>
    </xf>
    <xf numFmtId="217" fontId="15" fillId="0" borderId="0" xfId="0" applyNumberFormat="1" applyFont="1" applyAlignment="1" applyProtection="1">
      <alignment horizontal="left"/>
      <protection locked="0"/>
    </xf>
    <xf numFmtId="204" fontId="11" fillId="0" borderId="0" xfId="0" applyNumberFormat="1" applyFont="1" applyAlignment="1" applyProtection="1">
      <alignment shrinkToFit="1"/>
      <protection locked="0"/>
    </xf>
    <xf numFmtId="206" fontId="0" fillId="0" borderId="0" xfId="21" applyNumberFormat="1" applyAlignment="1">
      <alignment horizontal="center"/>
    </xf>
    <xf numFmtId="10" fontId="0" fillId="0" borderId="0" xfId="21" applyNumberFormat="1" applyAlignment="1">
      <alignment horizontal="center"/>
    </xf>
    <xf numFmtId="206" fontId="0" fillId="0" borderId="4" xfId="21" applyNumberFormat="1" applyBorder="1" applyAlignment="1">
      <alignment horizontal="center"/>
    </xf>
    <xf numFmtId="201" fontId="6" fillId="0" borderId="0" xfId="21" applyNumberFormat="1" applyFont="1" applyAlignment="1" applyProtection="1">
      <alignment/>
      <protection locked="0"/>
    </xf>
    <xf numFmtId="206" fontId="0" fillId="0" borderId="0" xfId="0" applyNumberFormat="1" applyAlignment="1">
      <alignment/>
    </xf>
    <xf numFmtId="0" fontId="61" fillId="0" borderId="0" xfId="0" applyFont="1" applyAlignment="1">
      <alignment horizontal="centerContinuous"/>
    </xf>
    <xf numFmtId="0" fontId="31" fillId="2" borderId="0" xfId="0" applyFont="1" applyFill="1" applyAlignment="1">
      <alignment/>
    </xf>
    <xf numFmtId="0" fontId="6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NumberFormat="1" applyFont="1" applyAlignment="1">
      <alignment/>
    </xf>
    <xf numFmtId="0" fontId="31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12" fillId="3" borderId="6" xfId="0" applyFont="1" applyFill="1" applyBorder="1" applyAlignment="1">
      <alignment horizontal="centerContinuous" wrapText="1"/>
    </xf>
    <xf numFmtId="22" fontId="15" fillId="3" borderId="7" xfId="0" applyNumberFormat="1" applyFont="1" applyFill="1" applyBorder="1" applyAlignment="1" applyProtection="1">
      <alignment horizontal="centerContinuous" wrapText="1"/>
      <protection locked="0"/>
    </xf>
    <xf numFmtId="0" fontId="6" fillId="3" borderId="7" xfId="0" applyFont="1" applyFill="1" applyBorder="1" applyAlignment="1">
      <alignment horizontal="centerContinuous" wrapText="1"/>
    </xf>
    <xf numFmtId="0" fontId="6" fillId="3" borderId="8" xfId="0" applyFont="1" applyFill="1" applyBorder="1" applyAlignment="1">
      <alignment/>
    </xf>
    <xf numFmtId="0" fontId="27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167" fontId="20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quotePrefix="1">
      <alignment/>
    </xf>
    <xf numFmtId="37" fontId="42" fillId="0" borderId="0" xfId="0" applyNumberFormat="1" applyFont="1" applyFill="1" applyAlignment="1" applyProtection="1">
      <alignment/>
      <protection locked="0"/>
    </xf>
    <xf numFmtId="37" fontId="17" fillId="0" borderId="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 horizontal="left"/>
      <protection/>
    </xf>
    <xf numFmtId="0" fontId="65" fillId="0" borderId="0" xfId="0" applyFont="1" applyAlignment="1">
      <alignment horizontal="center"/>
    </xf>
    <xf numFmtId="169" fontId="21" fillId="0" borderId="0" xfId="0" applyNumberFormat="1" applyFont="1" applyAlignment="1" applyProtection="1">
      <alignment/>
      <protection/>
    </xf>
    <xf numFmtId="168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 quotePrefix="1">
      <alignment/>
      <protection/>
    </xf>
    <xf numFmtId="37" fontId="20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/>
    </xf>
    <xf numFmtId="0" fontId="60" fillId="2" borderId="0" xfId="0" applyFont="1" applyFill="1" applyAlignment="1" quotePrefix="1">
      <alignment/>
    </xf>
    <xf numFmtId="5" fontId="42" fillId="0" borderId="0" xfId="0" applyNumberFormat="1" applyFont="1" applyFill="1" applyAlignment="1" applyProtection="1">
      <alignment/>
      <protection locked="0"/>
    </xf>
    <xf numFmtId="37" fontId="21" fillId="0" borderId="1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42" fillId="0" borderId="0" xfId="0" applyNumberFormat="1" applyFont="1" applyFill="1" applyAlignment="1" applyProtection="1" quotePrefix="1">
      <alignment/>
      <protection locked="0"/>
    </xf>
    <xf numFmtId="174" fontId="17" fillId="0" borderId="0" xfId="15" applyNumberFormat="1" applyFont="1" applyFill="1" applyAlignment="1" applyProtection="1">
      <alignment/>
      <protection/>
    </xf>
    <xf numFmtId="37" fontId="41" fillId="0" borderId="0" xfId="0" applyNumberFormat="1" applyFont="1" applyFill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37" fontId="6" fillId="0" borderId="0" xfId="0" applyNumberFormat="1" applyFont="1" applyFill="1" applyAlignment="1">
      <alignment/>
    </xf>
    <xf numFmtId="37" fontId="17" fillId="0" borderId="0" xfId="0" applyNumberFormat="1" applyFont="1" applyFill="1" applyAlignment="1" applyProtection="1" quotePrefix="1">
      <alignment/>
      <protection locked="0"/>
    </xf>
    <xf numFmtId="37" fontId="43" fillId="0" borderId="0" xfId="0" applyNumberFormat="1" applyFont="1" applyFill="1" applyAlignment="1" applyProtection="1">
      <alignment/>
      <protection locked="0"/>
    </xf>
    <xf numFmtId="37" fontId="42" fillId="0" borderId="1" xfId="0" applyNumberFormat="1" applyFont="1" applyFill="1" applyBorder="1" applyAlignment="1" applyProtection="1">
      <alignment/>
      <protection/>
    </xf>
    <xf numFmtId="180" fontId="17" fillId="0" borderId="0" xfId="0" applyNumberFormat="1" applyFont="1" applyFill="1" applyAlignment="1" applyProtection="1">
      <alignment/>
      <protection/>
    </xf>
    <xf numFmtId="37" fontId="42" fillId="0" borderId="1" xfId="0" applyNumberFormat="1" applyFont="1" applyFill="1" applyBorder="1" applyAlignment="1" applyProtection="1">
      <alignment/>
      <protection locked="0"/>
    </xf>
    <xf numFmtId="37" fontId="17" fillId="0" borderId="0" xfId="0" applyNumberFormat="1" applyFont="1" applyFill="1" applyAlignment="1" applyProtection="1">
      <alignment/>
      <protection locked="0"/>
    </xf>
    <xf numFmtId="37" fontId="42" fillId="0" borderId="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 quotePrefix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>
      <alignment/>
    </xf>
    <xf numFmtId="175" fontId="11" fillId="0" borderId="0" xfId="0" applyNumberFormat="1" applyFont="1" applyFill="1" applyAlignment="1" applyProtection="1">
      <alignment/>
      <protection locked="0"/>
    </xf>
    <xf numFmtId="175" fontId="6" fillId="0" borderId="0" xfId="0" applyNumberFormat="1" applyFont="1" applyFill="1" applyAlignment="1" applyProtection="1">
      <alignment/>
      <protection locked="0"/>
    </xf>
    <xf numFmtId="37" fontId="6" fillId="0" borderId="4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37" fontId="6" fillId="0" borderId="3" xfId="0" applyNumberFormat="1" applyFont="1" applyFill="1" applyBorder="1" applyAlignment="1">
      <alignment/>
    </xf>
    <xf numFmtId="0" fontId="17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 locked="0"/>
    </xf>
    <xf numFmtId="37" fontId="8" fillId="0" borderId="0" xfId="0" applyNumberFormat="1" applyFont="1" applyAlignment="1" applyProtection="1">
      <alignment shrinkToFit="1"/>
      <protection locked="0"/>
    </xf>
    <xf numFmtId="37" fontId="20" fillId="0" borderId="0" xfId="0" applyNumberFormat="1" applyFont="1" applyAlignment="1" applyProtection="1">
      <alignment shrinkToFit="1"/>
      <protection/>
    </xf>
    <xf numFmtId="167" fontId="20" fillId="0" borderId="0" xfId="0" applyNumberFormat="1" applyFont="1" applyAlignment="1" applyProtection="1">
      <alignment shrinkToFit="1"/>
      <protection/>
    </xf>
    <xf numFmtId="167" fontId="29" fillId="0" borderId="0" xfId="0" applyNumberFormat="1" applyFont="1" applyAlignment="1" applyProtection="1" quotePrefix="1">
      <alignment shrinkToFit="1"/>
      <protection/>
    </xf>
    <xf numFmtId="37" fontId="8" fillId="0" borderId="0" xfId="0" applyNumberFormat="1" applyFont="1" applyFill="1" applyAlignment="1" applyProtection="1">
      <alignment shrinkToFit="1"/>
      <protection locked="0"/>
    </xf>
    <xf numFmtId="167" fontId="20" fillId="0" borderId="0" xfId="0" applyNumberFormat="1" applyFont="1" applyFill="1" applyAlignment="1" applyProtection="1">
      <alignment shrinkToFit="1"/>
      <protection/>
    </xf>
    <xf numFmtId="37" fontId="7" fillId="0" borderId="0" xfId="0" applyNumberFormat="1" applyFont="1" applyAlignment="1" applyProtection="1">
      <alignment shrinkToFit="1"/>
      <protection locked="0"/>
    </xf>
    <xf numFmtId="37" fontId="7" fillId="0" borderId="0" xfId="0" applyNumberFormat="1" applyFont="1" applyAlignment="1" applyProtection="1">
      <alignment shrinkToFit="1"/>
      <protection/>
    </xf>
    <xf numFmtId="37" fontId="20" fillId="0" borderId="0" xfId="0" applyNumberFormat="1" applyFont="1" applyFill="1" applyAlignment="1" applyProtection="1">
      <alignment shrinkToFit="1"/>
      <protection/>
    </xf>
    <xf numFmtId="167" fontId="29" fillId="0" borderId="0" xfId="0" applyNumberFormat="1" applyFont="1" applyFill="1" applyAlignment="1" applyProtection="1" quotePrefix="1">
      <alignment shrinkToFit="1"/>
      <protection/>
    </xf>
    <xf numFmtId="0" fontId="20" fillId="0" borderId="0" xfId="0" applyFont="1" applyAlignment="1" applyProtection="1">
      <alignment horizontal="right" shrinkToFit="1"/>
      <protection/>
    </xf>
    <xf numFmtId="0" fontId="20" fillId="0" borderId="1" xfId="0" applyFont="1" applyBorder="1" applyAlignment="1" applyProtection="1">
      <alignment shrinkToFit="1"/>
      <protection/>
    </xf>
    <xf numFmtId="37" fontId="20" fillId="0" borderId="3" xfId="0" applyNumberFormat="1" applyFont="1" applyBorder="1" applyAlignment="1" applyProtection="1">
      <alignment shrinkToFit="1"/>
      <protection/>
    </xf>
    <xf numFmtId="37" fontId="8" fillId="0" borderId="3" xfId="0" applyNumberFormat="1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shrinkToFit="1"/>
      <protection/>
    </xf>
    <xf numFmtId="0" fontId="38" fillId="0" borderId="0" xfId="0" applyFont="1" applyAlignment="1">
      <alignment shrinkToFit="1"/>
    </xf>
    <xf numFmtId="167" fontId="39" fillId="0" borderId="0" xfId="0" applyNumberFormat="1" applyFont="1" applyAlignment="1" applyProtection="1">
      <alignment shrinkToFit="1"/>
      <protection/>
    </xf>
    <xf numFmtId="167" fontId="20" fillId="0" borderId="0" xfId="0" applyNumberFormat="1" applyFont="1" applyBorder="1" applyAlignment="1" applyProtection="1">
      <alignment shrinkToFit="1"/>
      <protection/>
    </xf>
    <xf numFmtId="167" fontId="20" fillId="0" borderId="3" xfId="0" applyNumberFormat="1" applyFont="1" applyBorder="1" applyAlignment="1" applyProtection="1">
      <alignment horizontal="right" shrinkToFit="1"/>
      <protection/>
    </xf>
    <xf numFmtId="167" fontId="20" fillId="0" borderId="0" xfId="0" applyNumberFormat="1" applyFont="1" applyAlignment="1" applyProtection="1" quotePrefix="1">
      <alignment shrinkToFit="1"/>
      <protection/>
    </xf>
    <xf numFmtId="167" fontId="7" fillId="0" borderId="0" xfId="0" applyNumberFormat="1" applyFont="1" applyAlignment="1">
      <alignment shrinkToFit="1"/>
    </xf>
    <xf numFmtId="167" fontId="9" fillId="0" borderId="0" xfId="0" applyNumberFormat="1" applyFont="1" applyAlignment="1" applyProtection="1">
      <alignment shrinkToFit="1"/>
      <protection/>
    </xf>
    <xf numFmtId="166" fontId="20" fillId="0" borderId="0" xfId="0" applyNumberFormat="1" applyFont="1" applyAlignment="1" applyProtection="1">
      <alignment shrinkToFit="1"/>
      <protection/>
    </xf>
    <xf numFmtId="166" fontId="9" fillId="0" borderId="0" xfId="0" applyNumberFormat="1" applyFont="1" applyAlignment="1" applyProtection="1">
      <alignment shrinkToFit="1"/>
      <protection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183" fontId="0" fillId="0" borderId="0" xfId="0" applyNumberFormat="1" applyAlignment="1">
      <alignment shrinkToFit="1"/>
    </xf>
    <xf numFmtId="0" fontId="6" fillId="0" borderId="0" xfId="0" applyFont="1" applyAlignment="1">
      <alignment shrinkToFit="1"/>
    </xf>
    <xf numFmtId="0" fontId="15" fillId="0" borderId="0" xfId="0" applyFont="1" applyAlignment="1" applyProtection="1">
      <alignment horizontal="center"/>
      <protection locked="0"/>
    </xf>
    <xf numFmtId="37" fontId="66" fillId="0" borderId="0" xfId="0" applyNumberFormat="1" applyFont="1" applyFill="1" applyAlignment="1" applyProtection="1">
      <alignment/>
      <protection locked="0"/>
    </xf>
    <xf numFmtId="37" fontId="42" fillId="0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7" fontId="0" fillId="0" borderId="0" xfId="0" applyNumberFormat="1" applyBorder="1" applyAlignment="1">
      <alignment/>
    </xf>
    <xf numFmtId="0" fontId="61" fillId="0" borderId="0" xfId="0" applyFont="1" applyBorder="1" applyAlignment="1">
      <alignment horizontal="center"/>
    </xf>
    <xf numFmtId="175" fontId="42" fillId="0" borderId="0" xfId="0" applyNumberFormat="1" applyFont="1" applyFill="1" applyAlignment="1" applyProtection="1">
      <alignment/>
      <protection locked="0"/>
    </xf>
    <xf numFmtId="37" fontId="12" fillId="0" borderId="0" xfId="0" applyNumberFormat="1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/>
      <protection/>
    </xf>
    <xf numFmtId="166" fontId="1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/>
    </xf>
    <xf numFmtId="5" fontId="41" fillId="0" borderId="0" xfId="0" applyNumberFormat="1" applyFont="1" applyFill="1" applyAlignment="1" applyProtection="1">
      <alignment/>
      <protection/>
    </xf>
    <xf numFmtId="5" fontId="17" fillId="0" borderId="0" xfId="0" applyNumberFormat="1" applyFont="1" applyFill="1" applyAlignment="1" applyProtection="1">
      <alignment/>
      <protection/>
    </xf>
    <xf numFmtId="37" fontId="43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/>
      <protection/>
    </xf>
    <xf numFmtId="37" fontId="12" fillId="0" borderId="2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37" fontId="17" fillId="0" borderId="3" xfId="0" applyNumberFormat="1" applyFont="1" applyFill="1" applyBorder="1" applyAlignment="1" applyProtection="1">
      <alignment/>
      <protection/>
    </xf>
    <xf numFmtId="37" fontId="41" fillId="0" borderId="3" xfId="0" applyNumberFormat="1" applyFont="1" applyFill="1" applyBorder="1" applyAlignment="1" applyProtection="1">
      <alignment/>
      <protection/>
    </xf>
    <xf numFmtId="18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7" fontId="40" fillId="0" borderId="0" xfId="0" applyNumberFormat="1" applyFont="1" applyFill="1" applyAlignment="1" applyProtection="1">
      <alignment/>
      <protection/>
    </xf>
    <xf numFmtId="37" fontId="42" fillId="0" borderId="0" xfId="0" applyNumberFormat="1" applyFont="1" applyFill="1" applyBorder="1" applyAlignment="1" applyProtection="1">
      <alignment/>
      <protection locked="0"/>
    </xf>
    <xf numFmtId="37" fontId="41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3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37" fontId="36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7" fontId="43" fillId="0" borderId="0" xfId="0" applyNumberFormat="1" applyFont="1" applyFill="1" applyAlignment="1" applyProtection="1" quotePrefix="1">
      <alignment/>
      <protection locked="0"/>
    </xf>
    <xf numFmtId="175" fontId="17" fillId="0" borderId="0" xfId="0" applyNumberFormat="1" applyFont="1" applyFill="1" applyAlignment="1" applyProtection="1">
      <alignment shrinkToFit="1"/>
      <protection/>
    </xf>
    <xf numFmtId="175" fontId="42" fillId="0" borderId="0" xfId="0" applyNumberFormat="1" applyFont="1" applyFill="1" applyAlignment="1" applyProtection="1">
      <alignment shrinkToFit="1"/>
      <protection/>
    </xf>
    <xf numFmtId="16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quotePrefix="1">
      <alignment/>
    </xf>
    <xf numFmtId="0" fontId="13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 quotePrefix="1">
      <alignment/>
      <protection locked="0"/>
    </xf>
    <xf numFmtId="170" fontId="17" fillId="0" borderId="0" xfId="0" applyNumberFormat="1" applyFont="1" applyFill="1" applyAlignment="1" applyProtection="1" quotePrefix="1">
      <alignment/>
      <protection/>
    </xf>
    <xf numFmtId="37" fontId="17" fillId="0" borderId="0" xfId="0" applyNumberFormat="1" applyFont="1" applyFill="1" applyAlignment="1" applyProtection="1" quotePrefix="1">
      <alignment/>
      <protection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68" fontId="17" fillId="0" borderId="0" xfId="0" applyNumberFormat="1" applyFont="1" applyFill="1" applyAlignment="1" applyProtection="1" quotePrefix="1">
      <alignment/>
      <protection/>
    </xf>
    <xf numFmtId="37" fontId="48" fillId="0" borderId="0" xfId="0" applyNumberFormat="1" applyFont="1" applyFill="1" applyAlignment="1" applyProtection="1">
      <alignment/>
      <protection locked="0"/>
    </xf>
    <xf numFmtId="166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Alignment="1" applyProtection="1">
      <alignment/>
      <protection/>
    </xf>
    <xf numFmtId="170" fontId="17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Fill="1" applyAlignment="1" applyProtection="1">
      <alignment/>
      <protection/>
    </xf>
    <xf numFmtId="169" fontId="17" fillId="0" borderId="0" xfId="0" applyNumberFormat="1" applyFont="1" applyFill="1" applyAlignment="1" applyProtection="1" quotePrefix="1">
      <alignment/>
      <protection/>
    </xf>
    <xf numFmtId="169" fontId="17" fillId="0" borderId="0" xfId="0" applyNumberFormat="1" applyFont="1" applyFill="1" applyAlignment="1" applyProtection="1">
      <alignment/>
      <protection/>
    </xf>
    <xf numFmtId="169" fontId="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/>
      <protection/>
    </xf>
    <xf numFmtId="167" fontId="17" fillId="0" borderId="1" xfId="0" applyNumberFormat="1" applyFont="1" applyFill="1" applyBorder="1" applyAlignment="1" applyProtection="1">
      <alignment/>
      <protection/>
    </xf>
    <xf numFmtId="175" fontId="17" fillId="0" borderId="0" xfId="0" applyNumberFormat="1" applyFont="1" applyFill="1" applyAlignment="1" applyProtection="1">
      <alignment/>
      <protection/>
    </xf>
    <xf numFmtId="166" fontId="42" fillId="0" borderId="0" xfId="0" applyNumberFormat="1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/>
    </xf>
    <xf numFmtId="208" fontId="6" fillId="0" borderId="0" xfId="21" applyNumberFormat="1" applyFont="1" applyFill="1" applyAlignment="1" applyProtection="1">
      <alignment/>
      <protection/>
    </xf>
    <xf numFmtId="9" fontId="28" fillId="0" borderId="0" xfId="21" applyFont="1" applyFill="1" applyAlignment="1" applyProtection="1">
      <alignment/>
      <protection locked="0"/>
    </xf>
    <xf numFmtId="201" fontId="6" fillId="0" borderId="0" xfId="21" applyNumberFormat="1" applyFont="1" applyFill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 applyProtection="1">
      <alignment/>
      <protection locked="0"/>
    </xf>
    <xf numFmtId="174" fontId="42" fillId="0" borderId="0" xfId="15" applyNumberFormat="1" applyFont="1" applyFill="1" applyAlignment="1" applyProtection="1">
      <alignment/>
      <protection locked="0"/>
    </xf>
    <xf numFmtId="205" fontId="0" fillId="2" borderId="0" xfId="0" applyNumberFormat="1" applyFill="1" applyAlignment="1">
      <alignment/>
    </xf>
    <xf numFmtId="211" fontId="17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>
      <alignment/>
    </xf>
    <xf numFmtId="206" fontId="0" fillId="0" borderId="0" xfId="21" applyNumberFormat="1" applyBorder="1" applyAlignment="1">
      <alignment horizontal="center"/>
    </xf>
    <xf numFmtId="37" fontId="21" fillId="0" borderId="0" xfId="0" applyNumberFormat="1" applyFont="1" applyFill="1" applyAlignment="1" applyProtection="1">
      <alignment/>
      <protection/>
    </xf>
    <xf numFmtId="37" fontId="21" fillId="0" borderId="0" xfId="0" applyNumberFormat="1" applyFont="1" applyFill="1" applyBorder="1" applyAlignment="1" applyProtection="1">
      <alignment/>
      <protection/>
    </xf>
    <xf numFmtId="37" fontId="56" fillId="0" borderId="0" xfId="0" applyNumberFormat="1" applyFont="1" applyFill="1" applyAlignment="1" applyProtection="1">
      <alignment horizontal="center"/>
      <protection/>
    </xf>
    <xf numFmtId="37" fontId="22" fillId="0" borderId="0" xfId="0" applyNumberFormat="1" applyFont="1" applyFill="1" applyAlignment="1" applyProtection="1">
      <alignment/>
      <protection/>
    </xf>
    <xf numFmtId="174" fontId="22" fillId="0" borderId="0" xfId="15" applyNumberFormat="1" applyFont="1" applyFill="1" applyAlignment="1" applyProtection="1">
      <alignment/>
      <protection/>
    </xf>
    <xf numFmtId="174" fontId="22" fillId="0" borderId="3" xfId="15" applyNumberFormat="1" applyFont="1" applyFill="1" applyBorder="1" applyAlignment="1" applyProtection="1">
      <alignment/>
      <protection/>
    </xf>
    <xf numFmtId="174" fontId="21" fillId="0" borderId="0" xfId="15" applyNumberFormat="1" applyFont="1" applyFill="1" applyAlignment="1" applyProtection="1">
      <alignment/>
      <protection/>
    </xf>
    <xf numFmtId="176" fontId="6" fillId="0" borderId="0" xfId="0" applyNumberFormat="1" applyFont="1" applyAlignment="1">
      <alignment/>
    </xf>
    <xf numFmtId="5" fontId="6" fillId="0" borderId="0" xfId="0" applyNumberFormat="1" applyFont="1" applyFill="1" applyAlignment="1" applyProtection="1">
      <alignment/>
      <protection/>
    </xf>
    <xf numFmtId="168" fontId="17" fillId="0" borderId="0" xfId="0" applyNumberFormat="1" applyFont="1" applyFill="1" applyAlignment="1" applyProtection="1">
      <alignment/>
      <protection/>
    </xf>
    <xf numFmtId="170" fontId="42" fillId="0" borderId="0" xfId="0" applyNumberFormat="1" applyFont="1" applyFill="1" applyAlignment="1" applyProtection="1">
      <alignment/>
      <protection locked="0"/>
    </xf>
    <xf numFmtId="175" fontId="42" fillId="0" borderId="1" xfId="0" applyNumberFormat="1" applyFont="1" applyFill="1" applyBorder="1" applyAlignment="1" applyProtection="1">
      <alignment/>
      <protection/>
    </xf>
    <xf numFmtId="170" fontId="6" fillId="0" borderId="0" xfId="0" applyNumberFormat="1" applyFont="1" applyAlignment="1">
      <alignment/>
    </xf>
    <xf numFmtId="168" fontId="42" fillId="0" borderId="0" xfId="0" applyNumberFormat="1" applyFont="1" applyFill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1311</xdr:row>
      <xdr:rowOff>57150</xdr:rowOff>
    </xdr:from>
    <xdr:to>
      <xdr:col>0</xdr:col>
      <xdr:colOff>0</xdr:colOff>
      <xdr:row>1311</xdr:row>
      <xdr:rowOff>57150</xdr:rowOff>
    </xdr:to>
    <xdr:sp>
      <xdr:nvSpPr>
        <xdr:cNvPr id="1" name="Line 3"/>
        <xdr:cNvSpPr>
          <a:spLocks/>
        </xdr:cNvSpPr>
      </xdr:nvSpPr>
      <xdr:spPr>
        <a:xfrm>
          <a:off x="0" y="2732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LH&amp;P%20Electric%20Case%202006\12%%20ROE%20Case\KPSC%20Electric%20SFRs-Forecast-11.50%RO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LH&amp;P%20Electric%20Case%202006\COSS\COSS_Workpapers\Union_alloc2005_updated%20A&amp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O"/>
      <sheetName val="GOTO"/>
      <sheetName val="PRINT"/>
      <sheetName val="TAXTABLE"/>
      <sheetName val="PRIOR PERIOD"/>
      <sheetName val="BASE PERIOD"/>
      <sheetName val="2007 Budget"/>
      <sheetName val="FORECAST PERIOD"/>
      <sheetName val="ALLOCTABLE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CH_C2.1 - Base Period"/>
      <sheetName val="SCH_C2.1 - Forecast Period"/>
      <sheetName val="SCH_C2.2 Detail"/>
      <sheetName val="SCH_C2.2 FERC"/>
      <sheetName val="SCH_C2.2 FERC Explain"/>
      <sheetName val="CALEB"/>
      <sheetName val="SCH_D1"/>
      <sheetName val="SCH_D2.1"/>
      <sheetName val="KWH Sales"/>
      <sheetName val="Revenues"/>
      <sheetName val="Customers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"/>
      <sheetName val="SCH_I2.1"/>
      <sheetName val="Base Period Cust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(FR 8f)"/>
      <sheetName val="RB vs Cap Base Period"/>
    </sheetNames>
    <definedNames>
      <definedName name="PLANT_IN_SERVICE" refersTo="=SCH_B1!$I$18"/>
    </definedNames>
    <sheetDataSet>
      <sheetData sheetId="0">
        <row r="18">
          <cell r="I18">
            <v>38960</v>
          </cell>
        </row>
      </sheetData>
      <sheetData sheetId="4">
        <row r="18">
          <cell r="I18">
            <v>0</v>
          </cell>
        </row>
      </sheetData>
      <sheetData sheetId="6">
        <row r="18">
          <cell r="I18">
            <v>178971</v>
          </cell>
        </row>
      </sheetData>
      <sheetData sheetId="7">
        <row r="18">
          <cell r="I18">
            <v>-36573</v>
          </cell>
        </row>
      </sheetData>
      <sheetData sheetId="9">
        <row r="17">
          <cell r="I17">
            <v>557080702</v>
          </cell>
        </row>
        <row r="31">
          <cell r="I31">
            <v>46520476</v>
          </cell>
        </row>
      </sheetData>
      <sheetData sheetId="11">
        <row r="18">
          <cell r="I18">
            <v>1122822000</v>
          </cell>
        </row>
        <row r="20">
          <cell r="I20">
            <v>-540093766</v>
          </cell>
        </row>
        <row r="24">
          <cell r="I24">
            <v>4263000</v>
          </cell>
        </row>
        <row r="26">
          <cell r="I26">
            <v>13962791</v>
          </cell>
        </row>
        <row r="28">
          <cell r="I28">
            <v>29961359</v>
          </cell>
        </row>
        <row r="40">
          <cell r="I40">
            <v>590909461</v>
          </cell>
        </row>
      </sheetData>
      <sheetData sheetId="13">
        <row r="18">
          <cell r="I18" t="str">
            <v>Adjusted</v>
          </cell>
        </row>
      </sheetData>
      <sheetData sheetId="14">
        <row r="18">
          <cell r="I18" t="str">
            <v>Purpose of</v>
          </cell>
        </row>
      </sheetData>
      <sheetData sheetId="15">
        <row r="18">
          <cell r="I18" t="str">
            <v>Explanation</v>
          </cell>
        </row>
      </sheetData>
      <sheetData sheetId="20">
        <row r="18">
          <cell r="I18" t="str">
            <v>Jurisdictional</v>
          </cell>
        </row>
      </sheetData>
      <sheetData sheetId="21">
        <row r="18">
          <cell r="I18" t="str">
            <v>Purpose of</v>
          </cell>
        </row>
      </sheetData>
      <sheetData sheetId="23">
        <row r="18">
          <cell r="I18">
            <v>0</v>
          </cell>
        </row>
      </sheetData>
      <sheetData sheetId="24">
        <row r="18">
          <cell r="I18" t="str">
            <v>(I )= (H) / (G)</v>
          </cell>
        </row>
      </sheetData>
      <sheetData sheetId="25">
        <row r="17">
          <cell r="O17">
            <v>13962791</v>
          </cell>
        </row>
        <row r="26">
          <cell r="O26">
            <v>8873933</v>
          </cell>
        </row>
        <row r="32">
          <cell r="O32">
            <v>5919968</v>
          </cell>
        </row>
        <row r="34">
          <cell r="O34">
            <v>8467889</v>
          </cell>
        </row>
        <row r="36">
          <cell r="O36">
            <v>6699569</v>
          </cell>
        </row>
      </sheetData>
      <sheetData sheetId="28">
        <row r="18">
          <cell r="I18">
            <v>-33286</v>
          </cell>
        </row>
        <row r="103">
          <cell r="T103">
            <v>1295808</v>
          </cell>
        </row>
        <row r="104">
          <cell r="T104">
            <v>-331400</v>
          </cell>
        </row>
        <row r="105">
          <cell r="T105">
            <v>-41005203</v>
          </cell>
        </row>
        <row r="106">
          <cell r="T106">
            <v>34872</v>
          </cell>
        </row>
      </sheetData>
      <sheetData sheetId="30">
        <row r="18">
          <cell r="I18">
            <v>0.0757</v>
          </cell>
        </row>
      </sheetData>
      <sheetData sheetId="31">
        <row r="20">
          <cell r="G20">
            <v>255521</v>
          </cell>
        </row>
        <row r="22">
          <cell r="G22">
            <v>77689</v>
          </cell>
        </row>
        <row r="25">
          <cell r="G25">
            <v>2678861</v>
          </cell>
        </row>
        <row r="26">
          <cell r="G26">
            <v>15227942</v>
          </cell>
        </row>
        <row r="32">
          <cell r="I32">
            <v>48805840</v>
          </cell>
        </row>
        <row r="62">
          <cell r="P62">
            <v>77689</v>
          </cell>
        </row>
      </sheetData>
      <sheetData sheetId="32">
        <row r="17">
          <cell r="N17">
            <v>172138103</v>
          </cell>
        </row>
        <row r="19">
          <cell r="N19">
            <v>2036580</v>
          </cell>
        </row>
        <row r="27">
          <cell r="N27">
            <v>58082367</v>
          </cell>
        </row>
        <row r="29">
          <cell r="N29">
            <v>16939554</v>
          </cell>
        </row>
        <row r="30">
          <cell r="N30">
            <v>6730324</v>
          </cell>
        </row>
        <row r="31">
          <cell r="N31">
            <v>5533205</v>
          </cell>
        </row>
        <row r="32">
          <cell r="N32">
            <v>105046</v>
          </cell>
        </row>
        <row r="33">
          <cell r="N33">
            <v>728</v>
          </cell>
        </row>
        <row r="34">
          <cell r="N34">
            <v>23344159</v>
          </cell>
        </row>
        <row r="35">
          <cell r="N35">
            <v>966942</v>
          </cell>
        </row>
        <row r="36">
          <cell r="N36">
            <v>111702325</v>
          </cell>
        </row>
        <row r="38">
          <cell r="N38">
            <v>33172220</v>
          </cell>
        </row>
        <row r="43">
          <cell r="N43">
            <v>7556820</v>
          </cell>
        </row>
      </sheetData>
      <sheetData sheetId="35">
        <row r="269">
          <cell r="J269">
            <v>1877784</v>
          </cell>
        </row>
        <row r="270">
          <cell r="J270">
            <v>271224</v>
          </cell>
        </row>
        <row r="271">
          <cell r="J271">
            <v>2726532</v>
          </cell>
        </row>
        <row r="272">
          <cell r="J272">
            <v>750000</v>
          </cell>
        </row>
      </sheetData>
      <sheetData sheetId="42">
        <row r="18">
          <cell r="I18">
            <v>284353000</v>
          </cell>
        </row>
      </sheetData>
      <sheetData sheetId="43">
        <row r="18">
          <cell r="I18">
            <v>23650539</v>
          </cell>
        </row>
      </sheetData>
      <sheetData sheetId="44">
        <row r="18">
          <cell r="I18">
            <v>131179</v>
          </cell>
        </row>
      </sheetData>
      <sheetData sheetId="82">
        <row r="23">
          <cell r="Q23">
            <v>-16237028</v>
          </cell>
        </row>
        <row r="28">
          <cell r="Q28">
            <v>-3190632</v>
          </cell>
        </row>
        <row r="36">
          <cell r="Q36">
            <v>-3576562</v>
          </cell>
        </row>
        <row r="73">
          <cell r="Q73">
            <v>43817362</v>
          </cell>
        </row>
        <row r="81">
          <cell r="Q81">
            <v>2536065</v>
          </cell>
        </row>
        <row r="105">
          <cell r="Q105">
            <v>394834</v>
          </cell>
        </row>
        <row r="114">
          <cell r="M114">
            <v>-1118108</v>
          </cell>
        </row>
        <row r="121">
          <cell r="M121">
            <v>-391107</v>
          </cell>
        </row>
        <row r="123">
          <cell r="Q123">
            <v>1874337</v>
          </cell>
        </row>
        <row r="124">
          <cell r="Q124">
            <v>-143846</v>
          </cell>
        </row>
        <row r="126">
          <cell r="M126">
            <v>1339384</v>
          </cell>
        </row>
      </sheetData>
      <sheetData sheetId="84">
        <row r="18">
          <cell r="I18">
            <v>100</v>
          </cell>
        </row>
      </sheetData>
      <sheetData sheetId="85">
        <row r="18">
          <cell r="I18">
            <v>100</v>
          </cell>
        </row>
      </sheetData>
      <sheetData sheetId="88">
        <row r="18">
          <cell r="I18">
            <v>78821</v>
          </cell>
        </row>
      </sheetData>
      <sheetData sheetId="90">
        <row r="18">
          <cell r="I18">
            <v>0</v>
          </cell>
        </row>
      </sheetData>
      <sheetData sheetId="91">
        <row r="18">
          <cell r="I18">
            <v>17391</v>
          </cell>
        </row>
      </sheetData>
      <sheetData sheetId="94">
        <row r="18">
          <cell r="I18">
            <v>-0.0456</v>
          </cell>
        </row>
      </sheetData>
      <sheetData sheetId="103">
        <row r="18">
          <cell r="I18">
            <v>0.0975</v>
          </cell>
        </row>
      </sheetData>
      <sheetData sheetId="104">
        <row r="18">
          <cell r="I18">
            <v>0.40626</v>
          </cell>
        </row>
      </sheetData>
      <sheetData sheetId="105">
        <row r="17">
          <cell r="G17">
            <v>345393322</v>
          </cell>
          <cell r="K17">
            <v>0.115</v>
          </cell>
        </row>
        <row r="18">
          <cell r="G18">
            <v>275774125</v>
          </cell>
          <cell r="I18">
            <v>0.40626</v>
          </cell>
          <cell r="K18">
            <v>0.0609</v>
          </cell>
        </row>
        <row r="19">
          <cell r="G19">
            <v>57645769.23076923</v>
          </cell>
          <cell r="K19">
            <v>0.05138</v>
          </cell>
        </row>
      </sheetData>
      <sheetData sheetId="106">
        <row r="18">
          <cell r="I18">
            <v>0.40303</v>
          </cell>
        </row>
      </sheetData>
      <sheetData sheetId="112">
        <row r="18">
          <cell r="I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2005KWH"/>
      <sheetName val="2007KWH"/>
      <sheetName val="2007CUST"/>
      <sheetName val="summ-1"/>
      <sheetName val="alloc1-gen"/>
      <sheetName val="alloc2-dist"/>
      <sheetName val="alloc3-meters"/>
      <sheetName val="alloc4-CA"/>
      <sheetName val="alloc5-Distlines"/>
      <sheetName val="alloc6-Wtd services"/>
      <sheetName val="A&amp;E Demands"/>
      <sheetName val="TDD Demands"/>
      <sheetName val="rapg1"/>
      <sheetName val="rapg2"/>
      <sheetName val="ragp3_sumy"/>
      <sheetName val="ragp4_rs"/>
      <sheetName val="ragp5_ds"/>
      <sheetName val="ragp6_dp"/>
      <sheetName val="ragp7_tt"/>
      <sheetName val="ragp8_lt"/>
      <sheetName val="ragp9_dt_P"/>
      <sheetName val="ragp10_dt_s"/>
      <sheetName val="ragp11_oth"/>
      <sheetName val="ragp12_gsfl"/>
      <sheetName val="ragp13_eh"/>
      <sheetName val="ragp14_sp"/>
      <sheetName val="LSFT"/>
      <sheetName val="rs"/>
      <sheetName val="ds"/>
      <sheetName val="ds_lg"/>
      <sheetName val="dp"/>
      <sheetName val="dt_sec"/>
      <sheetName val="dt_pri"/>
      <sheetName val="gsfl"/>
      <sheetName val="tt"/>
      <sheetName val="Sum On &amp; Off Peak Hr Load "/>
      <sheetName val="Print_RAGPS"/>
    </sheetNames>
    <sheetDataSet>
      <sheetData sheetId="1">
        <row r="8">
          <cell r="F8" t="str">
            <v>WPFR-9v-2</v>
          </cell>
        </row>
        <row r="10">
          <cell r="F10" t="str">
            <v>TOTAL KW (AVERAGE  &amp;  EXCESS)</v>
          </cell>
        </row>
      </sheetData>
      <sheetData sheetId="6">
        <row r="15">
          <cell r="D15">
            <v>449843</v>
          </cell>
          <cell r="F15">
            <v>1633623871</v>
          </cell>
        </row>
        <row r="16">
          <cell r="D16">
            <v>193421</v>
          </cell>
          <cell r="F16">
            <v>1118383192</v>
          </cell>
        </row>
        <row r="17">
          <cell r="D17">
            <v>778</v>
          </cell>
          <cell r="F17">
            <v>6714746</v>
          </cell>
        </row>
        <row r="18">
          <cell r="D18">
            <v>3699</v>
          </cell>
          <cell r="F18">
            <v>15149755</v>
          </cell>
        </row>
        <row r="19">
          <cell r="D19">
            <v>87</v>
          </cell>
          <cell r="F19">
            <v>434115</v>
          </cell>
        </row>
        <row r="20">
          <cell r="D20">
            <v>106815</v>
          </cell>
          <cell r="F20">
            <v>782930553</v>
          </cell>
        </row>
        <row r="21">
          <cell r="D21">
            <v>68547</v>
          </cell>
          <cell r="F21">
            <v>467034883</v>
          </cell>
        </row>
        <row r="22">
          <cell r="D22">
            <v>5097</v>
          </cell>
          <cell r="F22">
            <v>36757242</v>
          </cell>
        </row>
        <row r="23">
          <cell r="D23">
            <v>30267</v>
          </cell>
          <cell r="F23">
            <v>186542548</v>
          </cell>
        </row>
        <row r="24">
          <cell r="D24">
            <v>4506</v>
          </cell>
          <cell r="F24">
            <v>26919458</v>
          </cell>
        </row>
        <row r="25">
          <cell r="D25">
            <v>142</v>
          </cell>
          <cell r="F25">
            <v>347724</v>
          </cell>
        </row>
        <row r="29">
          <cell r="D29">
            <v>190</v>
          </cell>
          <cell r="F29">
            <v>1085288</v>
          </cell>
        </row>
        <row r="30">
          <cell r="D30">
            <v>1562</v>
          </cell>
          <cell r="F30">
            <v>8700822</v>
          </cell>
        </row>
        <row r="31">
          <cell r="D31">
            <v>3291</v>
          </cell>
          <cell r="F31">
            <v>21489618</v>
          </cell>
        </row>
        <row r="32">
          <cell r="D32">
            <v>0</v>
          </cell>
          <cell r="F32">
            <v>0</v>
          </cell>
        </row>
        <row r="33">
          <cell r="D33">
            <v>1755</v>
          </cell>
          <cell r="F33">
            <v>11905892</v>
          </cell>
        </row>
        <row r="36">
          <cell r="D36">
            <v>870000</v>
          </cell>
          <cell r="F36">
            <v>4318019707</v>
          </cell>
        </row>
      </sheetData>
      <sheetData sheetId="7">
        <row r="15">
          <cell r="D15">
            <v>894767</v>
          </cell>
          <cell r="H15">
            <v>121452</v>
          </cell>
          <cell r="K15">
            <v>317008</v>
          </cell>
        </row>
        <row r="16">
          <cell r="D16">
            <v>304504</v>
          </cell>
          <cell r="H16">
            <v>12293</v>
          </cell>
          <cell r="K16">
            <v>188948</v>
          </cell>
        </row>
        <row r="17">
          <cell r="D17">
            <v>796</v>
          </cell>
          <cell r="H17">
            <v>147</v>
          </cell>
          <cell r="K17">
            <v>738</v>
          </cell>
        </row>
        <row r="18">
          <cell r="D18">
            <v>7027</v>
          </cell>
          <cell r="H18">
            <v>119</v>
          </cell>
          <cell r="K18">
            <v>2494</v>
          </cell>
        </row>
        <row r="19">
          <cell r="D19">
            <v>150</v>
          </cell>
          <cell r="H19">
            <v>27</v>
          </cell>
          <cell r="K19">
            <v>74</v>
          </cell>
        </row>
        <row r="20">
          <cell r="D20">
            <v>136277</v>
          </cell>
          <cell r="H20">
            <v>190</v>
          </cell>
          <cell r="K20">
            <v>112875</v>
          </cell>
        </row>
        <row r="21">
          <cell r="D21">
            <v>0</v>
          </cell>
          <cell r="H21">
            <v>37</v>
          </cell>
          <cell r="K21">
            <v>64149</v>
          </cell>
        </row>
        <row r="22">
          <cell r="D22">
            <v>0</v>
          </cell>
          <cell r="H22">
            <v>11</v>
          </cell>
          <cell r="K22">
            <v>5543</v>
          </cell>
        </row>
        <row r="23">
          <cell r="D23">
            <v>0</v>
          </cell>
          <cell r="H23">
            <v>0</v>
          </cell>
          <cell r="K23">
            <v>0</v>
          </cell>
        </row>
        <row r="24">
          <cell r="D24">
            <v>6927</v>
          </cell>
          <cell r="H24">
            <v>343</v>
          </cell>
          <cell r="K24">
            <v>6304</v>
          </cell>
        </row>
        <row r="25">
          <cell r="D25">
            <v>315</v>
          </cell>
          <cell r="H25">
            <v>11</v>
          </cell>
          <cell r="K25">
            <v>57</v>
          </cell>
        </row>
        <row r="29">
          <cell r="D29">
            <v>301</v>
          </cell>
          <cell r="H29">
            <v>0</v>
          </cell>
          <cell r="K29">
            <v>179</v>
          </cell>
        </row>
        <row r="30">
          <cell r="D30">
            <v>2524</v>
          </cell>
          <cell r="H30">
            <v>0</v>
          </cell>
          <cell r="K30">
            <v>1248</v>
          </cell>
        </row>
        <row r="31">
          <cell r="D31">
            <v>0</v>
          </cell>
          <cell r="H31">
            <v>0</v>
          </cell>
          <cell r="K31">
            <v>2954</v>
          </cell>
        </row>
        <row r="32">
          <cell r="D32">
            <v>0</v>
          </cell>
          <cell r="H32">
            <v>0</v>
          </cell>
          <cell r="K32">
            <v>0</v>
          </cell>
        </row>
        <row r="33">
          <cell r="D33">
            <v>0</v>
          </cell>
          <cell r="H33">
            <v>0</v>
          </cell>
          <cell r="K33">
            <v>0</v>
          </cell>
        </row>
        <row r="36">
          <cell r="D36">
            <v>1353588</v>
          </cell>
          <cell r="H36">
            <v>134630</v>
          </cell>
          <cell r="K36">
            <v>702571</v>
          </cell>
        </row>
      </sheetData>
      <sheetData sheetId="8">
        <row r="15">
          <cell r="E15">
            <v>35086187</v>
          </cell>
        </row>
        <row r="16">
          <cell r="E16">
            <v>4804971</v>
          </cell>
        </row>
        <row r="17">
          <cell r="E17">
            <v>0</v>
          </cell>
        </row>
        <row r="18">
          <cell r="E18">
            <v>141678</v>
          </cell>
        </row>
        <row r="19">
          <cell r="E19">
            <v>11862</v>
          </cell>
        </row>
        <row r="20">
          <cell r="E20">
            <v>367725</v>
          </cell>
        </row>
        <row r="21">
          <cell r="E21">
            <v>124275</v>
          </cell>
        </row>
        <row r="22">
          <cell r="E22">
            <v>14025</v>
          </cell>
        </row>
        <row r="23">
          <cell r="E23">
            <v>43200</v>
          </cell>
        </row>
        <row r="24">
          <cell r="E24">
            <v>2475</v>
          </cell>
        </row>
        <row r="25">
          <cell r="E25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6">
          <cell r="E36">
            <v>40596398</v>
          </cell>
        </row>
      </sheetData>
      <sheetData sheetId="9">
        <row r="15">
          <cell r="D15">
            <v>3457929</v>
          </cell>
          <cell r="G15">
            <v>2331577</v>
          </cell>
          <cell r="J15">
            <v>427763</v>
          </cell>
          <cell r="M15">
            <v>48948</v>
          </cell>
        </row>
        <row r="16">
          <cell r="D16">
            <v>430386</v>
          </cell>
          <cell r="G16">
            <v>244370</v>
          </cell>
          <cell r="J16">
            <v>201745</v>
          </cell>
          <cell r="M16">
            <v>21360</v>
          </cell>
        </row>
        <row r="17">
          <cell r="D17">
            <v>2636</v>
          </cell>
          <cell r="G17">
            <v>0</v>
          </cell>
          <cell r="J17">
            <v>2452</v>
          </cell>
          <cell r="M17">
            <v>260</v>
          </cell>
        </row>
        <row r="18">
          <cell r="D18">
            <v>4168</v>
          </cell>
          <cell r="G18">
            <v>0</v>
          </cell>
          <cell r="J18">
            <v>1974</v>
          </cell>
          <cell r="M18">
            <v>209</v>
          </cell>
        </row>
        <row r="19">
          <cell r="D19">
            <v>663</v>
          </cell>
          <cell r="G19">
            <v>0</v>
          </cell>
          <cell r="J19">
            <v>458</v>
          </cell>
          <cell r="M19">
            <v>48</v>
          </cell>
        </row>
        <row r="20">
          <cell r="D20">
            <v>7208</v>
          </cell>
          <cell r="G20">
            <v>31075</v>
          </cell>
          <cell r="J20">
            <v>2910</v>
          </cell>
          <cell r="M20">
            <v>308</v>
          </cell>
        </row>
        <row r="21">
          <cell r="D21">
            <v>1266</v>
          </cell>
          <cell r="G21">
            <v>0</v>
          </cell>
          <cell r="J21">
            <v>537</v>
          </cell>
          <cell r="M21">
            <v>56</v>
          </cell>
        </row>
        <row r="22">
          <cell r="D22">
            <v>481</v>
          </cell>
          <cell r="G22">
            <v>0</v>
          </cell>
          <cell r="J22">
            <v>200</v>
          </cell>
          <cell r="M22">
            <v>21</v>
          </cell>
        </row>
        <row r="23">
          <cell r="D23">
            <v>466</v>
          </cell>
          <cell r="G23">
            <v>0</v>
          </cell>
          <cell r="J23">
            <v>180</v>
          </cell>
          <cell r="M23">
            <v>19</v>
          </cell>
        </row>
        <row r="24">
          <cell r="D24">
            <v>8606</v>
          </cell>
          <cell r="G24">
            <v>37</v>
          </cell>
          <cell r="J24">
            <v>7994</v>
          </cell>
          <cell r="M24">
            <v>846</v>
          </cell>
        </row>
        <row r="25">
          <cell r="D25">
            <v>400</v>
          </cell>
          <cell r="G25">
            <v>0</v>
          </cell>
          <cell r="J25">
            <v>180</v>
          </cell>
          <cell r="M25">
            <v>19</v>
          </cell>
        </row>
        <row r="29">
          <cell r="D29">
            <v>426</v>
          </cell>
          <cell r="G29">
            <v>0</v>
          </cell>
          <cell r="J29">
            <v>160</v>
          </cell>
          <cell r="M29">
            <v>17</v>
          </cell>
        </row>
        <row r="30">
          <cell r="D30">
            <v>224</v>
          </cell>
          <cell r="G30">
            <v>0</v>
          </cell>
          <cell r="J30">
            <v>99</v>
          </cell>
          <cell r="M30">
            <v>10</v>
          </cell>
        </row>
        <row r="31">
          <cell r="D31">
            <v>184</v>
          </cell>
          <cell r="G31">
            <v>0</v>
          </cell>
          <cell r="J31">
            <v>79</v>
          </cell>
          <cell r="M31">
            <v>8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144</v>
          </cell>
          <cell r="G33">
            <v>0</v>
          </cell>
          <cell r="J33">
            <v>59</v>
          </cell>
          <cell r="M33">
            <v>6</v>
          </cell>
        </row>
        <row r="36">
          <cell r="D36">
            <v>3915187</v>
          </cell>
          <cell r="G36">
            <v>2607059</v>
          </cell>
          <cell r="J36">
            <v>646790</v>
          </cell>
          <cell r="M36">
            <v>72135</v>
          </cell>
        </row>
      </sheetData>
      <sheetData sheetId="10">
        <row r="15">
          <cell r="G15">
            <v>317008</v>
          </cell>
        </row>
        <row r="16">
          <cell r="G16">
            <v>188948</v>
          </cell>
        </row>
        <row r="17">
          <cell r="G17">
            <v>738</v>
          </cell>
        </row>
        <row r="18">
          <cell r="G18">
            <v>2494</v>
          </cell>
        </row>
        <row r="19">
          <cell r="G19">
            <v>74</v>
          </cell>
        </row>
        <row r="20">
          <cell r="G20">
            <v>112875</v>
          </cell>
        </row>
        <row r="21">
          <cell r="G21">
            <v>53885</v>
          </cell>
        </row>
        <row r="22">
          <cell r="G22">
            <v>4656</v>
          </cell>
        </row>
        <row r="23">
          <cell r="G23">
            <v>0</v>
          </cell>
        </row>
        <row r="24">
          <cell r="G24">
            <v>6304</v>
          </cell>
        </row>
        <row r="25">
          <cell r="G25">
            <v>57</v>
          </cell>
        </row>
        <row r="29">
          <cell r="G29">
            <v>179</v>
          </cell>
        </row>
        <row r="30">
          <cell r="G30">
            <v>1248</v>
          </cell>
        </row>
        <row r="31">
          <cell r="G31">
            <v>2481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690947</v>
          </cell>
        </row>
      </sheetData>
      <sheetData sheetId="11">
        <row r="15">
          <cell r="H15">
            <v>121452</v>
          </cell>
        </row>
        <row r="16">
          <cell r="H16">
            <v>12293</v>
          </cell>
        </row>
        <row r="17">
          <cell r="H17">
            <v>147</v>
          </cell>
        </row>
        <row r="18">
          <cell r="H18">
            <v>357</v>
          </cell>
        </row>
        <row r="19">
          <cell r="H19">
            <v>27</v>
          </cell>
        </row>
        <row r="20">
          <cell r="H20">
            <v>1520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343</v>
          </cell>
        </row>
        <row r="25">
          <cell r="H25">
            <v>22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6">
          <cell r="H36">
            <v>136161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21"/>
  <sheetViews>
    <sheetView workbookViewId="0" topLeftCell="A5">
      <selection activeCell="A1" sqref="A1"/>
    </sheetView>
  </sheetViews>
  <sheetFormatPr defaultColWidth="8.88671875" defaultRowHeight="15"/>
  <cols>
    <col min="1" max="1" width="24.21484375" style="13" customWidth="1"/>
    <col min="2" max="2" width="18.5546875" style="13" customWidth="1"/>
    <col min="3" max="3" width="8.88671875" style="13" customWidth="1"/>
    <col min="4" max="4" width="16.5546875" style="13" customWidth="1"/>
    <col min="5" max="16384" width="8.88671875" style="13" customWidth="1"/>
  </cols>
  <sheetData>
    <row r="1" ht="11.25" customHeight="1"/>
    <row r="2" spans="1:2" ht="15">
      <c r="A2" s="13" t="s">
        <v>1038</v>
      </c>
      <c r="B2" s="112" t="s">
        <v>1356</v>
      </c>
    </row>
    <row r="3" spans="1:6" ht="15">
      <c r="A3" s="13" t="s">
        <v>1039</v>
      </c>
      <c r="B3" s="112" t="str">
        <f>header_name</f>
        <v>ELECTRIC CASE NO:  2006-00172</v>
      </c>
      <c r="F3" s="13" t="s">
        <v>1245</v>
      </c>
    </row>
    <row r="4" spans="1:6" ht="15">
      <c r="A4" s="13" t="s">
        <v>1040</v>
      </c>
      <c r="B4" s="112" t="s">
        <v>1244</v>
      </c>
      <c r="F4" s="13" t="s">
        <v>1246</v>
      </c>
    </row>
    <row r="5" spans="1:6" ht="15">
      <c r="A5" s="13" t="s">
        <v>1212</v>
      </c>
      <c r="B5" s="213" t="str">
        <f>RIGHT('[2]INPUT'!F8,7)&amp;"    "&amp;+RIGHT(orig_alloc!B13,21)</f>
        <v>FR-9v-2     (AVERAGE  &amp;  EXCESS)</v>
      </c>
      <c r="C5" s="204"/>
      <c r="D5" s="204"/>
      <c r="F5" s="13" t="s">
        <v>1267</v>
      </c>
    </row>
    <row r="6" spans="1:2" ht="15.75" thickBot="1">
      <c r="A6" s="13" t="s">
        <v>1197</v>
      </c>
      <c r="B6" s="176">
        <f ca="1">NOW()</f>
        <v>38915.48055127315</v>
      </c>
    </row>
    <row r="7" spans="1:12" ht="35.25" customHeight="1" thickBot="1">
      <c r="A7" s="192" t="s">
        <v>1243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ht="24.75" customHeight="1">
      <c r="A8" s="184" t="s">
        <v>1198</v>
      </c>
    </row>
    <row r="9" spans="2:4" ht="17.25">
      <c r="B9" s="185" t="s">
        <v>1042</v>
      </c>
      <c r="C9" s="186"/>
      <c r="D9" s="186"/>
    </row>
    <row r="10" ht="18.75" customHeight="1"/>
    <row r="12" ht="19.5" customHeight="1"/>
    <row r="14" ht="21" customHeight="1">
      <c r="A14" s="187" t="s">
        <v>1053</v>
      </c>
    </row>
    <row r="16" ht="21" customHeight="1">
      <c r="A16" s="188" t="s">
        <v>1054</v>
      </c>
    </row>
    <row r="18" ht="25.5" customHeight="1"/>
    <row r="19" ht="10.5" customHeight="1"/>
    <row r="20" spans="2:4" ht="21" customHeight="1">
      <c r="B20" s="185" t="s">
        <v>1041</v>
      </c>
      <c r="C20" s="186"/>
      <c r="D20" s="186"/>
    </row>
    <row r="31" ht="21.75" customHeight="1"/>
    <row r="32" ht="18" customHeight="1"/>
    <row r="33" ht="18" customHeight="1"/>
    <row r="34" ht="18" customHeight="1"/>
    <row r="35" ht="18" customHeight="1"/>
    <row r="44" spans="1:2" ht="15">
      <c r="A44" s="189" t="s">
        <v>308</v>
      </c>
      <c r="B44" s="189" t="s">
        <v>1067</v>
      </c>
    </row>
    <row r="45" spans="1:2" ht="15">
      <c r="A45" s="189" t="s">
        <v>1068</v>
      </c>
      <c r="B45" s="189" t="s">
        <v>1069</v>
      </c>
    </row>
    <row r="46" spans="1:2" ht="15">
      <c r="A46" s="189" t="s">
        <v>1070</v>
      </c>
      <c r="B46" s="189" t="s">
        <v>1071</v>
      </c>
    </row>
    <row r="47" spans="1:2" ht="15">
      <c r="A47" s="189" t="s">
        <v>1072</v>
      </c>
      <c r="B47" s="189" t="s">
        <v>1071</v>
      </c>
    </row>
    <row r="48" spans="1:2" ht="15">
      <c r="A48" s="189" t="s">
        <v>302</v>
      </c>
      <c r="B48" s="189" t="s">
        <v>1143</v>
      </c>
    </row>
    <row r="49" spans="1:2" ht="15">
      <c r="A49" s="189" t="s">
        <v>961</v>
      </c>
      <c r="B49" s="189" t="s">
        <v>1158</v>
      </c>
    </row>
    <row r="50" spans="1:2" ht="15">
      <c r="A50" s="189" t="s">
        <v>956</v>
      </c>
      <c r="B50" s="189" t="s">
        <v>1148</v>
      </c>
    </row>
    <row r="51" spans="1:2" ht="15">
      <c r="A51" s="189" t="s">
        <v>1149</v>
      </c>
      <c r="B51" s="189" t="s">
        <v>1150</v>
      </c>
    </row>
    <row r="52" spans="1:2" ht="15">
      <c r="A52" s="189" t="s">
        <v>1165</v>
      </c>
      <c r="B52" s="189" t="s">
        <v>1169</v>
      </c>
    </row>
    <row r="53" spans="1:2" ht="15">
      <c r="A53" s="189" t="s">
        <v>1163</v>
      </c>
      <c r="B53" s="189" t="s">
        <v>1168</v>
      </c>
    </row>
    <row r="54" spans="1:2" ht="15">
      <c r="A54" s="189" t="s">
        <v>1166</v>
      </c>
      <c r="B54" s="189" t="s">
        <v>1164</v>
      </c>
    </row>
    <row r="55" spans="1:2" ht="15">
      <c r="A55" s="189" t="s">
        <v>1144</v>
      </c>
      <c r="B55" s="189" t="s">
        <v>1145</v>
      </c>
    </row>
    <row r="56" spans="1:2" ht="15">
      <c r="A56" s="189" t="s">
        <v>1146</v>
      </c>
      <c r="B56" s="189" t="s">
        <v>1147</v>
      </c>
    </row>
    <row r="57" spans="1:2" ht="15">
      <c r="A57" s="189" t="s">
        <v>957</v>
      </c>
      <c r="B57" s="189" t="s">
        <v>1151</v>
      </c>
    </row>
    <row r="58" spans="1:2" ht="15">
      <c r="A58" s="189" t="s">
        <v>1152</v>
      </c>
      <c r="B58" s="189" t="s">
        <v>1167</v>
      </c>
    </row>
    <row r="59" spans="1:2" ht="15">
      <c r="A59" s="189" t="s">
        <v>960</v>
      </c>
      <c r="B59" s="189" t="s">
        <v>1153</v>
      </c>
    </row>
    <row r="60" spans="1:2" ht="15">
      <c r="A60" s="189" t="s">
        <v>1156</v>
      </c>
      <c r="B60" s="189" t="s">
        <v>1155</v>
      </c>
    </row>
    <row r="61" spans="1:2" ht="15">
      <c r="A61" s="189" t="s">
        <v>1159</v>
      </c>
      <c r="B61" s="189" t="s">
        <v>1157</v>
      </c>
    </row>
    <row r="62" spans="1:2" ht="15">
      <c r="A62" s="189" t="s">
        <v>1161</v>
      </c>
      <c r="B62" s="189" t="s">
        <v>1160</v>
      </c>
    </row>
    <row r="63" spans="1:2" ht="15">
      <c r="A63" s="189" t="s">
        <v>958</v>
      </c>
      <c r="B63" s="189" t="s">
        <v>1162</v>
      </c>
    </row>
    <row r="64" spans="1:2" ht="15">
      <c r="A64" s="189" t="s">
        <v>955</v>
      </c>
      <c r="B64" s="189" t="s">
        <v>1154</v>
      </c>
    </row>
    <row r="65" spans="1:2" ht="15">
      <c r="A65" s="189" t="s">
        <v>959</v>
      </c>
      <c r="B65" s="189" t="s">
        <v>1143</v>
      </c>
    </row>
    <row r="66" spans="1:2" ht="15">
      <c r="A66" s="189" t="s">
        <v>962</v>
      </c>
      <c r="B66" s="189" t="s">
        <v>1074</v>
      </c>
    </row>
    <row r="67" spans="1:2" ht="15">
      <c r="A67" s="189" t="s">
        <v>1039</v>
      </c>
      <c r="B67" s="189" t="s">
        <v>1075</v>
      </c>
    </row>
    <row r="68" spans="1:2" ht="15">
      <c r="A68" s="189" t="s">
        <v>963</v>
      </c>
      <c r="B68" s="189" t="s">
        <v>1076</v>
      </c>
    </row>
    <row r="69" spans="1:2" ht="15">
      <c r="A69" s="189" t="s">
        <v>1077</v>
      </c>
      <c r="B69" s="189" t="s">
        <v>1078</v>
      </c>
    </row>
    <row r="70" spans="1:2" ht="15">
      <c r="A70" s="189" t="s">
        <v>964</v>
      </c>
      <c r="B70" s="189" t="s">
        <v>1079</v>
      </c>
    </row>
    <row r="71" spans="1:2" ht="15">
      <c r="A71" s="189" t="s">
        <v>1080</v>
      </c>
      <c r="B71" s="189" t="s">
        <v>1081</v>
      </c>
    </row>
    <row r="72" spans="1:2" ht="15">
      <c r="A72" s="189" t="s">
        <v>1082</v>
      </c>
      <c r="B72" s="189" t="s">
        <v>1083</v>
      </c>
    </row>
    <row r="73" spans="1:2" ht="15">
      <c r="A73" s="189" t="s">
        <v>965</v>
      </c>
      <c r="B73" s="189" t="s">
        <v>1084</v>
      </c>
    </row>
    <row r="74" spans="1:2" ht="15">
      <c r="A74" s="189" t="s">
        <v>966</v>
      </c>
      <c r="B74" s="189" t="s">
        <v>1085</v>
      </c>
    </row>
    <row r="75" spans="1:2" ht="15">
      <c r="A75" s="189" t="s">
        <v>967</v>
      </c>
      <c r="B75" s="189" t="s">
        <v>1073</v>
      </c>
    </row>
    <row r="76" spans="1:2" ht="15">
      <c r="A76" s="189" t="s">
        <v>968</v>
      </c>
      <c r="B76" s="189" t="s">
        <v>1086</v>
      </c>
    </row>
    <row r="77" spans="1:2" ht="15">
      <c r="A77" s="189" t="s">
        <v>969</v>
      </c>
      <c r="B77" s="189" t="s">
        <v>1087</v>
      </c>
    </row>
    <row r="78" spans="1:2" ht="15">
      <c r="A78" s="189" t="s">
        <v>1088</v>
      </c>
      <c r="B78" s="189" t="s">
        <v>1089</v>
      </c>
    </row>
    <row r="79" spans="1:2" ht="15">
      <c r="A79" s="189" t="s">
        <v>1090</v>
      </c>
      <c r="B79" s="189" t="s">
        <v>1091</v>
      </c>
    </row>
    <row r="80" spans="1:2" ht="15">
      <c r="A80" s="189" t="s">
        <v>970</v>
      </c>
      <c r="B80" s="189" t="s">
        <v>1092</v>
      </c>
    </row>
    <row r="81" spans="1:2" ht="15">
      <c r="A81" s="189" t="s">
        <v>1038</v>
      </c>
      <c r="B81" s="189" t="s">
        <v>1093</v>
      </c>
    </row>
    <row r="82" spans="1:2" ht="15">
      <c r="A82" s="189" t="s">
        <v>971</v>
      </c>
      <c r="B82" s="189" t="s">
        <v>1094</v>
      </c>
    </row>
    <row r="83" spans="1:2" ht="15">
      <c r="A83" s="189" t="s">
        <v>972</v>
      </c>
      <c r="B83" s="189" t="s">
        <v>1095</v>
      </c>
    </row>
    <row r="84" spans="1:2" ht="15">
      <c r="A84" s="189" t="s">
        <v>973</v>
      </c>
      <c r="B84" s="189" t="s">
        <v>1096</v>
      </c>
    </row>
    <row r="85" spans="1:2" ht="15">
      <c r="A85" s="189" t="s">
        <v>1097</v>
      </c>
      <c r="B85" s="189" t="s">
        <v>1098</v>
      </c>
    </row>
    <row r="86" spans="1:2" ht="15">
      <c r="A86" s="189" t="s">
        <v>974</v>
      </c>
      <c r="B86" s="189" t="s">
        <v>1099</v>
      </c>
    </row>
    <row r="87" spans="1:2" ht="15">
      <c r="A87" s="189" t="s">
        <v>975</v>
      </c>
      <c r="B87" s="189" t="s">
        <v>1100</v>
      </c>
    </row>
    <row r="88" spans="1:2" ht="15">
      <c r="A88" s="189" t="s">
        <v>1101</v>
      </c>
      <c r="B88" s="189" t="s">
        <v>1102</v>
      </c>
    </row>
    <row r="89" spans="1:2" ht="15">
      <c r="A89" s="189" t="s">
        <v>976</v>
      </c>
      <c r="B89" s="189" t="s">
        <v>1103</v>
      </c>
    </row>
    <row r="90" spans="1:2" ht="15">
      <c r="A90" s="189" t="s">
        <v>1104</v>
      </c>
      <c r="B90" s="189" t="s">
        <v>1105</v>
      </c>
    </row>
    <row r="91" spans="1:2" ht="15">
      <c r="A91" s="189" t="s">
        <v>977</v>
      </c>
      <c r="B91" s="189" t="s">
        <v>1106</v>
      </c>
    </row>
    <row r="92" spans="1:2" ht="15">
      <c r="A92" s="189" t="s">
        <v>978</v>
      </c>
      <c r="B92" s="189" t="s">
        <v>1107</v>
      </c>
    </row>
    <row r="93" spans="1:2" ht="15">
      <c r="A93" s="189" t="s">
        <v>1108</v>
      </c>
      <c r="B93" s="189" t="s">
        <v>1109</v>
      </c>
    </row>
    <row r="94" spans="1:2" ht="15">
      <c r="A94" s="189" t="s">
        <v>979</v>
      </c>
      <c r="B94" s="189" t="s">
        <v>1110</v>
      </c>
    </row>
    <row r="95" spans="1:2" ht="15">
      <c r="A95" s="189" t="s">
        <v>980</v>
      </c>
      <c r="B95" s="189" t="s">
        <v>1111</v>
      </c>
    </row>
    <row r="96" spans="1:2" ht="15">
      <c r="A96" s="189" t="s">
        <v>1112</v>
      </c>
      <c r="B96" s="189" t="s">
        <v>1113</v>
      </c>
    </row>
    <row r="97" spans="1:2" ht="15">
      <c r="A97" s="189" t="s">
        <v>981</v>
      </c>
      <c r="B97" s="189" t="s">
        <v>1114</v>
      </c>
    </row>
    <row r="98" spans="1:2" ht="15">
      <c r="A98" s="189" t="s">
        <v>1115</v>
      </c>
      <c r="B98" s="189" t="s">
        <v>1116</v>
      </c>
    </row>
    <row r="99" spans="1:2" ht="15">
      <c r="A99" s="189" t="s">
        <v>982</v>
      </c>
      <c r="B99" s="189" t="s">
        <v>1117</v>
      </c>
    </row>
    <row r="100" spans="1:2" ht="15">
      <c r="A100" s="189" t="s">
        <v>983</v>
      </c>
      <c r="B100" s="189" t="s">
        <v>1118</v>
      </c>
    </row>
    <row r="101" spans="1:2" ht="15">
      <c r="A101" s="189" t="s">
        <v>1119</v>
      </c>
      <c r="B101" s="189" t="s">
        <v>1120</v>
      </c>
    </row>
    <row r="102" spans="1:2" ht="15">
      <c r="A102" s="189" t="s">
        <v>1121</v>
      </c>
      <c r="B102" s="189" t="s">
        <v>1122</v>
      </c>
    </row>
    <row r="103" spans="1:2" ht="15">
      <c r="A103" s="189" t="s">
        <v>1123</v>
      </c>
      <c r="B103" s="189" t="s">
        <v>1124</v>
      </c>
    </row>
    <row r="104" spans="1:2" ht="15">
      <c r="A104" s="189" t="s">
        <v>984</v>
      </c>
      <c r="B104" s="189" t="s">
        <v>1125</v>
      </c>
    </row>
    <row r="105" spans="1:2" ht="15">
      <c r="A105" s="189" t="s">
        <v>985</v>
      </c>
      <c r="B105" s="189" t="s">
        <v>1125</v>
      </c>
    </row>
    <row r="106" spans="1:2" ht="15">
      <c r="A106" s="189" t="s">
        <v>986</v>
      </c>
      <c r="B106" s="189" t="s">
        <v>987</v>
      </c>
    </row>
    <row r="107" spans="1:2" ht="15">
      <c r="A107" s="189" t="s">
        <v>1126</v>
      </c>
      <c r="B107" s="189" t="s">
        <v>1127</v>
      </c>
    </row>
    <row r="108" spans="1:2" ht="15">
      <c r="A108" s="189" t="s">
        <v>988</v>
      </c>
      <c r="B108" s="189" t="s">
        <v>1128</v>
      </c>
    </row>
    <row r="109" spans="1:2" ht="15">
      <c r="A109" s="189" t="s">
        <v>1129</v>
      </c>
      <c r="B109" s="189" t="s">
        <v>1130</v>
      </c>
    </row>
    <row r="110" spans="1:2" ht="15">
      <c r="A110" s="189" t="s">
        <v>989</v>
      </c>
      <c r="B110" s="189" t="s">
        <v>1131</v>
      </c>
    </row>
    <row r="111" spans="1:2" ht="15">
      <c r="A111" s="189" t="s">
        <v>990</v>
      </c>
      <c r="B111" s="189" t="s">
        <v>1132</v>
      </c>
    </row>
    <row r="112" spans="1:2" ht="15">
      <c r="A112" s="189" t="s">
        <v>1133</v>
      </c>
      <c r="B112" s="189" t="s">
        <v>1134</v>
      </c>
    </row>
    <row r="113" spans="1:2" ht="15">
      <c r="A113" s="189" t="s">
        <v>1040</v>
      </c>
      <c r="B113" s="189" t="s">
        <v>1135</v>
      </c>
    </row>
    <row r="114" spans="1:2" ht="15">
      <c r="A114" s="189" t="s">
        <v>991</v>
      </c>
      <c r="B114" s="189" t="s">
        <v>1074</v>
      </c>
    </row>
    <row r="115" spans="1:2" ht="15">
      <c r="A115" s="189" t="s">
        <v>992</v>
      </c>
      <c r="B115" s="189" t="s">
        <v>1136</v>
      </c>
    </row>
    <row r="116" spans="1:2" ht="15">
      <c r="A116" s="189" t="s">
        <v>993</v>
      </c>
      <c r="B116" s="189" t="s">
        <v>1137</v>
      </c>
    </row>
    <row r="117" spans="1:2" ht="15">
      <c r="A117" s="189" t="s">
        <v>994</v>
      </c>
      <c r="B117" s="189" t="s">
        <v>1096</v>
      </c>
    </row>
    <row r="118" spans="1:2" ht="15">
      <c r="A118" s="189" t="s">
        <v>995</v>
      </c>
      <c r="B118" s="189" t="s">
        <v>1138</v>
      </c>
    </row>
    <row r="119" spans="1:2" ht="15">
      <c r="A119" s="189" t="s">
        <v>996</v>
      </c>
      <c r="B119" s="189" t="s">
        <v>1139</v>
      </c>
    </row>
    <row r="120" spans="1:2" ht="15">
      <c r="A120" s="189" t="s">
        <v>1140</v>
      </c>
      <c r="B120" s="189" t="s">
        <v>1141</v>
      </c>
    </row>
    <row r="121" spans="1:2" ht="15">
      <c r="A121" s="189" t="s">
        <v>997</v>
      </c>
      <c r="B121" s="189" t="s">
        <v>1142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AJ486"/>
  <sheetViews>
    <sheetView zoomScale="75" zoomScaleNormal="75" workbookViewId="0" topLeftCell="A1">
      <pane xSplit="3" ySplit="11" topLeftCell="D12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E13" sqref="E13"/>
    </sheetView>
  </sheetViews>
  <sheetFormatPr defaultColWidth="8.88671875" defaultRowHeight="15"/>
  <cols>
    <col min="1" max="1" width="5.3359375" style="0" customWidth="1"/>
    <col min="2" max="2" width="39.5546875" style="0" customWidth="1"/>
    <col min="3" max="3" width="17.3359375" style="0" customWidth="1"/>
    <col min="4" max="4" width="7.3359375" style="0" customWidth="1"/>
    <col min="5" max="6" width="17.77734375" style="0" customWidth="1"/>
    <col min="7" max="11" width="16.10546875" style="0" customWidth="1"/>
    <col min="12" max="12" width="17.88671875" style="0" bestFit="1" customWidth="1"/>
    <col min="13" max="13" width="14.6640625" style="0" bestFit="1" customWidth="1"/>
    <col min="14" max="14" width="14.5546875" style="0" customWidth="1"/>
    <col min="15" max="16" width="14.3359375" style="0" customWidth="1"/>
    <col min="17" max="17" width="15.3359375" style="0" hidden="1" customWidth="1"/>
    <col min="18" max="19" width="14.77734375" style="0" bestFit="1" customWidth="1"/>
    <col min="20" max="20" width="14.5546875" style="0" customWidth="1"/>
    <col min="21" max="21" width="14.6640625" style="0" hidden="1" customWidth="1"/>
    <col min="22" max="22" width="15.6640625" style="0" customWidth="1"/>
    <col min="23" max="23" width="15.6640625" style="0" bestFit="1" customWidth="1"/>
    <col min="24" max="24" width="15.3359375" style="0" bestFit="1" customWidth="1"/>
  </cols>
  <sheetData>
    <row r="1" spans="2:22" ht="17.25">
      <c r="B1" s="207" t="str">
        <f>+COSS_A1</f>
        <v>DUKE ENERGY KENTUCKY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4" ht="15">
      <c r="B2" s="1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0"/>
      <c r="X2" s="12"/>
    </row>
    <row r="3" spans="2:23" ht="15">
      <c r="B3" s="127" t="s">
        <v>717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8"/>
      <c r="S3" s="8"/>
      <c r="T3" s="42"/>
      <c r="U3" s="26"/>
      <c r="V3" s="8"/>
      <c r="W3" s="77">
        <f ca="1">NOW()</f>
        <v>38915.48055127315</v>
      </c>
    </row>
    <row r="4" spans="2:24" ht="15">
      <c r="B4" s="127" t="str">
        <f>+time_period</f>
        <v>TWELVE MONTHS ENDING DECEMBER 31, 2007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2"/>
      <c r="U4" s="26"/>
      <c r="W4" s="26"/>
      <c r="X4" s="26"/>
    </row>
    <row r="5" spans="2:24" ht="15">
      <c r="B5" s="270" t="str">
        <f>VERSION</f>
        <v>FR-9v-2     (AVERAGE  &amp;  EXCESS)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42"/>
      <c r="U5" s="26"/>
      <c r="V5" s="26"/>
      <c r="W5" s="26"/>
      <c r="X5" s="26"/>
    </row>
    <row r="6" spans="2:24" ht="15">
      <c r="B6" s="127" t="str">
        <f>+case_name</f>
        <v>ELECTRIC CASE NO:  2006-00172</v>
      </c>
      <c r="C6" s="26"/>
      <c r="D6" s="26"/>
      <c r="E6" s="26"/>
      <c r="F6" s="26"/>
      <c r="G6" s="26"/>
      <c r="H6" s="26"/>
      <c r="I6" s="26"/>
      <c r="J6" s="26"/>
      <c r="K6" s="26"/>
      <c r="L6" s="15"/>
      <c r="M6" s="15"/>
      <c r="N6" s="15"/>
      <c r="O6" s="26"/>
      <c r="P6" s="26"/>
      <c r="Q6" s="26"/>
      <c r="R6" s="26"/>
      <c r="S6" s="26"/>
      <c r="T6" s="20"/>
      <c r="U6" s="26"/>
      <c r="V6" s="26"/>
      <c r="W6" s="26"/>
      <c r="X6" s="26"/>
    </row>
    <row r="7" spans="3:24" ht="15">
      <c r="C7" s="26"/>
      <c r="D7" s="26"/>
      <c r="E7" s="26"/>
      <c r="F7" s="26"/>
      <c r="G7" s="26"/>
      <c r="H7" s="26"/>
      <c r="I7" s="26"/>
      <c r="J7" s="26"/>
      <c r="K7" s="26"/>
      <c r="L7" s="15"/>
      <c r="M7" s="15"/>
      <c r="N7" s="15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2:25" ht="15">
      <c r="B8" s="31"/>
      <c r="C8" s="31"/>
      <c r="D8" s="31"/>
      <c r="E8" s="31"/>
      <c r="F8" s="122" t="str">
        <f>+coss!E6</f>
        <v>RS</v>
      </c>
      <c r="G8" s="122" t="str">
        <f>+coss!F6</f>
        <v>DS</v>
      </c>
      <c r="H8" s="122" t="str">
        <f>+coss!G6</f>
        <v>DS_RTP</v>
      </c>
      <c r="I8" s="122" t="str">
        <f>+coss!H6</f>
        <v>GSFL</v>
      </c>
      <c r="J8" s="122" t="str">
        <f>+coss!I6</f>
        <v>EH</v>
      </c>
      <c r="K8" s="122" t="str">
        <f>+coss!J6</f>
        <v>SP</v>
      </c>
      <c r="L8" s="122" t="str">
        <f>+coss!K6</f>
        <v>DT_SEC</v>
      </c>
      <c r="M8" s="122" t="str">
        <f>+coss!L6</f>
        <v>DT_SEC_RTP</v>
      </c>
      <c r="N8" s="122" t="str">
        <f>+coss!M6</f>
        <v>DT_PRI</v>
      </c>
      <c r="O8" s="122" t="str">
        <f>+coss!N6</f>
        <v>DT_PRI_RTP</v>
      </c>
      <c r="P8" s="122" t="str">
        <f>+coss!O6</f>
        <v>DP</v>
      </c>
      <c r="Q8" s="122" t="str">
        <f>+coss!P6</f>
        <v>DP_RTP</v>
      </c>
      <c r="R8" s="122" t="str">
        <f>+coss!Q6</f>
        <v>TT</v>
      </c>
      <c r="S8" s="122" t="str">
        <f>+coss!R6</f>
        <v>TT_RTP</v>
      </c>
      <c r="T8" s="122" t="str">
        <f>+coss!S6</f>
        <v>LT</v>
      </c>
      <c r="U8" s="31"/>
      <c r="V8" s="31"/>
      <c r="W8" s="31"/>
      <c r="X8" s="31"/>
      <c r="Y8" s="13"/>
    </row>
    <row r="9" spans="2:24" ht="15">
      <c r="B9" s="121"/>
      <c r="C9" s="121"/>
      <c r="D9" s="121"/>
      <c r="E9" s="123" t="s">
        <v>304</v>
      </c>
      <c r="F9" s="122">
        <f>+coss!E7</f>
      </c>
      <c r="G9" s="122" t="str">
        <f>+coss!F7</f>
        <v>SECONDARY</v>
      </c>
      <c r="H9" s="122" t="str">
        <f>+coss!G7</f>
        <v>INCR.</v>
      </c>
      <c r="I9" s="122" t="str">
        <f>+coss!H7</f>
        <v>SECONDARY</v>
      </c>
      <c r="J9" s="122" t="str">
        <f>+coss!I7</f>
        <v>SECONDARY</v>
      </c>
      <c r="K9" s="122" t="str">
        <f>+coss!J7</f>
        <v>SECONDARY</v>
      </c>
      <c r="L9" s="122" t="str">
        <f>+coss!K7</f>
        <v>SECONDARY</v>
      </c>
      <c r="M9" s="122" t="str">
        <f>+coss!L7</f>
        <v>INCR.</v>
      </c>
      <c r="N9" s="122" t="str">
        <f>+coss!M7</f>
        <v>PRIMARY</v>
      </c>
      <c r="O9" s="122" t="str">
        <f>+coss!N7</f>
        <v>INCR.</v>
      </c>
      <c r="P9" s="122" t="str">
        <f>+coss!O7</f>
        <v>PRIMARY</v>
      </c>
      <c r="Q9" s="122" t="str">
        <f>+coss!P7</f>
        <v>INCR.</v>
      </c>
      <c r="R9" s="122" t="str">
        <f>+coss!Q7</f>
        <v>TRANSMISSION</v>
      </c>
      <c r="S9" s="122" t="str">
        <f>+coss!R7</f>
        <v>INCR. TRANS</v>
      </c>
      <c r="T9" s="122">
        <f>+coss!S7</f>
      </c>
      <c r="U9" s="124" t="s">
        <v>306</v>
      </c>
      <c r="V9" s="32" t="s">
        <v>301</v>
      </c>
      <c r="W9" s="117" t="s">
        <v>304</v>
      </c>
      <c r="X9" s="123" t="s">
        <v>308</v>
      </c>
    </row>
    <row r="10" spans="2:24" ht="15">
      <c r="B10" s="125" t="s">
        <v>303</v>
      </c>
      <c r="C10" s="125" t="s">
        <v>309</v>
      </c>
      <c r="D10" s="125" t="s">
        <v>332</v>
      </c>
      <c r="E10" s="125" t="s">
        <v>311</v>
      </c>
      <c r="F10" s="119" t="str">
        <f>+coss!E8</f>
        <v>RESIDENTIAL</v>
      </c>
      <c r="G10" s="119" t="str">
        <f>+coss!F8</f>
        <v>DISTRIBUTION</v>
      </c>
      <c r="H10" s="119" t="str">
        <f>+coss!G8</f>
        <v>SEC. DISTR.</v>
      </c>
      <c r="I10" s="119" t="str">
        <f>+coss!H8</f>
        <v>DISTRIBUTION</v>
      </c>
      <c r="J10" s="119" t="str">
        <f>+coss!I8</f>
        <v>DISTRIBUTION</v>
      </c>
      <c r="K10" s="119" t="str">
        <f>+coss!J8</f>
        <v>DISTRIBUTION</v>
      </c>
      <c r="L10" s="119" t="str">
        <f>+coss!K8</f>
        <v>DISTRIBUTION</v>
      </c>
      <c r="M10" s="119" t="str">
        <f>+coss!L8</f>
        <v>SEC. DIST</v>
      </c>
      <c r="N10" s="119" t="str">
        <f>+coss!M8</f>
        <v>DISTRIBUTION</v>
      </c>
      <c r="O10" s="119" t="str">
        <f>+coss!N8</f>
        <v>PRI. DIST</v>
      </c>
      <c r="P10" s="119" t="str">
        <f>+coss!O8</f>
        <v>DISTRIBUTION</v>
      </c>
      <c r="Q10" s="119" t="str">
        <f>+coss!P8</f>
        <v>PRI. DISTR.</v>
      </c>
      <c r="R10" s="119" t="str">
        <f>+coss!Q8</f>
        <v>TIME OF DAY</v>
      </c>
      <c r="S10" s="119" t="str">
        <f>+coss!R8</f>
        <v>TIME OF DAY</v>
      </c>
      <c r="T10" s="119" t="str">
        <f>+coss!S8</f>
        <v>LIGHTING</v>
      </c>
      <c r="U10" s="126" t="s">
        <v>302</v>
      </c>
      <c r="V10" s="126" t="s">
        <v>316</v>
      </c>
      <c r="W10" s="126" t="s">
        <v>315</v>
      </c>
      <c r="X10" s="125" t="s">
        <v>316</v>
      </c>
    </row>
    <row r="11" spans="2:24" ht="15">
      <c r="B11" s="42"/>
      <c r="C11" s="42"/>
      <c r="D11" s="42"/>
      <c r="E11" s="2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8"/>
    </row>
    <row r="12" spans="2:24" ht="15">
      <c r="B12" s="54" t="s">
        <v>200</v>
      </c>
      <c r="C12" s="54" t="s">
        <v>853</v>
      </c>
      <c r="D12" s="54"/>
      <c r="E12" s="7"/>
      <c r="F12" s="7"/>
      <c r="G12" s="7"/>
      <c r="H12" s="7"/>
      <c r="I12" s="7"/>
      <c r="J12" s="7"/>
      <c r="K12" s="7"/>
      <c r="L12" s="25"/>
      <c r="M12" s="25"/>
      <c r="N12" s="25"/>
      <c r="O12" s="25"/>
      <c r="P12" s="7"/>
      <c r="Q12" s="7"/>
      <c r="R12" s="7"/>
      <c r="S12" s="7"/>
      <c r="T12" s="7"/>
      <c r="U12" s="7"/>
      <c r="V12" s="7"/>
      <c r="W12" s="7"/>
      <c r="X12" s="7"/>
    </row>
    <row r="13" spans="1:26" ht="17.25">
      <c r="A13" s="22" t="s">
        <v>318</v>
      </c>
      <c r="B13" s="22" t="str">
        <f>+'[2]INPUT'!$F$10</f>
        <v>TOTAL KW (AVERAGE  &amp;  EXCESS)</v>
      </c>
      <c r="C13" s="41"/>
      <c r="D13" s="8"/>
      <c r="E13" s="242">
        <f>+'[2]alloc1-gen'!$D$36</f>
        <v>870000</v>
      </c>
      <c r="F13" s="242">
        <f>+'[2]alloc1-gen'!$D$15</f>
        <v>449843</v>
      </c>
      <c r="G13" s="242">
        <f>+'[2]alloc1-gen'!$D$16</f>
        <v>193421</v>
      </c>
      <c r="H13" s="242">
        <f>+'[2]alloc1-gen'!$D$29</f>
        <v>190</v>
      </c>
      <c r="I13" s="242">
        <f>+'[2]alloc1-gen'!$D$17</f>
        <v>778</v>
      </c>
      <c r="J13" s="242">
        <f>+'[2]alloc1-gen'!$D$18</f>
        <v>3699</v>
      </c>
      <c r="K13" s="242">
        <f>+'[2]alloc1-gen'!$D$19</f>
        <v>87</v>
      </c>
      <c r="L13" s="242">
        <f>+'[2]alloc1-gen'!$D$20</f>
        <v>106815</v>
      </c>
      <c r="M13" s="242">
        <f>+'[2]alloc1-gen'!$D$30</f>
        <v>1562</v>
      </c>
      <c r="N13" s="242">
        <f>+'[2]alloc1-gen'!$D$21</f>
        <v>68547</v>
      </c>
      <c r="O13" s="242">
        <f>+'[2]alloc1-gen'!$D$31</f>
        <v>3291</v>
      </c>
      <c r="P13" s="242">
        <f>+'[2]alloc1-gen'!$D$22</f>
        <v>5097</v>
      </c>
      <c r="Q13" s="242">
        <f>+'[2]alloc1-gen'!$D$32</f>
        <v>0</v>
      </c>
      <c r="R13" s="242">
        <f>+'[2]alloc1-gen'!$D$23</f>
        <v>30267</v>
      </c>
      <c r="S13" s="242">
        <f>+'[2]alloc1-gen'!$D$33</f>
        <v>1755</v>
      </c>
      <c r="T13" s="242">
        <f>+'[2]alloc1-gen'!$D$24</f>
        <v>4506</v>
      </c>
      <c r="U13" s="242">
        <v>0</v>
      </c>
      <c r="V13" s="242">
        <f>+'[2]alloc1-gen'!$D$25</f>
        <v>142</v>
      </c>
      <c r="W13" s="243">
        <f aca="true" t="shared" si="0" ref="W13:W20">SUM(F13:V13)</f>
        <v>870000</v>
      </c>
      <c r="X13" s="24">
        <f>+E13-E13</f>
        <v>0</v>
      </c>
      <c r="Y13" s="22" t="s">
        <v>318</v>
      </c>
      <c r="Z13" t="s">
        <v>1228</v>
      </c>
    </row>
    <row r="14" spans="1:28" ht="17.25">
      <c r="A14" s="41"/>
      <c r="B14" s="20" t="s">
        <v>317</v>
      </c>
      <c r="C14" s="22" t="s">
        <v>318</v>
      </c>
      <c r="D14" s="8" t="str">
        <f>+C14</f>
        <v>K201</v>
      </c>
      <c r="E14" s="244">
        <v>1</v>
      </c>
      <c r="F14" s="244">
        <f aca="true" t="shared" si="1" ref="F14:U14">IF($E13=0,0,ROUND(F13/$E13,9))</f>
        <v>0.51706092</v>
      </c>
      <c r="G14" s="244">
        <f t="shared" si="1"/>
        <v>0.222322989</v>
      </c>
      <c r="H14" s="244">
        <f t="shared" si="1"/>
        <v>0.000218391</v>
      </c>
      <c r="I14" s="244">
        <f>IF($E13=0,0,ROUND(I13/$E13,9))</f>
        <v>0.000894253</v>
      </c>
      <c r="J14" s="244">
        <f>IF($E13=0,0,ROUND(J13/$E13,9))</f>
        <v>0.004251724</v>
      </c>
      <c r="K14" s="244">
        <f>IF($E13=0,0,ROUND(K13/$E13,9))</f>
        <v>0.0001</v>
      </c>
      <c r="L14" s="244">
        <f t="shared" si="1"/>
        <v>0.122775862</v>
      </c>
      <c r="M14" s="244">
        <f t="shared" si="1"/>
        <v>0.001795402</v>
      </c>
      <c r="N14" s="244">
        <f t="shared" si="1"/>
        <v>0.078789655</v>
      </c>
      <c r="O14" s="244">
        <f>IF($E13=0,0,ROUND(O13/$E13,9))</f>
        <v>0.003782759</v>
      </c>
      <c r="P14" s="244">
        <f>IF($E13=0,0,ROUND(P13/$E13,9))</f>
        <v>0.005858621</v>
      </c>
      <c r="Q14" s="244">
        <f>IF($E13=0,0,ROUND(Q13/$E13,9))</f>
        <v>0</v>
      </c>
      <c r="R14" s="244">
        <f t="shared" si="1"/>
        <v>0.034789655</v>
      </c>
      <c r="S14" s="244">
        <f t="shared" si="1"/>
        <v>0.002017241</v>
      </c>
      <c r="T14" s="244">
        <f t="shared" si="1"/>
        <v>0.00517931</v>
      </c>
      <c r="U14" s="244">
        <f t="shared" si="1"/>
        <v>0</v>
      </c>
      <c r="V14" s="245">
        <f>IF($E13=0,0,1-SUM(F14:U14)-ROUND(X13/E13,9))</f>
        <v>0.000163217999999965</v>
      </c>
      <c r="W14" s="244">
        <f t="shared" si="0"/>
        <v>1</v>
      </c>
      <c r="X14" s="67">
        <f aca="true" t="shared" si="2" ref="X14:X20">E14-W14</f>
        <v>0</v>
      </c>
      <c r="Y14" s="41"/>
      <c r="Z14" s="60"/>
      <c r="AA14" s="60"/>
      <c r="AB14" s="60"/>
    </row>
    <row r="15" spans="1:26" ht="17.25">
      <c r="A15" s="22" t="s">
        <v>326</v>
      </c>
      <c r="B15" s="22" t="s">
        <v>888</v>
      </c>
      <c r="C15" s="41"/>
      <c r="D15" s="8"/>
      <c r="E15" s="242">
        <f>+'[2]alloc2-dist'!$D$36</f>
        <v>1353588</v>
      </c>
      <c r="F15" s="242">
        <f>+'[2]alloc2-dist'!$D$15</f>
        <v>894767</v>
      </c>
      <c r="G15" s="242">
        <f>+'[2]alloc2-dist'!$D$16</f>
        <v>304504</v>
      </c>
      <c r="H15" s="242">
        <f>+'[2]alloc2-dist'!$D$29</f>
        <v>301</v>
      </c>
      <c r="I15" s="242">
        <f>+'[2]alloc2-dist'!$D$17</f>
        <v>796</v>
      </c>
      <c r="J15" s="242">
        <f>+'[2]alloc2-dist'!$D$18</f>
        <v>7027</v>
      </c>
      <c r="K15" s="242">
        <f>+'[2]alloc2-dist'!$D$19</f>
        <v>150</v>
      </c>
      <c r="L15" s="242">
        <f>+'[2]alloc2-dist'!$D$20</f>
        <v>136277</v>
      </c>
      <c r="M15" s="242">
        <f>+'[2]alloc2-dist'!$D$30</f>
        <v>2524</v>
      </c>
      <c r="N15" s="242">
        <f>+'[2]alloc2-dist'!$D$21</f>
        <v>0</v>
      </c>
      <c r="O15" s="242">
        <f>+'[2]alloc2-dist'!$D$31</f>
        <v>0</v>
      </c>
      <c r="P15" s="242">
        <f>+'[2]alloc2-dist'!$D$22</f>
        <v>0</v>
      </c>
      <c r="Q15" s="242">
        <f>+'[2]alloc2-dist'!$D$32</f>
        <v>0</v>
      </c>
      <c r="R15" s="242">
        <f>+'[2]alloc2-dist'!$D$23</f>
        <v>0</v>
      </c>
      <c r="S15" s="242">
        <f>+'[2]alloc2-dist'!$D$33</f>
        <v>0</v>
      </c>
      <c r="T15" s="242">
        <f>+'[2]alloc2-dist'!$D$24</f>
        <v>6927</v>
      </c>
      <c r="U15" s="242">
        <v>0</v>
      </c>
      <c r="V15" s="242">
        <f>+'[2]alloc2-dist'!$D$25</f>
        <v>315</v>
      </c>
      <c r="W15" s="243">
        <f t="shared" si="0"/>
        <v>1353588</v>
      </c>
      <c r="X15" s="24">
        <f t="shared" si="2"/>
        <v>0</v>
      </c>
      <c r="Y15" s="22" t="s">
        <v>326</v>
      </c>
      <c r="Z15" t="s">
        <v>1228</v>
      </c>
    </row>
    <row r="16" spans="1:28" ht="17.25">
      <c r="A16" s="12"/>
      <c r="B16" s="20" t="s">
        <v>317</v>
      </c>
      <c r="C16" s="22" t="s">
        <v>326</v>
      </c>
      <c r="D16" s="8" t="str">
        <f>C16</f>
        <v>K203</v>
      </c>
      <c r="E16" s="244">
        <v>1</v>
      </c>
      <c r="F16" s="244">
        <f aca="true" t="shared" si="3" ref="F16:U16">IF($E15=0,0,ROUND(F15/$E15,9))</f>
        <v>0.66103349</v>
      </c>
      <c r="G16" s="244">
        <f t="shared" si="3"/>
        <v>0.224960623</v>
      </c>
      <c r="H16" s="244">
        <f t="shared" si="3"/>
        <v>0.000222372</v>
      </c>
      <c r="I16" s="244">
        <f>IF($E15=0,0,ROUND(I15/$E15,9))</f>
        <v>0.000588067</v>
      </c>
      <c r="J16" s="244">
        <f>IF($E15=0,0,ROUND(J15/$E15,9))</f>
        <v>0.005191388</v>
      </c>
      <c r="K16" s="244">
        <f>IF($E15=0,0,ROUND(K15/$E15,9))</f>
        <v>0.000110817</v>
      </c>
      <c r="L16" s="244">
        <f t="shared" si="3"/>
        <v>0.100678345</v>
      </c>
      <c r="M16" s="244">
        <f t="shared" si="3"/>
        <v>0.001864674</v>
      </c>
      <c r="N16" s="244">
        <f t="shared" si="3"/>
        <v>0</v>
      </c>
      <c r="O16" s="244">
        <f>IF($E15=0,0,ROUND(O15/$E15,9))</f>
        <v>0</v>
      </c>
      <c r="P16" s="244">
        <f>IF($E15=0,0,ROUND(P15/$E15,9))</f>
        <v>0</v>
      </c>
      <c r="Q16" s="244">
        <f>IF($E15=0,0,ROUND(Q15/$E15,9))</f>
        <v>0</v>
      </c>
      <c r="R16" s="244">
        <f t="shared" si="3"/>
        <v>0</v>
      </c>
      <c r="S16" s="244">
        <f t="shared" si="3"/>
        <v>0</v>
      </c>
      <c r="T16" s="244">
        <f t="shared" si="3"/>
        <v>0.00511751</v>
      </c>
      <c r="U16" s="244">
        <f t="shared" si="3"/>
        <v>0</v>
      </c>
      <c r="V16" s="245">
        <f>IF($E15=0,0,1-SUM(F16:U16)-ROUND(X15/E15,9))</f>
        <v>0.00023271399999991171</v>
      </c>
      <c r="W16" s="244">
        <f t="shared" si="0"/>
        <v>1</v>
      </c>
      <c r="X16" s="67">
        <f t="shared" si="2"/>
        <v>0</v>
      </c>
      <c r="Y16" s="12"/>
      <c r="Z16" s="60"/>
      <c r="AA16" s="60"/>
      <c r="AB16" s="60"/>
    </row>
    <row r="17" spans="1:28" ht="17.25">
      <c r="A17" s="22" t="s">
        <v>1043</v>
      </c>
      <c r="B17" s="114" t="s">
        <v>1221</v>
      </c>
      <c r="C17" s="196"/>
      <c r="D17" s="197"/>
      <c r="E17" s="246">
        <f>+'[2]alloc5-Distlines'!$G$36</f>
        <v>690947</v>
      </c>
      <c r="F17" s="246">
        <f>+'[2]alloc5-Distlines'!$G$15</f>
        <v>317008</v>
      </c>
      <c r="G17" s="242">
        <f>+'[2]alloc5-Distlines'!$G$16</f>
        <v>188948</v>
      </c>
      <c r="H17" s="242">
        <f>+'[2]alloc5-Distlines'!$G$29</f>
        <v>179</v>
      </c>
      <c r="I17" s="242">
        <f>+'[2]alloc5-Distlines'!$G$17</f>
        <v>738</v>
      </c>
      <c r="J17" s="242">
        <f>+'[2]alloc5-Distlines'!$G$18</f>
        <v>2494</v>
      </c>
      <c r="K17" s="242">
        <f>+'[2]alloc5-Distlines'!$G$19</f>
        <v>74</v>
      </c>
      <c r="L17" s="242">
        <f>+'[2]alloc5-Distlines'!$G$20</f>
        <v>112875</v>
      </c>
      <c r="M17" s="242">
        <f>+'[2]alloc5-Distlines'!$G$30</f>
        <v>1248</v>
      </c>
      <c r="N17" s="242">
        <f>+'[2]alloc5-Distlines'!$G$21</f>
        <v>53885</v>
      </c>
      <c r="O17" s="242">
        <f>+'[2]alloc5-Distlines'!$G$31</f>
        <v>2481</v>
      </c>
      <c r="P17" s="242">
        <f>+'[2]alloc5-Distlines'!$G$22</f>
        <v>4656</v>
      </c>
      <c r="Q17" s="242">
        <f>+'[2]alloc5-Distlines'!$G$32</f>
        <v>0</v>
      </c>
      <c r="R17" s="242">
        <f>+'[2]alloc5-Distlines'!$G$23</f>
        <v>0</v>
      </c>
      <c r="S17" s="242">
        <f>+'[2]alloc5-Distlines'!$G$33</f>
        <v>0</v>
      </c>
      <c r="T17" s="242">
        <f>+'[2]alloc5-Distlines'!$G$24</f>
        <v>6304</v>
      </c>
      <c r="U17" s="242">
        <v>0</v>
      </c>
      <c r="V17" s="242">
        <f>+'[2]alloc5-Distlines'!$G$25</f>
        <v>57</v>
      </c>
      <c r="W17" s="243">
        <f>SUM(F17:V17)</f>
        <v>690947</v>
      </c>
      <c r="X17" s="24">
        <f>E17-W17</f>
        <v>0</v>
      </c>
      <c r="Y17" s="22" t="s">
        <v>1043</v>
      </c>
      <c r="Z17" s="60" t="s">
        <v>1228</v>
      </c>
      <c r="AA17" s="60"/>
      <c r="AB17" s="60"/>
    </row>
    <row r="18" spans="1:28" ht="17.25">
      <c r="A18" s="22"/>
      <c r="B18" s="198" t="s">
        <v>317</v>
      </c>
      <c r="C18" s="114" t="s">
        <v>1043</v>
      </c>
      <c r="D18" s="197" t="str">
        <f>C18</f>
        <v>K205</v>
      </c>
      <c r="E18" s="247">
        <v>1</v>
      </c>
      <c r="F18" s="247">
        <f aca="true" t="shared" si="4" ref="F18:U18">IF($E17=0,0,ROUND(F17/$E17,9))</f>
        <v>0.458802195</v>
      </c>
      <c r="G18" s="244">
        <f t="shared" si="4"/>
        <v>0.273462364</v>
      </c>
      <c r="H18" s="244">
        <f t="shared" si="4"/>
        <v>0.000259065</v>
      </c>
      <c r="I18" s="244">
        <f t="shared" si="4"/>
        <v>0.001068099</v>
      </c>
      <c r="J18" s="244">
        <f t="shared" si="4"/>
        <v>0.003609539</v>
      </c>
      <c r="K18" s="244">
        <f t="shared" si="4"/>
        <v>0.000107099</v>
      </c>
      <c r="L18" s="244">
        <f t="shared" si="4"/>
        <v>0.163362747</v>
      </c>
      <c r="M18" s="244">
        <f t="shared" si="4"/>
        <v>0.001806217</v>
      </c>
      <c r="N18" s="244">
        <f t="shared" si="4"/>
        <v>0.077987168</v>
      </c>
      <c r="O18" s="244">
        <f t="shared" si="4"/>
        <v>0.003590724</v>
      </c>
      <c r="P18" s="244">
        <f t="shared" si="4"/>
        <v>0.006738578</v>
      </c>
      <c r="Q18" s="244">
        <f t="shared" si="4"/>
        <v>0</v>
      </c>
      <c r="R18" s="244">
        <f t="shared" si="4"/>
        <v>0</v>
      </c>
      <c r="S18" s="244">
        <f t="shared" si="4"/>
        <v>0</v>
      </c>
      <c r="T18" s="244">
        <f t="shared" si="4"/>
        <v>0.00912371</v>
      </c>
      <c r="U18" s="244">
        <f t="shared" si="4"/>
        <v>0</v>
      </c>
      <c r="V18" s="245">
        <f>IF($E17=0,0,1-SUM(F18:U18)-ROUND(X17/E17,9))</f>
        <v>8.24949999997937E-05</v>
      </c>
      <c r="W18" s="244">
        <f>SUM(F18:V18)</f>
        <v>1</v>
      </c>
      <c r="X18" s="67">
        <f>E18-W18</f>
        <v>0</v>
      </c>
      <c r="Y18" s="22"/>
      <c r="Z18" s="60"/>
      <c r="AA18" s="60"/>
      <c r="AB18" s="60"/>
    </row>
    <row r="19" spans="1:30" ht="17.25">
      <c r="A19" s="22" t="s">
        <v>203</v>
      </c>
      <c r="B19" s="22" t="s">
        <v>774</v>
      </c>
      <c r="C19" s="12"/>
      <c r="D19" s="8"/>
      <c r="E19" s="248">
        <f>W13</f>
        <v>870000</v>
      </c>
      <c r="F19" s="248">
        <f aca="true" t="shared" si="5" ref="F19:V19">F13</f>
        <v>449843</v>
      </c>
      <c r="G19" s="248">
        <f t="shared" si="5"/>
        <v>193421</v>
      </c>
      <c r="H19" s="248">
        <f t="shared" si="5"/>
        <v>190</v>
      </c>
      <c r="I19" s="248">
        <f t="shared" si="5"/>
        <v>778</v>
      </c>
      <c r="J19" s="248">
        <f t="shared" si="5"/>
        <v>3699</v>
      </c>
      <c r="K19" s="248">
        <f t="shared" si="5"/>
        <v>87</v>
      </c>
      <c r="L19" s="248">
        <f t="shared" si="5"/>
        <v>106815</v>
      </c>
      <c r="M19" s="248">
        <f t="shared" si="5"/>
        <v>1562</v>
      </c>
      <c r="N19" s="248">
        <f>N13</f>
        <v>68547</v>
      </c>
      <c r="O19" s="248">
        <f>O13</f>
        <v>3291</v>
      </c>
      <c r="P19" s="248">
        <f>P13</f>
        <v>5097</v>
      </c>
      <c r="Q19" s="248">
        <f>Q13</f>
        <v>0</v>
      </c>
      <c r="R19" s="248">
        <f t="shared" si="5"/>
        <v>30267</v>
      </c>
      <c r="S19" s="248">
        <f t="shared" si="5"/>
        <v>1755</v>
      </c>
      <c r="T19" s="248">
        <f t="shared" si="5"/>
        <v>4506</v>
      </c>
      <c r="U19" s="248">
        <f t="shared" si="5"/>
        <v>0</v>
      </c>
      <c r="V19" s="248">
        <f t="shared" si="5"/>
        <v>142</v>
      </c>
      <c r="W19" s="249">
        <f t="shared" si="0"/>
        <v>870000</v>
      </c>
      <c r="X19" s="5">
        <f t="shared" si="2"/>
        <v>0</v>
      </c>
      <c r="Y19" s="22" t="s">
        <v>203</v>
      </c>
      <c r="Z19" s="53"/>
      <c r="AA19" s="53"/>
      <c r="AB19" s="53"/>
      <c r="AC19" s="53"/>
      <c r="AD19" s="53"/>
    </row>
    <row r="20" spans="1:28" ht="17.25">
      <c r="A20" s="41"/>
      <c r="B20" s="20" t="s">
        <v>317</v>
      </c>
      <c r="C20" s="22" t="s">
        <v>203</v>
      </c>
      <c r="D20" s="8" t="str">
        <f>C20</f>
        <v>K207</v>
      </c>
      <c r="E20" s="244">
        <v>1</v>
      </c>
      <c r="F20" s="244">
        <f aca="true" t="shared" si="6" ref="F20:U20">IF($E19=0,0,ROUND(F19/$E19,9))</f>
        <v>0.51706092</v>
      </c>
      <c r="G20" s="244">
        <f t="shared" si="6"/>
        <v>0.222322989</v>
      </c>
      <c r="H20" s="244">
        <f t="shared" si="6"/>
        <v>0.000218391</v>
      </c>
      <c r="I20" s="244">
        <f>IF($E19=0,0,ROUND(I19/$E19,9))</f>
        <v>0.000894253</v>
      </c>
      <c r="J20" s="244">
        <f>IF($E19=0,0,ROUND(J19/$E19,9))</f>
        <v>0.004251724</v>
      </c>
      <c r="K20" s="244">
        <f>IF($E19=0,0,ROUND(K19/$E19,9))</f>
        <v>0.0001</v>
      </c>
      <c r="L20" s="244">
        <f t="shared" si="6"/>
        <v>0.122775862</v>
      </c>
      <c r="M20" s="244">
        <f t="shared" si="6"/>
        <v>0.001795402</v>
      </c>
      <c r="N20" s="244">
        <f t="shared" si="6"/>
        <v>0.078789655</v>
      </c>
      <c r="O20" s="244">
        <f>IF($E19=0,0,ROUND(O19/$E19,9))</f>
        <v>0.003782759</v>
      </c>
      <c r="P20" s="244">
        <f>IF($E19=0,0,ROUND(P19/$E19,9))</f>
        <v>0.005858621</v>
      </c>
      <c r="Q20" s="244">
        <f>IF($E19=0,0,ROUND(Q19/$E19,9))</f>
        <v>0</v>
      </c>
      <c r="R20" s="244">
        <f t="shared" si="6"/>
        <v>0.034789655</v>
      </c>
      <c r="S20" s="244">
        <f t="shared" si="6"/>
        <v>0.002017241</v>
      </c>
      <c r="T20" s="244">
        <f t="shared" si="6"/>
        <v>0.00517931</v>
      </c>
      <c r="U20" s="244">
        <f t="shared" si="6"/>
        <v>0</v>
      </c>
      <c r="V20" s="245">
        <f>IF($E19=0,0,1-SUM(F20:U20)-ROUND(X19/E19,9))</f>
        <v>0.000163217999999965</v>
      </c>
      <c r="W20" s="244">
        <f t="shared" si="0"/>
        <v>1</v>
      </c>
      <c r="X20" s="67">
        <f t="shared" si="2"/>
        <v>0</v>
      </c>
      <c r="Y20" s="41"/>
      <c r="Z20" s="60"/>
      <c r="AA20" s="60"/>
      <c r="AB20" s="60"/>
    </row>
    <row r="21" spans="1:32" ht="17.25">
      <c r="A21" s="22" t="s">
        <v>742</v>
      </c>
      <c r="B21" s="22" t="s">
        <v>1322</v>
      </c>
      <c r="C21" s="41"/>
      <c r="D21" s="8"/>
      <c r="E21" s="248">
        <f>+E61</f>
        <v>276674000</v>
      </c>
      <c r="F21" s="248">
        <f aca="true" t="shared" si="7" ref="F21:V21">+F61</f>
        <v>143953206</v>
      </c>
      <c r="G21" s="248">
        <f t="shared" si="7"/>
        <v>66750141</v>
      </c>
      <c r="H21" s="248">
        <f t="shared" si="7"/>
        <v>61054</v>
      </c>
      <c r="I21" s="248">
        <f t="shared" si="7"/>
        <v>249564</v>
      </c>
      <c r="J21" s="248">
        <f t="shared" si="7"/>
        <v>1031325</v>
      </c>
      <c r="K21" s="248">
        <f t="shared" si="7"/>
        <v>32665</v>
      </c>
      <c r="L21" s="248">
        <f t="shared" si="7"/>
        <v>36883708</v>
      </c>
      <c r="M21" s="248">
        <f t="shared" si="7"/>
        <v>440619</v>
      </c>
      <c r="N21" s="248">
        <f t="shared" si="7"/>
        <v>15787211</v>
      </c>
      <c r="O21" s="248">
        <f t="shared" si="7"/>
        <v>724951</v>
      </c>
      <c r="P21" s="248">
        <f t="shared" si="7"/>
        <v>1365242</v>
      </c>
      <c r="Q21" s="248">
        <f t="shared" si="7"/>
        <v>0</v>
      </c>
      <c r="R21" s="248">
        <f t="shared" si="7"/>
        <v>14751</v>
      </c>
      <c r="S21" s="248">
        <f t="shared" si="7"/>
        <v>0</v>
      </c>
      <c r="T21" s="248">
        <f t="shared" si="7"/>
        <v>9350404</v>
      </c>
      <c r="U21" s="248">
        <f t="shared" si="7"/>
        <v>0</v>
      </c>
      <c r="V21" s="248">
        <f t="shared" si="7"/>
        <v>29159</v>
      </c>
      <c r="W21" s="249">
        <f>SUM(F21:V21)</f>
        <v>276674000</v>
      </c>
      <c r="X21" s="5">
        <f>E21-W21</f>
        <v>0</v>
      </c>
      <c r="Y21" s="22" t="s">
        <v>742</v>
      </c>
      <c r="Z21" s="53"/>
      <c r="AA21" s="53"/>
      <c r="AB21" s="53"/>
      <c r="AC21" s="53"/>
      <c r="AD21" s="53"/>
      <c r="AE21" s="53"/>
      <c r="AF21" s="53"/>
    </row>
    <row r="22" spans="1:28" ht="17.25">
      <c r="A22" s="48"/>
      <c r="B22" s="20" t="s">
        <v>317</v>
      </c>
      <c r="C22" s="22" t="s">
        <v>742</v>
      </c>
      <c r="D22" s="8" t="str">
        <f>C22</f>
        <v>K209</v>
      </c>
      <c r="E22" s="244">
        <v>1</v>
      </c>
      <c r="F22" s="244">
        <f aca="true" t="shared" si="8" ref="F22:U22">IF($E21=0,0,ROUND(F21/$E21,9))</f>
        <v>0.520299002</v>
      </c>
      <c r="G22" s="244">
        <f t="shared" si="8"/>
        <v>0.241259175</v>
      </c>
      <c r="H22" s="244">
        <f t="shared" si="8"/>
        <v>0.000220671</v>
      </c>
      <c r="I22" s="244">
        <f t="shared" si="8"/>
        <v>0.000902015</v>
      </c>
      <c r="J22" s="244">
        <f t="shared" si="8"/>
        <v>0.003727582</v>
      </c>
      <c r="K22" s="244">
        <f t="shared" si="8"/>
        <v>0.000118063</v>
      </c>
      <c r="L22" s="244">
        <f t="shared" si="8"/>
        <v>0.133311074</v>
      </c>
      <c r="M22" s="244">
        <f t="shared" si="8"/>
        <v>0.001592557</v>
      </c>
      <c r="N22" s="244">
        <f t="shared" si="8"/>
        <v>0.057060696</v>
      </c>
      <c r="O22" s="244">
        <f t="shared" si="8"/>
        <v>0.002620235</v>
      </c>
      <c r="P22" s="244">
        <f t="shared" si="8"/>
        <v>0.004934479</v>
      </c>
      <c r="Q22" s="244">
        <f t="shared" si="8"/>
        <v>0</v>
      </c>
      <c r="R22" s="244">
        <f t="shared" si="8"/>
        <v>5.3315E-05</v>
      </c>
      <c r="S22" s="244">
        <f t="shared" si="8"/>
        <v>0</v>
      </c>
      <c r="T22" s="244">
        <f t="shared" si="8"/>
        <v>0.033795745</v>
      </c>
      <c r="U22" s="244">
        <f t="shared" si="8"/>
        <v>0</v>
      </c>
      <c r="V22" s="245">
        <f>IF($E21=0,0,1-SUM(F22:U22)-ROUND(X21/E21,9))</f>
        <v>0.00010539100000006574</v>
      </c>
      <c r="W22" s="244">
        <f>SUM(F22:V22)</f>
        <v>1</v>
      </c>
      <c r="X22" s="67">
        <f>E22-W22</f>
        <v>0</v>
      </c>
      <c r="Y22" s="48"/>
      <c r="Z22" s="60"/>
      <c r="AA22" s="60"/>
      <c r="AB22" s="60"/>
    </row>
    <row r="23" spans="1:26" ht="17.25">
      <c r="A23" s="22" t="s">
        <v>811</v>
      </c>
      <c r="B23" s="22" t="s">
        <v>810</v>
      </c>
      <c r="C23" s="22"/>
      <c r="D23" s="8"/>
      <c r="E23" s="242">
        <f>+'[2]alloc2-dist'!$K$36</f>
        <v>702571</v>
      </c>
      <c r="F23" s="242">
        <f>+'[2]alloc2-dist'!$K$15</f>
        <v>317008</v>
      </c>
      <c r="G23" s="242">
        <f>+'[2]alloc2-dist'!$K$16</f>
        <v>188948</v>
      </c>
      <c r="H23" s="242">
        <f>+'[2]alloc2-dist'!$K$29</f>
        <v>179</v>
      </c>
      <c r="I23" s="242">
        <f>+'[2]alloc2-dist'!$K$17</f>
        <v>738</v>
      </c>
      <c r="J23" s="242">
        <f>+'[2]alloc2-dist'!$K$18</f>
        <v>2494</v>
      </c>
      <c r="K23" s="242">
        <f>+'[2]alloc2-dist'!$K$19</f>
        <v>74</v>
      </c>
      <c r="L23" s="242">
        <f>+'[2]alloc2-dist'!$K$20</f>
        <v>112875</v>
      </c>
      <c r="M23" s="242">
        <f>+'[2]alloc2-dist'!$K$30</f>
        <v>1248</v>
      </c>
      <c r="N23" s="242">
        <f>+'[2]alloc2-dist'!$K$21</f>
        <v>64149</v>
      </c>
      <c r="O23" s="242">
        <f>+'[2]alloc2-dist'!$K$31</f>
        <v>2954</v>
      </c>
      <c r="P23" s="242">
        <f>+'[2]alloc2-dist'!$K$22</f>
        <v>5543</v>
      </c>
      <c r="Q23" s="242">
        <f>+'[2]alloc2-dist'!$K$32</f>
        <v>0</v>
      </c>
      <c r="R23" s="242">
        <f>+'[2]alloc2-dist'!$K$23</f>
        <v>0</v>
      </c>
      <c r="S23" s="242">
        <f>+'[2]alloc2-dist'!$K$33</f>
        <v>0</v>
      </c>
      <c r="T23" s="242">
        <f>+'[2]alloc2-dist'!$K$24</f>
        <v>6304</v>
      </c>
      <c r="U23" s="242">
        <v>0</v>
      </c>
      <c r="V23" s="242">
        <f>+'[2]alloc2-dist'!$K$25</f>
        <v>57</v>
      </c>
      <c r="W23" s="249">
        <f aca="true" t="shared" si="9" ref="W23:W43">SUM(F23:V23)</f>
        <v>702571</v>
      </c>
      <c r="X23" s="5">
        <f aca="true" t="shared" si="10" ref="X23:X50">E23-W23</f>
        <v>0</v>
      </c>
      <c r="Y23" s="22" t="s">
        <v>811</v>
      </c>
      <c r="Z23" s="53" t="s">
        <v>1228</v>
      </c>
    </row>
    <row r="24" spans="1:28" ht="17.25">
      <c r="A24" s="22"/>
      <c r="B24" s="20" t="s">
        <v>317</v>
      </c>
      <c r="C24" s="22" t="s">
        <v>811</v>
      </c>
      <c r="D24" s="8" t="str">
        <f>+C24</f>
        <v>K215</v>
      </c>
      <c r="E24" s="244">
        <v>1</v>
      </c>
      <c r="F24" s="244">
        <f aca="true" t="shared" si="11" ref="F24:U24">IF($E23=0,0,ROUND(F23/$E23,9))</f>
        <v>0.451211337</v>
      </c>
      <c r="G24" s="244">
        <f t="shared" si="11"/>
        <v>0.268937944</v>
      </c>
      <c r="H24" s="244">
        <f t="shared" si="11"/>
        <v>0.000254779</v>
      </c>
      <c r="I24" s="244">
        <f t="shared" si="11"/>
        <v>0.001050428</v>
      </c>
      <c r="J24" s="244">
        <f t="shared" si="11"/>
        <v>0.003549819</v>
      </c>
      <c r="K24" s="244">
        <f t="shared" si="11"/>
        <v>0.000105327</v>
      </c>
      <c r="L24" s="244">
        <f t="shared" si="11"/>
        <v>0.160659919</v>
      </c>
      <c r="M24" s="244">
        <f t="shared" si="11"/>
        <v>0.001776333</v>
      </c>
      <c r="N24" s="244">
        <f t="shared" si="11"/>
        <v>0.091306074</v>
      </c>
      <c r="O24" s="244">
        <f t="shared" si="11"/>
        <v>0.004204557</v>
      </c>
      <c r="P24" s="244">
        <f t="shared" si="11"/>
        <v>0.007889594</v>
      </c>
      <c r="Q24" s="244">
        <f t="shared" si="11"/>
        <v>0</v>
      </c>
      <c r="R24" s="244">
        <f t="shared" si="11"/>
        <v>0</v>
      </c>
      <c r="S24" s="244">
        <f t="shared" si="11"/>
        <v>0</v>
      </c>
      <c r="T24" s="244">
        <f t="shared" si="11"/>
        <v>0.008972759</v>
      </c>
      <c r="U24" s="244">
        <f t="shared" si="11"/>
        <v>0</v>
      </c>
      <c r="V24" s="245">
        <f>IF($E23=0,0,1-SUM(F24:U24)-ROUND(X23/E23,9))</f>
        <v>8.112999999998483E-05</v>
      </c>
      <c r="W24" s="244">
        <f t="shared" si="9"/>
        <v>1</v>
      </c>
      <c r="X24" s="67">
        <f t="shared" si="10"/>
        <v>0</v>
      </c>
      <c r="Y24" s="22"/>
      <c r="Z24" s="60"/>
      <c r="AA24" s="60"/>
      <c r="AB24" s="60"/>
    </row>
    <row r="25" spans="1:26" ht="17.25">
      <c r="A25" s="22" t="s">
        <v>1248</v>
      </c>
      <c r="B25" s="22" t="s">
        <v>1249</v>
      </c>
      <c r="C25" s="22"/>
      <c r="D25" s="8"/>
      <c r="E25" s="242">
        <f>+'[2]alloc6-Wtd services'!$H$36</f>
        <v>136161</v>
      </c>
      <c r="F25" s="242">
        <f>+'[2]alloc6-Wtd services'!$H$15</f>
        <v>121452</v>
      </c>
      <c r="G25" s="242">
        <f>+'[2]alloc6-Wtd services'!$H$16</f>
        <v>12293</v>
      </c>
      <c r="H25" s="242">
        <f>+'[2]alloc6-Wtd services'!$H$29</f>
        <v>0</v>
      </c>
      <c r="I25" s="242">
        <f>+'[2]alloc6-Wtd services'!$H$17</f>
        <v>147</v>
      </c>
      <c r="J25" s="242">
        <f>+'[2]alloc6-Wtd services'!$H$18</f>
        <v>357</v>
      </c>
      <c r="K25" s="242">
        <f>+'[2]alloc6-Wtd services'!$H$19</f>
        <v>27</v>
      </c>
      <c r="L25" s="242">
        <f>+'[2]alloc6-Wtd services'!$H$20</f>
        <v>1520</v>
      </c>
      <c r="M25" s="242">
        <f>+'[2]alloc6-Wtd services'!$H$30</f>
        <v>0</v>
      </c>
      <c r="N25" s="242">
        <f>+'[2]alloc6-Wtd services'!$H$21</f>
        <v>0</v>
      </c>
      <c r="O25" s="242">
        <f>+'[2]alloc6-Wtd services'!$H$31</f>
        <v>0</v>
      </c>
      <c r="P25" s="242">
        <f>+'[2]alloc6-Wtd services'!$H$22</f>
        <v>0</v>
      </c>
      <c r="Q25" s="242">
        <f>+'[2]alloc6-Wtd services'!$H$32</f>
        <v>0</v>
      </c>
      <c r="R25" s="242">
        <f>+'[2]alloc6-Wtd services'!$H$23</f>
        <v>0</v>
      </c>
      <c r="S25" s="242">
        <f>+'[2]alloc6-Wtd services'!$H$33</f>
        <v>0</v>
      </c>
      <c r="T25" s="242">
        <f>+'[2]alloc6-Wtd services'!$H$24</f>
        <v>343</v>
      </c>
      <c r="U25" s="242">
        <v>0</v>
      </c>
      <c r="V25" s="242">
        <f>+'[2]alloc6-Wtd services'!$H$25</f>
        <v>22</v>
      </c>
      <c r="W25" s="249">
        <f t="shared" si="9"/>
        <v>136161</v>
      </c>
      <c r="X25" s="5">
        <f t="shared" si="10"/>
        <v>0</v>
      </c>
      <c r="Y25" s="22" t="s">
        <v>1248</v>
      </c>
      <c r="Z25" s="53" t="s">
        <v>1228</v>
      </c>
    </row>
    <row r="26" spans="1:28" ht="17.25">
      <c r="A26" s="22"/>
      <c r="B26" s="20" t="s">
        <v>317</v>
      </c>
      <c r="C26" s="22" t="s">
        <v>1248</v>
      </c>
      <c r="D26" s="8" t="str">
        <f>+C26</f>
        <v>K217</v>
      </c>
      <c r="E26" s="244">
        <v>1</v>
      </c>
      <c r="F26" s="244">
        <f aca="true" t="shared" si="12" ref="F26:U26">IF($E25=0,0,ROUND(F25/$E25,9))</f>
        <v>0.891973473</v>
      </c>
      <c r="G26" s="244">
        <f t="shared" si="12"/>
        <v>0.090282827</v>
      </c>
      <c r="H26" s="244">
        <f t="shared" si="12"/>
        <v>0</v>
      </c>
      <c r="I26" s="244">
        <f t="shared" si="12"/>
        <v>0.001079604</v>
      </c>
      <c r="J26" s="244">
        <f t="shared" si="12"/>
        <v>0.002621896</v>
      </c>
      <c r="K26" s="244">
        <f t="shared" si="12"/>
        <v>0.000198295</v>
      </c>
      <c r="L26" s="244">
        <f t="shared" si="12"/>
        <v>0.011163255</v>
      </c>
      <c r="M26" s="244">
        <f t="shared" si="12"/>
        <v>0</v>
      </c>
      <c r="N26" s="244">
        <f t="shared" si="12"/>
        <v>0</v>
      </c>
      <c r="O26" s="244">
        <f t="shared" si="12"/>
        <v>0</v>
      </c>
      <c r="P26" s="244">
        <f t="shared" si="12"/>
        <v>0</v>
      </c>
      <c r="Q26" s="244">
        <f t="shared" si="12"/>
        <v>0</v>
      </c>
      <c r="R26" s="244">
        <f t="shared" si="12"/>
        <v>0</v>
      </c>
      <c r="S26" s="244">
        <f t="shared" si="12"/>
        <v>0</v>
      </c>
      <c r="T26" s="244">
        <f t="shared" si="12"/>
        <v>0.002519077</v>
      </c>
      <c r="U26" s="244">
        <f t="shared" si="12"/>
        <v>0</v>
      </c>
      <c r="V26" s="245">
        <f>IF($E25=0,0,1-SUM(F26:U26)-ROUND(X25/E25,9))</f>
        <v>0.00016157300000008146</v>
      </c>
      <c r="W26" s="244">
        <f t="shared" si="9"/>
        <v>1</v>
      </c>
      <c r="X26" s="67">
        <f t="shared" si="10"/>
        <v>0</v>
      </c>
      <c r="Y26" s="22"/>
      <c r="Z26" s="60"/>
      <c r="AA26" s="60"/>
      <c r="AB26" s="60"/>
    </row>
    <row r="27" spans="1:28" ht="17.25">
      <c r="A27" s="22" t="s">
        <v>320</v>
      </c>
      <c r="B27" s="22" t="s">
        <v>319</v>
      </c>
      <c r="C27" s="22"/>
      <c r="D27" s="8"/>
      <c r="E27" s="242">
        <f>+'[2]alloc1-gen'!$F$36</f>
        <v>4318019707</v>
      </c>
      <c r="F27" s="242">
        <f>+'[2]alloc1-gen'!$F$15</f>
        <v>1633623871</v>
      </c>
      <c r="G27" s="242">
        <f>+'[2]alloc1-gen'!$F$16</f>
        <v>1118383192</v>
      </c>
      <c r="H27" s="242">
        <f>+'[2]alloc1-gen'!$F$29</f>
        <v>1085288</v>
      </c>
      <c r="I27" s="242">
        <f>+'[2]alloc1-gen'!$F$17</f>
        <v>6714746</v>
      </c>
      <c r="J27" s="242">
        <f>+'[2]alloc1-gen'!$F$18</f>
        <v>15149755</v>
      </c>
      <c r="K27" s="242">
        <f>+'[2]alloc1-gen'!$F$19</f>
        <v>434115</v>
      </c>
      <c r="L27" s="242">
        <f>+'[2]alloc1-gen'!$F$20</f>
        <v>782930553</v>
      </c>
      <c r="M27" s="242">
        <f>+'[2]alloc1-gen'!$F$30</f>
        <v>8700822</v>
      </c>
      <c r="N27" s="242">
        <f>+'[2]alloc1-gen'!$F$21</f>
        <v>467034883</v>
      </c>
      <c r="O27" s="242">
        <f>+'[2]alloc1-gen'!$F$31</f>
        <v>21489618</v>
      </c>
      <c r="P27" s="242">
        <f>+'[2]alloc1-gen'!$F$22</f>
        <v>36757242</v>
      </c>
      <c r="Q27" s="242">
        <f>+'[2]alloc1-gen'!$F$32</f>
        <v>0</v>
      </c>
      <c r="R27" s="242">
        <f>+'[2]alloc1-gen'!$F$23</f>
        <v>186542548</v>
      </c>
      <c r="S27" s="242">
        <f>+'[2]alloc1-gen'!$F$33</f>
        <v>11905892</v>
      </c>
      <c r="T27" s="242">
        <f>+'[2]alloc1-gen'!$F$24</f>
        <v>26919458</v>
      </c>
      <c r="U27" s="242">
        <v>0</v>
      </c>
      <c r="V27" s="242">
        <f>+'[2]alloc1-gen'!$F$25</f>
        <v>347724</v>
      </c>
      <c r="W27" s="243">
        <f t="shared" si="9"/>
        <v>4318019707</v>
      </c>
      <c r="X27" s="24">
        <f t="shared" si="10"/>
        <v>0</v>
      </c>
      <c r="Y27" s="22" t="s">
        <v>320</v>
      </c>
      <c r="Z27" t="s">
        <v>1228</v>
      </c>
      <c r="AA27" s="53"/>
      <c r="AB27" s="53"/>
    </row>
    <row r="28" spans="1:28" ht="17.25">
      <c r="A28" s="48"/>
      <c r="B28" s="20" t="s">
        <v>317</v>
      </c>
      <c r="C28" s="22" t="s">
        <v>320</v>
      </c>
      <c r="D28" s="8" t="str">
        <f>C28</f>
        <v>K301</v>
      </c>
      <c r="E28" s="244">
        <v>1</v>
      </c>
      <c r="F28" s="244">
        <f aca="true" t="shared" si="13" ref="F28:U28">IF($E27=0,0,ROUND(F27/$E27,9))</f>
        <v>0.378327099</v>
      </c>
      <c r="G28" s="244">
        <f t="shared" si="13"/>
        <v>0.259003726</v>
      </c>
      <c r="H28" s="244">
        <f t="shared" si="13"/>
        <v>0.000251339</v>
      </c>
      <c r="I28" s="244">
        <f t="shared" si="13"/>
        <v>0.001555052</v>
      </c>
      <c r="J28" s="244">
        <f t="shared" si="13"/>
        <v>0.003508496</v>
      </c>
      <c r="K28" s="244">
        <f t="shared" si="13"/>
        <v>0.000100536</v>
      </c>
      <c r="L28" s="244">
        <f t="shared" si="13"/>
        <v>0.18131704</v>
      </c>
      <c r="M28" s="244">
        <f t="shared" si="13"/>
        <v>0.002015003</v>
      </c>
      <c r="N28" s="244">
        <f t="shared" si="13"/>
        <v>0.108159507</v>
      </c>
      <c r="O28" s="244">
        <f t="shared" si="13"/>
        <v>0.00497673</v>
      </c>
      <c r="P28" s="244">
        <f t="shared" si="13"/>
        <v>0.008512523</v>
      </c>
      <c r="Q28" s="244">
        <f t="shared" si="13"/>
        <v>0</v>
      </c>
      <c r="R28" s="244">
        <f t="shared" si="13"/>
        <v>0.043200949</v>
      </c>
      <c r="S28" s="244">
        <f t="shared" si="13"/>
        <v>0.002757257</v>
      </c>
      <c r="T28" s="244">
        <f t="shared" si="13"/>
        <v>0.006234214</v>
      </c>
      <c r="U28" s="244">
        <f t="shared" si="13"/>
        <v>0</v>
      </c>
      <c r="V28" s="245">
        <f>IF($E27=0,0,1-SUM(F28:U28)-ROUND(X27/E27,9))</f>
        <v>8.052899999988483E-05</v>
      </c>
      <c r="W28" s="244">
        <f t="shared" si="9"/>
        <v>1</v>
      </c>
      <c r="X28" s="67">
        <f t="shared" si="10"/>
        <v>0</v>
      </c>
      <c r="Y28" s="48"/>
      <c r="Z28" s="60"/>
      <c r="AA28" s="60"/>
      <c r="AB28" s="60"/>
    </row>
    <row r="29" spans="1:28" ht="17.25">
      <c r="A29" s="22" t="s">
        <v>322</v>
      </c>
      <c r="B29" s="22" t="s">
        <v>321</v>
      </c>
      <c r="C29" s="48"/>
      <c r="D29" s="8"/>
      <c r="E29" s="248">
        <f>SUM(F27:V27)-R27-S27</f>
        <v>4119571267</v>
      </c>
      <c r="F29" s="248">
        <f aca="true" t="shared" si="14" ref="F29:K29">F27</f>
        <v>1633623871</v>
      </c>
      <c r="G29" s="248">
        <f t="shared" si="14"/>
        <v>1118383192</v>
      </c>
      <c r="H29" s="248">
        <f t="shared" si="14"/>
        <v>1085288</v>
      </c>
      <c r="I29" s="248">
        <f t="shared" si="14"/>
        <v>6714746</v>
      </c>
      <c r="J29" s="248">
        <f t="shared" si="14"/>
        <v>15149755</v>
      </c>
      <c r="K29" s="248">
        <f t="shared" si="14"/>
        <v>434115</v>
      </c>
      <c r="L29" s="248">
        <f>+L27</f>
        <v>782930553</v>
      </c>
      <c r="M29" s="248">
        <f>M27</f>
        <v>8700822</v>
      </c>
      <c r="N29" s="248">
        <f>+N27</f>
        <v>467034883</v>
      </c>
      <c r="O29" s="248">
        <f>O27</f>
        <v>21489618</v>
      </c>
      <c r="P29" s="248">
        <f>+P27</f>
        <v>36757242</v>
      </c>
      <c r="Q29" s="248">
        <f>Q27</f>
        <v>0</v>
      </c>
      <c r="R29" s="248">
        <v>0</v>
      </c>
      <c r="S29" s="248">
        <v>0</v>
      </c>
      <c r="T29" s="248">
        <f>+T27</f>
        <v>26919458</v>
      </c>
      <c r="U29" s="248">
        <f>U27</f>
        <v>0</v>
      </c>
      <c r="V29" s="248">
        <f>V27</f>
        <v>347724</v>
      </c>
      <c r="W29" s="249">
        <f t="shared" si="9"/>
        <v>4119571267</v>
      </c>
      <c r="X29" s="5">
        <f t="shared" si="10"/>
        <v>0</v>
      </c>
      <c r="Y29" s="22" t="s">
        <v>322</v>
      </c>
      <c r="Z29" s="53"/>
      <c r="AA29" s="53"/>
      <c r="AB29" s="53"/>
    </row>
    <row r="30" spans="1:28" ht="17.25">
      <c r="A30" s="48"/>
      <c r="B30" s="20" t="s">
        <v>317</v>
      </c>
      <c r="C30" s="22" t="s">
        <v>322</v>
      </c>
      <c r="D30" s="8" t="str">
        <f>C30</f>
        <v>K303</v>
      </c>
      <c r="E30" s="244">
        <v>1</v>
      </c>
      <c r="F30" s="244">
        <f aca="true" t="shared" si="15" ref="F30:U30">IF($E29=0,0,ROUND(F29/$E29,9))</f>
        <v>0.396551914</v>
      </c>
      <c r="G30" s="244">
        <f t="shared" si="15"/>
        <v>0.271480482</v>
      </c>
      <c r="H30" s="244">
        <f t="shared" si="15"/>
        <v>0.000263447</v>
      </c>
      <c r="I30" s="244">
        <f t="shared" si="15"/>
        <v>0.001629962</v>
      </c>
      <c r="J30" s="244">
        <f t="shared" si="15"/>
        <v>0.003677508</v>
      </c>
      <c r="K30" s="244">
        <f t="shared" si="15"/>
        <v>0.000105379</v>
      </c>
      <c r="L30" s="244">
        <f t="shared" si="15"/>
        <v>0.190051465</v>
      </c>
      <c r="M30" s="244">
        <f t="shared" si="15"/>
        <v>0.00211207</v>
      </c>
      <c r="N30" s="244">
        <f t="shared" si="15"/>
        <v>0.113369779</v>
      </c>
      <c r="O30" s="244">
        <f t="shared" si="15"/>
        <v>0.00521647</v>
      </c>
      <c r="P30" s="244">
        <f t="shared" si="15"/>
        <v>0.008922589</v>
      </c>
      <c r="Q30" s="244">
        <f t="shared" si="15"/>
        <v>0</v>
      </c>
      <c r="R30" s="244">
        <f t="shared" si="15"/>
        <v>0</v>
      </c>
      <c r="S30" s="244">
        <f t="shared" si="15"/>
        <v>0</v>
      </c>
      <c r="T30" s="244">
        <f t="shared" si="15"/>
        <v>0.006534529</v>
      </c>
      <c r="U30" s="244">
        <f t="shared" si="15"/>
        <v>0</v>
      </c>
      <c r="V30" s="245">
        <f>IF($E29=0,0,1-SUM(F30:U30)-ROUND(X29/E29,9))</f>
        <v>8.440599999992582E-05</v>
      </c>
      <c r="W30" s="244">
        <f t="shared" si="9"/>
        <v>1</v>
      </c>
      <c r="X30" s="67">
        <f t="shared" si="10"/>
        <v>0</v>
      </c>
      <c r="Y30" s="48"/>
      <c r="Z30" s="60"/>
      <c r="AA30" s="60"/>
      <c r="AB30" s="60"/>
    </row>
    <row r="31" spans="1:28" ht="17.25">
      <c r="A31" s="22" t="s">
        <v>323</v>
      </c>
      <c r="B31" s="22" t="s">
        <v>743</v>
      </c>
      <c r="C31" s="48"/>
      <c r="D31" s="8"/>
      <c r="E31" s="248">
        <f>+E27-T27</f>
        <v>4291100249</v>
      </c>
      <c r="F31" s="248">
        <f aca="true" t="shared" si="16" ref="F31:S31">+F27</f>
        <v>1633623871</v>
      </c>
      <c r="G31" s="248">
        <f t="shared" si="16"/>
        <v>1118383192</v>
      </c>
      <c r="H31" s="248">
        <f t="shared" si="16"/>
        <v>1085288</v>
      </c>
      <c r="I31" s="248">
        <f t="shared" si="16"/>
        <v>6714746</v>
      </c>
      <c r="J31" s="248">
        <f t="shared" si="16"/>
        <v>15149755</v>
      </c>
      <c r="K31" s="248">
        <f t="shared" si="16"/>
        <v>434115</v>
      </c>
      <c r="L31" s="248">
        <f t="shared" si="16"/>
        <v>782930553</v>
      </c>
      <c r="M31" s="248">
        <f t="shared" si="16"/>
        <v>8700822</v>
      </c>
      <c r="N31" s="248">
        <f>+N27</f>
        <v>467034883</v>
      </c>
      <c r="O31" s="248">
        <f>+O27</f>
        <v>21489618</v>
      </c>
      <c r="P31" s="248">
        <f>+P27</f>
        <v>36757242</v>
      </c>
      <c r="Q31" s="248">
        <f>+Q27</f>
        <v>0</v>
      </c>
      <c r="R31" s="248">
        <f t="shared" si="16"/>
        <v>186542548</v>
      </c>
      <c r="S31" s="248">
        <f t="shared" si="16"/>
        <v>11905892</v>
      </c>
      <c r="T31" s="248">
        <v>0</v>
      </c>
      <c r="U31" s="248">
        <f>+U27</f>
        <v>0</v>
      </c>
      <c r="V31" s="248">
        <f>+V27</f>
        <v>347724</v>
      </c>
      <c r="W31" s="249">
        <f t="shared" si="9"/>
        <v>4291100249</v>
      </c>
      <c r="X31" s="5">
        <f t="shared" si="10"/>
        <v>0</v>
      </c>
      <c r="Y31" s="22" t="s">
        <v>323</v>
      </c>
      <c r="Z31" s="53"/>
      <c r="AA31" s="53"/>
      <c r="AB31" s="53"/>
    </row>
    <row r="32" spans="1:28" ht="17.25">
      <c r="A32" s="48"/>
      <c r="B32" s="20" t="s">
        <v>317</v>
      </c>
      <c r="C32" s="22" t="s">
        <v>323</v>
      </c>
      <c r="D32" s="8" t="str">
        <f>C32</f>
        <v>K305</v>
      </c>
      <c r="E32" s="244">
        <v>1</v>
      </c>
      <c r="F32" s="244">
        <f aca="true" t="shared" si="17" ref="F32:U32">IF($E31=0,0,ROUND(F31/$E31,9))</f>
        <v>0.380700468</v>
      </c>
      <c r="G32" s="244">
        <f t="shared" si="17"/>
        <v>0.26062854</v>
      </c>
      <c r="H32" s="244">
        <f t="shared" si="17"/>
        <v>0.000252916</v>
      </c>
      <c r="I32" s="244">
        <f t="shared" si="17"/>
        <v>0.001564808</v>
      </c>
      <c r="J32" s="244">
        <f t="shared" si="17"/>
        <v>0.003530506</v>
      </c>
      <c r="K32" s="244">
        <f t="shared" si="17"/>
        <v>0.000101166</v>
      </c>
      <c r="L32" s="244">
        <f t="shared" si="17"/>
        <v>0.182454501</v>
      </c>
      <c r="M32" s="244">
        <f t="shared" si="17"/>
        <v>0.002027644</v>
      </c>
      <c r="N32" s="244">
        <f t="shared" si="17"/>
        <v>0.108838027</v>
      </c>
      <c r="O32" s="244">
        <f t="shared" si="17"/>
        <v>0.005007951</v>
      </c>
      <c r="P32" s="244">
        <f t="shared" si="17"/>
        <v>0.008565925</v>
      </c>
      <c r="Q32" s="244">
        <f t="shared" si="17"/>
        <v>0</v>
      </c>
      <c r="R32" s="244">
        <f t="shared" si="17"/>
        <v>0.043471962</v>
      </c>
      <c r="S32" s="244">
        <f t="shared" si="17"/>
        <v>0.002774555</v>
      </c>
      <c r="T32" s="244">
        <f t="shared" si="17"/>
        <v>0</v>
      </c>
      <c r="U32" s="244">
        <f t="shared" si="17"/>
        <v>0</v>
      </c>
      <c r="V32" s="245">
        <f>IF($E31=0,0,1-SUM(F32:U32)-ROUND(X31/E31,9))</f>
        <v>8.103100000000918E-05</v>
      </c>
      <c r="W32" s="244">
        <f t="shared" si="9"/>
        <v>1</v>
      </c>
      <c r="X32" s="67">
        <f t="shared" si="10"/>
        <v>0</v>
      </c>
      <c r="Y32" s="48"/>
      <c r="Z32" s="60"/>
      <c r="AA32" s="60"/>
      <c r="AB32" s="60"/>
    </row>
    <row r="33" spans="1:26" ht="17.25">
      <c r="A33" s="22" t="s">
        <v>892</v>
      </c>
      <c r="B33" s="22" t="s">
        <v>891</v>
      </c>
      <c r="C33" s="48"/>
      <c r="D33" s="8"/>
      <c r="E33" s="248">
        <v>1</v>
      </c>
      <c r="F33" s="248">
        <v>1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9">
        <f t="shared" si="9"/>
        <v>1</v>
      </c>
      <c r="X33" s="5">
        <f t="shared" si="10"/>
        <v>0</v>
      </c>
      <c r="Y33" s="22" t="s">
        <v>892</v>
      </c>
      <c r="Z33" s="53"/>
    </row>
    <row r="34" spans="1:28" ht="17.25">
      <c r="A34" s="48"/>
      <c r="B34" s="20" t="s">
        <v>317</v>
      </c>
      <c r="C34" s="22" t="s">
        <v>892</v>
      </c>
      <c r="D34" s="8" t="str">
        <f>C34</f>
        <v>K307</v>
      </c>
      <c r="E34" s="244">
        <v>1</v>
      </c>
      <c r="F34" s="244">
        <f aca="true" t="shared" si="18" ref="F34:U34">IF($E33=0,0,ROUND(F33/$E33,9))</f>
        <v>1</v>
      </c>
      <c r="G34" s="244">
        <f t="shared" si="18"/>
        <v>0</v>
      </c>
      <c r="H34" s="244">
        <f t="shared" si="18"/>
        <v>0</v>
      </c>
      <c r="I34" s="244">
        <f t="shared" si="18"/>
        <v>0</v>
      </c>
      <c r="J34" s="244">
        <f t="shared" si="18"/>
        <v>0</v>
      </c>
      <c r="K34" s="244">
        <f t="shared" si="18"/>
        <v>0</v>
      </c>
      <c r="L34" s="244">
        <f t="shared" si="18"/>
        <v>0</v>
      </c>
      <c r="M34" s="244">
        <f t="shared" si="18"/>
        <v>0</v>
      </c>
      <c r="N34" s="244">
        <f t="shared" si="18"/>
        <v>0</v>
      </c>
      <c r="O34" s="244">
        <f t="shared" si="18"/>
        <v>0</v>
      </c>
      <c r="P34" s="244">
        <f t="shared" si="18"/>
        <v>0</v>
      </c>
      <c r="Q34" s="244">
        <f t="shared" si="18"/>
        <v>0</v>
      </c>
      <c r="R34" s="244">
        <f t="shared" si="18"/>
        <v>0</v>
      </c>
      <c r="S34" s="244">
        <f t="shared" si="18"/>
        <v>0</v>
      </c>
      <c r="T34" s="244">
        <f t="shared" si="18"/>
        <v>0</v>
      </c>
      <c r="U34" s="244">
        <f t="shared" si="18"/>
        <v>0</v>
      </c>
      <c r="V34" s="245">
        <f>IF($E33=0,0,1-SUM(F34:U34)-ROUND(X33/E33,9))</f>
        <v>0</v>
      </c>
      <c r="W34" s="244">
        <f t="shared" si="9"/>
        <v>1</v>
      </c>
      <c r="X34" s="67">
        <f t="shared" si="10"/>
        <v>0</v>
      </c>
      <c r="Y34" s="48"/>
      <c r="Z34" s="60"/>
      <c r="AA34" s="60"/>
      <c r="AB34" s="60"/>
    </row>
    <row r="35" spans="1:26" ht="17.25">
      <c r="A35" s="22" t="s">
        <v>363</v>
      </c>
      <c r="B35" s="22" t="s">
        <v>201</v>
      </c>
      <c r="C35" s="48"/>
      <c r="D35" s="8"/>
      <c r="E35" s="248">
        <v>1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1</v>
      </c>
      <c r="U35" s="248">
        <v>0</v>
      </c>
      <c r="V35" s="248">
        <v>0</v>
      </c>
      <c r="W35" s="249">
        <f t="shared" si="9"/>
        <v>1</v>
      </c>
      <c r="X35" s="5">
        <f t="shared" si="10"/>
        <v>0</v>
      </c>
      <c r="Y35" s="22" t="s">
        <v>363</v>
      </c>
      <c r="Z35" s="53"/>
    </row>
    <row r="36" spans="1:28" ht="17.25">
      <c r="A36" s="48"/>
      <c r="B36" s="20" t="s">
        <v>317</v>
      </c>
      <c r="C36" s="22" t="s">
        <v>363</v>
      </c>
      <c r="D36" s="8" t="str">
        <f>C36</f>
        <v>K401</v>
      </c>
      <c r="E36" s="244">
        <v>1</v>
      </c>
      <c r="F36" s="244">
        <f aca="true" t="shared" si="19" ref="F36:U36">IF($E35=0,0,ROUND(F35/$E35,9))</f>
        <v>0</v>
      </c>
      <c r="G36" s="244">
        <f t="shared" si="19"/>
        <v>0</v>
      </c>
      <c r="H36" s="244">
        <f t="shared" si="19"/>
        <v>0</v>
      </c>
      <c r="I36" s="244">
        <f t="shared" si="19"/>
        <v>0</v>
      </c>
      <c r="J36" s="244">
        <f t="shared" si="19"/>
        <v>0</v>
      </c>
      <c r="K36" s="244">
        <f t="shared" si="19"/>
        <v>0</v>
      </c>
      <c r="L36" s="244">
        <f t="shared" si="19"/>
        <v>0</v>
      </c>
      <c r="M36" s="244">
        <f t="shared" si="19"/>
        <v>0</v>
      </c>
      <c r="N36" s="244">
        <f t="shared" si="19"/>
        <v>0</v>
      </c>
      <c r="O36" s="244">
        <f t="shared" si="19"/>
        <v>0</v>
      </c>
      <c r="P36" s="244">
        <f t="shared" si="19"/>
        <v>0</v>
      </c>
      <c r="Q36" s="244">
        <f t="shared" si="19"/>
        <v>0</v>
      </c>
      <c r="R36" s="244">
        <f t="shared" si="19"/>
        <v>0</v>
      </c>
      <c r="S36" s="244">
        <f t="shared" si="19"/>
        <v>0</v>
      </c>
      <c r="T36" s="244">
        <f t="shared" si="19"/>
        <v>1</v>
      </c>
      <c r="U36" s="244">
        <f t="shared" si="19"/>
        <v>0</v>
      </c>
      <c r="V36" s="245">
        <f>IF($E35=0,0,1-SUM(F36:U36)-ROUND(X35/E35,9))</f>
        <v>0</v>
      </c>
      <c r="W36" s="244">
        <f t="shared" si="9"/>
        <v>1</v>
      </c>
      <c r="X36" s="67">
        <f t="shared" si="10"/>
        <v>0</v>
      </c>
      <c r="Y36" s="48"/>
      <c r="Z36" s="60"/>
      <c r="AA36" s="60"/>
      <c r="AB36" s="60"/>
    </row>
    <row r="37" spans="1:26" ht="17.25">
      <c r="A37" s="22" t="s">
        <v>350</v>
      </c>
      <c r="B37" s="22" t="s">
        <v>202</v>
      </c>
      <c r="C37" s="48"/>
      <c r="D37" s="8"/>
      <c r="E37" s="242">
        <f>+'[2]alloc2-dist'!$H$36</f>
        <v>134630</v>
      </c>
      <c r="F37" s="242">
        <f>+'[2]alloc2-dist'!$H$15</f>
        <v>121452</v>
      </c>
      <c r="G37" s="242">
        <f>+'[2]alloc2-dist'!$H$16</f>
        <v>12293</v>
      </c>
      <c r="H37" s="242">
        <f>+'[2]alloc2-dist'!$H$29</f>
        <v>0</v>
      </c>
      <c r="I37" s="242">
        <f>+'[2]alloc2-dist'!$H$17</f>
        <v>147</v>
      </c>
      <c r="J37" s="242">
        <f>+'[2]alloc2-dist'!$H$18</f>
        <v>119</v>
      </c>
      <c r="K37" s="242">
        <f>+'[2]alloc2-dist'!$H$19</f>
        <v>27</v>
      </c>
      <c r="L37" s="242">
        <f>+'[2]alloc2-dist'!$H$20</f>
        <v>190</v>
      </c>
      <c r="M37" s="242">
        <f>+'[2]alloc2-dist'!$H$30</f>
        <v>0</v>
      </c>
      <c r="N37" s="242">
        <f>+'[2]alloc2-dist'!$H$21</f>
        <v>37</v>
      </c>
      <c r="O37" s="242">
        <f>+'[2]alloc2-dist'!$H$31</f>
        <v>0</v>
      </c>
      <c r="P37" s="242">
        <f>+'[2]alloc2-dist'!$H$22</f>
        <v>11</v>
      </c>
      <c r="Q37" s="242">
        <f>+'[2]alloc2-dist'!$H$32</f>
        <v>0</v>
      </c>
      <c r="R37" s="242">
        <f>+'[2]alloc2-dist'!$H$23</f>
        <v>0</v>
      </c>
      <c r="S37" s="242">
        <f>+'[2]alloc2-dist'!$H$33</f>
        <v>0</v>
      </c>
      <c r="T37" s="242">
        <f>+'[2]alloc2-dist'!$H$24</f>
        <v>343</v>
      </c>
      <c r="U37" s="242">
        <v>0</v>
      </c>
      <c r="V37" s="242">
        <f>+'[2]alloc2-dist'!$H$25</f>
        <v>11</v>
      </c>
      <c r="W37" s="243">
        <f t="shared" si="9"/>
        <v>134630</v>
      </c>
      <c r="X37" s="24">
        <f t="shared" si="10"/>
        <v>0</v>
      </c>
      <c r="Y37" s="22" t="s">
        <v>350</v>
      </c>
      <c r="Z37" t="s">
        <v>1228</v>
      </c>
    </row>
    <row r="38" spans="1:28" ht="17.25">
      <c r="A38" s="48"/>
      <c r="B38" s="20" t="s">
        <v>317</v>
      </c>
      <c r="C38" s="22" t="s">
        <v>350</v>
      </c>
      <c r="D38" s="8" t="str">
        <f>C38</f>
        <v>K405</v>
      </c>
      <c r="E38" s="244">
        <v>1</v>
      </c>
      <c r="F38" s="244">
        <f aca="true" t="shared" si="20" ref="F38:U38">IF($E37=0,0,ROUND(F37/$E37,9))</f>
        <v>0.902116913</v>
      </c>
      <c r="G38" s="244">
        <f t="shared" si="20"/>
        <v>0.091309515</v>
      </c>
      <c r="H38" s="244">
        <f t="shared" si="20"/>
        <v>0</v>
      </c>
      <c r="I38" s="244">
        <f t="shared" si="20"/>
        <v>0.001091881</v>
      </c>
      <c r="J38" s="244">
        <f t="shared" si="20"/>
        <v>0.000883904</v>
      </c>
      <c r="K38" s="244">
        <f t="shared" si="20"/>
        <v>0.00020055</v>
      </c>
      <c r="L38" s="244">
        <f t="shared" si="20"/>
        <v>0.001411275</v>
      </c>
      <c r="M38" s="244">
        <f t="shared" si="20"/>
        <v>0</v>
      </c>
      <c r="N38" s="244">
        <f t="shared" si="20"/>
        <v>0.000274827</v>
      </c>
      <c r="O38" s="244">
        <f t="shared" si="20"/>
        <v>0</v>
      </c>
      <c r="P38" s="244">
        <f t="shared" si="20"/>
        <v>8.1705E-05</v>
      </c>
      <c r="Q38" s="244">
        <f t="shared" si="20"/>
        <v>0</v>
      </c>
      <c r="R38" s="244">
        <f t="shared" si="20"/>
        <v>0</v>
      </c>
      <c r="S38" s="244">
        <f t="shared" si="20"/>
        <v>0</v>
      </c>
      <c r="T38" s="244">
        <f t="shared" si="20"/>
        <v>0.002547723</v>
      </c>
      <c r="U38" s="244">
        <f t="shared" si="20"/>
        <v>0</v>
      </c>
      <c r="V38" s="245">
        <f>IF($E37=0,0,1-SUM(F38:U38)-ROUND(X37/E37,9))</f>
        <v>8.170699999998643E-05</v>
      </c>
      <c r="W38" s="244">
        <f t="shared" si="9"/>
        <v>1</v>
      </c>
      <c r="X38" s="67">
        <f t="shared" si="10"/>
        <v>0</v>
      </c>
      <c r="Y38" s="48"/>
      <c r="Z38" s="60"/>
      <c r="AA38" s="60"/>
      <c r="AB38" s="60"/>
    </row>
    <row r="39" spans="1:36" ht="17.25">
      <c r="A39" s="22" t="s">
        <v>359</v>
      </c>
      <c r="B39" s="22" t="s">
        <v>357</v>
      </c>
      <c r="C39" s="48"/>
      <c r="D39" s="8"/>
      <c r="E39" s="242">
        <f>+'[2]alloc3-meters'!$E$36</f>
        <v>40596398</v>
      </c>
      <c r="F39" s="242">
        <f>+'[2]alloc3-meters'!$E$15</f>
        <v>35086187</v>
      </c>
      <c r="G39" s="242">
        <f>+'[2]alloc3-meters'!$E$16</f>
        <v>4804971</v>
      </c>
      <c r="H39" s="242">
        <f>+'[2]alloc3-meters'!$E$29</f>
        <v>0</v>
      </c>
      <c r="I39" s="242">
        <f>+'[2]alloc3-meters'!$E$17</f>
        <v>0</v>
      </c>
      <c r="J39" s="242">
        <f>+'[2]alloc3-meters'!$E$18</f>
        <v>141678</v>
      </c>
      <c r="K39" s="242">
        <f>+'[2]alloc3-meters'!$E$19</f>
        <v>11862</v>
      </c>
      <c r="L39" s="242">
        <f>+'[2]alloc3-meters'!$E$20</f>
        <v>367725</v>
      </c>
      <c r="M39" s="242">
        <f>+'[2]alloc3-meters'!$E$30</f>
        <v>0</v>
      </c>
      <c r="N39" s="242">
        <f>+'[2]alloc3-meters'!$E$21</f>
        <v>124275</v>
      </c>
      <c r="O39" s="242">
        <f>+'[2]alloc3-meters'!$E$31</f>
        <v>0</v>
      </c>
      <c r="P39" s="242">
        <f>+'[2]alloc3-meters'!$E$22</f>
        <v>14025</v>
      </c>
      <c r="Q39" s="242">
        <f>+'[2]alloc3-meters'!$E$32</f>
        <v>0</v>
      </c>
      <c r="R39" s="242">
        <f>+'[2]alloc3-meters'!$E$23</f>
        <v>43200</v>
      </c>
      <c r="S39" s="242">
        <f>+'[2]alloc3-meters'!$E$33</f>
        <v>0</v>
      </c>
      <c r="T39" s="242">
        <f>+'[2]alloc3-meters'!$E$24</f>
        <v>2475</v>
      </c>
      <c r="U39" s="242">
        <v>0</v>
      </c>
      <c r="V39" s="242">
        <f>+'[2]alloc3-meters'!$E$25</f>
        <v>0</v>
      </c>
      <c r="W39" s="243">
        <f t="shared" si="9"/>
        <v>40596398</v>
      </c>
      <c r="X39" s="24">
        <f t="shared" si="10"/>
        <v>0</v>
      </c>
      <c r="Y39" s="22" t="s">
        <v>359</v>
      </c>
      <c r="Z39" t="s">
        <v>1228</v>
      </c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  <row r="40" spans="1:36" ht="17.25">
      <c r="A40" s="48"/>
      <c r="B40" s="20" t="s">
        <v>317</v>
      </c>
      <c r="C40" s="22" t="s">
        <v>359</v>
      </c>
      <c r="D40" s="8" t="str">
        <f>C40</f>
        <v>K407</v>
      </c>
      <c r="E40" s="244">
        <v>1</v>
      </c>
      <c r="F40" s="244">
        <f aca="true" t="shared" si="21" ref="F40:U40">IF($E39=0,0,ROUND(F39/$E39,9))</f>
        <v>0.864268475</v>
      </c>
      <c r="G40" s="244">
        <f t="shared" si="21"/>
        <v>0.11835954</v>
      </c>
      <c r="H40" s="244">
        <f t="shared" si="21"/>
        <v>0</v>
      </c>
      <c r="I40" s="244">
        <f t="shared" si="21"/>
        <v>0</v>
      </c>
      <c r="J40" s="244">
        <f t="shared" si="21"/>
        <v>0.003489916</v>
      </c>
      <c r="K40" s="244">
        <f t="shared" si="21"/>
        <v>0.000292193</v>
      </c>
      <c r="L40" s="244">
        <f t="shared" si="21"/>
        <v>0.00905807</v>
      </c>
      <c r="M40" s="244">
        <f t="shared" si="21"/>
        <v>0</v>
      </c>
      <c r="N40" s="244">
        <f t="shared" si="21"/>
        <v>0.003061232</v>
      </c>
      <c r="O40" s="244">
        <f t="shared" si="21"/>
        <v>0</v>
      </c>
      <c r="P40" s="244">
        <f t="shared" si="21"/>
        <v>0.000345474</v>
      </c>
      <c r="Q40" s="244">
        <f t="shared" si="21"/>
        <v>0</v>
      </c>
      <c r="R40" s="244">
        <f t="shared" si="21"/>
        <v>0.001064134</v>
      </c>
      <c r="S40" s="244">
        <f t="shared" si="21"/>
        <v>0</v>
      </c>
      <c r="T40" s="244">
        <f t="shared" si="21"/>
        <v>6.0966E-05</v>
      </c>
      <c r="U40" s="244">
        <f t="shared" si="21"/>
        <v>0</v>
      </c>
      <c r="V40" s="245">
        <f>IF($E39=0,0,1-ROUND(SUM(F40:U40),9)-ROUND(X39/E39,9))</f>
        <v>0</v>
      </c>
      <c r="W40" s="244">
        <f t="shared" si="9"/>
        <v>1.0000000000000002</v>
      </c>
      <c r="X40" s="67">
        <f t="shared" si="10"/>
        <v>0</v>
      </c>
      <c r="Y40" s="48"/>
      <c r="Z40" s="60"/>
      <c r="AA40" s="212"/>
      <c r="AB40" s="212"/>
      <c r="AC40" s="136"/>
      <c r="AD40" s="136"/>
      <c r="AE40" s="136"/>
      <c r="AF40" s="136"/>
      <c r="AG40" s="136"/>
      <c r="AH40" s="136"/>
      <c r="AI40" s="136"/>
      <c r="AJ40" s="136"/>
    </row>
    <row r="41" spans="1:36" ht="17.25">
      <c r="A41" s="22" t="s">
        <v>470</v>
      </c>
      <c r="B41" s="114" t="s">
        <v>884</v>
      </c>
      <c r="C41" s="48"/>
      <c r="D41" s="8"/>
      <c r="E41" s="242">
        <f>+'[2]alloc4-CA'!$D$36</f>
        <v>3915187</v>
      </c>
      <c r="F41" s="242">
        <f>+'[2]alloc4-CA'!$D$15</f>
        <v>3457929</v>
      </c>
      <c r="G41" s="242">
        <f>+'[2]alloc4-CA'!$D$16</f>
        <v>430386</v>
      </c>
      <c r="H41" s="242">
        <f>+'[2]alloc4-CA'!$D$29</f>
        <v>426</v>
      </c>
      <c r="I41" s="242">
        <f>+'[2]alloc4-CA'!$D$17</f>
        <v>2636</v>
      </c>
      <c r="J41" s="242">
        <f>+'[2]alloc4-CA'!$D$18</f>
        <v>4168</v>
      </c>
      <c r="K41" s="242">
        <f>+'[2]alloc4-CA'!$D$19</f>
        <v>663</v>
      </c>
      <c r="L41" s="242">
        <f>+'[2]alloc4-CA'!$D$20</f>
        <v>7208</v>
      </c>
      <c r="M41" s="242">
        <f>+'[2]alloc4-CA'!$D$30</f>
        <v>224</v>
      </c>
      <c r="N41" s="242">
        <f>+'[2]alloc4-CA'!$D$21</f>
        <v>1266</v>
      </c>
      <c r="O41" s="242">
        <f>+'[2]alloc4-CA'!$D$31</f>
        <v>184</v>
      </c>
      <c r="P41" s="242">
        <f>+'[2]alloc4-CA'!$D$22</f>
        <v>481</v>
      </c>
      <c r="Q41" s="242">
        <f>+'[2]alloc4-CA'!$D$32</f>
        <v>0</v>
      </c>
      <c r="R41" s="242">
        <f>+'[2]alloc4-CA'!$D$23</f>
        <v>466</v>
      </c>
      <c r="S41" s="242">
        <f>+'[2]alloc4-CA'!$D$33</f>
        <v>144</v>
      </c>
      <c r="T41" s="242">
        <f>+'[2]alloc4-CA'!$D$24</f>
        <v>8606</v>
      </c>
      <c r="U41" s="242">
        <v>0</v>
      </c>
      <c r="V41" s="242">
        <f>+'[2]alloc4-CA'!$D$25</f>
        <v>400</v>
      </c>
      <c r="W41" s="243">
        <f t="shared" si="9"/>
        <v>3915187</v>
      </c>
      <c r="X41" s="24">
        <f t="shared" si="10"/>
        <v>0</v>
      </c>
      <c r="Y41" s="22" t="s">
        <v>470</v>
      </c>
      <c r="Z41" t="s">
        <v>1228</v>
      </c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</row>
    <row r="42" spans="1:36" ht="17.25">
      <c r="A42" s="48"/>
      <c r="B42" s="198" t="s">
        <v>317</v>
      </c>
      <c r="C42" s="22" t="s">
        <v>470</v>
      </c>
      <c r="D42" s="8" t="str">
        <f>C42</f>
        <v>K409</v>
      </c>
      <c r="E42" s="244">
        <v>1</v>
      </c>
      <c r="F42" s="244">
        <f aca="true" t="shared" si="22" ref="F42:U42">IF($E41=0,0,ROUND(F41/$E41,9))</f>
        <v>0.883209155</v>
      </c>
      <c r="G42" s="244">
        <f t="shared" si="22"/>
        <v>0.109927316</v>
      </c>
      <c r="H42" s="244">
        <f t="shared" si="22"/>
        <v>0.000108807</v>
      </c>
      <c r="I42" s="244">
        <f t="shared" si="22"/>
        <v>0.000673276</v>
      </c>
      <c r="J42" s="244">
        <f t="shared" si="22"/>
        <v>0.001064572</v>
      </c>
      <c r="K42" s="244">
        <f t="shared" si="22"/>
        <v>0.000169341</v>
      </c>
      <c r="L42" s="244">
        <f t="shared" si="22"/>
        <v>0.001841036</v>
      </c>
      <c r="M42" s="244">
        <f t="shared" si="22"/>
        <v>5.7213E-05</v>
      </c>
      <c r="N42" s="244">
        <f t="shared" si="22"/>
        <v>0.000323356</v>
      </c>
      <c r="O42" s="244">
        <f t="shared" si="22"/>
        <v>4.6996E-05</v>
      </c>
      <c r="P42" s="244">
        <f t="shared" si="22"/>
        <v>0.000122855</v>
      </c>
      <c r="Q42" s="244">
        <f t="shared" si="22"/>
        <v>0</v>
      </c>
      <c r="R42" s="244">
        <f t="shared" si="22"/>
        <v>0.000119024</v>
      </c>
      <c r="S42" s="244">
        <f t="shared" si="22"/>
        <v>3.678E-05</v>
      </c>
      <c r="T42" s="244">
        <f t="shared" si="22"/>
        <v>0.002198107</v>
      </c>
      <c r="U42" s="244">
        <f t="shared" si="22"/>
        <v>0</v>
      </c>
      <c r="V42" s="245">
        <f>IF($E41=0,0,1-SUM(F42:U42)-ROUND(X41/E41,9))</f>
        <v>0.00010216600000023668</v>
      </c>
      <c r="W42" s="244">
        <f t="shared" si="9"/>
        <v>1</v>
      </c>
      <c r="X42" s="67">
        <f t="shared" si="10"/>
        <v>0</v>
      </c>
      <c r="Y42" s="48"/>
      <c r="Z42" s="60"/>
      <c r="AA42" s="212"/>
      <c r="AB42" s="212"/>
      <c r="AC42" s="136"/>
      <c r="AD42" s="136"/>
      <c r="AE42" s="136"/>
      <c r="AF42" s="136"/>
      <c r="AG42" s="136"/>
      <c r="AH42" s="136"/>
      <c r="AI42" s="136"/>
      <c r="AJ42" s="136"/>
    </row>
    <row r="43" spans="1:36" ht="17.25">
      <c r="A43" s="22" t="s">
        <v>881</v>
      </c>
      <c r="B43" s="114" t="s">
        <v>885</v>
      </c>
      <c r="C43" s="48"/>
      <c r="D43" s="8"/>
      <c r="E43" s="246">
        <f>+'[2]alloc4-CA'!$G$36</f>
        <v>2607059</v>
      </c>
      <c r="F43" s="246">
        <f>+'[2]alloc4-CA'!$G$15</f>
        <v>2331577</v>
      </c>
      <c r="G43" s="246">
        <f>+'[2]alloc4-CA'!$G$16</f>
        <v>244370</v>
      </c>
      <c r="H43" s="246">
        <f>+'[2]alloc4-CA'!$G$29</f>
        <v>0</v>
      </c>
      <c r="I43" s="246">
        <f>+'[2]alloc4-CA'!$G$17</f>
        <v>0</v>
      </c>
      <c r="J43" s="246">
        <f>+'[2]alloc4-CA'!$G$18</f>
        <v>0</v>
      </c>
      <c r="K43" s="246">
        <f>+'[2]alloc4-CA'!$G$19</f>
        <v>0</v>
      </c>
      <c r="L43" s="246">
        <f>+'[2]alloc4-CA'!$G$20</f>
        <v>31075</v>
      </c>
      <c r="M43" s="246">
        <f>+'[2]alloc4-CA'!$G$30</f>
        <v>0</v>
      </c>
      <c r="N43" s="246">
        <f>+'[2]alloc4-CA'!$G$21</f>
        <v>0</v>
      </c>
      <c r="O43" s="246">
        <f>+'[2]alloc4-CA'!$G$31</f>
        <v>0</v>
      </c>
      <c r="P43" s="246">
        <f>+'[2]alloc4-CA'!$G$22</f>
        <v>0</v>
      </c>
      <c r="Q43" s="246">
        <f>+'[2]alloc4-CA'!$G$32</f>
        <v>0</v>
      </c>
      <c r="R43" s="246">
        <f>+'[2]alloc4-CA'!$G$23</f>
        <v>0</v>
      </c>
      <c r="S43" s="246">
        <f>+'[2]alloc4-CA'!$G$33</f>
        <v>0</v>
      </c>
      <c r="T43" s="246">
        <f>+'[2]alloc4-CA'!$G$24</f>
        <v>37</v>
      </c>
      <c r="U43" s="246">
        <v>0</v>
      </c>
      <c r="V43" s="246">
        <f>+'[2]alloc4-CA'!$G$25</f>
        <v>0</v>
      </c>
      <c r="W43" s="250">
        <f t="shared" si="9"/>
        <v>2607059</v>
      </c>
      <c r="X43" s="211">
        <f t="shared" si="10"/>
        <v>0</v>
      </c>
      <c r="Y43" s="114" t="s">
        <v>881</v>
      </c>
      <c r="Z43" s="136" t="s">
        <v>1228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</row>
    <row r="44" spans="1:36" ht="17.25">
      <c r="A44" s="48"/>
      <c r="B44" s="198" t="s">
        <v>317</v>
      </c>
      <c r="C44" s="22" t="s">
        <v>881</v>
      </c>
      <c r="D44" s="8" t="str">
        <f>C44</f>
        <v>K411</v>
      </c>
      <c r="E44" s="247">
        <v>1</v>
      </c>
      <c r="F44" s="247">
        <f aca="true" t="shared" si="23" ref="F44:U44">IF($E43=0,0,ROUND(F43/$E43,9))</f>
        <v>0.894332272</v>
      </c>
      <c r="G44" s="247">
        <f t="shared" si="23"/>
        <v>0.093733974</v>
      </c>
      <c r="H44" s="247">
        <f t="shared" si="23"/>
        <v>0</v>
      </c>
      <c r="I44" s="247">
        <f t="shared" si="23"/>
        <v>0</v>
      </c>
      <c r="J44" s="247">
        <f t="shared" si="23"/>
        <v>0</v>
      </c>
      <c r="K44" s="247">
        <f t="shared" si="23"/>
        <v>0</v>
      </c>
      <c r="L44" s="247">
        <f t="shared" si="23"/>
        <v>0.011919561</v>
      </c>
      <c r="M44" s="247">
        <f t="shared" si="23"/>
        <v>0</v>
      </c>
      <c r="N44" s="247">
        <f t="shared" si="23"/>
        <v>0</v>
      </c>
      <c r="O44" s="247">
        <f t="shared" si="23"/>
        <v>0</v>
      </c>
      <c r="P44" s="247">
        <f t="shared" si="23"/>
        <v>0</v>
      </c>
      <c r="Q44" s="247">
        <f t="shared" si="23"/>
        <v>0</v>
      </c>
      <c r="R44" s="247">
        <f t="shared" si="23"/>
        <v>0</v>
      </c>
      <c r="S44" s="247">
        <f t="shared" si="23"/>
        <v>0</v>
      </c>
      <c r="T44" s="247">
        <f t="shared" si="23"/>
        <v>1.4192E-05</v>
      </c>
      <c r="U44" s="247">
        <f t="shared" si="23"/>
        <v>0</v>
      </c>
      <c r="V44" s="251">
        <f>IF($E43=0,0,1-SUM(F44:U44)-ROUND(X43/E43,9))</f>
        <v>9.999999717180685E-10</v>
      </c>
      <c r="W44" s="247">
        <f aca="true" t="shared" si="24" ref="W44:W50">SUM(F44:V44)</f>
        <v>1</v>
      </c>
      <c r="X44" s="199">
        <f t="shared" si="10"/>
        <v>0</v>
      </c>
      <c r="Y44" s="196"/>
      <c r="Z44" s="212"/>
      <c r="AA44" s="212"/>
      <c r="AB44" s="212"/>
      <c r="AC44" s="136"/>
      <c r="AD44" s="136"/>
      <c r="AE44" s="136"/>
      <c r="AF44" s="136"/>
      <c r="AG44" s="136"/>
      <c r="AH44" s="136"/>
      <c r="AI44" s="136"/>
      <c r="AJ44" s="136"/>
    </row>
    <row r="45" spans="1:32" ht="17.25">
      <c r="A45" s="22" t="s">
        <v>882</v>
      </c>
      <c r="B45" s="114" t="s">
        <v>887</v>
      </c>
      <c r="C45" s="48"/>
      <c r="D45" s="8"/>
      <c r="E45" s="246">
        <f>+'[2]alloc4-CA'!$J$36</f>
        <v>646790</v>
      </c>
      <c r="F45" s="246">
        <f>+'[2]alloc4-CA'!$J$15</f>
        <v>427763</v>
      </c>
      <c r="G45" s="246">
        <f>+'[2]alloc4-CA'!$J$16</f>
        <v>201745</v>
      </c>
      <c r="H45" s="246">
        <f>+'[2]alloc4-CA'!$J$29</f>
        <v>160</v>
      </c>
      <c r="I45" s="246">
        <f>+'[2]alloc4-CA'!$J$17</f>
        <v>2452</v>
      </c>
      <c r="J45" s="246">
        <f>+'[2]alloc4-CA'!$J$18</f>
        <v>1974</v>
      </c>
      <c r="K45" s="246">
        <f>+'[2]alloc4-CA'!$J$19</f>
        <v>458</v>
      </c>
      <c r="L45" s="246">
        <f>+'[2]alloc4-CA'!$J$20</f>
        <v>2910</v>
      </c>
      <c r="M45" s="246">
        <f>+'[2]alloc4-CA'!$J$30</f>
        <v>99</v>
      </c>
      <c r="N45" s="246">
        <f>+'[2]alloc4-CA'!$J$21</f>
        <v>537</v>
      </c>
      <c r="O45" s="246">
        <f>+'[2]alloc4-CA'!$J$31</f>
        <v>79</v>
      </c>
      <c r="P45" s="246">
        <f>+'[2]alloc4-CA'!$J$22</f>
        <v>200</v>
      </c>
      <c r="Q45" s="246">
        <f>+'[2]alloc4-CA'!$J$32</f>
        <v>0</v>
      </c>
      <c r="R45" s="246">
        <f>+'[2]alloc4-CA'!$J$23</f>
        <v>180</v>
      </c>
      <c r="S45" s="246">
        <f>+'[2]alloc4-CA'!$J$33</f>
        <v>59</v>
      </c>
      <c r="T45" s="246">
        <f>+'[2]alloc4-CA'!$J$24</f>
        <v>7994</v>
      </c>
      <c r="U45" s="246">
        <v>0</v>
      </c>
      <c r="V45" s="246">
        <f>+'[2]alloc4-CA'!$J$25</f>
        <v>180</v>
      </c>
      <c r="W45" s="250">
        <f>SUM(F45:V45)</f>
        <v>646790</v>
      </c>
      <c r="X45" s="211">
        <f t="shared" si="10"/>
        <v>0</v>
      </c>
      <c r="Y45" s="114" t="s">
        <v>881</v>
      </c>
      <c r="Z45" s="136" t="s">
        <v>1228</v>
      </c>
      <c r="AA45" s="53"/>
      <c r="AB45" s="53"/>
      <c r="AC45" s="53"/>
      <c r="AD45" s="53"/>
      <c r="AE45" s="53"/>
      <c r="AF45" s="53"/>
    </row>
    <row r="46" spans="1:28" ht="17.25">
      <c r="A46" s="48"/>
      <c r="B46" s="198" t="s">
        <v>317</v>
      </c>
      <c r="C46" s="22" t="s">
        <v>882</v>
      </c>
      <c r="D46" s="8" t="str">
        <f>C46</f>
        <v>K413</v>
      </c>
      <c r="E46" s="247">
        <v>1</v>
      </c>
      <c r="F46" s="247">
        <f aca="true" t="shared" si="25" ref="F46:U46">IF($E45=0,0,ROUND(F45/$E45,9))</f>
        <v>0.661363039</v>
      </c>
      <c r="G46" s="247">
        <f t="shared" si="25"/>
        <v>0.311917315</v>
      </c>
      <c r="H46" s="247">
        <f t="shared" si="25"/>
        <v>0.000247376</v>
      </c>
      <c r="I46" s="247">
        <f t="shared" si="25"/>
        <v>0.00379103</v>
      </c>
      <c r="J46" s="247">
        <f t="shared" si="25"/>
        <v>0.003051995</v>
      </c>
      <c r="K46" s="247">
        <f t="shared" si="25"/>
        <v>0.000708112</v>
      </c>
      <c r="L46" s="247">
        <f t="shared" si="25"/>
        <v>0.004499142</v>
      </c>
      <c r="M46" s="247">
        <f t="shared" si="25"/>
        <v>0.000153064</v>
      </c>
      <c r="N46" s="247">
        <f t="shared" si="25"/>
        <v>0.000830254</v>
      </c>
      <c r="O46" s="247">
        <f t="shared" si="25"/>
        <v>0.000122142</v>
      </c>
      <c r="P46" s="247">
        <f t="shared" si="25"/>
        <v>0.000309219</v>
      </c>
      <c r="Q46" s="247">
        <f t="shared" si="25"/>
        <v>0</v>
      </c>
      <c r="R46" s="247">
        <f t="shared" si="25"/>
        <v>0.000278297</v>
      </c>
      <c r="S46" s="247">
        <f t="shared" si="25"/>
        <v>9.122E-05</v>
      </c>
      <c r="T46" s="247">
        <f t="shared" si="25"/>
        <v>0.012359498</v>
      </c>
      <c r="U46" s="247">
        <f t="shared" si="25"/>
        <v>0</v>
      </c>
      <c r="V46" s="251">
        <f>IF($E45=0,0,1-SUM(F46:U46)-ROUND(X45/E45,9))</f>
        <v>0.0002782969999998164</v>
      </c>
      <c r="W46" s="247">
        <f t="shared" si="24"/>
        <v>1</v>
      </c>
      <c r="X46" s="199">
        <f t="shared" si="10"/>
        <v>0</v>
      </c>
      <c r="Y46" s="196"/>
      <c r="Z46" s="212"/>
      <c r="AA46" s="60"/>
      <c r="AB46" s="60"/>
    </row>
    <row r="47" spans="1:26" ht="17.25">
      <c r="A47" s="22" t="s">
        <v>883</v>
      </c>
      <c r="B47" s="114" t="s">
        <v>886</v>
      </c>
      <c r="C47" s="48"/>
      <c r="D47" s="8"/>
      <c r="E47" s="246">
        <f>+'[2]alloc4-CA'!$M$36</f>
        <v>72135</v>
      </c>
      <c r="F47" s="246">
        <f>+'[2]alloc4-CA'!$M$15</f>
        <v>48948</v>
      </c>
      <c r="G47" s="246">
        <f>+'[2]alloc4-CA'!$M$16</f>
        <v>21360</v>
      </c>
      <c r="H47" s="246">
        <f>+'[2]alloc4-CA'!$M$29</f>
        <v>17</v>
      </c>
      <c r="I47" s="246">
        <f>+'[2]alloc4-CA'!$M$17</f>
        <v>260</v>
      </c>
      <c r="J47" s="246">
        <f>+'[2]alloc4-CA'!$M$18</f>
        <v>209</v>
      </c>
      <c r="K47" s="246">
        <f>+'[2]alloc4-CA'!$M$19</f>
        <v>48</v>
      </c>
      <c r="L47" s="246">
        <f>+'[2]alloc4-CA'!$M$20</f>
        <v>308</v>
      </c>
      <c r="M47" s="246">
        <f>+'[2]alloc4-CA'!$M$30</f>
        <v>10</v>
      </c>
      <c r="N47" s="246">
        <f>+'[2]alloc4-CA'!$M$21</f>
        <v>56</v>
      </c>
      <c r="O47" s="246">
        <f>+'[2]alloc4-CA'!$M$31</f>
        <v>8</v>
      </c>
      <c r="P47" s="246">
        <f>+'[2]alloc4-CA'!$M$22</f>
        <v>21</v>
      </c>
      <c r="Q47" s="246">
        <f>+'[2]alloc4-CA'!$M$32</f>
        <v>0</v>
      </c>
      <c r="R47" s="246">
        <f>+'[2]alloc4-CA'!$M$23</f>
        <v>19</v>
      </c>
      <c r="S47" s="246">
        <f>+'[2]alloc4-CA'!$M$33</f>
        <v>6</v>
      </c>
      <c r="T47" s="246">
        <f>+'[2]alloc4-CA'!$M$24</f>
        <v>846</v>
      </c>
      <c r="U47" s="246">
        <v>0</v>
      </c>
      <c r="V47" s="246">
        <f>+'[2]alloc4-CA'!$M$25</f>
        <v>19</v>
      </c>
      <c r="W47" s="250">
        <f>SUM(F47:V47)</f>
        <v>72135</v>
      </c>
      <c r="X47" s="211">
        <f t="shared" si="10"/>
        <v>0</v>
      </c>
      <c r="Y47" s="114" t="s">
        <v>881</v>
      </c>
      <c r="Z47" s="136" t="s">
        <v>1228</v>
      </c>
    </row>
    <row r="48" spans="1:26" ht="17.25">
      <c r="A48" s="12"/>
      <c r="B48" s="198" t="s">
        <v>317</v>
      </c>
      <c r="C48" s="22" t="s">
        <v>883</v>
      </c>
      <c r="D48" s="8" t="str">
        <f>C48</f>
        <v>K419</v>
      </c>
      <c r="E48" s="247">
        <v>1</v>
      </c>
      <c r="F48" s="247">
        <f aca="true" t="shared" si="26" ref="F48:U48">IF($E47=0,0,ROUND(F47/$E47,9))</f>
        <v>0.678561031</v>
      </c>
      <c r="G48" s="247">
        <f t="shared" si="26"/>
        <v>0.296111458</v>
      </c>
      <c r="H48" s="247">
        <f t="shared" si="26"/>
        <v>0.000235669</v>
      </c>
      <c r="I48" s="247">
        <f t="shared" si="26"/>
        <v>0.003604353</v>
      </c>
      <c r="J48" s="247">
        <f t="shared" si="26"/>
        <v>0.002897345</v>
      </c>
      <c r="K48" s="247">
        <f t="shared" si="26"/>
        <v>0.000665419</v>
      </c>
      <c r="L48" s="247">
        <f t="shared" si="26"/>
        <v>0.004269772</v>
      </c>
      <c r="M48" s="247">
        <f t="shared" si="26"/>
        <v>0.000138629</v>
      </c>
      <c r="N48" s="247">
        <f t="shared" si="26"/>
        <v>0.000776322</v>
      </c>
      <c r="O48" s="247">
        <f t="shared" si="26"/>
        <v>0.000110903</v>
      </c>
      <c r="P48" s="247">
        <f t="shared" si="26"/>
        <v>0.000291121</v>
      </c>
      <c r="Q48" s="247">
        <f t="shared" si="26"/>
        <v>0</v>
      </c>
      <c r="R48" s="247">
        <f t="shared" si="26"/>
        <v>0.000263395</v>
      </c>
      <c r="S48" s="247">
        <f t="shared" si="26"/>
        <v>8.3177E-05</v>
      </c>
      <c r="T48" s="247">
        <f t="shared" si="26"/>
        <v>0.01172801</v>
      </c>
      <c r="U48" s="247">
        <f t="shared" si="26"/>
        <v>0</v>
      </c>
      <c r="V48" s="251">
        <f>IF($E47=0,0,1-SUM(F48:U48)-ROUND(X47/E47,9))</f>
        <v>0.0002633959999999158</v>
      </c>
      <c r="W48" s="247">
        <f t="shared" si="24"/>
        <v>1</v>
      </c>
      <c r="X48" s="199">
        <f t="shared" si="10"/>
        <v>0</v>
      </c>
      <c r="Y48" s="148"/>
      <c r="Z48" s="212"/>
    </row>
    <row r="49" spans="1:26" ht="17.25">
      <c r="A49" s="22" t="s">
        <v>1357</v>
      </c>
      <c r="B49" s="22" t="s">
        <v>1358</v>
      </c>
      <c r="C49" s="12"/>
      <c r="D49" s="8"/>
      <c r="E49" s="248">
        <v>4274838087</v>
      </c>
      <c r="F49" s="248">
        <f aca="true" t="shared" si="27" ref="F49:X49">F27</f>
        <v>1633623871</v>
      </c>
      <c r="G49" s="248">
        <f t="shared" si="27"/>
        <v>1118383192</v>
      </c>
      <c r="H49" s="248">
        <v>0</v>
      </c>
      <c r="I49" s="248">
        <f t="shared" si="27"/>
        <v>6714746</v>
      </c>
      <c r="J49" s="248">
        <f t="shared" si="27"/>
        <v>15149755</v>
      </c>
      <c r="K49" s="248">
        <f t="shared" si="27"/>
        <v>434115</v>
      </c>
      <c r="L49" s="248">
        <f t="shared" si="27"/>
        <v>782930553</v>
      </c>
      <c r="M49" s="248">
        <v>0</v>
      </c>
      <c r="N49" s="248">
        <f t="shared" si="27"/>
        <v>467034883</v>
      </c>
      <c r="O49" s="248">
        <v>0</v>
      </c>
      <c r="P49" s="248">
        <f t="shared" si="27"/>
        <v>36757242</v>
      </c>
      <c r="Q49" s="248">
        <f t="shared" si="27"/>
        <v>0</v>
      </c>
      <c r="R49" s="248">
        <f t="shared" si="27"/>
        <v>186542548</v>
      </c>
      <c r="S49" s="248">
        <v>0</v>
      </c>
      <c r="T49" s="248">
        <f t="shared" si="27"/>
        <v>26919458</v>
      </c>
      <c r="U49" s="248">
        <f t="shared" si="27"/>
        <v>0</v>
      </c>
      <c r="V49" s="248">
        <f t="shared" si="27"/>
        <v>347724</v>
      </c>
      <c r="W49" s="250">
        <f>SUM(F49:V49)</f>
        <v>4274838087</v>
      </c>
      <c r="X49" s="248">
        <f t="shared" si="27"/>
        <v>0</v>
      </c>
      <c r="Y49" s="22" t="s">
        <v>1357</v>
      </c>
      <c r="Z49" s="53"/>
    </row>
    <row r="50" spans="1:26" ht="17.25">
      <c r="A50" s="46"/>
      <c r="B50" s="8" t="s">
        <v>317</v>
      </c>
      <c r="C50" s="22" t="s">
        <v>1357</v>
      </c>
      <c r="D50" s="8" t="str">
        <f>C50</f>
        <v>K302</v>
      </c>
      <c r="E50" s="244">
        <v>1</v>
      </c>
      <c r="F50" s="244">
        <f aca="true" t="shared" si="28" ref="F50:U50">IF($E49=0,0,ROUND(F49/$E49,9))</f>
        <v>0.382148712</v>
      </c>
      <c r="G50" s="244">
        <f t="shared" si="28"/>
        <v>0.261620012</v>
      </c>
      <c r="H50" s="244">
        <f t="shared" si="28"/>
        <v>0</v>
      </c>
      <c r="I50" s="244">
        <f t="shared" si="28"/>
        <v>0.00157076</v>
      </c>
      <c r="J50" s="244">
        <f t="shared" si="28"/>
        <v>0.003543937</v>
      </c>
      <c r="K50" s="244">
        <f t="shared" si="28"/>
        <v>0.000101551</v>
      </c>
      <c r="L50" s="244">
        <f t="shared" si="28"/>
        <v>0.183148586</v>
      </c>
      <c r="M50" s="244">
        <f t="shared" si="28"/>
        <v>0</v>
      </c>
      <c r="N50" s="244">
        <f t="shared" si="28"/>
        <v>0.109252064</v>
      </c>
      <c r="O50" s="244">
        <f t="shared" si="28"/>
        <v>0</v>
      </c>
      <c r="P50" s="244">
        <f t="shared" si="28"/>
        <v>0.008598511</v>
      </c>
      <c r="Q50" s="244">
        <f t="shared" si="28"/>
        <v>0</v>
      </c>
      <c r="R50" s="244">
        <f t="shared" si="28"/>
        <v>0.043637336</v>
      </c>
      <c r="S50" s="244">
        <f t="shared" si="28"/>
        <v>0</v>
      </c>
      <c r="T50" s="244">
        <f t="shared" si="28"/>
        <v>0.006297188</v>
      </c>
      <c r="U50" s="244">
        <f t="shared" si="28"/>
        <v>0</v>
      </c>
      <c r="V50" s="245">
        <f>IF($E49=0,0,1-SUM(F50:U50)-ROUND(X49/E49,9))</f>
        <v>8.1343000000067E-05</v>
      </c>
      <c r="W50" s="244">
        <f t="shared" si="24"/>
        <v>1</v>
      </c>
      <c r="X50" s="67">
        <f t="shared" si="10"/>
        <v>0</v>
      </c>
      <c r="Y50" s="13"/>
      <c r="Z50" s="60"/>
    </row>
    <row r="51" spans="1:25" ht="17.25">
      <c r="A51" s="220"/>
      <c r="B51" s="55" t="s">
        <v>204</v>
      </c>
      <c r="C51" s="20"/>
      <c r="D51" s="20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68"/>
      <c r="Y51" s="65" t="s">
        <v>853</v>
      </c>
    </row>
    <row r="52" spans="1:25" ht="17.25">
      <c r="A52" s="12"/>
      <c r="B52" s="56" t="s">
        <v>1320</v>
      </c>
      <c r="C52" s="65" t="s">
        <v>1056</v>
      </c>
      <c r="D52" s="25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69"/>
      <c r="Y52" s="12"/>
    </row>
    <row r="53" spans="1:25" ht="17.25">
      <c r="A53" s="12"/>
      <c r="B53" s="22" t="s">
        <v>347</v>
      </c>
      <c r="C53" s="12"/>
      <c r="D53" s="8"/>
      <c r="E53" s="243">
        <f>+coss!D63</f>
        <v>37605000</v>
      </c>
      <c r="F53" s="243">
        <f>+coss!E63</f>
        <v>16967803</v>
      </c>
      <c r="G53" s="243">
        <f>+coss!F63</f>
        <v>10113411</v>
      </c>
      <c r="H53" s="243">
        <f>+coss!G63</f>
        <v>9581</v>
      </c>
      <c r="I53" s="243">
        <f>+coss!H63</f>
        <v>39501</v>
      </c>
      <c r="J53" s="243">
        <f>+coss!I63</f>
        <v>133491</v>
      </c>
      <c r="K53" s="243">
        <f>+coss!J63</f>
        <v>3961</v>
      </c>
      <c r="L53" s="243">
        <f>+coss!K63</f>
        <v>6041616</v>
      </c>
      <c r="M53" s="243">
        <f>+coss!L63</f>
        <v>66799</v>
      </c>
      <c r="N53" s="243">
        <f>+coss!M63</f>
        <v>3433565</v>
      </c>
      <c r="O53" s="243">
        <f>+coss!N63</f>
        <v>158112</v>
      </c>
      <c r="P53" s="243">
        <f>+coss!O63</f>
        <v>296688</v>
      </c>
      <c r="Q53" s="243">
        <f>+coss!P63</f>
        <v>0</v>
      </c>
      <c r="R53" s="243">
        <f>+coss!Q63</f>
        <v>0</v>
      </c>
      <c r="S53" s="243">
        <f>+coss!R63</f>
        <v>0</v>
      </c>
      <c r="T53" s="243">
        <f>+coss!S63</f>
        <v>337421</v>
      </c>
      <c r="U53" s="243">
        <f>+coss!T63</f>
        <v>0</v>
      </c>
      <c r="V53" s="243">
        <f>+coss!U63</f>
        <v>3051</v>
      </c>
      <c r="W53" s="242">
        <f aca="true" t="shared" si="29" ref="W53:W60">SUM(F53:V53)</f>
        <v>37605000</v>
      </c>
      <c r="X53" s="4">
        <f aca="true" t="shared" si="30" ref="X53:X60">+E53-W53</f>
        <v>0</v>
      </c>
      <c r="Y53" s="12"/>
    </row>
    <row r="54" spans="1:25" ht="17.25">
      <c r="A54" s="12"/>
      <c r="B54" s="22" t="s">
        <v>205</v>
      </c>
      <c r="C54" s="12"/>
      <c r="D54" s="8"/>
      <c r="E54" s="243">
        <f>+coss!D64</f>
        <v>48820000</v>
      </c>
      <c r="F54" s="243">
        <f>+coss!E64</f>
        <v>22398721</v>
      </c>
      <c r="G54" s="243">
        <f>+coss!F64</f>
        <v>13350433</v>
      </c>
      <c r="H54" s="243">
        <f>+coss!G64</f>
        <v>12648</v>
      </c>
      <c r="I54" s="243">
        <f>+coss!H64</f>
        <v>52145</v>
      </c>
      <c r="J54" s="243">
        <f>+coss!I64</f>
        <v>176218</v>
      </c>
      <c r="K54" s="243">
        <f>+coss!J64</f>
        <v>5229</v>
      </c>
      <c r="L54" s="243">
        <f>+coss!K64</f>
        <v>7975369</v>
      </c>
      <c r="M54" s="243">
        <f>+coss!L64</f>
        <v>88180</v>
      </c>
      <c r="N54" s="243">
        <f>+coss!M64</f>
        <v>3807334</v>
      </c>
      <c r="O54" s="243">
        <f>+coss!N64</f>
        <v>175299</v>
      </c>
      <c r="P54" s="243">
        <f>+coss!O64</f>
        <v>328977</v>
      </c>
      <c r="Q54" s="243">
        <f>+coss!P64</f>
        <v>0</v>
      </c>
      <c r="R54" s="243">
        <f>+coss!Q64</f>
        <v>0</v>
      </c>
      <c r="S54" s="243">
        <f>+coss!R64</f>
        <v>0</v>
      </c>
      <c r="T54" s="243">
        <f>+coss!S64</f>
        <v>445420</v>
      </c>
      <c r="U54" s="243">
        <f>+coss!T64</f>
        <v>0</v>
      </c>
      <c r="V54" s="243">
        <f>+coss!U64</f>
        <v>4027</v>
      </c>
      <c r="W54" s="242">
        <f t="shared" si="29"/>
        <v>48820000</v>
      </c>
      <c r="X54" s="4">
        <f t="shared" si="30"/>
        <v>0</v>
      </c>
      <c r="Y54" s="12"/>
    </row>
    <row r="55" spans="1:25" ht="17.25">
      <c r="A55" s="12"/>
      <c r="B55" s="22" t="s">
        <v>351</v>
      </c>
      <c r="C55" s="12"/>
      <c r="D55" s="8"/>
      <c r="E55" s="243">
        <f>+coss!D65</f>
        <v>109042000</v>
      </c>
      <c r="F55" s="243">
        <f>+coss!E65</f>
        <v>50028708</v>
      </c>
      <c r="G55" s="243">
        <f>+coss!F65</f>
        <v>29818883</v>
      </c>
      <c r="H55" s="243">
        <f>+coss!G65</f>
        <v>28249</v>
      </c>
      <c r="I55" s="243">
        <f>+coss!H65</f>
        <v>116468</v>
      </c>
      <c r="J55" s="243">
        <f>+coss!I65</f>
        <v>393591</v>
      </c>
      <c r="K55" s="243">
        <f>+coss!J65</f>
        <v>11678</v>
      </c>
      <c r="L55" s="243">
        <f>+coss!K65</f>
        <v>17813401</v>
      </c>
      <c r="M55" s="243">
        <f>+coss!L65</f>
        <v>196954</v>
      </c>
      <c r="N55" s="243">
        <f>+coss!M65</f>
        <v>8503877</v>
      </c>
      <c r="O55" s="243">
        <f>+coss!N65</f>
        <v>391540</v>
      </c>
      <c r="P55" s="243">
        <f>+coss!O65</f>
        <v>734788</v>
      </c>
      <c r="Q55" s="243">
        <f>+coss!P65</f>
        <v>0</v>
      </c>
      <c r="R55" s="243">
        <f>+coss!Q65</f>
        <v>0</v>
      </c>
      <c r="S55" s="243">
        <f>+coss!R65</f>
        <v>0</v>
      </c>
      <c r="T55" s="243">
        <f>+coss!S65</f>
        <v>994868</v>
      </c>
      <c r="U55" s="243">
        <f>+coss!T65</f>
        <v>0</v>
      </c>
      <c r="V55" s="243">
        <f>+coss!U65</f>
        <v>8995</v>
      </c>
      <c r="W55" s="242">
        <f t="shared" si="29"/>
        <v>109042000</v>
      </c>
      <c r="X55" s="4">
        <f t="shared" si="30"/>
        <v>0</v>
      </c>
      <c r="Y55" s="12"/>
    </row>
    <row r="56" spans="1:25" ht="17.25">
      <c r="A56" s="12"/>
      <c r="B56" s="22" t="s">
        <v>353</v>
      </c>
      <c r="C56" s="12"/>
      <c r="D56" s="8"/>
      <c r="E56" s="243">
        <f>+coss!D66</f>
        <v>47561000</v>
      </c>
      <c r="F56" s="243">
        <f>+coss!E66</f>
        <v>31439413</v>
      </c>
      <c r="G56" s="243">
        <f>+coss!F66</f>
        <v>10699352</v>
      </c>
      <c r="H56" s="243">
        <f>+coss!G66</f>
        <v>10576</v>
      </c>
      <c r="I56" s="243">
        <f>+coss!H66</f>
        <v>27969</v>
      </c>
      <c r="J56" s="243">
        <f>+coss!I66</f>
        <v>246908</v>
      </c>
      <c r="K56" s="243">
        <f>+coss!J66</f>
        <v>5271</v>
      </c>
      <c r="L56" s="243">
        <f>+coss!K66</f>
        <v>4788363</v>
      </c>
      <c r="M56" s="243">
        <f>+coss!L66</f>
        <v>88686</v>
      </c>
      <c r="N56" s="243">
        <f>+coss!M66</f>
        <v>0</v>
      </c>
      <c r="O56" s="243">
        <f>+coss!N66</f>
        <v>0</v>
      </c>
      <c r="P56" s="243">
        <f>+coss!O66</f>
        <v>0</v>
      </c>
      <c r="Q56" s="243">
        <f>+coss!P66</f>
        <v>0</v>
      </c>
      <c r="R56" s="243">
        <f>+coss!Q66</f>
        <v>0</v>
      </c>
      <c r="S56" s="243">
        <f>+coss!R66</f>
        <v>0</v>
      </c>
      <c r="T56" s="243">
        <f>+coss!S66</f>
        <v>243394</v>
      </c>
      <c r="U56" s="243">
        <f>+coss!T66</f>
        <v>0</v>
      </c>
      <c r="V56" s="243">
        <f>+coss!U66</f>
        <v>11068</v>
      </c>
      <c r="W56" s="242">
        <f t="shared" si="29"/>
        <v>47561000</v>
      </c>
      <c r="X56" s="4">
        <f t="shared" si="30"/>
        <v>0</v>
      </c>
      <c r="Y56" s="12"/>
    </row>
    <row r="57" spans="1:25" ht="17.25">
      <c r="A57" s="12"/>
      <c r="B57" s="22" t="s">
        <v>355</v>
      </c>
      <c r="C57" s="12"/>
      <c r="D57" s="8"/>
      <c r="E57" s="243">
        <f>+coss!D67</f>
        <v>12487000</v>
      </c>
      <c r="F57" s="243">
        <f>+coss!E67</f>
        <v>11138071</v>
      </c>
      <c r="G57" s="243">
        <f>+coss!F67</f>
        <v>1127362</v>
      </c>
      <c r="H57" s="243">
        <f>+coss!G67</f>
        <v>0</v>
      </c>
      <c r="I57" s="243">
        <f>+coss!H67</f>
        <v>13481</v>
      </c>
      <c r="J57" s="243">
        <f>+coss!I67</f>
        <v>32740</v>
      </c>
      <c r="K57" s="243">
        <f>+coss!J67</f>
        <v>2476</v>
      </c>
      <c r="L57" s="243">
        <f>+coss!K67</f>
        <v>139396</v>
      </c>
      <c r="M57" s="243">
        <f>+coss!L67</f>
        <v>0</v>
      </c>
      <c r="N57" s="243">
        <f>+coss!M67</f>
        <v>0</v>
      </c>
      <c r="O57" s="243">
        <f>+coss!N67</f>
        <v>0</v>
      </c>
      <c r="P57" s="243">
        <f>+coss!O67</f>
        <v>0</v>
      </c>
      <c r="Q57" s="243">
        <f>+coss!P67</f>
        <v>0</v>
      </c>
      <c r="R57" s="243">
        <f>+coss!Q67</f>
        <v>0</v>
      </c>
      <c r="S57" s="243">
        <f>+coss!R67</f>
        <v>0</v>
      </c>
      <c r="T57" s="243">
        <f>+coss!S67</f>
        <v>31456</v>
      </c>
      <c r="U57" s="243">
        <f>+coss!T67</f>
        <v>0</v>
      </c>
      <c r="V57" s="243">
        <f>+coss!U67</f>
        <v>2018</v>
      </c>
      <c r="W57" s="242">
        <f t="shared" si="29"/>
        <v>12487000</v>
      </c>
      <c r="X57" s="4">
        <f t="shared" si="30"/>
        <v>0</v>
      </c>
      <c r="Y57" s="12"/>
    </row>
    <row r="58" spans="1:25" ht="17.25">
      <c r="A58" s="12"/>
      <c r="B58" s="22" t="s">
        <v>357</v>
      </c>
      <c r="C58" s="12"/>
      <c r="D58" s="8"/>
      <c r="E58" s="243">
        <f>+coss!D68</f>
        <v>13862000</v>
      </c>
      <c r="F58" s="243">
        <f>+coss!E68</f>
        <v>11980490</v>
      </c>
      <c r="G58" s="243">
        <f>+coss!F68</f>
        <v>1640700</v>
      </c>
      <c r="H58" s="243">
        <f>+coss!G68</f>
        <v>0</v>
      </c>
      <c r="I58" s="243">
        <f>+coss!H68</f>
        <v>0</v>
      </c>
      <c r="J58" s="243">
        <f>+coss!I68</f>
        <v>48377</v>
      </c>
      <c r="K58" s="243">
        <f>+coss!J68</f>
        <v>4050</v>
      </c>
      <c r="L58" s="243">
        <f>+coss!K68</f>
        <v>125563</v>
      </c>
      <c r="M58" s="243">
        <f>+coss!L68</f>
        <v>0</v>
      </c>
      <c r="N58" s="243">
        <f>+coss!M68</f>
        <v>42435</v>
      </c>
      <c r="O58" s="243">
        <f>+coss!N68</f>
        <v>0</v>
      </c>
      <c r="P58" s="243">
        <f>+coss!O68</f>
        <v>4789</v>
      </c>
      <c r="Q58" s="243">
        <f>+coss!P68</f>
        <v>0</v>
      </c>
      <c r="R58" s="243">
        <f>+coss!Q68</f>
        <v>14751</v>
      </c>
      <c r="S58" s="243">
        <f>+coss!R68</f>
        <v>0</v>
      </c>
      <c r="T58" s="243">
        <f>+coss!S68</f>
        <v>845</v>
      </c>
      <c r="U58" s="243">
        <f>+coss!T68</f>
        <v>0</v>
      </c>
      <c r="V58" s="243">
        <f>+coss!U68</f>
        <v>0</v>
      </c>
      <c r="W58" s="242">
        <f t="shared" si="29"/>
        <v>13862000</v>
      </c>
      <c r="X58" s="4">
        <f t="shared" si="30"/>
        <v>0</v>
      </c>
      <c r="Y58" s="12"/>
    </row>
    <row r="59" spans="1:25" ht="17.25">
      <c r="A59" s="12"/>
      <c r="B59" s="22" t="s">
        <v>1316</v>
      </c>
      <c r="C59" s="12"/>
      <c r="D59" s="8"/>
      <c r="E59" s="243">
        <f>+coss!D69</f>
        <v>0</v>
      </c>
      <c r="F59" s="243">
        <f>+coss!E69</f>
        <v>0</v>
      </c>
      <c r="G59" s="243">
        <f>+coss!F69</f>
        <v>0</v>
      </c>
      <c r="H59" s="243">
        <f>+coss!G69</f>
        <v>0</v>
      </c>
      <c r="I59" s="243">
        <f>+coss!H69</f>
        <v>0</v>
      </c>
      <c r="J59" s="243">
        <f>+coss!I69</f>
        <v>0</v>
      </c>
      <c r="K59" s="243">
        <f>+coss!J69</f>
        <v>0</v>
      </c>
      <c r="L59" s="243">
        <f>+coss!K69</f>
        <v>0</v>
      </c>
      <c r="M59" s="243">
        <f>+coss!L69</f>
        <v>0</v>
      </c>
      <c r="N59" s="243">
        <f>+coss!M69</f>
        <v>0</v>
      </c>
      <c r="O59" s="243">
        <f>+coss!N69</f>
        <v>0</v>
      </c>
      <c r="P59" s="243">
        <f>+coss!O69</f>
        <v>0</v>
      </c>
      <c r="Q59" s="243">
        <f>+coss!P69</f>
        <v>0</v>
      </c>
      <c r="R59" s="243">
        <f>+coss!Q69</f>
        <v>0</v>
      </c>
      <c r="S59" s="243">
        <f>+coss!R69</f>
        <v>0</v>
      </c>
      <c r="T59" s="243">
        <f>+coss!S69</f>
        <v>0</v>
      </c>
      <c r="U59" s="243">
        <f>+coss!T69</f>
        <v>0</v>
      </c>
      <c r="V59" s="243">
        <f>+coss!U69</f>
        <v>0</v>
      </c>
      <c r="W59" s="242">
        <f t="shared" si="29"/>
        <v>0</v>
      </c>
      <c r="X59" s="4">
        <f t="shared" si="30"/>
        <v>0</v>
      </c>
      <c r="Y59" s="12"/>
    </row>
    <row r="60" spans="1:25" ht="17.25">
      <c r="A60" s="8"/>
      <c r="B60" s="22" t="s">
        <v>361</v>
      </c>
      <c r="C60" s="12"/>
      <c r="D60" s="8"/>
      <c r="E60" s="254">
        <f>+coss!D70</f>
        <v>7297000</v>
      </c>
      <c r="F60" s="254">
        <f>+coss!E70</f>
        <v>0</v>
      </c>
      <c r="G60" s="254">
        <f>+coss!F70</f>
        <v>0</v>
      </c>
      <c r="H60" s="254">
        <f>+coss!G70</f>
        <v>0</v>
      </c>
      <c r="I60" s="254">
        <f>+coss!H70</f>
        <v>0</v>
      </c>
      <c r="J60" s="254">
        <f>+coss!I70</f>
        <v>0</v>
      </c>
      <c r="K60" s="254">
        <f>+coss!J70</f>
        <v>0</v>
      </c>
      <c r="L60" s="254">
        <f>+coss!K70</f>
        <v>0</v>
      </c>
      <c r="M60" s="254">
        <f>+coss!L70</f>
        <v>0</v>
      </c>
      <c r="N60" s="254">
        <f>+coss!M70</f>
        <v>0</v>
      </c>
      <c r="O60" s="254">
        <f>+coss!N70</f>
        <v>0</v>
      </c>
      <c r="P60" s="254">
        <f>+coss!O70</f>
        <v>0</v>
      </c>
      <c r="Q60" s="254">
        <f>+coss!P70</f>
        <v>0</v>
      </c>
      <c r="R60" s="254">
        <f>+coss!Q70</f>
        <v>0</v>
      </c>
      <c r="S60" s="254">
        <f>+coss!R70</f>
        <v>0</v>
      </c>
      <c r="T60" s="254">
        <f>+coss!S70</f>
        <v>7297000</v>
      </c>
      <c r="U60" s="254">
        <f>+coss!T70</f>
        <v>0</v>
      </c>
      <c r="V60" s="254">
        <f>+coss!U70</f>
        <v>0</v>
      </c>
      <c r="W60" s="255">
        <f t="shared" si="29"/>
        <v>7297000</v>
      </c>
      <c r="X60" s="76">
        <f t="shared" si="30"/>
        <v>0</v>
      </c>
      <c r="Y60" s="8"/>
    </row>
    <row r="61" spans="1:25" ht="17.25">
      <c r="A61" s="8"/>
      <c r="B61" s="20" t="s">
        <v>1317</v>
      </c>
      <c r="C61" s="8"/>
      <c r="D61" s="8"/>
      <c r="E61" s="243">
        <f aca="true" t="shared" si="31" ref="E61:X61">SUM(E53:E60)</f>
        <v>276674000</v>
      </c>
      <c r="F61" s="243">
        <f t="shared" si="31"/>
        <v>143953206</v>
      </c>
      <c r="G61" s="243">
        <f t="shared" si="31"/>
        <v>66750141</v>
      </c>
      <c r="H61" s="243">
        <f t="shared" si="31"/>
        <v>61054</v>
      </c>
      <c r="I61" s="243">
        <f t="shared" si="31"/>
        <v>249564</v>
      </c>
      <c r="J61" s="243">
        <f t="shared" si="31"/>
        <v>1031325</v>
      </c>
      <c r="K61" s="243">
        <f t="shared" si="31"/>
        <v>32665</v>
      </c>
      <c r="L61" s="243">
        <f t="shared" si="31"/>
        <v>36883708</v>
      </c>
      <c r="M61" s="243">
        <f t="shared" si="31"/>
        <v>440619</v>
      </c>
      <c r="N61" s="243">
        <f t="shared" si="31"/>
        <v>15787211</v>
      </c>
      <c r="O61" s="243">
        <f t="shared" si="31"/>
        <v>724951</v>
      </c>
      <c r="P61" s="243">
        <f t="shared" si="31"/>
        <v>1365242</v>
      </c>
      <c r="Q61" s="243">
        <f t="shared" si="31"/>
        <v>0</v>
      </c>
      <c r="R61" s="243">
        <f t="shared" si="31"/>
        <v>14751</v>
      </c>
      <c r="S61" s="243">
        <f t="shared" si="31"/>
        <v>0</v>
      </c>
      <c r="T61" s="243">
        <f t="shared" si="31"/>
        <v>9350404</v>
      </c>
      <c r="U61" s="243">
        <f t="shared" si="31"/>
        <v>0</v>
      </c>
      <c r="V61" s="243">
        <f t="shared" si="31"/>
        <v>29159</v>
      </c>
      <c r="W61" s="243">
        <f t="shared" si="31"/>
        <v>276674000</v>
      </c>
      <c r="X61" s="24">
        <f t="shared" si="31"/>
        <v>0</v>
      </c>
      <c r="Y61" s="8"/>
    </row>
    <row r="62" spans="1:25" ht="17.25">
      <c r="A62" s="8"/>
      <c r="B62" s="20" t="s">
        <v>1318</v>
      </c>
      <c r="C62" s="8"/>
      <c r="D62" s="8"/>
      <c r="E62" s="254">
        <f>-SUM(coss!D113:D120)</f>
        <v>-108147766</v>
      </c>
      <c r="F62" s="254">
        <f>-SUM(coss!E113:E120)</f>
        <v>-56613150</v>
      </c>
      <c r="G62" s="254">
        <f>-SUM(coss!F113:F120)</f>
        <v>-25059424</v>
      </c>
      <c r="H62" s="254">
        <f>-SUM(coss!G113:G120)</f>
        <v>-22941</v>
      </c>
      <c r="I62" s="254">
        <f>-SUM(coss!H113:H120)</f>
        <v>-95756</v>
      </c>
      <c r="J62" s="254">
        <f>-SUM(coss!I113:I120)</f>
        <v>-399833</v>
      </c>
      <c r="K62" s="254">
        <f>-SUM(coss!J113:J120)</f>
        <v>-12371</v>
      </c>
      <c r="L62" s="254">
        <f>-SUM(coss!K113:K120)</f>
        <v>-13658671</v>
      </c>
      <c r="M62" s="254">
        <f>-SUM(coss!L113:L120)</f>
        <v>-167285</v>
      </c>
      <c r="N62" s="254">
        <f>-SUM(coss!M113:M120)</f>
        <v>-5473770</v>
      </c>
      <c r="O62" s="254">
        <f>-SUM(coss!N113:N120)</f>
        <v>-251636</v>
      </c>
      <c r="P62" s="254">
        <f>-SUM(coss!O113:O120)</f>
        <v>-473197</v>
      </c>
      <c r="Q62" s="254">
        <f>-SUM(coss!P113:P120)</f>
        <v>0</v>
      </c>
      <c r="R62" s="254">
        <f>-SUM(coss!Q113:Q120)</f>
        <v>-2982</v>
      </c>
      <c r="S62" s="254">
        <f>-SUM(coss!R113:R120)</f>
        <v>0</v>
      </c>
      <c r="T62" s="254">
        <f>-SUM(coss!S113:S120)</f>
        <v>-5904336</v>
      </c>
      <c r="U62" s="254">
        <f>-SUM(coss!T113:T120)</f>
        <v>0</v>
      </c>
      <c r="V62" s="254">
        <f>-SUM(coss!U113:U120)</f>
        <v>-12414</v>
      </c>
      <c r="W62" s="254">
        <f>SUM(F62:V62)</f>
        <v>-108147766</v>
      </c>
      <c r="X62" s="70">
        <f>E62-W62</f>
        <v>0</v>
      </c>
      <c r="Y62" s="8"/>
    </row>
    <row r="63" spans="1:25" ht="17.25">
      <c r="A63" s="8"/>
      <c r="B63" s="22" t="s">
        <v>1319</v>
      </c>
      <c r="C63" s="8"/>
      <c r="D63" s="8"/>
      <c r="E63" s="243">
        <f>SUM(E61:E62)</f>
        <v>168526234</v>
      </c>
      <c r="F63" s="243">
        <f aca="true" t="shared" si="32" ref="F63:X63">SUM(F61:F62)</f>
        <v>87340056</v>
      </c>
      <c r="G63" s="243">
        <f t="shared" si="32"/>
        <v>41690717</v>
      </c>
      <c r="H63" s="243">
        <f t="shared" si="32"/>
        <v>38113</v>
      </c>
      <c r="I63" s="243">
        <f>SUM(I61:I62)</f>
        <v>153808</v>
      </c>
      <c r="J63" s="243">
        <f>SUM(J61:J62)</f>
        <v>631492</v>
      </c>
      <c r="K63" s="243">
        <f>SUM(K61:K62)</f>
        <v>20294</v>
      </c>
      <c r="L63" s="243">
        <f t="shared" si="32"/>
        <v>23225037</v>
      </c>
      <c r="M63" s="243">
        <f t="shared" si="32"/>
        <v>273334</v>
      </c>
      <c r="N63" s="243">
        <f t="shared" si="32"/>
        <v>10313441</v>
      </c>
      <c r="O63" s="243">
        <f t="shared" si="32"/>
        <v>473315</v>
      </c>
      <c r="P63" s="243">
        <f>SUM(P61:P62)</f>
        <v>892045</v>
      </c>
      <c r="Q63" s="243">
        <f>SUM(Q61:Q62)</f>
        <v>0</v>
      </c>
      <c r="R63" s="243">
        <f t="shared" si="32"/>
        <v>11769</v>
      </c>
      <c r="S63" s="243">
        <f t="shared" si="32"/>
        <v>0</v>
      </c>
      <c r="T63" s="243">
        <f t="shared" si="32"/>
        <v>3446068</v>
      </c>
      <c r="U63" s="243">
        <f t="shared" si="32"/>
        <v>0</v>
      </c>
      <c r="V63" s="243">
        <f t="shared" si="32"/>
        <v>16745</v>
      </c>
      <c r="W63" s="243">
        <f t="shared" si="32"/>
        <v>168526234</v>
      </c>
      <c r="X63" s="24">
        <f t="shared" si="32"/>
        <v>0</v>
      </c>
      <c r="Y63" s="8" t="s">
        <v>1321</v>
      </c>
    </row>
    <row r="64" spans="1:25" ht="17.25">
      <c r="A64" s="8"/>
      <c r="B64" s="20"/>
      <c r="C64" s="8" t="s">
        <v>1321</v>
      </c>
      <c r="D64" s="8" t="str">
        <f>+C64</f>
        <v>K211</v>
      </c>
      <c r="E64" s="244">
        <v>1</v>
      </c>
      <c r="F64" s="244">
        <f aca="true" t="shared" si="33" ref="F64:U64">IF($E63=0,0,ROUND(F63/$E63,9))</f>
        <v>0.518257923</v>
      </c>
      <c r="G64" s="244">
        <f t="shared" si="33"/>
        <v>0.247384137</v>
      </c>
      <c r="H64" s="244">
        <f t="shared" si="33"/>
        <v>0.000226155</v>
      </c>
      <c r="I64" s="244">
        <f>IF($E63=0,0,ROUND(I63/$E63,9))</f>
        <v>0.000912665</v>
      </c>
      <c r="J64" s="244">
        <f>IF($E63=0,0,ROUND(J63/$E63,9))</f>
        <v>0.003747144</v>
      </c>
      <c r="K64" s="244">
        <f>IF($E63=0,0,ROUND(K63/$E63,9))</f>
        <v>0.00012042</v>
      </c>
      <c r="L64" s="244">
        <f t="shared" si="33"/>
        <v>0.137812591</v>
      </c>
      <c r="M64" s="244">
        <f t="shared" si="33"/>
        <v>0.001621908</v>
      </c>
      <c r="N64" s="244">
        <f t="shared" si="33"/>
        <v>0.061197837</v>
      </c>
      <c r="O64" s="244">
        <f t="shared" si="33"/>
        <v>0.002808554</v>
      </c>
      <c r="P64" s="244">
        <f>IF($E63=0,0,ROUND(P63/$E63,9))</f>
        <v>0.005293212</v>
      </c>
      <c r="Q64" s="244">
        <f>IF($E63=0,0,ROUND(Q63/$E63,9))</f>
        <v>0</v>
      </c>
      <c r="R64" s="244">
        <f t="shared" si="33"/>
        <v>6.9835E-05</v>
      </c>
      <c r="S64" s="244">
        <f t="shared" si="33"/>
        <v>0</v>
      </c>
      <c r="T64" s="244">
        <f t="shared" si="33"/>
        <v>0.020448259</v>
      </c>
      <c r="U64" s="244">
        <f t="shared" si="33"/>
        <v>0</v>
      </c>
      <c r="V64" s="245">
        <f>IF($E63=0,0,1-SUM(F64:U64)-ROUND(X63/E63,9))</f>
        <v>9.935999999999279E-05</v>
      </c>
      <c r="W64" s="244">
        <f>SUM(F64:V64)</f>
        <v>1</v>
      </c>
      <c r="X64" s="67">
        <f>E64-W64</f>
        <v>0</v>
      </c>
      <c r="Y64" s="8"/>
    </row>
    <row r="65" spans="1:25" ht="17.25">
      <c r="A65" s="8"/>
      <c r="B65" s="42" t="s">
        <v>206</v>
      </c>
      <c r="C65" s="8"/>
      <c r="D65" s="8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71"/>
      <c r="Y65" s="8"/>
    </row>
    <row r="66" spans="1:25" ht="17.25">
      <c r="A66" s="20" t="s">
        <v>208</v>
      </c>
      <c r="B66" s="54" t="s">
        <v>333</v>
      </c>
      <c r="C66" s="8"/>
      <c r="D66" s="8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7"/>
      <c r="W66" s="256"/>
      <c r="X66" s="71"/>
      <c r="Y66" s="20" t="s">
        <v>208</v>
      </c>
    </row>
    <row r="67" spans="1:25" ht="17.25">
      <c r="A67" s="20" t="s">
        <v>208</v>
      </c>
      <c r="B67" s="20" t="s">
        <v>207</v>
      </c>
      <c r="C67" s="20" t="s">
        <v>208</v>
      </c>
      <c r="D67" s="8" t="str">
        <f aca="true" t="shared" si="34" ref="D67:D76">C67</f>
        <v>P129</v>
      </c>
      <c r="E67" s="244">
        <v>1</v>
      </c>
      <c r="F67" s="244">
        <f>ROUND(IF(coss!$D$53=0,0,+coss!E$53/coss!$D$53),9)</f>
        <v>0.517060923</v>
      </c>
      <c r="G67" s="244">
        <f>ROUND(IF(coss!$D$53=0,0,+coss!F$53/coss!$D$53),9)</f>
        <v>0.222322988</v>
      </c>
      <c r="H67" s="244">
        <f>ROUND(IF(coss!$D$53=0,0,+coss!G$53/coss!$D$53),9)</f>
        <v>0.00021839</v>
      </c>
      <c r="I67" s="244">
        <f>ROUND(IF(coss!$D$53=0,0,+coss!H$53/coss!$D$53),9)</f>
        <v>0.000894253</v>
      </c>
      <c r="J67" s="244">
        <f>ROUND(IF(coss!$D$53=0,0,+coss!I$53/coss!$D$53),9)</f>
        <v>0.004251723</v>
      </c>
      <c r="K67" s="244">
        <f>ROUND(IF(coss!$D$53=0,0,+coss!J$53/coss!$D$53),9)</f>
        <v>0.0001</v>
      </c>
      <c r="L67" s="244">
        <f>ROUND(IF(coss!$D$53=0,0,+coss!K$53/coss!$D$53),9)</f>
        <v>0.122775862</v>
      </c>
      <c r="M67" s="244">
        <f>ROUND(IF(coss!$D$53=0,0,+coss!L$53/coss!$D$53),9)</f>
        <v>0.001795402</v>
      </c>
      <c r="N67" s="244">
        <f>ROUND(IF(coss!$D$53=0,0,+coss!M$53/coss!$D$53),9)</f>
        <v>0.078789655</v>
      </c>
      <c r="O67" s="244">
        <f>ROUND(IF(coss!$D$53=0,0,+coss!N$53/coss!$D$53),9)</f>
        <v>0.003782759</v>
      </c>
      <c r="P67" s="244">
        <f>ROUND(IF(coss!$D$53=0,0,+coss!O$53/coss!$D$53),9)</f>
        <v>0.005858621</v>
      </c>
      <c r="Q67" s="244">
        <f>ROUND(IF(coss!$D$53=0,0,+coss!P$53/coss!$D$53),9)</f>
        <v>0</v>
      </c>
      <c r="R67" s="244">
        <f>ROUND(IF(coss!$D$53=0,0,+coss!Q$53/coss!$D$53),9)</f>
        <v>0.034789655</v>
      </c>
      <c r="S67" s="244">
        <f>ROUND(IF(coss!$D$53=0,0,+coss!R$53/coss!$D$53),9)</f>
        <v>0.002017241</v>
      </c>
      <c r="T67" s="244">
        <f>ROUND(IF(coss!$D$53=0,0,+coss!S$53/coss!$D$53),9)</f>
        <v>0.00517931</v>
      </c>
      <c r="U67" s="244">
        <f>ROUND(IF(coss!$D$53=0,0,+coss!T$53/coss!$D$53),9)</f>
        <v>0</v>
      </c>
      <c r="V67" s="258">
        <f>IF(coss!$D$53=0,0,1-SUM(F67:U67)-ROUND(coss!$W$53/coss!$D$53,9))</f>
        <v>0.000163217999999965</v>
      </c>
      <c r="W67" s="244">
        <f aca="true" t="shared" si="35" ref="W67:W76">SUM(F67:V67)</f>
        <v>1</v>
      </c>
      <c r="X67" s="67">
        <f aca="true" t="shared" si="36" ref="X67:X76">E67-W67</f>
        <v>0</v>
      </c>
      <c r="Y67" s="20" t="s">
        <v>210</v>
      </c>
    </row>
    <row r="68" spans="1:25" ht="17.25">
      <c r="A68" s="20" t="s">
        <v>210</v>
      </c>
      <c r="B68" s="20" t="s">
        <v>209</v>
      </c>
      <c r="C68" s="20" t="s">
        <v>210</v>
      </c>
      <c r="D68" s="8" t="str">
        <f t="shared" si="34"/>
        <v>T129</v>
      </c>
      <c r="E68" s="244">
        <v>1</v>
      </c>
      <c r="F68" s="244">
        <f>ROUND(IF(coss!$D$58=0,0,+coss!E$58/coss!$D$58),9)</f>
        <v>0.517060927</v>
      </c>
      <c r="G68" s="244">
        <f>ROUND(IF(coss!$D$58=0,0,+coss!F$58/coss!$D$58),9)</f>
        <v>0.222322982</v>
      </c>
      <c r="H68" s="244">
        <f>ROUND(IF(coss!$D$58=0,0,+coss!G$58/coss!$D$58),9)</f>
        <v>0.000218379</v>
      </c>
      <c r="I68" s="244">
        <f>ROUND(IF(coss!$D$58=0,0,+coss!H$58/coss!$D$58),9)</f>
        <v>0.000894261</v>
      </c>
      <c r="J68" s="244">
        <f>ROUND(IF(coss!$D$58=0,0,+coss!I$58/coss!$D$58),9)</f>
        <v>0.004251704</v>
      </c>
      <c r="K68" s="244">
        <f>ROUND(IF(coss!$D$58=0,0,+coss!J$58/coss!$D$58),9)</f>
        <v>0.000100017</v>
      </c>
      <c r="L68" s="244">
        <f>ROUND(IF(coss!$D$58=0,0,+coss!K$58/coss!$D$58),9)</f>
        <v>0.122775856</v>
      </c>
      <c r="M68" s="244">
        <f>ROUND(IF(coss!$D$58=0,0,+coss!L$58/coss!$D$58),9)</f>
        <v>0.001795422</v>
      </c>
      <c r="N68" s="244">
        <f>ROUND(IF(coss!$D$58=0,0,+coss!M$58/coss!$D$58),9)</f>
        <v>0.078789657</v>
      </c>
      <c r="O68" s="244">
        <f>ROUND(IF(coss!$D$58=0,0,+coss!N$58/coss!$D$58),9)</f>
        <v>0.003782757</v>
      </c>
      <c r="P68" s="244">
        <f>ROUND(IF(coss!$D$58=0,0,+coss!O$58/coss!$D$58),9)</f>
        <v>0.005858622</v>
      </c>
      <c r="Q68" s="244">
        <f>ROUND(IF(coss!$D$58=0,0,+coss!P$58/coss!$D$58),9)</f>
        <v>0</v>
      </c>
      <c r="R68" s="244">
        <f>ROUND(IF(coss!$D$58=0,0,+coss!Q$58/coss!$D$58),9)</f>
        <v>0.034789657</v>
      </c>
      <c r="S68" s="244">
        <f>ROUND(IF(coss!$D$58=0,0,+coss!R$58/coss!$D$58),9)</f>
        <v>0.002017252</v>
      </c>
      <c r="T68" s="244">
        <f>ROUND(IF(coss!$D$58=0,0,+coss!S$58/coss!$D$58),9)</f>
        <v>0.00517929</v>
      </c>
      <c r="U68" s="244">
        <f>ROUND(IF(coss!$D$58=0,0,+coss!T$58/coss!$D$58),9)</f>
        <v>0</v>
      </c>
      <c r="V68" s="258">
        <f>IF(coss!$D$58=0,0,1-SUM(F68:U68)-ROUND(coss!$W$58/coss!$D$58,9))</f>
        <v>0.00016321700000021533</v>
      </c>
      <c r="W68" s="244">
        <f t="shared" si="35"/>
        <v>1</v>
      </c>
      <c r="X68" s="67">
        <f t="shared" si="36"/>
        <v>0</v>
      </c>
      <c r="Y68" s="20" t="s">
        <v>212</v>
      </c>
    </row>
    <row r="69" spans="1:25" ht="17.25">
      <c r="A69" s="20" t="s">
        <v>212</v>
      </c>
      <c r="B69" s="20" t="s">
        <v>211</v>
      </c>
      <c r="C69" s="20" t="s">
        <v>212</v>
      </c>
      <c r="D69" s="8" t="str">
        <f t="shared" si="34"/>
        <v>PT29</v>
      </c>
      <c r="E69" s="244">
        <v>1</v>
      </c>
      <c r="F69" s="244">
        <f>ROUND(IF(coss!$D$60=0,0,+coss!E$60/coss!$D$60),9)</f>
        <v>0.517060924</v>
      </c>
      <c r="G69" s="244">
        <f>ROUND(IF(coss!$D$60=0,0,+coss!F$60/coss!$D$60),9)</f>
        <v>0.222322988</v>
      </c>
      <c r="H69" s="244">
        <f>ROUND(IF(coss!$D$60=0,0,+coss!G$60/coss!$D$60),9)</f>
        <v>0.00021839</v>
      </c>
      <c r="I69" s="244">
        <f>ROUND(IF(coss!$D$60=0,0,+coss!H$60/coss!$D$60),9)</f>
        <v>0.000894253</v>
      </c>
      <c r="J69" s="244">
        <f>ROUND(IF(coss!$D$60=0,0,+coss!I$60/coss!$D$60),9)</f>
        <v>0.004251723</v>
      </c>
      <c r="K69" s="244">
        <f>ROUND(IF(coss!$D$60=0,0,+coss!J$60/coss!$D$60),9)</f>
        <v>0.0001</v>
      </c>
      <c r="L69" s="244">
        <f>ROUND(IF(coss!$D$60=0,0,+coss!K$60/coss!$D$60),9)</f>
        <v>0.122775862</v>
      </c>
      <c r="M69" s="244">
        <f>ROUND(IF(coss!$D$60=0,0,+coss!L$60/coss!$D$60),9)</f>
        <v>0.001795402</v>
      </c>
      <c r="N69" s="244">
        <f>ROUND(IF(coss!$D$60=0,0,+coss!M$60/coss!$D$60),9)</f>
        <v>0.078789655</v>
      </c>
      <c r="O69" s="244">
        <f>ROUND(IF(coss!$D$60=0,0,+coss!N$60/coss!$D$60),9)</f>
        <v>0.003782759</v>
      </c>
      <c r="P69" s="244">
        <f>ROUND(IF(coss!$D$60=0,0,+coss!O$60/coss!$D$60),9)</f>
        <v>0.005858621</v>
      </c>
      <c r="Q69" s="244">
        <f>ROUND(IF(coss!$D$60=0,0,+coss!P$60/coss!$D$60),9)</f>
        <v>0</v>
      </c>
      <c r="R69" s="244">
        <f>ROUND(IF(coss!$D$60=0,0,+coss!Q$60/coss!$D$60),9)</f>
        <v>0.034789655</v>
      </c>
      <c r="S69" s="244">
        <f>ROUND(IF(coss!$D$60=0,0,+coss!R$60/coss!$D$60),9)</f>
        <v>0.002017241</v>
      </c>
      <c r="T69" s="244">
        <f>ROUND(IF(coss!$D$60=0,0,+coss!S$60/coss!$D$60),9)</f>
        <v>0.005179309</v>
      </c>
      <c r="U69" s="244">
        <f>ROUND(IF(coss!$D$60=0,0,+coss!T$60/coss!$D$60),9)</f>
        <v>0</v>
      </c>
      <c r="V69" s="258">
        <f>IF(coss!$D$60=0,0,1-SUM(F69:U69)-ROUND(coss!$W$60/coss!$D$60,9))</f>
        <v>0.000163217999999965</v>
      </c>
      <c r="W69" s="244">
        <f t="shared" si="35"/>
        <v>1</v>
      </c>
      <c r="X69" s="67">
        <f t="shared" si="36"/>
        <v>0</v>
      </c>
      <c r="Y69" s="20" t="s">
        <v>400</v>
      </c>
    </row>
    <row r="70" spans="1:25" ht="17.25">
      <c r="A70" s="20" t="s">
        <v>400</v>
      </c>
      <c r="B70" s="20" t="s">
        <v>213</v>
      </c>
      <c r="C70" s="20" t="s">
        <v>400</v>
      </c>
      <c r="D70" s="8" t="str">
        <f t="shared" si="34"/>
        <v>D149</v>
      </c>
      <c r="E70" s="244">
        <v>1</v>
      </c>
      <c r="F70" s="244">
        <f>ROUND(IF(coss!$D$72=0,0,+coss!E$72/coss!$D$72),9)</f>
        <v>0.520298998</v>
      </c>
      <c r="G70" s="244">
        <f>ROUND(IF(coss!$D$72=0,0,+coss!F$72/coss!$D$72),9)</f>
        <v>0.241259176</v>
      </c>
      <c r="H70" s="244">
        <f>ROUND(IF(coss!$D$72=0,0,+coss!G$72/coss!$D$72),9)</f>
        <v>0.00022067</v>
      </c>
      <c r="I70" s="244">
        <f>ROUND(IF(coss!$D$72=0,0,+coss!H$72/coss!$D$72),9)</f>
        <v>0.000902015</v>
      </c>
      <c r="J70" s="244">
        <f>ROUND(IF(coss!$D$72=0,0,+coss!I$72/coss!$D$72),9)</f>
        <v>0.003727583</v>
      </c>
      <c r="K70" s="244">
        <f>ROUND(IF(coss!$D$72=0,0,+coss!J$72/coss!$D$72),9)</f>
        <v>0.000118062</v>
      </c>
      <c r="L70" s="244">
        <f>ROUND(IF(coss!$D$72=0,0,+coss!K$72/coss!$D$72),9)</f>
        <v>0.133311075</v>
      </c>
      <c r="M70" s="244">
        <f>ROUND(IF(coss!$D$72=0,0,+coss!L$72/coss!$D$72),9)</f>
        <v>0.001592557</v>
      </c>
      <c r="N70" s="244">
        <f>ROUND(IF(coss!$D$72=0,0,+coss!M$72/coss!$D$72),9)</f>
        <v>0.057060698</v>
      </c>
      <c r="O70" s="244">
        <f>ROUND(IF(coss!$D$72=0,0,+coss!N$72/coss!$D$72),9)</f>
        <v>0.002620235</v>
      </c>
      <c r="P70" s="244">
        <f>ROUND(IF(coss!$D$72=0,0,+coss!O$72/coss!$D$72),9)</f>
        <v>0.00493448</v>
      </c>
      <c r="Q70" s="244">
        <f>ROUND(IF(coss!$D$72=0,0,+coss!P$72/coss!$D$72),9)</f>
        <v>0</v>
      </c>
      <c r="R70" s="244">
        <f>ROUND(IF(coss!$D$72=0,0,+coss!Q$72/coss!$D$72),9)</f>
        <v>5.3314E-05</v>
      </c>
      <c r="S70" s="244">
        <f>ROUND(IF(coss!$D$72=0,0,+coss!R$72/coss!$D$72),9)</f>
        <v>0</v>
      </c>
      <c r="T70" s="244">
        <f>ROUND(IF(coss!$D$72=0,0,+coss!S$72/coss!$D$72),9)</f>
        <v>0.033795746</v>
      </c>
      <c r="U70" s="244">
        <f>ROUND(IF(coss!$D$72=0,0,+coss!T$72/coss!$D$72),9)</f>
        <v>0</v>
      </c>
      <c r="V70" s="258">
        <f>IF(coss!$D$72=0,0,1-SUM(F70:U70)-ROUND(coss!$W$72/coss!$D$72,9))</f>
        <v>0.00010539100000006574</v>
      </c>
      <c r="W70" s="244">
        <f t="shared" si="35"/>
        <v>1</v>
      </c>
      <c r="X70" s="67">
        <f t="shared" si="36"/>
        <v>0</v>
      </c>
      <c r="Y70" s="20" t="s">
        <v>215</v>
      </c>
    </row>
    <row r="71" spans="1:25" ht="17.25">
      <c r="A71" s="20" t="s">
        <v>215</v>
      </c>
      <c r="B71" s="20" t="s">
        <v>214</v>
      </c>
      <c r="C71" s="20" t="s">
        <v>215</v>
      </c>
      <c r="D71" s="8" t="str">
        <f t="shared" si="34"/>
        <v>TD29</v>
      </c>
      <c r="E71" s="244">
        <v>1</v>
      </c>
      <c r="F71" s="244">
        <f>ROUND(IF(coss!$D$74=0,0,+coss!E$74/coss!$D$74),9)</f>
        <v>0.520057968</v>
      </c>
      <c r="G71" s="244">
        <f>ROUND(IF(coss!$D$74=0,0,+coss!F$74/coss!$D$74),9)</f>
        <v>0.239849637</v>
      </c>
      <c r="H71" s="244">
        <f>ROUND(IF(coss!$D$74=0,0,+coss!G$74/coss!$D$74),9)</f>
        <v>0.000220499</v>
      </c>
      <c r="I71" s="244">
        <f>ROUND(IF(coss!$D$74=0,0,+coss!H$74/coss!$D$74),9)</f>
        <v>0.000901438</v>
      </c>
      <c r="J71" s="244">
        <f>ROUND(IF(coss!$D$74=0,0,+coss!I$74/coss!$D$74),9)</f>
        <v>0.003766597</v>
      </c>
      <c r="K71" s="244">
        <f>ROUND(IF(coss!$D$74=0,0,+coss!J$74/coss!$D$74),9)</f>
        <v>0.000116719</v>
      </c>
      <c r="L71" s="244">
        <f>ROUND(IF(coss!$D$74=0,0,+coss!K$74/coss!$D$74),9)</f>
        <v>0.132526873</v>
      </c>
      <c r="M71" s="244">
        <f>ROUND(IF(coss!$D$74=0,0,+coss!L$74/coss!$D$74),9)</f>
        <v>0.001607658</v>
      </c>
      <c r="N71" s="244">
        <f>ROUND(IF(coss!$D$74=0,0,+coss!M$74/coss!$D$74),9)</f>
        <v>0.05867812</v>
      </c>
      <c r="O71" s="244">
        <f>ROUND(IF(coss!$D$74=0,0,+coss!N$74/coss!$D$74),9)</f>
        <v>0.002706768</v>
      </c>
      <c r="P71" s="244">
        <f>ROUND(IF(coss!$D$74=0,0,+coss!O$74/coss!$D$74),9)</f>
        <v>0.00500327</v>
      </c>
      <c r="Q71" s="244">
        <f>ROUND(IF(coss!$D$74=0,0,+coss!P$74/coss!$D$74),9)</f>
        <v>0</v>
      </c>
      <c r="R71" s="244">
        <f>ROUND(IF(coss!$D$74=0,0,+coss!Q$74/coss!$D$74),9)</f>
        <v>0.002638956</v>
      </c>
      <c r="S71" s="244">
        <f>ROUND(IF(coss!$D$74=0,0,+coss!R$74/coss!$D$74),9)</f>
        <v>0.000150157</v>
      </c>
      <c r="T71" s="244">
        <f>ROUND(IF(coss!$D$74=0,0,+coss!S$74/coss!$D$74),9)</f>
        <v>0.031665645</v>
      </c>
      <c r="U71" s="244">
        <f>ROUND(IF(coss!$D$74=0,0,+coss!T$74/coss!$D$74),9)</f>
        <v>0</v>
      </c>
      <c r="V71" s="258">
        <f>IF(coss!$D$74=0,0,1-SUM(F71:U71)-ROUND(coss!$W$74/coss!$D$74,9))</f>
        <v>0.00010969500000013177</v>
      </c>
      <c r="W71" s="244">
        <f t="shared" si="35"/>
        <v>1</v>
      </c>
      <c r="X71" s="67">
        <f t="shared" si="36"/>
        <v>0</v>
      </c>
      <c r="Y71" s="20" t="s">
        <v>217</v>
      </c>
    </row>
    <row r="72" spans="1:25" ht="17.25">
      <c r="A72" s="20" t="s">
        <v>217</v>
      </c>
      <c r="B72" s="20" t="s">
        <v>216</v>
      </c>
      <c r="C72" s="20" t="s">
        <v>217</v>
      </c>
      <c r="D72" s="8" t="str">
        <f t="shared" si="34"/>
        <v>PD29</v>
      </c>
      <c r="E72" s="244">
        <v>1</v>
      </c>
      <c r="F72" s="244">
        <f>ROUND(IF(coss!$D$75=0,0,+coss!E$75/coss!$D$75),9)</f>
        <v>0.517932184</v>
      </c>
      <c r="G72" s="244">
        <f>ROUND(IF(coss!$D$75=0,0,+coss!F$75/coss!$D$75),9)</f>
        <v>0.227418098</v>
      </c>
      <c r="H72" s="244">
        <f>ROUND(IF(coss!$D$75=0,0,+coss!G$75/coss!$D$75),9)</f>
        <v>0.000219003</v>
      </c>
      <c r="I72" s="244">
        <f>ROUND(IF(coss!$D$75=0,0,+coss!H$75/coss!$D$75),9)</f>
        <v>0.000896342</v>
      </c>
      <c r="J72" s="244">
        <f>ROUND(IF(coss!$D$75=0,0,+coss!I$75/coss!$D$75),9)</f>
        <v>0.004110694</v>
      </c>
      <c r="K72" s="244">
        <f>ROUND(IF(coss!$D$75=0,0,+coss!J$75/coss!$D$75),9)</f>
        <v>0.00010486</v>
      </c>
      <c r="L72" s="244">
        <f>ROUND(IF(coss!$D$75=0,0,+coss!K$75/coss!$D$75),9)</f>
        <v>0.125610544</v>
      </c>
      <c r="M72" s="244">
        <f>ROUND(IF(coss!$D$75=0,0,+coss!L$75/coss!$D$75),9)</f>
        <v>0.001740823</v>
      </c>
      <c r="N72" s="244">
        <f>ROUND(IF(coss!$D$75=0,0,+coss!M$75/coss!$D$75),9)</f>
        <v>0.072943102</v>
      </c>
      <c r="O72" s="244">
        <f>ROUND(IF(coss!$D$75=0,0,+coss!N$75/coss!$D$75),9)</f>
        <v>0.003469961</v>
      </c>
      <c r="P72" s="244">
        <f>ROUND(IF(coss!$D$75=0,0,+coss!O$75/coss!$D$75),9)</f>
        <v>0.005609965</v>
      </c>
      <c r="Q72" s="244">
        <f>ROUND(IF(coss!$D$75=0,0,+coss!P$75/coss!$D$75),9)</f>
        <v>0</v>
      </c>
      <c r="R72" s="244">
        <f>ROUND(IF(coss!$D$75=0,0,+coss!Q$75/coss!$D$75),9)</f>
        <v>0.025443239</v>
      </c>
      <c r="S72" s="244">
        <f>ROUND(IF(coss!$D$75=0,0,+coss!R$75/coss!$D$75),9)</f>
        <v>0.001474468</v>
      </c>
      <c r="T72" s="244">
        <f>ROUND(IF(coss!$D$75=0,0,+coss!S$75/coss!$D$75),9)</f>
        <v>0.012879058</v>
      </c>
      <c r="U72" s="244">
        <f>ROUND(IF(coss!$D$75=0,0,+coss!T$75/coss!$D$75),9)</f>
        <v>0</v>
      </c>
      <c r="V72" s="258">
        <f>IF(coss!$D$75=0,0,1-SUM(F72:U72)-ROUND(coss!$W$75/coss!$D$75,9))</f>
        <v>0.0001476590000001332</v>
      </c>
      <c r="W72" s="244">
        <f t="shared" si="35"/>
        <v>1</v>
      </c>
      <c r="X72" s="67">
        <f t="shared" si="36"/>
        <v>0</v>
      </c>
      <c r="Y72" s="20" t="s">
        <v>219</v>
      </c>
    </row>
    <row r="73" spans="1:25" ht="17.25">
      <c r="A73" s="20" t="s">
        <v>219</v>
      </c>
      <c r="B73" s="20" t="s">
        <v>218</v>
      </c>
      <c r="C73" s="20" t="s">
        <v>219</v>
      </c>
      <c r="D73" s="8" t="str">
        <f t="shared" si="34"/>
        <v>G129</v>
      </c>
      <c r="E73" s="244">
        <v>1</v>
      </c>
      <c r="F73" s="244">
        <f>ROUND(IF(coss!$D$85=0,0,+coss!E$85/coss!$D$85),9)</f>
        <v>0.55493508</v>
      </c>
      <c r="G73" s="244">
        <f>ROUND(IF(coss!$D$85=0,0,+coss!F$85/coss!$D$85),9)</f>
        <v>0.216871907</v>
      </c>
      <c r="H73" s="244">
        <f>ROUND(IF(coss!$D$85=0,0,+coss!G$85/coss!$D$85),9)</f>
        <v>0.000174381</v>
      </c>
      <c r="I73" s="244">
        <f>ROUND(IF(coss!$D$85=0,0,+coss!H$85/coss!$D$85),9)</f>
        <v>0.00103377</v>
      </c>
      <c r="J73" s="244">
        <f>ROUND(IF(coss!$D$85=0,0,+coss!I$85/coss!$D$85),9)</f>
        <v>0.003414847</v>
      </c>
      <c r="K73" s="244">
        <f>ROUND(IF(coss!$D$85=0,0,+coss!J$85/coss!$D$85),9)</f>
        <v>0.000122562</v>
      </c>
      <c r="L73" s="244">
        <f>ROUND(IF(coss!$D$85=0,0,+coss!K$85/coss!$D$85),9)</f>
        <v>0.115004949</v>
      </c>
      <c r="M73" s="244">
        <f>ROUND(IF(coss!$D$85=0,0,+coss!L$85/coss!$D$85),9)</f>
        <v>0.001228239</v>
      </c>
      <c r="N73" s="244">
        <f>ROUND(IF(coss!$D$85=0,0,+coss!M$85/coss!$D$85),9)</f>
        <v>0.068250073</v>
      </c>
      <c r="O73" s="244">
        <f>ROUND(IF(coss!$D$85=0,0,+coss!N$85/coss!$D$85),9)</f>
        <v>0.002587773</v>
      </c>
      <c r="P73" s="244">
        <f>ROUND(IF(coss!$D$85=0,0,+coss!O$85/coss!$D$85),9)</f>
        <v>0.005307424</v>
      </c>
      <c r="Q73" s="244">
        <f>ROUND(IF(coss!$D$85=0,0,+coss!P$85/coss!$D$85),9)</f>
        <v>0</v>
      </c>
      <c r="R73" s="244">
        <f>ROUND(IF(coss!$D$85=0,0,+coss!Q$85/coss!$D$85),9)</f>
        <v>0.024417467</v>
      </c>
      <c r="S73" s="244">
        <f>ROUND(IF(coss!$D$85=0,0,+coss!R$85/coss!$D$85),9)</f>
        <v>0.001117031</v>
      </c>
      <c r="T73" s="244">
        <f>ROUND(IF(coss!$D$85=0,0,+coss!S$85/coss!$D$85),9)</f>
        <v>0.00541048</v>
      </c>
      <c r="U73" s="244">
        <f>ROUND(IF(coss!$D$85=0,0,+coss!T$85/coss!$D$85),9)</f>
        <v>0</v>
      </c>
      <c r="V73" s="258">
        <f>IF(coss!$D$85=0,0,1-SUM(F73:U73)-ROUND(coss!$W$85/coss!$D$85,9))</f>
        <v>0.00012401699999975424</v>
      </c>
      <c r="W73" s="244">
        <f t="shared" si="35"/>
        <v>1</v>
      </c>
      <c r="X73" s="67">
        <f t="shared" si="36"/>
        <v>0</v>
      </c>
      <c r="Y73" s="20" t="s">
        <v>221</v>
      </c>
    </row>
    <row r="74" spans="1:25" ht="17.25">
      <c r="A74" s="20" t="s">
        <v>221</v>
      </c>
      <c r="B74" s="20" t="s">
        <v>220</v>
      </c>
      <c r="C74" s="20" t="s">
        <v>221</v>
      </c>
      <c r="D74" s="8" t="str">
        <f t="shared" si="34"/>
        <v>C129</v>
      </c>
      <c r="E74" s="244">
        <v>1</v>
      </c>
      <c r="F74" s="244">
        <f>ROUND(IF(coss!$D$95=0,0,+coss!E$95/coss!$D$95),9)</f>
        <v>0.554880978</v>
      </c>
      <c r="G74" s="244">
        <f>ROUND(IF(coss!$D$95=0,0,+coss!F$95/coss!$D$95),9)</f>
        <v>0.216888894</v>
      </c>
      <c r="H74" s="244">
        <f>ROUND(IF(coss!$D$95=0,0,+coss!G$95/coss!$D$95),9)</f>
        <v>0.000174101</v>
      </c>
      <c r="I74" s="244">
        <f>ROUND(IF(coss!$D$95=0,0,+coss!H$95/coss!$D$95),9)</f>
        <v>0.001033796</v>
      </c>
      <c r="J74" s="244">
        <f>ROUND(IF(coss!$D$95=0,0,+coss!I$95/coss!$D$95),9)</f>
        <v>0.003415083</v>
      </c>
      <c r="K74" s="244">
        <f>ROUND(IF(coss!$D$95=0,0,+coss!J$95/coss!$D$95),9)</f>
        <v>0.000122671</v>
      </c>
      <c r="L74" s="244">
        <f>ROUND(IF(coss!$D$95=0,0,+coss!K$95/coss!$D$95),9)</f>
        <v>0.115030573</v>
      </c>
      <c r="M74" s="244">
        <f>ROUND(IF(coss!$D$95=0,0,+coss!L$95/coss!$D$95),9)</f>
        <v>0.001228469</v>
      </c>
      <c r="N74" s="244">
        <f>ROUND(IF(coss!$D$95=0,0,+coss!M$95/coss!$D$95),9)</f>
        <v>0.068262028</v>
      </c>
      <c r="O74" s="244">
        <f>ROUND(IF(coss!$D$95=0,0,+coss!N$95/coss!$D$95),9)</f>
        <v>0.002587761</v>
      </c>
      <c r="P74" s="244">
        <f>ROUND(IF(coss!$D$95=0,0,+coss!O$95/coss!$D$95),9)</f>
        <v>0.005308053</v>
      </c>
      <c r="Q74" s="244">
        <f>ROUND(IF(coss!$D$95=0,0,+coss!P$95/coss!$D$95),9)</f>
        <v>0</v>
      </c>
      <c r="R74" s="244">
        <f>ROUND(IF(coss!$D$95=0,0,+coss!Q$95/coss!$D$95),9)</f>
        <v>0.024415983</v>
      </c>
      <c r="S74" s="244">
        <f>ROUND(IF(coss!$D$95=0,0,+coss!R$95/coss!$D$95),9)</f>
        <v>0.001116699</v>
      </c>
      <c r="T74" s="244">
        <f>ROUND(IF(coss!$D$95=0,0,+coss!S$95/coss!$D$95),9)</f>
        <v>0.005410912</v>
      </c>
      <c r="U74" s="244">
        <f>ROUND(IF(coss!$D$95=0,0,+coss!T$95/coss!$D$95),9)</f>
        <v>0</v>
      </c>
      <c r="V74" s="258">
        <f>IF(coss!$D$95=0,0,1-SUM(F74:U74)-ROUND(coss!$W$95/coss!$D$95,9))</f>
        <v>0.00012399899999993025</v>
      </c>
      <c r="W74" s="244">
        <f t="shared" si="35"/>
        <v>1</v>
      </c>
      <c r="X74" s="67">
        <f t="shared" si="36"/>
        <v>0</v>
      </c>
      <c r="Y74" s="20" t="s">
        <v>223</v>
      </c>
    </row>
    <row r="75" spans="1:25" ht="17.25">
      <c r="A75" s="20" t="s">
        <v>223</v>
      </c>
      <c r="B75" s="20" t="s">
        <v>222</v>
      </c>
      <c r="C75" s="20" t="s">
        <v>223</v>
      </c>
      <c r="D75" s="8" t="str">
        <f t="shared" si="34"/>
        <v>GP19</v>
      </c>
      <c r="E75" s="244">
        <v>1</v>
      </c>
      <c r="F75" s="244">
        <f>ROUND(IF(coss!$D$97=0,0,+coss!E$97/coss!$D$97),9)</f>
        <v>0.518739626</v>
      </c>
      <c r="G75" s="244">
        <f>ROUND(IF(coss!$D$97=0,0,+coss!F$97/coss!$D$97),9)</f>
        <v>0.227187999</v>
      </c>
      <c r="H75" s="244">
        <f>ROUND(IF(coss!$D$97=0,0,+coss!G$97/coss!$D$97),9)</f>
        <v>0.000218023</v>
      </c>
      <c r="I75" s="244">
        <f>ROUND(IF(coss!$D$97=0,0,+coss!H$97/coss!$D$97),9)</f>
        <v>0.000899345</v>
      </c>
      <c r="J75" s="244">
        <f>ROUND(IF(coss!$D$97=0,0,+coss!I$97/coss!$D$97),9)</f>
        <v>0.004095495</v>
      </c>
      <c r="K75" s="244">
        <f>ROUND(IF(coss!$D$97=0,0,+coss!J$97/coss!$D$97),9)</f>
        <v>0.000105249</v>
      </c>
      <c r="L75" s="244">
        <f>ROUND(IF(coss!$D$97=0,0,+coss!K$97/coss!$D$97),9)</f>
        <v>0.125379309</v>
      </c>
      <c r="M75" s="244">
        <f>ROUND(IF(coss!$D$97=0,0,+coss!L$97/coss!$D$97),9)</f>
        <v>0.001729629</v>
      </c>
      <c r="N75" s="244">
        <f>ROUND(IF(coss!$D$97=0,0,+coss!M$97/coss!$D$97),9)</f>
        <v>0.07284079</v>
      </c>
      <c r="O75" s="244">
        <f>ROUND(IF(coss!$D$97=0,0,+coss!N$97/coss!$D$97),9)</f>
        <v>0.003450687</v>
      </c>
      <c r="P75" s="244">
        <f>ROUND(IF(coss!$D$97=0,0,+coss!O$97/coss!$D$97),9)</f>
        <v>0.005603366</v>
      </c>
      <c r="Q75" s="244">
        <f>ROUND(IF(coss!$D$97=0,0,+coss!P$97/coss!$D$97),9)</f>
        <v>0</v>
      </c>
      <c r="R75" s="244">
        <f>ROUND(IF(coss!$D$97=0,0,+coss!Q$97/coss!$D$97),9)</f>
        <v>0.0254208</v>
      </c>
      <c r="S75" s="244">
        <f>ROUND(IF(coss!$D$97=0,0,+coss!R$97/coss!$D$97),9)</f>
        <v>0.001466652</v>
      </c>
      <c r="T75" s="244">
        <f>ROUND(IF(coss!$D$97=0,0,+coss!S$97/coss!$D$97),9)</f>
        <v>0.012715889</v>
      </c>
      <c r="U75" s="244">
        <f>ROUND(IF(coss!$D$97=0,0,+coss!T$97/coss!$D$97),9)</f>
        <v>0</v>
      </c>
      <c r="V75" s="258">
        <f>IF(coss!$D$97=0,0,1-SUM(F75:U75)-ROUND(coss!$W$97/coss!$D$97,9))</f>
        <v>0.00014714100000035035</v>
      </c>
      <c r="W75" s="244">
        <f t="shared" si="35"/>
        <v>1</v>
      </c>
      <c r="X75" s="67">
        <f t="shared" si="36"/>
        <v>0</v>
      </c>
      <c r="Y75" s="20" t="s">
        <v>225</v>
      </c>
    </row>
    <row r="76" spans="1:25" ht="17.25">
      <c r="A76" s="20" t="s">
        <v>225</v>
      </c>
      <c r="B76" s="20" t="s">
        <v>224</v>
      </c>
      <c r="C76" s="20" t="s">
        <v>225</v>
      </c>
      <c r="D76" s="8" t="str">
        <f t="shared" si="34"/>
        <v>DR19</v>
      </c>
      <c r="E76" s="244">
        <v>1</v>
      </c>
      <c r="F76" s="244">
        <f>ROUND(IF(coss!$D$148=0,0,+coss!E$148/coss!$D$148),9)</f>
        <v>0.519236128</v>
      </c>
      <c r="G76" s="244">
        <f>ROUND(IF(coss!$D$148=0,0,+coss!F$148/coss!$D$148),9)</f>
        <v>0.224348033</v>
      </c>
      <c r="H76" s="244">
        <f>ROUND(IF(coss!$D$148=0,0,+coss!G$148/coss!$D$148),9)</f>
        <v>0.000216177</v>
      </c>
      <c r="I76" s="244">
        <f>ROUND(IF(coss!$D$148=0,0,+coss!H$148/coss!$D$148),9)</f>
        <v>0.000895711</v>
      </c>
      <c r="J76" s="244">
        <f>ROUND(IF(coss!$D$148=0,0,+coss!I$148/coss!$D$148),9)</f>
        <v>0.00411463</v>
      </c>
      <c r="K76" s="244">
        <f>ROUND(IF(coss!$D$148=0,0,+coss!J$148/coss!$D$148),9)</f>
        <v>0.000103639</v>
      </c>
      <c r="L76" s="244">
        <f>ROUND(IF(coss!$D$148=0,0,+coss!K$148/coss!$D$148),9)</f>
        <v>0.123455658</v>
      </c>
      <c r="M76" s="244">
        <f>ROUND(IF(coss!$D$148=0,0,+coss!L$148/coss!$D$148),9)</f>
        <v>0.00173012</v>
      </c>
      <c r="N76" s="244">
        <f>ROUND(IF(coss!$D$148=0,0,+coss!M$148/coss!$D$148),9)</f>
        <v>0.072607639</v>
      </c>
      <c r="O76" s="244">
        <f>ROUND(IF(coss!$D$148=0,0,+coss!N$148/coss!$D$148),9)</f>
        <v>0.003448216</v>
      </c>
      <c r="P76" s="244">
        <f>ROUND(IF(coss!$D$148=0,0,+coss!O$148/coss!$D$148),9)</f>
        <v>0.005536366</v>
      </c>
      <c r="Q76" s="244">
        <f>ROUND(IF(coss!$D$148=0,0,+coss!P$148/coss!$D$148),9)</f>
        <v>0</v>
      </c>
      <c r="R76" s="244">
        <f>ROUND(IF(coss!$D$148=0,0,+coss!Q$148/coss!$D$148),9)</f>
        <v>0.027109754</v>
      </c>
      <c r="S76" s="244">
        <f>ROUND(IF(coss!$D$148=0,0,+coss!R$148/coss!$D$148),9)</f>
        <v>0.001564891</v>
      </c>
      <c r="T76" s="244">
        <f>ROUND(IF(coss!$D$148=0,0,+coss!S$148/coss!$D$148),9)</f>
        <v>0.015481204</v>
      </c>
      <c r="U76" s="244">
        <f>ROUND(IF(coss!$D$148=0,0,+coss!T$148/coss!$D$148),9)</f>
        <v>0</v>
      </c>
      <c r="V76" s="258">
        <f>IF(coss!$D$148=0,0,1-SUM(F76:U76)-ROUND(coss!$W$148/coss!$D$148,9))</f>
        <v>0.00015183400000007286</v>
      </c>
      <c r="W76" s="244">
        <f t="shared" si="35"/>
        <v>1</v>
      </c>
      <c r="X76" s="67">
        <f t="shared" si="36"/>
        <v>0</v>
      </c>
      <c r="Y76" s="8"/>
    </row>
    <row r="77" spans="1:25" ht="17.25">
      <c r="A77" s="8"/>
      <c r="B77" s="8"/>
      <c r="C77" s="8"/>
      <c r="D77" s="8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58"/>
      <c r="W77" s="244"/>
      <c r="X77" s="67"/>
      <c r="Y77" s="8"/>
    </row>
    <row r="78" spans="1:25" ht="17.25">
      <c r="A78" s="8"/>
      <c r="B78" s="42" t="s">
        <v>420</v>
      </c>
      <c r="C78" s="8"/>
      <c r="D78" s="8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58"/>
      <c r="W78" s="244"/>
      <c r="X78" s="67"/>
      <c r="Y78" s="20" t="s">
        <v>329</v>
      </c>
    </row>
    <row r="79" spans="1:25" ht="17.25">
      <c r="A79" s="20" t="s">
        <v>329</v>
      </c>
      <c r="B79" s="20" t="s">
        <v>226</v>
      </c>
      <c r="C79" s="20" t="s">
        <v>329</v>
      </c>
      <c r="D79" s="8" t="str">
        <f aca="true" t="shared" si="37" ref="D79:D92">C79</f>
        <v>P229</v>
      </c>
      <c r="E79" s="244">
        <v>1</v>
      </c>
      <c r="F79" s="244">
        <f>ROUND(IF(coss!$D$205=0,0,+coss!E$205/coss!$D$205),9)</f>
        <v>0.517060925</v>
      </c>
      <c r="G79" s="244">
        <f>ROUND(IF(coss!$D$205=0,0,+coss!F$205/coss!$D$205),9)</f>
        <v>0.222322988</v>
      </c>
      <c r="H79" s="244">
        <f>ROUND(IF(coss!$D$205=0,0,+coss!G$205/coss!$D$205),9)</f>
        <v>0.000218388</v>
      </c>
      <c r="I79" s="244">
        <f>ROUND(IF(coss!$D$205=0,0,+coss!H$205/coss!$D$205),9)</f>
        <v>0.000894254</v>
      </c>
      <c r="J79" s="244">
        <f>ROUND(IF(coss!$D$205=0,0,+coss!I$205/coss!$D$205),9)</f>
        <v>0.004251723</v>
      </c>
      <c r="K79" s="244">
        <f>ROUND(IF(coss!$D$205=0,0,+coss!J$205/coss!$D$205),9)</f>
        <v>9.9999E-05</v>
      </c>
      <c r="L79" s="244">
        <f>ROUND(IF(coss!$D$205=0,0,+coss!K$205/coss!$D$205),9)</f>
        <v>0.122775863</v>
      </c>
      <c r="M79" s="244">
        <f>ROUND(IF(coss!$D$205=0,0,+coss!L$205/coss!$D$205),9)</f>
        <v>0.001795401</v>
      </c>
      <c r="N79" s="244">
        <f>ROUND(IF(coss!$D$205=0,0,+coss!M$205/coss!$D$205),9)</f>
        <v>0.078789654</v>
      </c>
      <c r="O79" s="244">
        <f>ROUND(IF(coss!$D$205=0,0,+coss!N$205/coss!$D$205),9)</f>
        <v>0.003782758</v>
      </c>
      <c r="P79" s="244">
        <f>ROUND(IF(coss!$D$205=0,0,+coss!O$205/coss!$D$205),9)</f>
        <v>0.005858621</v>
      </c>
      <c r="Q79" s="244">
        <f>ROUND(IF(coss!$D$205=0,0,+coss!P$205/coss!$D$205),9)</f>
        <v>0</v>
      </c>
      <c r="R79" s="244">
        <f>ROUND(IF(coss!$D$205=0,0,+coss!Q$205/coss!$D$205),9)</f>
        <v>0.034789654</v>
      </c>
      <c r="S79" s="244">
        <f>ROUND(IF(coss!$D$205=0,0,+coss!R$205/coss!$D$205),9)</f>
        <v>0.002017241</v>
      </c>
      <c r="T79" s="244">
        <f>ROUND(IF(coss!$D$205=0,0,+coss!S$205/coss!$D$205),9)</f>
        <v>0.005179311</v>
      </c>
      <c r="U79" s="244">
        <f>ROUND(IF(coss!$D$205=0,0,+coss!T$205/coss!$D$205),9)</f>
        <v>0</v>
      </c>
      <c r="V79" s="258">
        <f>IF(coss!$D$205=0,0,1-SUM(F79:U79)-ROUND(coss!$W$205/coss!$D$205,9))</f>
        <v>0.00016322000000001946</v>
      </c>
      <c r="W79" s="244">
        <f aca="true" t="shared" si="38" ref="W79:W92">SUM(F79:V79)</f>
        <v>1</v>
      </c>
      <c r="X79" s="67">
        <f aca="true" t="shared" si="39" ref="X79:X92">E79-W79</f>
        <v>0</v>
      </c>
      <c r="Y79" s="20" t="s">
        <v>330</v>
      </c>
    </row>
    <row r="80" spans="1:25" ht="17.25">
      <c r="A80" s="20" t="s">
        <v>330</v>
      </c>
      <c r="B80" s="198" t="s">
        <v>227</v>
      </c>
      <c r="C80" s="20" t="s">
        <v>330</v>
      </c>
      <c r="D80" s="8" t="str">
        <f t="shared" si="37"/>
        <v>T229</v>
      </c>
      <c r="E80" s="244">
        <v>1</v>
      </c>
      <c r="F80" s="244">
        <f>ROUND(IF(coss!$D$210=0,0,+coss!E$210/coss!$D$210),9)</f>
        <v>0.517060754</v>
      </c>
      <c r="G80" s="244">
        <f>ROUND(IF(coss!$D$210=0,0,+coss!F$210/coss!$D$210),9)</f>
        <v>0.222323011</v>
      </c>
      <c r="H80" s="244">
        <f>ROUND(IF(coss!$D$210=0,0,+coss!G$210/coss!$D$210),9)</f>
        <v>0.000218388</v>
      </c>
      <c r="I80" s="244">
        <f>ROUND(IF(coss!$D$210=0,0,+coss!H$210/coss!$D$210),9)</f>
        <v>0.000894271</v>
      </c>
      <c r="J80" s="244">
        <f>ROUND(IF(coss!$D$210=0,0,+coss!I$210/coss!$D$210),9)</f>
        <v>0.004251714</v>
      </c>
      <c r="K80" s="244">
        <f>ROUND(IF(coss!$D$210=0,0,+coss!J$210/coss!$D$210),9)</f>
        <v>0.000100052</v>
      </c>
      <c r="L80" s="244">
        <f>ROUND(IF(coss!$D$210=0,0,+coss!K$210/coss!$D$210),9)</f>
        <v>0.122775861</v>
      </c>
      <c r="M80" s="244">
        <f>ROUND(IF(coss!$D$210=0,0,+coss!L$210/coss!$D$210),9)</f>
        <v>0.001795473</v>
      </c>
      <c r="N80" s="244">
        <f>ROUND(IF(coss!$D$210=0,0,+coss!M$210/coss!$D$210),9)</f>
        <v>0.078789648</v>
      </c>
      <c r="O80" s="244">
        <f>ROUND(IF(coss!$D$210=0,0,+coss!N$210/coss!$D$210),9)</f>
        <v>0.003782791</v>
      </c>
      <c r="P80" s="244">
        <f>ROUND(IF(coss!$D$210=0,0,+coss!O$210/coss!$D$210),9)</f>
        <v>0.005858586</v>
      </c>
      <c r="Q80" s="244">
        <f>ROUND(IF(coss!$D$210=0,0,+coss!P$210/coss!$D$210),9)</f>
        <v>0</v>
      </c>
      <c r="R80" s="244">
        <f>ROUND(IF(coss!$D$210=0,0,+coss!Q$210/coss!$D$210),9)</f>
        <v>0.034789648</v>
      </c>
      <c r="S80" s="244">
        <f>ROUND(IF(coss!$D$210=0,0,+coss!R$210/coss!$D$210),9)</f>
        <v>0.002017253</v>
      </c>
      <c r="T80" s="244">
        <f>ROUND(IF(coss!$D$210=0,0,+coss!S$210/coss!$D$210),9)</f>
        <v>0.005179311</v>
      </c>
      <c r="U80" s="244">
        <f>ROUND(IF(coss!$D$210=0,0,+coss!T$210/coss!$D$210),9)</f>
        <v>0</v>
      </c>
      <c r="V80" s="258">
        <f>IF(coss!$D$210=0,0,1-SUM(F80:U80)-ROUND(coss!$W$210/coss!$D$210,9))</f>
        <v>0.00016323900000014824</v>
      </c>
      <c r="W80" s="244">
        <f t="shared" si="38"/>
        <v>1</v>
      </c>
      <c r="X80" s="67">
        <f t="shared" si="39"/>
        <v>0</v>
      </c>
      <c r="Y80" s="20" t="s">
        <v>769</v>
      </c>
    </row>
    <row r="81" spans="1:25" ht="17.25">
      <c r="A81" s="20" t="s">
        <v>769</v>
      </c>
      <c r="B81" s="115" t="s">
        <v>763</v>
      </c>
      <c r="C81" s="20" t="s">
        <v>769</v>
      </c>
      <c r="D81" s="8" t="str">
        <f t="shared" si="37"/>
        <v>S249</v>
      </c>
      <c r="E81" s="244">
        <v>1</v>
      </c>
      <c r="F81" s="244">
        <f>ROUND(IF(coss!$D$164=0,0,+coss!E$164/coss!$D$164),9)</f>
        <v>0.451211362</v>
      </c>
      <c r="G81" s="244">
        <f>ROUND(IF(coss!$D$164=0,0,+coss!F$164/coss!$D$164),9)</f>
        <v>0.268937946</v>
      </c>
      <c r="H81" s="244">
        <f>ROUND(IF(coss!$D$164=0,0,+coss!G$164/coss!$D$164),9)</f>
        <v>0.000254765</v>
      </c>
      <c r="I81" s="244">
        <f>ROUND(IF(coss!$D$164=0,0,+coss!H$164/coss!$D$164),9)</f>
        <v>0.001050432</v>
      </c>
      <c r="J81" s="244">
        <f>ROUND(IF(coss!$D$164=0,0,+coss!I$164/coss!$D$164),9)</f>
        <v>0.003549815</v>
      </c>
      <c r="K81" s="244">
        <f>ROUND(IF(coss!$D$164=0,0,+coss!J$164/coss!$D$164),9)</f>
        <v>0.000105321</v>
      </c>
      <c r="L81" s="244">
        <f>ROUND(IF(coss!$D$164=0,0,+coss!K$164/coss!$D$164),9)</f>
        <v>0.160659901</v>
      </c>
      <c r="M81" s="244">
        <f>ROUND(IF(coss!$D$164=0,0,+coss!L$164/coss!$D$164),9)</f>
        <v>0.00177633</v>
      </c>
      <c r="N81" s="244">
        <f>ROUND(IF(coss!$D$164=0,0,+coss!M$164/coss!$D$164),9)</f>
        <v>0.091306089</v>
      </c>
      <c r="O81" s="244">
        <f>ROUND(IF(coss!$D$164=0,0,+coss!N$164/coss!$D$164),9)</f>
        <v>0.004204539</v>
      </c>
      <c r="P81" s="244">
        <f>ROUND(IF(coss!$D$164=0,0,+coss!O$164/coss!$D$164),9)</f>
        <v>0.007889571</v>
      </c>
      <c r="Q81" s="244">
        <f>ROUND(IF(coss!$D$164=0,0,+coss!P$164/coss!$D$164),9)</f>
        <v>0</v>
      </c>
      <c r="R81" s="244">
        <f>ROUND(IF(coss!$D$164=0,0,+coss!Q$164/coss!$D$164),9)</f>
        <v>0</v>
      </c>
      <c r="S81" s="244">
        <f>ROUND(IF(coss!$D$164=0,0,+coss!R$164/coss!$D$164),9)</f>
        <v>0</v>
      </c>
      <c r="T81" s="244">
        <f>ROUND(IF(coss!$D$164=0,0,+coss!S$164/coss!$D$164),9)</f>
        <v>0.008972778</v>
      </c>
      <c r="U81" s="244">
        <f>ROUND(IF(coss!$D$164=0,0,+coss!T$164/coss!$D$164),9)</f>
        <v>0</v>
      </c>
      <c r="V81" s="258">
        <f>IF(coss!$D$164=0,0,1-SUM(F81:U81)-ROUND(coss!$W$164/coss!$D$164,9))</f>
        <v>8.115100000005704E-05</v>
      </c>
      <c r="W81" s="244">
        <f t="shared" si="38"/>
        <v>1</v>
      </c>
      <c r="X81" s="67">
        <f t="shared" si="39"/>
        <v>0</v>
      </c>
      <c r="Y81" s="20" t="s">
        <v>863</v>
      </c>
    </row>
    <row r="82" spans="1:25" ht="17.25">
      <c r="A82" s="20" t="s">
        <v>863</v>
      </c>
      <c r="B82" s="115" t="s">
        <v>1330</v>
      </c>
      <c r="C82" s="20" t="s">
        <v>863</v>
      </c>
      <c r="D82" s="8" t="str">
        <f t="shared" si="37"/>
        <v>PL49</v>
      </c>
      <c r="E82" s="244">
        <v>1</v>
      </c>
      <c r="F82" s="244">
        <f>ROUND(IF(coss!$D$165=0,0,+coss!E$165/coss!$D$165),9)</f>
        <v>0.458802119</v>
      </c>
      <c r="G82" s="244">
        <f>ROUND(IF(coss!$D$165=0,0,+coss!F$165/coss!$D$165),9)</f>
        <v>0.273462382</v>
      </c>
      <c r="H82" s="244">
        <f>ROUND(IF(coss!$D$165=0,0,+coss!G$165/coss!$D$165),9)</f>
        <v>0.000259069</v>
      </c>
      <c r="I82" s="244">
        <f>ROUND(IF(coss!$D$165=0,0,+coss!H$165/coss!$D$165),9)</f>
        <v>0.001068128</v>
      </c>
      <c r="J82" s="244">
        <f>ROUND(IF(coss!$D$165=0,0,+coss!I$165/coss!$D$165),9)</f>
        <v>0.003609535</v>
      </c>
      <c r="K82" s="244">
        <f>ROUND(IF(coss!$D$165=0,0,+coss!J$165/coss!$D$165),9)</f>
        <v>0.000107121</v>
      </c>
      <c r="L82" s="244">
        <f>ROUND(IF(coss!$D$165=0,0,+coss!K$165/coss!$D$165),9)</f>
        <v>0.163362737</v>
      </c>
      <c r="M82" s="244">
        <f>ROUND(IF(coss!$D$165=0,0,+coss!L$165/coss!$D$165),9)</f>
        <v>0.001806243</v>
      </c>
      <c r="N82" s="244">
        <f>ROUND(IF(coss!$D$165=0,0,+coss!M$165/coss!$D$165),9)</f>
        <v>0.077987192</v>
      </c>
      <c r="O82" s="244">
        <f>ROUND(IF(coss!$D$165=0,0,+coss!N$165/coss!$D$165),9)</f>
        <v>0.003590726</v>
      </c>
      <c r="P82" s="244">
        <f>ROUND(IF(coss!$D$165=0,0,+coss!O$165/coss!$D$165),9)</f>
        <v>0.00673855</v>
      </c>
      <c r="Q82" s="244">
        <f>ROUND(IF(coss!$D$165=0,0,+coss!P$165/coss!$D$165),9)</f>
        <v>0</v>
      </c>
      <c r="R82" s="244">
        <f>ROUND(IF(coss!$D$165=0,0,+coss!Q$165/coss!$D$165),9)</f>
        <v>0</v>
      </c>
      <c r="S82" s="244">
        <f>ROUND(IF(coss!$D$165=0,0,+coss!R$165/coss!$D$165),9)</f>
        <v>0</v>
      </c>
      <c r="T82" s="244">
        <f>ROUND(IF(coss!$D$165=0,0,+coss!S$165/coss!$D$165),9)</f>
        <v>0.009123718</v>
      </c>
      <c r="U82" s="244">
        <f>ROUND(IF(coss!$D$165=0,0,+coss!T$165/coss!$D$165),9)</f>
        <v>0</v>
      </c>
      <c r="V82" s="258">
        <f>IF(coss!$D$165=0,0,1-SUM(F82:U82)-ROUND(coss!$W$165/coss!$D$165,9))</f>
        <v>8.247999999999589E-05</v>
      </c>
      <c r="W82" s="244">
        <f t="shared" si="38"/>
        <v>1</v>
      </c>
      <c r="X82" s="67">
        <f t="shared" si="39"/>
        <v>0</v>
      </c>
      <c r="Y82" s="20" t="s">
        <v>864</v>
      </c>
    </row>
    <row r="83" spans="1:25" ht="17.25">
      <c r="A83" s="20" t="s">
        <v>864</v>
      </c>
      <c r="B83" s="115" t="s">
        <v>1329</v>
      </c>
      <c r="C83" s="20" t="s">
        <v>864</v>
      </c>
      <c r="D83" s="8" t="str">
        <f t="shared" si="37"/>
        <v>SL49</v>
      </c>
      <c r="E83" s="244">
        <v>1</v>
      </c>
      <c r="F83" s="244">
        <f>ROUND(IF(coss!$D$166=0,0,+coss!E$166/coss!$D$166),9)</f>
        <v>0.458802153</v>
      </c>
      <c r="G83" s="244">
        <f>ROUND(IF(coss!$D$166=0,0,+coss!F$166/coss!$D$166),9)</f>
        <v>0.273462369</v>
      </c>
      <c r="H83" s="244">
        <f>ROUND(IF(coss!$D$166=0,0,+coss!G$166/coss!$D$166),9)</f>
        <v>0.000259066</v>
      </c>
      <c r="I83" s="244">
        <f>ROUND(IF(coss!$D$166=0,0,+coss!H$166/coss!$D$166),9)</f>
        <v>0.001068101</v>
      </c>
      <c r="J83" s="244">
        <f>ROUND(IF(coss!$D$166=0,0,+coss!I$166/coss!$D$166),9)</f>
        <v>0.003609541</v>
      </c>
      <c r="K83" s="244">
        <f>ROUND(IF(coss!$D$166=0,0,+coss!J$166/coss!$D$166),9)</f>
        <v>0.0001071</v>
      </c>
      <c r="L83" s="244">
        <f>ROUND(IF(coss!$D$166=0,0,+coss!K$166/coss!$D$166),9)</f>
        <v>0.163362754</v>
      </c>
      <c r="M83" s="244">
        <f>ROUND(IF(coss!$D$166=0,0,+coss!L$166/coss!$D$166),9)</f>
        <v>0.001806226</v>
      </c>
      <c r="N83" s="244">
        <f>ROUND(IF(coss!$D$166=0,0,+coss!M$166/coss!$D$166),9)</f>
        <v>0.077987177</v>
      </c>
      <c r="O83" s="244">
        <f>ROUND(IF(coss!$D$166=0,0,+coss!N$166/coss!$D$166),9)</f>
        <v>0.003590733</v>
      </c>
      <c r="P83" s="244">
        <f>ROUND(IF(coss!$D$166=0,0,+coss!O$166/coss!$D$166),9)</f>
        <v>0.006738581</v>
      </c>
      <c r="Q83" s="244">
        <f>ROUND(IF(coss!$D$166=0,0,+coss!P$166/coss!$D$166),9)</f>
        <v>0</v>
      </c>
      <c r="R83" s="244">
        <f>ROUND(IF(coss!$D$166=0,0,+coss!Q$166/coss!$D$166),9)</f>
        <v>0</v>
      </c>
      <c r="S83" s="244">
        <f>ROUND(IF(coss!$D$166=0,0,+coss!R$166/coss!$D$166),9)</f>
        <v>0</v>
      </c>
      <c r="T83" s="244">
        <f>ROUND(IF(coss!$D$166=0,0,+coss!S$166/coss!$D$166),9)</f>
        <v>0.009123717</v>
      </c>
      <c r="U83" s="244">
        <f>ROUND(IF(coss!$D$166=0,0,+coss!T$166/coss!$D$166),9)</f>
        <v>0</v>
      </c>
      <c r="V83" s="258">
        <f>IF(coss!$D$166=0,0,1-SUM(F83:U83)-ROUND(coss!$W$166/coss!$D$166,9))</f>
        <v>8.248199999993933E-05</v>
      </c>
      <c r="W83" s="244">
        <f>SUM(F83:V83)</f>
        <v>1</v>
      </c>
      <c r="X83" s="67">
        <f t="shared" si="39"/>
        <v>0</v>
      </c>
      <c r="Y83" s="20" t="s">
        <v>770</v>
      </c>
    </row>
    <row r="84" spans="1:25" ht="17.25">
      <c r="A84" s="20" t="s">
        <v>770</v>
      </c>
      <c r="B84" s="115" t="s">
        <v>764</v>
      </c>
      <c r="C84" s="20" t="s">
        <v>770</v>
      </c>
      <c r="D84" s="8" t="str">
        <f t="shared" si="37"/>
        <v>F249</v>
      </c>
      <c r="E84" s="244">
        <v>1</v>
      </c>
      <c r="F84" s="244">
        <f>ROUND(IF(coss!$D$167=0,0,+coss!E$167/coss!$D$167),9)</f>
        <v>0.661033427</v>
      </c>
      <c r="G84" s="244">
        <f>ROUND(IF(coss!$D$167=0,0,+coss!F$167/coss!$D$167),9)</f>
        <v>0.224960631</v>
      </c>
      <c r="H84" s="244">
        <f>ROUND(IF(coss!$D$167=0,0,+coss!G$167/coss!$D$167),9)</f>
        <v>0.000222351</v>
      </c>
      <c r="I84" s="244">
        <f>ROUND(IF(coss!$D$167=0,0,+coss!H$167/coss!$D$167),9)</f>
        <v>0.000588065</v>
      </c>
      <c r="J84" s="244">
        <f>ROUND(IF(coss!$D$167=0,0,+coss!I$167/coss!$D$167),9)</f>
        <v>0.0051914</v>
      </c>
      <c r="K84" s="244">
        <f>ROUND(IF(coss!$D$167=0,0,+coss!J$167/coss!$D$167),9)</f>
        <v>0.000110845</v>
      </c>
      <c r="L84" s="244">
        <f>ROUND(IF(coss!$D$167=0,0,+coss!K$167/coss!$D$167),9)</f>
        <v>0.100678359</v>
      </c>
      <c r="M84" s="244">
        <f>ROUND(IF(coss!$D$167=0,0,+coss!L$167/coss!$D$167),9)</f>
        <v>0.001864683</v>
      </c>
      <c r="N84" s="244">
        <f>ROUND(IF(coss!$D$167=0,0,+coss!M$167/coss!$D$167),9)</f>
        <v>0</v>
      </c>
      <c r="O84" s="244">
        <f>ROUND(IF(coss!$D$167=0,0,+coss!N$167/coss!$D$167),9)</f>
        <v>0</v>
      </c>
      <c r="P84" s="244">
        <f>ROUND(IF(coss!$D$167=0,0,+coss!O$167/coss!$D$167),9)</f>
        <v>0</v>
      </c>
      <c r="Q84" s="244">
        <f>ROUND(IF(coss!$D$167=0,0,+coss!P$167/coss!$D$167),9)</f>
        <v>0</v>
      </c>
      <c r="R84" s="244">
        <f>ROUND(IF(coss!$D$167=0,0,+coss!Q$167/coss!$D$167),9)</f>
        <v>0</v>
      </c>
      <c r="S84" s="244">
        <f>ROUND(IF(coss!$D$167=0,0,+coss!R$167/coss!$D$167),9)</f>
        <v>0</v>
      </c>
      <c r="T84" s="244">
        <f>ROUND(IF(coss!$D$167=0,0,+coss!S$167/coss!$D$167),9)</f>
        <v>0.005117531</v>
      </c>
      <c r="U84" s="244">
        <f>ROUND(IF(coss!$D$167=0,0,+coss!T$167/coss!$D$167),9)</f>
        <v>0</v>
      </c>
      <c r="V84" s="258">
        <f>IF(coss!$D$167=0,0,1-SUM(F84:U84)-ROUND(coss!$W$167/coss!$D$167,9))</f>
        <v>0.0002327080000000814</v>
      </c>
      <c r="W84" s="244">
        <f>SUM(F84:V84)</f>
        <v>1</v>
      </c>
      <c r="X84" s="67">
        <f t="shared" si="39"/>
        <v>0</v>
      </c>
      <c r="Y84" s="20" t="s">
        <v>771</v>
      </c>
    </row>
    <row r="85" spans="1:25" ht="17.25">
      <c r="A85" s="20" t="s">
        <v>771</v>
      </c>
      <c r="B85" s="52" t="s">
        <v>765</v>
      </c>
      <c r="C85" s="20" t="s">
        <v>771</v>
      </c>
      <c r="D85" s="8" t="str">
        <f t="shared" si="37"/>
        <v>SV49</v>
      </c>
      <c r="E85" s="244">
        <v>1</v>
      </c>
      <c r="F85" s="244">
        <f>ROUND(IF(coss!$D$168=0,0,+coss!E$168/coss!$D$168),9)</f>
        <v>0.891972734</v>
      </c>
      <c r="G85" s="244">
        <f>ROUND(IF(coss!$D$168=0,0,+coss!F$168/coss!$D$168),9)</f>
        <v>0.090282918</v>
      </c>
      <c r="H85" s="244">
        <f>ROUND(IF(coss!$D$168=0,0,+coss!G$168/coss!$D$168),9)</f>
        <v>0</v>
      </c>
      <c r="I85" s="244">
        <f>ROUND(IF(coss!$D$168=0,0,+coss!H$168/coss!$D$168),9)</f>
        <v>0.001079702</v>
      </c>
      <c r="J85" s="244">
        <f>ROUND(IF(coss!$D$168=0,0,+coss!I$168/coss!$D$168),9)</f>
        <v>0.002622</v>
      </c>
      <c r="K85" s="244">
        <f>ROUND(IF(coss!$D$168=0,0,+coss!J$168/coss!$D$168),9)</f>
        <v>0.000198322</v>
      </c>
      <c r="L85" s="244">
        <f>ROUND(IF(coss!$D$168=0,0,+coss!K$168/coss!$D$168),9)</f>
        <v>0.011163365</v>
      </c>
      <c r="M85" s="244">
        <f>ROUND(IF(coss!$D$168=0,0,+coss!L$168/coss!$D$168),9)</f>
        <v>0</v>
      </c>
      <c r="N85" s="244">
        <f>ROUND(IF(coss!$D$168=0,0,+coss!M$168/coss!$D$168),9)</f>
        <v>0</v>
      </c>
      <c r="O85" s="244">
        <f>ROUND(IF(coss!$D$168=0,0,+coss!N$168/coss!$D$168),9)</f>
        <v>0</v>
      </c>
      <c r="P85" s="244">
        <f>ROUND(IF(coss!$D$168=0,0,+coss!O$168/coss!$D$168),9)</f>
        <v>0</v>
      </c>
      <c r="Q85" s="244">
        <f>ROUND(IF(coss!$D$168=0,0,+coss!P$168/coss!$D$168),9)</f>
        <v>0</v>
      </c>
      <c r="R85" s="244">
        <f>ROUND(IF(coss!$D$168=0,0,+coss!Q$168/coss!$D$168),9)</f>
        <v>0</v>
      </c>
      <c r="S85" s="244">
        <f>ROUND(IF(coss!$D$168=0,0,+coss!R$168/coss!$D$168),9)</f>
        <v>0</v>
      </c>
      <c r="T85" s="244">
        <f>ROUND(IF(coss!$D$168=0,0,+coss!S$168/coss!$D$168),9)</f>
        <v>0.002519226</v>
      </c>
      <c r="U85" s="244">
        <f>ROUND(IF(coss!$D$168=0,0,+coss!T$168/coss!$D$168),9)</f>
        <v>0</v>
      </c>
      <c r="V85" s="258">
        <f>IF(coss!$D$168=0,0,1-SUM(F85:U85)-ROUND(coss!$W$168/coss!$D$168,9))</f>
        <v>0.00016173299999999724</v>
      </c>
      <c r="W85" s="244">
        <f>SUM(F85:V85)</f>
        <v>1</v>
      </c>
      <c r="X85" s="67">
        <f t="shared" si="39"/>
        <v>0</v>
      </c>
      <c r="Y85" s="20" t="s">
        <v>772</v>
      </c>
    </row>
    <row r="86" spans="1:25" ht="17.25">
      <c r="A86" s="20" t="s">
        <v>772</v>
      </c>
      <c r="B86" s="52" t="s">
        <v>766</v>
      </c>
      <c r="C86" s="20" t="s">
        <v>772</v>
      </c>
      <c r="D86" s="8" t="str">
        <f t="shared" si="37"/>
        <v>M249</v>
      </c>
      <c r="E86" s="244">
        <v>1</v>
      </c>
      <c r="F86" s="244">
        <f>ROUND(IF(coss!$D$169=0,0,+coss!E$169/coss!$D$169),9)</f>
        <v>0.864268449</v>
      </c>
      <c r="G86" s="244">
        <f>ROUND(IF(coss!$D$169=0,0,+coss!F$169/coss!$D$169),9)</f>
        <v>0.118359588</v>
      </c>
      <c r="H86" s="244">
        <f>ROUND(IF(coss!$D$169=0,0,+coss!G$169/coss!$D$169),9)</f>
        <v>0</v>
      </c>
      <c r="I86" s="244">
        <f>ROUND(IF(coss!$D$169=0,0,+coss!H$169/coss!$D$169),9)</f>
        <v>0</v>
      </c>
      <c r="J86" s="244">
        <f>ROUND(IF(coss!$D$169=0,0,+coss!I$169/coss!$D$169),9)</f>
        <v>0.003489929</v>
      </c>
      <c r="K86" s="244">
        <f>ROUND(IF(coss!$D$169=0,0,+coss!J$169/coss!$D$169),9)</f>
        <v>0.000292115</v>
      </c>
      <c r="L86" s="244">
        <f>ROUND(IF(coss!$D$169=0,0,+coss!K$169/coss!$D$169),9)</f>
        <v>0.00905808</v>
      </c>
      <c r="M86" s="244">
        <f>ROUND(IF(coss!$D$169=0,0,+coss!L$169/coss!$D$169),9)</f>
        <v>0</v>
      </c>
      <c r="N86" s="244">
        <f>ROUND(IF(coss!$D$169=0,0,+coss!M$169/coss!$D$169),9)</f>
        <v>0.003061241</v>
      </c>
      <c r="O86" s="244">
        <f>ROUND(IF(coss!$D$169=0,0,+coss!N$169/coss!$D$169),9)</f>
        <v>0</v>
      </c>
      <c r="P86" s="244">
        <f>ROUND(IF(coss!$D$169=0,0,+coss!O$169/coss!$D$169),9)</f>
        <v>0.000345497</v>
      </c>
      <c r="Q86" s="244">
        <f>ROUND(IF(coss!$D$169=0,0,+coss!P$169/coss!$D$169),9)</f>
        <v>0</v>
      </c>
      <c r="R86" s="244">
        <f>ROUND(IF(coss!$D$169=0,0,+coss!Q$169/coss!$D$169),9)</f>
        <v>0.001064132</v>
      </c>
      <c r="S86" s="244">
        <f>ROUND(IF(coss!$D$169=0,0,+coss!R$169/coss!$D$169),9)</f>
        <v>0</v>
      </c>
      <c r="T86" s="244">
        <f>ROUND(IF(coss!$D$169=0,0,+coss!S$169/coss!$D$169),9)</f>
        <v>6.097E-05</v>
      </c>
      <c r="U86" s="244">
        <f>ROUND(IF(coss!$D$169=0,0,+coss!T$169/coss!$D$169),9)</f>
        <v>0</v>
      </c>
      <c r="V86" s="258">
        <f>IF(coss!$D$169=0,0,1-SUM(F86:U86)-ROUND(coss!$W$169/coss!$D$169,9))</f>
        <v>-1.000000082740371E-09</v>
      </c>
      <c r="W86" s="244">
        <f>SUM(F86:V86)</f>
        <v>1</v>
      </c>
      <c r="X86" s="67">
        <f t="shared" si="39"/>
        <v>0</v>
      </c>
      <c r="Y86" s="20" t="s">
        <v>773</v>
      </c>
    </row>
    <row r="87" spans="1:25" ht="17.25">
      <c r="A87" s="20" t="s">
        <v>773</v>
      </c>
      <c r="B87" s="52" t="s">
        <v>768</v>
      </c>
      <c r="C87" s="20" t="s">
        <v>773</v>
      </c>
      <c r="D87" s="8" t="str">
        <f t="shared" si="37"/>
        <v>L249</v>
      </c>
      <c r="E87" s="244">
        <v>1</v>
      </c>
      <c r="F87" s="244">
        <f>ROUND(IF(coss!$D$171=0,0,+coss!E$171/coss!$D$171),9)</f>
        <v>0</v>
      </c>
      <c r="G87" s="244">
        <f>ROUND(IF(coss!$D$171=0,0,+coss!F$171/coss!$D$171),9)</f>
        <v>0</v>
      </c>
      <c r="H87" s="244">
        <f>ROUND(IF(coss!$D$171=0,0,+coss!G$171/coss!$D$171),9)</f>
        <v>0</v>
      </c>
      <c r="I87" s="244">
        <f>ROUND(IF(coss!$D$171=0,0,+coss!H$171/coss!$D$171),9)</f>
        <v>0</v>
      </c>
      <c r="J87" s="244">
        <f>ROUND(IF(coss!$D$171=0,0,+coss!I$171/coss!$D$171),9)</f>
        <v>0</v>
      </c>
      <c r="K87" s="244">
        <f>ROUND(IF(coss!$D$171=0,0,+coss!J$171/coss!$D$171),9)</f>
        <v>0</v>
      </c>
      <c r="L87" s="244">
        <f>ROUND(IF(coss!$D$171=0,0,+coss!K$171/coss!$D$171),9)</f>
        <v>0</v>
      </c>
      <c r="M87" s="244">
        <f>ROUND(IF(coss!$D$171=0,0,+coss!L$171/coss!$D$171),9)</f>
        <v>0</v>
      </c>
      <c r="N87" s="244">
        <f>ROUND(IF(coss!$D$171=0,0,+coss!M$171/coss!$D$171),9)</f>
        <v>0</v>
      </c>
      <c r="O87" s="244">
        <f>ROUND(IF(coss!$D$171=0,0,+coss!N$171/coss!$D$171),9)</f>
        <v>0</v>
      </c>
      <c r="P87" s="244">
        <f>ROUND(IF(coss!$D$171=0,0,+coss!O$171/coss!$D$171),9)</f>
        <v>0</v>
      </c>
      <c r="Q87" s="244">
        <f>ROUND(IF(coss!$D$171=0,0,+coss!P$171/coss!$D$171),9)</f>
        <v>0</v>
      </c>
      <c r="R87" s="244">
        <f>ROUND(IF(coss!$D$171=0,0,+coss!Q$171/coss!$D$171),9)</f>
        <v>0</v>
      </c>
      <c r="S87" s="244">
        <f>ROUND(IF(coss!$D$171=0,0,+coss!R$171/coss!$D$171),9)</f>
        <v>0</v>
      </c>
      <c r="T87" s="244">
        <f>ROUND(IF(coss!$D$171=0,0,+coss!S$171/coss!$D$171),9)</f>
        <v>1</v>
      </c>
      <c r="U87" s="244">
        <f>ROUND(IF(coss!$D$171=0,0,+coss!T$171/coss!$D$171),9)</f>
        <v>0</v>
      </c>
      <c r="V87" s="258">
        <f>IF(coss!$D$171=0,0,1-SUM(F87:U87)-ROUND(coss!$W$171/coss!$D$171,9))</f>
        <v>0</v>
      </c>
      <c r="W87" s="244">
        <f>SUM(F87:V87)</f>
        <v>1</v>
      </c>
      <c r="X87" s="67">
        <f t="shared" si="39"/>
        <v>0</v>
      </c>
      <c r="Y87" s="20" t="s">
        <v>331</v>
      </c>
    </row>
    <row r="88" spans="1:25" ht="17.25">
      <c r="A88" s="20" t="s">
        <v>331</v>
      </c>
      <c r="B88" s="20" t="s">
        <v>767</v>
      </c>
      <c r="C88" s="20" t="s">
        <v>331</v>
      </c>
      <c r="D88" s="8" t="str">
        <f t="shared" si="37"/>
        <v>D249</v>
      </c>
      <c r="E88" s="244">
        <v>1</v>
      </c>
      <c r="F88" s="244">
        <f>ROUND(IF(coss!$D$217=0,0,+coss!E$217/coss!$D$217),9)</f>
        <v>0.518385719</v>
      </c>
      <c r="G88" s="244">
        <f>ROUND(IF(coss!$D$217=0,0,+coss!F$217/coss!$D$217),9)</f>
        <v>0.24700063</v>
      </c>
      <c r="H88" s="244">
        <f>ROUND(IF(coss!$D$217=0,0,+coss!G$217/coss!$D$217),9)</f>
        <v>0.000225811</v>
      </c>
      <c r="I88" s="244">
        <f>ROUND(IF(coss!$D$217=0,0,+coss!H$217/coss!$D$217),9)</f>
        <v>0.000911998</v>
      </c>
      <c r="J88" s="244">
        <f>ROUND(IF(coss!$D$217=0,0,+coss!I$217/coss!$D$217),9)</f>
        <v>0.003745917</v>
      </c>
      <c r="K88" s="244">
        <f>ROUND(IF(coss!$D$217=0,0,+coss!J$217/coss!$D$217),9)</f>
        <v>0.000120273</v>
      </c>
      <c r="L88" s="244">
        <f>ROUND(IF(coss!$D$217=0,0,+coss!K$217/coss!$D$217),9)</f>
        <v>0.137530733</v>
      </c>
      <c r="M88" s="244">
        <f>ROUND(IF(coss!$D$217=0,0,+coss!L$217/coss!$D$217),9)</f>
        <v>0.001620073</v>
      </c>
      <c r="N88" s="244">
        <f>ROUND(IF(coss!$D$217=0,0,+coss!M$217/coss!$D$217),9)</f>
        <v>0.060938797</v>
      </c>
      <c r="O88" s="244">
        <f>ROUND(IF(coss!$D$217=0,0,+coss!N$217/coss!$D$217),9)</f>
        <v>0.002796762</v>
      </c>
      <c r="P88" s="244">
        <f>ROUND(IF(coss!$D$217=0,0,+coss!O$217/coss!$D$217),9)</f>
        <v>0.005270747</v>
      </c>
      <c r="Q88" s="244">
        <f>ROUND(IF(coss!$D$217=0,0,+coss!P$217/coss!$D$217),9)</f>
        <v>0</v>
      </c>
      <c r="R88" s="244">
        <f>ROUND(IF(coss!$D$217=0,0,+coss!Q$217/coss!$D$217),9)</f>
        <v>6.8794E-05</v>
      </c>
      <c r="S88" s="244">
        <f>ROUND(IF(coss!$D$217=0,0,+coss!R$217/coss!$D$217),9)</f>
        <v>0</v>
      </c>
      <c r="T88" s="244">
        <f>ROUND(IF(coss!$D$217=0,0,+coss!S$217/coss!$D$217),9)</f>
        <v>0.021284004</v>
      </c>
      <c r="U88" s="244">
        <f>ROUND(IF(coss!$D$217=0,0,+coss!T$217/coss!$D$217),9)</f>
        <v>0</v>
      </c>
      <c r="V88" s="258">
        <f>IF(coss!$D$217=0,0,1-SUM(F88:U88)-ROUND(coss!$W$217/coss!$D$217,9))</f>
        <v>9.97420000001803E-05</v>
      </c>
      <c r="W88" s="244">
        <f t="shared" si="38"/>
        <v>1</v>
      </c>
      <c r="X88" s="67">
        <f t="shared" si="39"/>
        <v>0</v>
      </c>
      <c r="Y88" s="20" t="s">
        <v>229</v>
      </c>
    </row>
    <row r="89" spans="1:25" ht="17.25">
      <c r="A89" s="20" t="s">
        <v>229</v>
      </c>
      <c r="B89" s="20" t="s">
        <v>228</v>
      </c>
      <c r="C89" s="20" t="s">
        <v>229</v>
      </c>
      <c r="D89" s="8" t="str">
        <f t="shared" si="37"/>
        <v>NT29</v>
      </c>
      <c r="E89" s="244">
        <v>1</v>
      </c>
      <c r="F89" s="244">
        <f>ROUND(IF(coss!$D$220=0,0,+coss!E$220/coss!$D$220),9)</f>
        <v>0.518292774</v>
      </c>
      <c r="G89" s="244">
        <f>ROUND(IF(coss!$D$220=0,0,+coss!F$220/coss!$D$220),9)</f>
        <v>0.245269525</v>
      </c>
      <c r="H89" s="244">
        <f>ROUND(IF(coss!$D$220=0,0,+coss!G$220/coss!$D$220),9)</f>
        <v>0.00022529</v>
      </c>
      <c r="I89" s="244">
        <f>ROUND(IF(coss!$D$220=0,0,+coss!H$220/coss!$D$220),9)</f>
        <v>0.000910755</v>
      </c>
      <c r="J89" s="244">
        <f>ROUND(IF(coss!$D$220=0,0,+coss!I$220/coss!$D$220),9)</f>
        <v>0.003781398</v>
      </c>
      <c r="K89" s="244">
        <f>ROUND(IF(coss!$D$220=0,0,+coss!J$220/coss!$D$220),9)</f>
        <v>0.000118854</v>
      </c>
      <c r="L89" s="244">
        <f>ROUND(IF(coss!$D$220=0,0,+coss!K$220/coss!$D$220),9)</f>
        <v>0.136495697</v>
      </c>
      <c r="M89" s="244">
        <f>ROUND(IF(coss!$D$220=0,0,+coss!L$220/coss!$D$220),9)</f>
        <v>0.001632377</v>
      </c>
      <c r="N89" s="244">
        <f>ROUND(IF(coss!$D$220=0,0,+coss!M$220/coss!$D$220),9)</f>
        <v>0.062191012</v>
      </c>
      <c r="O89" s="244">
        <f>ROUND(IF(coss!$D$220=0,0,+coss!N$220/coss!$D$220),9)</f>
        <v>0.002865931</v>
      </c>
      <c r="P89" s="244">
        <f>ROUND(IF(coss!$D$220=0,0,+coss!O$220/coss!$D$220),9)</f>
        <v>0.005311983</v>
      </c>
      <c r="Q89" s="244">
        <f>ROUND(IF(coss!$D$220=0,0,+coss!P$220/coss!$D$220),9)</f>
        <v>0</v>
      </c>
      <c r="R89" s="244">
        <f>ROUND(IF(coss!$D$220=0,0,+coss!Q$220/coss!$D$220),9)</f>
        <v>0.002504419</v>
      </c>
      <c r="S89" s="244">
        <f>ROUND(IF(coss!$D$220=0,0,+coss!R$220/coss!$D$220),9)</f>
        <v>0.000141508</v>
      </c>
      <c r="T89" s="244">
        <f>ROUND(IF(coss!$D$220=0,0,+coss!S$220/coss!$D$220),9)</f>
        <v>0.020154279</v>
      </c>
      <c r="U89" s="244">
        <f>ROUND(IF(coss!$D$220=0,0,+coss!T$220/coss!$D$220),9)</f>
        <v>0</v>
      </c>
      <c r="V89" s="258">
        <f>IF(coss!$D$220=0,0,1-SUM(F89:U89)-ROUND(coss!$W$220/coss!$D$220,9))</f>
        <v>0.0001041980000000553</v>
      </c>
      <c r="W89" s="244">
        <f t="shared" si="38"/>
        <v>1</v>
      </c>
      <c r="X89" s="67">
        <f t="shared" si="39"/>
        <v>0</v>
      </c>
      <c r="Y89" s="20" t="s">
        <v>626</v>
      </c>
    </row>
    <row r="90" spans="1:25" ht="17.25">
      <c r="A90" s="20" t="s">
        <v>626</v>
      </c>
      <c r="B90" s="20" t="s">
        <v>230</v>
      </c>
      <c r="C90" s="20" t="s">
        <v>626</v>
      </c>
      <c r="D90" s="8" t="str">
        <f t="shared" si="37"/>
        <v>G229</v>
      </c>
      <c r="E90" s="244">
        <v>1</v>
      </c>
      <c r="F90" s="244">
        <f>ROUND(IF(coss!$D$226=0,0,+coss!E226/coss!$D$226),9)</f>
        <v>0.554967662</v>
      </c>
      <c r="G90" s="244">
        <f>ROUND(IF(coss!$D$226=0,0,+coss!F$226/coss!$D$226),9)</f>
        <v>0.216832711</v>
      </c>
      <c r="H90" s="244">
        <f>ROUND(IF(coss!$D$226=0,0,+coss!G$226/coss!$D$226),9)</f>
        <v>0.000174751</v>
      </c>
      <c r="I90" s="244">
        <f>ROUND(IF(coss!$D$226=0,0,+coss!H$226/coss!$D$226),9)</f>
        <v>0.001032338</v>
      </c>
      <c r="J90" s="244">
        <f>ROUND(IF(coss!$D$226=0,0,+coss!I$226/coss!$D$226),9)</f>
        <v>0.003416045</v>
      </c>
      <c r="K90" s="244">
        <f>ROUND(IF(coss!$D$226=0,0,+coss!J$226/coss!$D$226),9)</f>
        <v>0.000122512</v>
      </c>
      <c r="L90" s="244">
        <f>ROUND(IF(coss!$D$226=0,0,+coss!K$226/coss!$D$226),9)</f>
        <v>0.114998756</v>
      </c>
      <c r="M90" s="244">
        <f>ROUND(IF(coss!$D$226=0,0,+coss!L$226/coss!$D$226),9)</f>
        <v>0.001228856</v>
      </c>
      <c r="N90" s="244">
        <f>ROUND(IF(coss!$D$226=0,0,+coss!M$226/coss!$D$226),9)</f>
        <v>0.068251866</v>
      </c>
      <c r="O90" s="244">
        <f>ROUND(IF(coss!$D$226=0,0,+coss!N$226/coss!$D$226),9)</f>
        <v>0.002589552</v>
      </c>
      <c r="P90" s="244">
        <f>ROUND(IF(coss!$D$226=0,0,+coss!O$226/coss!$D$226),9)</f>
        <v>0.005308458</v>
      </c>
      <c r="Q90" s="244">
        <f>ROUND(IF(coss!$D$226=0,0,+coss!P$226/coss!$D$226),9)</f>
        <v>0</v>
      </c>
      <c r="R90" s="244">
        <f>ROUND(IF(coss!$D$226=0,0,+coss!Q$226/coss!$D$226),9)</f>
        <v>0.024425373</v>
      </c>
      <c r="S90" s="244">
        <f>ROUND(IF(coss!$D$226=0,0,+coss!R$226/coss!$D$226),9)</f>
        <v>0.001118159</v>
      </c>
      <c r="T90" s="244">
        <f>ROUND(IF(coss!$D$226=0,0,+coss!S$226/coss!$D$226),9)</f>
        <v>0.005408582</v>
      </c>
      <c r="U90" s="244">
        <f>ROUND(IF(coss!$D$226=0,0,+coss!T$226/coss!$D$226),9)</f>
        <v>0</v>
      </c>
      <c r="V90" s="258">
        <f>IF(coss!$D$226=0,0,1-SUM(F90:U90)-ROUND(coss!$W$226/coss!$D$226,9))</f>
        <v>0.00012437899999984126</v>
      </c>
      <c r="W90" s="244">
        <f t="shared" si="38"/>
        <v>1</v>
      </c>
      <c r="X90" s="67">
        <f t="shared" si="39"/>
        <v>0</v>
      </c>
      <c r="Y90" s="20" t="s">
        <v>631</v>
      </c>
    </row>
    <row r="91" spans="1:25" ht="17.25">
      <c r="A91" s="20" t="s">
        <v>631</v>
      </c>
      <c r="B91" s="20" t="s">
        <v>231</v>
      </c>
      <c r="C91" s="20" t="s">
        <v>631</v>
      </c>
      <c r="D91" s="8" t="str">
        <f t="shared" si="37"/>
        <v>C229</v>
      </c>
      <c r="E91" s="244">
        <v>1</v>
      </c>
      <c r="F91" s="244">
        <f>ROUND(IF(coss!$D$231=0,0,+coss!E$231/coss!$D$231),9)</f>
        <v>0.554862478</v>
      </c>
      <c r="G91" s="244">
        <f>ROUND(IF(coss!$D$231=0,0,+coss!F$231/coss!$D$231),9)</f>
        <v>0.216898353</v>
      </c>
      <c r="H91" s="244">
        <f>ROUND(IF(coss!$D$231=0,0,+coss!G$231/coss!$D$231),9)</f>
        <v>0.000174225</v>
      </c>
      <c r="I91" s="244">
        <f>ROUND(IF(coss!$D$231=0,0,+coss!H$231/coss!$D$231),9)</f>
        <v>0.00103376</v>
      </c>
      <c r="J91" s="244">
        <f>ROUND(IF(coss!$D$231=0,0,+coss!I$231/coss!$D$231),9)</f>
        <v>0.003415233</v>
      </c>
      <c r="K91" s="244">
        <f>ROUND(IF(coss!$D$231=0,0,+coss!J$231/coss!$D$231),9)</f>
        <v>0.000122712</v>
      </c>
      <c r="L91" s="244">
        <f>ROUND(IF(coss!$D$231=0,0,+coss!K$231/coss!$D$231),9)</f>
        <v>0.115037899</v>
      </c>
      <c r="M91" s="244">
        <f>ROUND(IF(coss!$D$231=0,0,+coss!L$231/coss!$D$231),9)</f>
        <v>0.00122859</v>
      </c>
      <c r="N91" s="244">
        <f>ROUND(IF(coss!$D$231=0,0,+coss!M$231/coss!$D$231),9)</f>
        <v>0.068264649</v>
      </c>
      <c r="O91" s="244">
        <f>ROUND(IF(coss!$D$231=0,0,+coss!N$231/coss!$D$231),9)</f>
        <v>0.002587894</v>
      </c>
      <c r="P91" s="244">
        <f>ROUND(IF(coss!$D$231=0,0,+coss!O$231/coss!$D$231),9)</f>
        <v>0.005308251</v>
      </c>
      <c r="Q91" s="244">
        <f>ROUND(IF(coss!$D$231=0,0,+coss!P$231/coss!$D$231),9)</f>
        <v>0</v>
      </c>
      <c r="R91" s="244">
        <f>ROUND(IF(coss!$D$231=0,0,+coss!Q$231/coss!$D$231),9)</f>
        <v>0.024413853</v>
      </c>
      <c r="S91" s="244">
        <f>ROUND(IF(coss!$D$231=0,0,+coss!R$231/coss!$D$231),9)</f>
        <v>0.001116641</v>
      </c>
      <c r="T91" s="244">
        <f>ROUND(IF(coss!$D$231=0,0,+coss!S$231/coss!$D$231),9)</f>
        <v>0.005411554</v>
      </c>
      <c r="U91" s="244">
        <f>ROUND(IF(coss!$D$231=0,0,+coss!T$231/coss!$D$231),9)</f>
        <v>0</v>
      </c>
      <c r="V91" s="258">
        <f>IF(coss!$D$231=0,0,1-SUM(F91:U91)-ROUND(coss!$W$231/coss!$D$231,9))</f>
        <v>0.00012390800000017244</v>
      </c>
      <c r="W91" s="244">
        <f t="shared" si="38"/>
        <v>1</v>
      </c>
      <c r="X91" s="67">
        <f t="shared" si="39"/>
        <v>0</v>
      </c>
      <c r="Y91" s="20" t="s">
        <v>328</v>
      </c>
    </row>
    <row r="92" spans="1:25" ht="17.25">
      <c r="A92" s="20" t="s">
        <v>328</v>
      </c>
      <c r="B92" s="20" t="s">
        <v>232</v>
      </c>
      <c r="C92" s="20" t="s">
        <v>328</v>
      </c>
      <c r="D92" s="8" t="str">
        <f t="shared" si="37"/>
        <v>NP29</v>
      </c>
      <c r="E92" s="244">
        <v>1</v>
      </c>
      <c r="F92" s="244">
        <f>ROUND(IF(coss!$D$233=0,0,+coss!E$233/coss!$D$233),9)</f>
        <v>0.518279449</v>
      </c>
      <c r="G92" s="244">
        <f>ROUND(IF(coss!$D$233=0,0,+coss!F$233/coss!$D$233),9)</f>
        <v>0.229820182</v>
      </c>
      <c r="H92" s="244">
        <f>ROUND(IF(coss!$D$233=0,0,+coss!G$233/coss!$D$233),9)</f>
        <v>0.000219734</v>
      </c>
      <c r="I92" s="244">
        <f>ROUND(IF(coss!$D$233=0,0,+coss!H$233/coss!$D$233),9)</f>
        <v>0.000902712</v>
      </c>
      <c r="J92" s="244">
        <f>ROUND(IF(coss!$D$233=0,0,+coss!I$233/coss!$D$233),9)</f>
        <v>0.00407776</v>
      </c>
      <c r="K92" s="244">
        <f>ROUND(IF(coss!$D$233=0,0,+coss!J$233/coss!$D$233),9)</f>
        <v>0.000106741</v>
      </c>
      <c r="L92" s="244">
        <f>ROUND(IF(coss!$D$233=0,0,+coss!K$233/coss!$D$233),9)</f>
        <v>0.127162218</v>
      </c>
      <c r="M92" s="244">
        <f>ROUND(IF(coss!$D$233=0,0,+coss!L$233/coss!$D$233),9)</f>
        <v>0.001729173</v>
      </c>
      <c r="N92" s="244">
        <f>ROUND(IF(coss!$D$233=0,0,+coss!M$233/coss!$D$233),9)</f>
        <v>0.073056884</v>
      </c>
      <c r="O92" s="244">
        <f>ROUND(IF(coss!$D$233=0,0,+coss!N$233/coss!$D$233),9)</f>
        <v>0.003452977</v>
      </c>
      <c r="P92" s="244">
        <f>ROUND(IF(coss!$D$233=0,0,+coss!O$233/coss!$D$233),9)</f>
        <v>0.005665464</v>
      </c>
      <c r="Q92" s="244">
        <f>ROUND(IF(coss!$D$233=0,0,+coss!P$233/coss!$D$233),9)</f>
        <v>0</v>
      </c>
      <c r="R92" s="244">
        <f>ROUND(IF(coss!$D$233=0,0,+coss!Q$233/coss!$D$233),9)</f>
        <v>0.023855415</v>
      </c>
      <c r="S92" s="244">
        <f>ROUND(IF(coss!$D$233=0,0,+coss!R$233/coss!$D$233),9)</f>
        <v>0.0013756</v>
      </c>
      <c r="T92" s="244">
        <f>ROUND(IF(coss!$D$233=0,0,+coss!S$233/coss!$D$233),9)</f>
        <v>0.010152894</v>
      </c>
      <c r="U92" s="244">
        <f>ROUND(IF(coss!$D$233=0,0,+coss!T$233/coss!$D$233),9)</f>
        <v>0</v>
      </c>
      <c r="V92" s="258">
        <f>IF(coss!$D$233=0,0,1-SUM(F92:U92)-ROUND(coss!$W$233/coss!$D$233,9))</f>
        <v>0.00014279700000008333</v>
      </c>
      <c r="W92" s="244">
        <f t="shared" si="38"/>
        <v>1</v>
      </c>
      <c r="X92" s="67">
        <f t="shared" si="39"/>
        <v>0</v>
      </c>
      <c r="Y92" s="8"/>
    </row>
    <row r="93" spans="1:25" ht="17.25">
      <c r="A93" s="8"/>
      <c r="B93" s="8"/>
      <c r="C93" s="8"/>
      <c r="D93" s="8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58"/>
      <c r="W93" s="244"/>
      <c r="X93" s="67"/>
      <c r="Y93" s="8"/>
    </row>
    <row r="94" spans="1:25" ht="17.25">
      <c r="A94" s="8"/>
      <c r="B94" s="42" t="s">
        <v>436</v>
      </c>
      <c r="C94" s="62" t="s">
        <v>1057</v>
      </c>
      <c r="D94" s="8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58"/>
      <c r="W94" s="244"/>
      <c r="X94" s="67"/>
      <c r="Y94" s="8"/>
    </row>
    <row r="95" spans="1:25" ht="17.25">
      <c r="A95" s="8"/>
      <c r="B95" s="20" t="s">
        <v>481</v>
      </c>
      <c r="C95" s="8"/>
      <c r="D95" s="8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58"/>
      <c r="W95" s="244"/>
      <c r="X95" s="67"/>
      <c r="Y95" s="20" t="s">
        <v>234</v>
      </c>
    </row>
    <row r="96" spans="1:25" ht="17.25">
      <c r="A96" s="20" t="s">
        <v>234</v>
      </c>
      <c r="B96" s="20" t="s">
        <v>233</v>
      </c>
      <c r="C96" s="20" t="s">
        <v>234</v>
      </c>
      <c r="D96" s="8" t="str">
        <f>C96</f>
        <v>W669</v>
      </c>
      <c r="E96" s="244">
        <v>1</v>
      </c>
      <c r="F96" s="244">
        <f>ROUND(IF(coss!$D$312=0,0,+coss!E$312/coss!$D$312),9)</f>
        <v>0.429273328</v>
      </c>
      <c r="G96" s="244">
        <f>ROUND(IF(coss!$D$312=0,0,+coss!F$312/coss!$D$312),9)</f>
        <v>0.248380198</v>
      </c>
      <c r="H96" s="244">
        <f>ROUND(IF(coss!$D$312=0,0,+coss!G$312/coss!$D$312),9)</f>
        <v>0.000239835</v>
      </c>
      <c r="I96" s="244">
        <f>ROUND(IF(coss!$D$312=0,0,+coss!H$312/coss!$D$312),9)</f>
        <v>0.001317568</v>
      </c>
      <c r="J96" s="244">
        <f>ROUND(IF(coss!$D$312=0,0,+coss!I$312/coss!$D$312),9)</f>
        <v>0.003715707</v>
      </c>
      <c r="K96" s="244">
        <f>ROUND(IF(coss!$D$312=0,0,+coss!J$312/coss!$D$312),9)</f>
        <v>0.000102787</v>
      </c>
      <c r="L96" s="244">
        <f>ROUND(IF(coss!$D$312=0,0,+coss!K$312/coss!$D$312),9)</f>
        <v>0.161603299</v>
      </c>
      <c r="M96" s="244">
        <f>ROUND(IF(coss!$D$312=0,0,+coss!L$312/coss!$D$312),9)</f>
        <v>0.001910945</v>
      </c>
      <c r="N96" s="244">
        <f>ROUND(IF(coss!$D$312=0,0,+coss!M$312/coss!$D$312),9)</f>
        <v>0.095381267</v>
      </c>
      <c r="O96" s="244">
        <f>ROUND(IF(coss!$D$312=0,0,+coss!N$312/coss!$D$312),9)</f>
        <v>0.004422016</v>
      </c>
      <c r="P96" s="244">
        <f>ROUND(IF(coss!$D$312=0,0,+coss!O$312/coss!$D$312),9)</f>
        <v>0.007476166</v>
      </c>
      <c r="Q96" s="244">
        <f>ROUND(IF(coss!$D$312=0,0,+coss!P$312/coss!$D$312),9)</f>
        <v>0</v>
      </c>
      <c r="R96" s="244">
        <f>ROUND(IF(coss!$D$312=0,0,+coss!Q$312/coss!$D$312),9)</f>
        <v>0.036158653</v>
      </c>
      <c r="S96" s="244">
        <f>ROUND(IF(coss!$D$312=0,0,+coss!R$312/coss!$D$312),9)</f>
        <v>0.002254298</v>
      </c>
      <c r="T96" s="244">
        <f>ROUND(IF(coss!$D$312=0,0,+coss!S$312/coss!$D$312),9)</f>
        <v>0.007660717</v>
      </c>
      <c r="U96" s="244">
        <f>ROUND(IF(coss!$D$312=0,0,+coss!T$312/coss!$D$312),9)</f>
        <v>0</v>
      </c>
      <c r="V96" s="258">
        <f>IF(coss!$D$312=0,0,1-SUM(F96:U96)-ROUND(coss!$W$312/coss!$D$312,9))</f>
        <v>0.00010321599999973952</v>
      </c>
      <c r="W96" s="244">
        <f>SUM(F96:V96)</f>
        <v>1</v>
      </c>
      <c r="X96" s="67">
        <f>E96-W96</f>
        <v>0</v>
      </c>
      <c r="Y96" s="20" t="s">
        <v>236</v>
      </c>
    </row>
    <row r="97" spans="1:25" ht="17.25">
      <c r="A97" s="20" t="s">
        <v>236</v>
      </c>
      <c r="B97" s="20" t="s">
        <v>235</v>
      </c>
      <c r="C97" s="20" t="s">
        <v>236</v>
      </c>
      <c r="D97" s="8" t="str">
        <f>C97</f>
        <v>W689</v>
      </c>
      <c r="E97" s="244">
        <v>1</v>
      </c>
      <c r="F97" s="244">
        <f>ROUND(IF(coss!$D$317=0,0,+coss!E$317/coss!$D$317),9)</f>
        <v>0.388710826</v>
      </c>
      <c r="G97" s="244">
        <f>ROUND(IF(coss!$D$317=0,0,+coss!F$317/coss!$D$317),9)</f>
        <v>0.2565268</v>
      </c>
      <c r="H97" s="244">
        <f>ROUND(IF(coss!$D$317=0,0,+coss!G$317/coss!$D$317),9)</f>
        <v>0.000246882</v>
      </c>
      <c r="I97" s="244">
        <f>ROUND(IF(coss!$D$317=0,0,+coss!H$317/coss!$D$317),9)</f>
        <v>0.001524277</v>
      </c>
      <c r="J97" s="244">
        <f>ROUND(IF(coss!$D$317=0,0,+coss!I$317/coss!$D$317),9)</f>
        <v>0.003503061</v>
      </c>
      <c r="K97" s="244">
        <f>ROUND(IF(coss!$D$317=0,0,+coss!J$317/coss!$D$317),9)</f>
        <v>0.000101798</v>
      </c>
      <c r="L97" s="244">
        <f>ROUND(IF(coss!$D$317=0,0,+coss!K$317/coss!$D$317),9)</f>
        <v>0.177418428</v>
      </c>
      <c r="M97" s="244">
        <f>ROUND(IF(coss!$D$317=0,0,+coss!L$317/coss!$D$317),9)</f>
        <v>0.001968783</v>
      </c>
      <c r="N97" s="244">
        <f>ROUND(IF(coss!$D$317=0,0,+coss!M$317/coss!$D$317),9)</f>
        <v>0.105812926</v>
      </c>
      <c r="O97" s="244">
        <f>ROUND(IF(coss!$D$317=0,0,+coss!N$317/coss!$D$317),9)</f>
        <v>0.004836281</v>
      </c>
      <c r="P97" s="244">
        <f>ROUND(IF(coss!$D$317=0,0,+coss!O$317/coss!$D$317),9)</f>
        <v>0.008323968</v>
      </c>
      <c r="Q97" s="244">
        <f>ROUND(IF(coss!$D$317=0,0,+coss!P$317/coss!$D$317),9)</f>
        <v>0</v>
      </c>
      <c r="R97" s="244">
        <f>ROUND(IF(coss!$D$317=0,0,+coss!Q$317/coss!$D$317),9)</f>
        <v>0.04209629</v>
      </c>
      <c r="S97" s="244">
        <f>ROUND(IF(coss!$D$317=0,0,+coss!R$317/coss!$D$317),9)</f>
        <v>0.002660768</v>
      </c>
      <c r="T97" s="244">
        <f>ROUND(IF(coss!$D$317=0,0,+coss!S$317/coss!$D$317),9)</f>
        <v>0.006185771</v>
      </c>
      <c r="U97" s="244">
        <f>ROUND(IF(coss!$D$317=0,0,+coss!T$317/coss!$D$317),9)</f>
        <v>0</v>
      </c>
      <c r="V97" s="258">
        <f>IF(coss!$D$317=0,0,1-SUM(F97:U97)-ROUND(coss!$W$317/coss!$D$317,9))</f>
        <v>8.314099999995328E-05</v>
      </c>
      <c r="W97" s="244">
        <f>SUM(F97:V97)</f>
        <v>1</v>
      </c>
      <c r="X97" s="67">
        <f>E97-W97</f>
        <v>0</v>
      </c>
      <c r="Y97" s="20" t="s">
        <v>238</v>
      </c>
    </row>
    <row r="98" spans="1:25" ht="17.25">
      <c r="A98" s="20" t="s">
        <v>238</v>
      </c>
      <c r="B98" s="20" t="s">
        <v>237</v>
      </c>
      <c r="C98" s="20" t="s">
        <v>238</v>
      </c>
      <c r="D98" s="8" t="str">
        <f>C98</f>
        <v>W719</v>
      </c>
      <c r="E98" s="244">
        <v>1</v>
      </c>
      <c r="F98" s="244">
        <f>ROUND(IF(coss!$D$323=0,0,+coss!E$323/coss!$D$323),9)</f>
        <v>0.495017446</v>
      </c>
      <c r="G98" s="244">
        <f>ROUND(IF(coss!$D$323=0,0,+coss!F$323/coss!$D$323),9)</f>
        <v>0.229932394</v>
      </c>
      <c r="H98" s="244">
        <f>ROUND(IF(coss!$D$323=0,0,+coss!G$323/coss!$D$323),9)</f>
        <v>0.000214581</v>
      </c>
      <c r="I98" s="244">
        <f>ROUND(IF(coss!$D$323=0,0,+coss!H$323/coss!$D$323),9)</f>
        <v>0.001144359</v>
      </c>
      <c r="J98" s="244">
        <f>ROUND(IF(coss!$D$323=0,0,+coss!I$323/coss!$D$323),9)</f>
        <v>0.003605214</v>
      </c>
      <c r="K98" s="244">
        <f>ROUND(IF(coss!$D$323=0,0,+coss!J$323/coss!$D$323),9)</f>
        <v>0.000108827</v>
      </c>
      <c r="L98" s="244">
        <f>ROUND(IF(coss!$D$323=0,0,+coss!K$323/coss!$D$323),9)</f>
        <v>0.136578831</v>
      </c>
      <c r="M98" s="244">
        <f>ROUND(IF(coss!$D$323=0,0,+coss!L$323/coss!$D$323),9)</f>
        <v>0.001650693</v>
      </c>
      <c r="N98" s="244">
        <f>ROUND(IF(coss!$D$323=0,0,+coss!M$323/coss!$D$323),9)</f>
        <v>0.08224967</v>
      </c>
      <c r="O98" s="244">
        <f>ROUND(IF(coss!$D$323=0,0,+coss!N$323/coss!$D$323),9)</f>
        <v>0.003717828</v>
      </c>
      <c r="P98" s="244">
        <f>ROUND(IF(coss!$D$323=0,0,+coss!O$323/coss!$D$323),9)</f>
        <v>0.006376614</v>
      </c>
      <c r="Q98" s="244">
        <f>ROUND(IF(coss!$D$323=0,0,+coss!P$323/coss!$D$323),9)</f>
        <v>0</v>
      </c>
      <c r="R98" s="244">
        <f>ROUND(IF(coss!$D$323=0,0,+coss!Q$323/coss!$D$323),9)</f>
        <v>0.031828122</v>
      </c>
      <c r="S98" s="244">
        <f>ROUND(IF(coss!$D$323=0,0,+coss!R$323/coss!$D$323),9)</f>
        <v>0.001868918</v>
      </c>
      <c r="T98" s="244">
        <f>ROUND(IF(coss!$D$323=0,0,+coss!S$323/coss!$D$323),9)</f>
        <v>0.005588746</v>
      </c>
      <c r="U98" s="244">
        <f>ROUND(IF(coss!$D$323=0,0,+coss!T$323/coss!$D$323),9)</f>
        <v>0</v>
      </c>
      <c r="V98" s="258">
        <f>IF(coss!$D$323=0,0,1-SUM(F98:U98)-ROUND(coss!$W$323/coss!$D$323,9))</f>
        <v>0.0001177569999999406</v>
      </c>
      <c r="W98" s="244">
        <f>SUM(F98:V98)</f>
        <v>1</v>
      </c>
      <c r="X98" s="67">
        <f>E98-W98</f>
        <v>0</v>
      </c>
      <c r="Y98" s="20" t="s">
        <v>240</v>
      </c>
    </row>
    <row r="99" spans="1:25" ht="17.25">
      <c r="A99" s="20" t="s">
        <v>240</v>
      </c>
      <c r="B99" s="20" t="s">
        <v>239</v>
      </c>
      <c r="C99" s="20" t="s">
        <v>240</v>
      </c>
      <c r="D99" s="8" t="str">
        <f>C99</f>
        <v>W729</v>
      </c>
      <c r="E99" s="244">
        <v>1</v>
      </c>
      <c r="F99" s="244">
        <f>ROUND(IF(coss!$D$324=0,0,+coss!E$324/coss!$D$324),9)</f>
        <v>0.495017446</v>
      </c>
      <c r="G99" s="244">
        <f>ROUND(IF(coss!$D$324=0,0,+coss!F$324/coss!$D$324),9)</f>
        <v>0.229932394</v>
      </c>
      <c r="H99" s="244">
        <f>ROUND(IF(coss!$D$324=0,0,+coss!G$324/coss!$D$324),9)</f>
        <v>0.000214581</v>
      </c>
      <c r="I99" s="244">
        <f>ROUND(IF(coss!$D$324=0,0,+coss!H$324/coss!$D$324),9)</f>
        <v>0.001144359</v>
      </c>
      <c r="J99" s="244">
        <f>ROUND(IF(coss!$D$324=0,0,+coss!I$324/coss!$D$324),9)</f>
        <v>0.003605214</v>
      </c>
      <c r="K99" s="244">
        <f>ROUND(IF(coss!$D$324=0,0,+coss!J$324/coss!$D$324),9)</f>
        <v>0.000108827</v>
      </c>
      <c r="L99" s="244">
        <f>ROUND(IF(coss!$D$324=0,0,+coss!K$324/coss!$D$324),9)</f>
        <v>0.136578831</v>
      </c>
      <c r="M99" s="244">
        <f>ROUND(IF(coss!$D$324=0,0,+coss!L$324/coss!$D$324),9)</f>
        <v>0.001650693</v>
      </c>
      <c r="N99" s="244">
        <f>ROUND(IF(coss!$D$324=0,0,+coss!M$324/coss!$D$324),9)</f>
        <v>0.08224967</v>
      </c>
      <c r="O99" s="244">
        <f>ROUND(IF(coss!$D$324=0,0,+coss!N$324/coss!$D$324),9)</f>
        <v>0.003717828</v>
      </c>
      <c r="P99" s="244">
        <f>ROUND(IF(coss!$D$324=0,0,+coss!O$324/coss!$D$324),9)</f>
        <v>0.006376614</v>
      </c>
      <c r="Q99" s="244">
        <f>ROUND(IF(coss!$D$324=0,0,+coss!P$324/coss!$D$324),9)</f>
        <v>0</v>
      </c>
      <c r="R99" s="244">
        <f>ROUND(IF(coss!$D$324=0,0,+coss!Q$324/coss!$D$324),9)</f>
        <v>0.031828122</v>
      </c>
      <c r="S99" s="244">
        <f>ROUND(IF(coss!$D$324=0,0,+coss!R$324/coss!$D$324),9)</f>
        <v>0.001868918</v>
      </c>
      <c r="T99" s="244">
        <f>ROUND(IF(coss!$D$324=0,0,+coss!S$324/coss!$D$324),9)</f>
        <v>0.005588746</v>
      </c>
      <c r="U99" s="244">
        <f>ROUND(IF(coss!$D$324=0,0,+coss!T$324/coss!$D$324),9)</f>
        <v>0</v>
      </c>
      <c r="V99" s="258">
        <f>IF(coss!$D$324=0,0,1-SUM(F99:U99)-ROUND(coss!$W$324/coss!$D$324,9))</f>
        <v>0.0001177569999999406</v>
      </c>
      <c r="W99" s="244">
        <f>SUM(F99:V99)</f>
        <v>1</v>
      </c>
      <c r="X99" s="67">
        <f>E99-W99</f>
        <v>0</v>
      </c>
      <c r="Y99" s="20" t="s">
        <v>242</v>
      </c>
    </row>
    <row r="100" spans="1:25" ht="17.25">
      <c r="A100" s="20" t="s">
        <v>242</v>
      </c>
      <c r="B100" s="20" t="s">
        <v>241</v>
      </c>
      <c r="C100" s="20" t="s">
        <v>242</v>
      </c>
      <c r="D100" s="8" t="str">
        <f>C100</f>
        <v>WC79</v>
      </c>
      <c r="E100" s="244">
        <v>1</v>
      </c>
      <c r="F100" s="244">
        <f>ROUND(IF(coss!$D$326=0,0,+coss!E$326/coss!$D$326),9)</f>
        <v>0.444022592</v>
      </c>
      <c r="G100" s="244">
        <f>ROUND(IF(coss!$D$326=0,0,+coss!F$326/coss!$D$326),9)</f>
        <v>0.243748454</v>
      </c>
      <c r="H100" s="244">
        <f>ROUND(IF(coss!$D$326=0,0,+coss!G$326/coss!$D$326),9)</f>
        <v>0.000232869</v>
      </c>
      <c r="I100" s="244">
        <f>ROUND(IF(coss!$D$326=0,0,+coss!H$326/coss!$D$326),9)</f>
        <v>0.001293928</v>
      </c>
      <c r="J100" s="244">
        <f>ROUND(IF(coss!$D$326=0,0,+coss!I$326/coss!$D$326),9)</f>
        <v>0.003648118</v>
      </c>
      <c r="K100" s="244">
        <f>ROUND(IF(coss!$D$326=0,0,+coss!J$326/coss!$D$326),9)</f>
        <v>0.000104559</v>
      </c>
      <c r="L100" s="244">
        <f>ROUND(IF(coss!$D$326=0,0,+coss!K$326/coss!$D$326),9)</f>
        <v>0.156046477</v>
      </c>
      <c r="M100" s="244">
        <f>ROUND(IF(coss!$D$326=0,0,+coss!L$326/coss!$D$326),9)</f>
        <v>0.001836901</v>
      </c>
      <c r="N100" s="244">
        <f>ROUND(IF(coss!$D$326=0,0,+coss!M$326/coss!$D$326),9)</f>
        <v>0.092790373</v>
      </c>
      <c r="O100" s="244">
        <f>ROUND(IF(coss!$D$326=0,0,+coss!N$326/coss!$D$326),9)</f>
        <v>0.004260957</v>
      </c>
      <c r="P100" s="244">
        <f>ROUND(IF(coss!$D$326=0,0,+coss!O$326/coss!$D$326),9)</f>
        <v>0.007255309</v>
      </c>
      <c r="Q100" s="244">
        <f>ROUND(IF(coss!$D$326=0,0,+coss!P$326/coss!$D$326),9)</f>
        <v>0</v>
      </c>
      <c r="R100" s="244">
        <f>ROUND(IF(coss!$D$326=0,0,+coss!Q$326/coss!$D$326),9)</f>
        <v>0.035684885</v>
      </c>
      <c r="S100" s="244">
        <f>ROUND(IF(coss!$D$326=0,0,+coss!R$326/coss!$D$326),9)</f>
        <v>0.002193553</v>
      </c>
      <c r="T100" s="244">
        <f>ROUND(IF(coss!$D$326=0,0,+coss!S$326/coss!$D$326),9)</f>
        <v>0.00677624</v>
      </c>
      <c r="U100" s="244">
        <f>ROUND(IF(coss!$D$326=0,0,+coss!T$326/coss!$D$326),9)</f>
        <v>0</v>
      </c>
      <c r="V100" s="258">
        <f>IF(coss!$D$326=0,0,1-SUM(F100:U100)-ROUND(coss!$W$326/coss!$D$326,9))</f>
        <v>0.00010478500000010715</v>
      </c>
      <c r="W100" s="244">
        <f>SUM(F100:V100)</f>
        <v>1</v>
      </c>
      <c r="X100" s="67">
        <f>E100-W100</f>
        <v>0</v>
      </c>
      <c r="Y100" s="20"/>
    </row>
    <row r="101" spans="1:25" ht="17.25">
      <c r="A101" s="20"/>
      <c r="B101" s="20"/>
      <c r="C101" s="20"/>
      <c r="D101" s="8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58"/>
      <c r="W101" s="244"/>
      <c r="X101" s="67"/>
      <c r="Y101" s="50"/>
    </row>
    <row r="102" spans="1:24" ht="17.25">
      <c r="A102" s="50"/>
      <c r="B102" s="57" t="s">
        <v>243</v>
      </c>
      <c r="D102" s="50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8"/>
      <c r="W102" s="259"/>
      <c r="X102" s="72"/>
    </row>
    <row r="103" spans="1:25" ht="17.25">
      <c r="A103" s="20" t="s">
        <v>245</v>
      </c>
      <c r="B103" s="20" t="s">
        <v>244</v>
      </c>
      <c r="C103" s="20" t="s">
        <v>245</v>
      </c>
      <c r="D103" s="8" t="str">
        <f>C103</f>
        <v>RB29</v>
      </c>
      <c r="E103" s="244">
        <v>1</v>
      </c>
      <c r="F103" s="244">
        <f>ROUND(IF(coss!$D$296=0,0,+coss!E$296/coss!$D$296),9)</f>
        <v>0.51839493</v>
      </c>
      <c r="G103" s="244">
        <f>ROUND(IF(coss!$D$296=0,0,+coss!F$296/coss!$D$296),9)</f>
        <v>0.229954788</v>
      </c>
      <c r="H103" s="244">
        <f>ROUND(IF(coss!$D$296=0,0,+coss!G$296/coss!$D$296),9)</f>
        <v>0.000219644</v>
      </c>
      <c r="I103" s="244">
        <f>ROUND(IF(coss!$D$296=0,0,+coss!H$296/coss!$D$296),9)</f>
        <v>0.000903048</v>
      </c>
      <c r="J103" s="244">
        <f>ROUND(IF(coss!$D$296=0,0,+coss!I$296/coss!$D$296),9)</f>
        <v>0.004071354</v>
      </c>
      <c r="K103" s="244">
        <f>ROUND(IF(coss!$D$296=0,0,+coss!J$296/coss!$D$296),9)</f>
        <v>0.000106943</v>
      </c>
      <c r="L103" s="244">
        <f>ROUND(IF(coss!$D$296=0,0,+coss!K$296/coss!$D$296),9)</f>
        <v>0.127223722</v>
      </c>
      <c r="M103" s="244">
        <f>ROUND(IF(coss!$D$296=0,0,+coss!L$296/coss!$D$296),9)</f>
        <v>0.001726107</v>
      </c>
      <c r="N103" s="244">
        <f>ROUND(IF(coss!$D$296=0,0,+coss!M$296/coss!$D$296),9)</f>
        <v>0.072833537</v>
      </c>
      <c r="O103" s="244">
        <f>ROUND(IF(coss!$D$296=0,0,+coss!N$296/coss!$D$296),9)</f>
        <v>0.003439765</v>
      </c>
      <c r="P103" s="244">
        <f>ROUND(IF(coss!$D$296=0,0,+coss!O$296/coss!$D$296),9)</f>
        <v>0.005655207</v>
      </c>
      <c r="Q103" s="244">
        <f>ROUND(IF(coss!$D$296=0,0,+coss!P$296/coss!$D$296),9)</f>
        <v>0</v>
      </c>
      <c r="R103" s="244">
        <f>ROUND(IF(coss!$D$296=0,0,+coss!Q$296/coss!$D$296),9)</f>
        <v>0.023531654</v>
      </c>
      <c r="S103" s="244">
        <f>ROUND(IF(coss!$D$296=0,0,+coss!R$296/coss!$D$296),9)</f>
        <v>0.001356159</v>
      </c>
      <c r="T103" s="244">
        <f>ROUND(IF(coss!$D$296=0,0,+coss!S$296/coss!$D$296),9)</f>
        <v>0.010440915</v>
      </c>
      <c r="U103" s="244">
        <f>ROUND(IF(coss!$D$296=0,0,+coss!T$296/coss!$D$296),9)</f>
        <v>0</v>
      </c>
      <c r="V103" s="258">
        <f>IF(coss!$D$296=0,0,1-SUM(F103:U103)-ROUND(coss!$W$296/coss!$D$296,9))</f>
        <v>0.0001422270000001058</v>
      </c>
      <c r="W103" s="244">
        <f>SUM(F103:V103)</f>
        <v>1</v>
      </c>
      <c r="X103" s="67">
        <f>E103-W103</f>
        <v>0</v>
      </c>
      <c r="Y103" s="20" t="s">
        <v>245</v>
      </c>
    </row>
    <row r="104" spans="1:25" ht="17.25">
      <c r="A104" s="20" t="s">
        <v>327</v>
      </c>
      <c r="B104" s="20" t="s">
        <v>246</v>
      </c>
      <c r="C104" s="20" t="s">
        <v>327</v>
      </c>
      <c r="D104" s="8" t="str">
        <f>C104</f>
        <v>RB99</v>
      </c>
      <c r="E104" s="244">
        <v>1</v>
      </c>
      <c r="F104" s="244">
        <f>ROUND(IF(coss!$D$336=0,0,+coss!E$336/coss!$D$336),9)</f>
        <v>0.51286288</v>
      </c>
      <c r="G104" s="244">
        <f>ROUND(IF(coss!$D$336=0,0,+coss!F$336/coss!$D$336),9)</f>
        <v>0.230980804</v>
      </c>
      <c r="H104" s="244">
        <f>ROUND(IF(coss!$D$336=0,0,+coss!G$336/coss!$D$336),9)</f>
        <v>0.000220628</v>
      </c>
      <c r="I104" s="244">
        <f>ROUND(IF(coss!$D$336=0,0,+coss!H$336/coss!$D$336),9)</f>
        <v>0.000932123</v>
      </c>
      <c r="J104" s="244">
        <f>ROUND(IF(coss!$D$336=0,0,+coss!I$336/coss!$D$336),9)</f>
        <v>0.004039873</v>
      </c>
      <c r="K104" s="244">
        <f>ROUND(IF(coss!$D$336=0,0,+coss!J$336/coss!$D$336),9)</f>
        <v>0.000106765</v>
      </c>
      <c r="L104" s="244">
        <f>ROUND(IF(coss!$D$336=0,0,+coss!K$336/coss!$D$336),9)</f>
        <v>0.129367649</v>
      </c>
      <c r="M104" s="244">
        <f>ROUND(IF(coss!$D$336=0,0,+coss!L$336/coss!$D$336),9)</f>
        <v>0.001734348</v>
      </c>
      <c r="N104" s="244">
        <f>ROUND(IF(coss!$D$336=0,0,+coss!M$336/coss!$D$336),9)</f>
        <v>0.07431799</v>
      </c>
      <c r="O104" s="244">
        <f>ROUND(IF(coss!$D$336=0,0,+coss!N$336/coss!$D$336),9)</f>
        <v>0.003500848</v>
      </c>
      <c r="P104" s="244">
        <f>ROUND(IF(coss!$D$336=0,0,+coss!O$336/coss!$D$336),9)</f>
        <v>0.005774227</v>
      </c>
      <c r="Q104" s="244">
        <f>ROUND(IF(coss!$D$336=0,0,+coss!P$336/coss!$D$336),9)</f>
        <v>0</v>
      </c>
      <c r="R104" s="244">
        <f>ROUND(IF(coss!$D$336=0,0,+coss!Q$336/coss!$D$336),9)</f>
        <v>0.02443565</v>
      </c>
      <c r="S104" s="244">
        <f>ROUND(IF(coss!$D$336=0,0,+coss!R$336/coss!$D$336),9)</f>
        <v>0.001418447</v>
      </c>
      <c r="T104" s="244">
        <f>ROUND(IF(coss!$D$336=0,0,+coss!S$336/coss!$D$336),9)</f>
        <v>0.010168325</v>
      </c>
      <c r="U104" s="244">
        <f>ROUND(IF(coss!$D$336=0,0,+coss!T$336/coss!$D$336),9)</f>
        <v>0</v>
      </c>
      <c r="V104" s="258">
        <f>IF(coss!$D$336=0,0,1-SUM(F104:U104)-ROUND(coss!$W$336/coss!$D$336,9))</f>
        <v>0.00013944300000012788</v>
      </c>
      <c r="W104" s="244">
        <f>SUM(F104:V104)</f>
        <v>1</v>
      </c>
      <c r="X104" s="67">
        <f>E104-W104</f>
        <v>0</v>
      </c>
      <c r="Y104" s="20" t="s">
        <v>327</v>
      </c>
    </row>
    <row r="105" spans="1:25" ht="17.25">
      <c r="A105" s="20" t="s">
        <v>1250</v>
      </c>
      <c r="B105" s="20" t="s">
        <v>1251</v>
      </c>
      <c r="C105" s="20" t="s">
        <v>1250</v>
      </c>
      <c r="D105" s="8" t="str">
        <f>C105</f>
        <v>CW29</v>
      </c>
      <c r="E105" s="244">
        <v>1</v>
      </c>
      <c r="F105" s="244">
        <f>ROUND(IF(coss!$D$292=0,0,+coss!E$292/coss!$D$292),9)</f>
        <v>0.521968567</v>
      </c>
      <c r="G105" s="244">
        <f>ROUND(IF(coss!$D$292=0,0,+coss!F$292/coss!$D$292),9)</f>
        <v>0.251022754</v>
      </c>
      <c r="H105" s="244">
        <f>ROUND(IF(coss!$D$292=0,0,+coss!G$292/coss!$D$292),9)</f>
        <v>0.000221909</v>
      </c>
      <c r="I105" s="244">
        <f>ROUND(IF(coss!$D$292=0,0,+coss!H$292/coss!$D$292),9)</f>
        <v>0.000905935</v>
      </c>
      <c r="J105" s="244">
        <f>ROUND(IF(coss!$D$292=0,0,+coss!I$292/coss!$D$292),9)</f>
        <v>0.00345719</v>
      </c>
      <c r="K105" s="244">
        <f>ROUND(IF(coss!$D$292=0,0,+coss!J$292/coss!$D$292),9)</f>
        <v>0.00012761</v>
      </c>
      <c r="L105" s="244">
        <f>ROUND(IF(coss!$D$292=0,0,+coss!K$292/coss!$D$292),9)</f>
        <v>0.138743139</v>
      </c>
      <c r="M105" s="244">
        <f>ROUND(IF(coss!$D$292=0,0,+coss!L$292/coss!$D$292),9)</f>
        <v>0.001487919</v>
      </c>
      <c r="N105" s="244">
        <f>ROUND(IF(coss!$D$292=0,0,+coss!M$292/coss!$D$292),9)</f>
        <v>0.045857143</v>
      </c>
      <c r="O105" s="244">
        <f>ROUND(IF(coss!$D$292=0,0,+coss!N$292/coss!$D$292),9)</f>
        <v>0.002020877</v>
      </c>
      <c r="P105" s="244">
        <f>ROUND(IF(coss!$D$292=0,0,+coss!O$292/coss!$D$292),9)</f>
        <v>0.004458128</v>
      </c>
      <c r="Q105" s="244">
        <f>ROUND(IF(coss!$D$292=0,0,+coss!P$292/coss!$D$292),9)</f>
        <v>0</v>
      </c>
      <c r="R105" s="244">
        <f>ROUND(IF(coss!$D$292=0,0,+coss!Q$292/coss!$D$292),9)</f>
        <v>-0.017856908</v>
      </c>
      <c r="S105" s="244">
        <f>ROUND(IF(coss!$D$292=0,0,+coss!R$292/coss!$D$292),9)</f>
        <v>-0.001040113</v>
      </c>
      <c r="T105" s="244">
        <f>ROUND(IF(coss!$D$292=0,0,+coss!S$292/coss!$D$292),9)</f>
        <v>0.048550317</v>
      </c>
      <c r="U105" s="244">
        <f>ROUND(IF(coss!$D$292=0,0,+coss!T$292/coss!$D$292),9)</f>
        <v>0</v>
      </c>
      <c r="V105" s="258">
        <f>IF(coss!$D$292=0,0,1-SUM(F105:U105)-ROUND(coss!$W$292/coss!$D$292,9))</f>
        <v>7.553299999984997E-05</v>
      </c>
      <c r="W105" s="244">
        <f>SUM(F105:V105)</f>
        <v>1</v>
      </c>
      <c r="X105" s="67">
        <f>E105-W105</f>
        <v>0</v>
      </c>
      <c r="Y105" s="20" t="s">
        <v>1250</v>
      </c>
    </row>
    <row r="106" spans="1:25" ht="17.25">
      <c r="A106" s="62"/>
      <c r="B106" s="58" t="s">
        <v>206</v>
      </c>
      <c r="D106" s="4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73"/>
      <c r="Y106" s="62" t="s">
        <v>853</v>
      </c>
    </row>
    <row r="107" spans="1:25" ht="17.25">
      <c r="A107" s="8"/>
      <c r="B107" s="42" t="s">
        <v>247</v>
      </c>
      <c r="C107" s="8"/>
      <c r="D107" s="8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5"/>
      <c r="W107" s="244"/>
      <c r="X107" s="67"/>
      <c r="Y107" s="20" t="s">
        <v>248</v>
      </c>
    </row>
    <row r="108" spans="1:25" ht="17.25">
      <c r="A108" s="20" t="s">
        <v>248</v>
      </c>
      <c r="B108" s="52" t="s">
        <v>758</v>
      </c>
      <c r="C108" s="20" t="s">
        <v>248</v>
      </c>
      <c r="D108" s="8" t="str">
        <f aca="true" t="shared" si="40" ref="D108:D117">C108</f>
        <v>P349</v>
      </c>
      <c r="E108" s="244">
        <v>1</v>
      </c>
      <c r="F108" s="244">
        <f>ROUND(IF(coss!$D$360=0,0,+coss!E$360/coss!$D$360),9)</f>
        <v>0.517060877</v>
      </c>
      <c r="G108" s="244">
        <f>ROUND(IF(coss!$D$360=0,0,+coss!F$360/coss!$D$360),9)</f>
        <v>0.222323015</v>
      </c>
      <c r="H108" s="244">
        <f>ROUND(IF(coss!$D$360=0,0,+coss!G$360/coss!$D$360),9)</f>
        <v>0.000218395</v>
      </c>
      <c r="I108" s="244">
        <f>ROUND(IF(coss!$D$360=0,0,+coss!H$360/coss!$D$360),9)</f>
        <v>0.000894279</v>
      </c>
      <c r="J108" s="244">
        <f>ROUND(IF(coss!$D$360=0,0,+coss!I$360/coss!$D$360),9)</f>
        <v>0.004251708</v>
      </c>
      <c r="K108" s="244">
        <f>ROUND(IF(coss!$D$360=0,0,+coss!J$360/coss!$D$360),9)</f>
        <v>9.9984E-05</v>
      </c>
      <c r="L108" s="244">
        <f>ROUND(IF(coss!$D$360=0,0,+coss!K$360/coss!$D$360),9)</f>
        <v>0.122775878</v>
      </c>
      <c r="M108" s="244">
        <f>ROUND(IF(coss!$D$360=0,0,+coss!L$360/coss!$D$360),9)</f>
        <v>0.001795423</v>
      </c>
      <c r="N108" s="244">
        <f>ROUND(IF(coss!$D$360=0,0,+coss!M$360/coss!$D$360),9)</f>
        <v>0.078789649</v>
      </c>
      <c r="O108" s="244">
        <f>ROUND(IF(coss!$D$360=0,0,+coss!N$360/coss!$D$360),9)</f>
        <v>0.00378276</v>
      </c>
      <c r="P108" s="244">
        <f>ROUND(IF(coss!$D$360=0,0,+coss!O$360/coss!$D$360),9)</f>
        <v>0.005858623</v>
      </c>
      <c r="Q108" s="244">
        <f>ROUND(IF(coss!$D$360=0,0,+coss!P$360/coss!$D$360),9)</f>
        <v>0</v>
      </c>
      <c r="R108" s="244">
        <f>ROUND(IF(coss!$D$360=0,0,+coss!Q$360/coss!$D$360),9)</f>
        <v>0.034789637</v>
      </c>
      <c r="S108" s="244">
        <f>ROUND(IF(coss!$D$360=0,0,+coss!R$360/coss!$D$360),9)</f>
        <v>0.002017224</v>
      </c>
      <c r="T108" s="244">
        <f>ROUND(IF(coss!$D$360=0,0,+coss!S$360/coss!$D$360),9)</f>
        <v>0.005179332</v>
      </c>
      <c r="U108" s="244">
        <f>ROUND(IF(coss!$D$360=0,0,+coss!T$360/coss!$D$360),9)</f>
        <v>0</v>
      </c>
      <c r="V108" s="258">
        <f>IF(coss!$D$360=0,0,1-SUM(F108:U108)-ROUND(coss!$W$360/coss!$D$360,9))</f>
        <v>0.00016321600000002157</v>
      </c>
      <c r="W108" s="244">
        <f>SUM(F108:V108)</f>
        <v>1</v>
      </c>
      <c r="X108" s="67">
        <f aca="true" t="shared" si="41" ref="X108:X117">E108-W108</f>
        <v>0</v>
      </c>
      <c r="Y108" s="20" t="s">
        <v>757</v>
      </c>
    </row>
    <row r="109" spans="1:25" ht="17.25">
      <c r="A109" s="20" t="s">
        <v>757</v>
      </c>
      <c r="B109" s="52" t="s">
        <v>759</v>
      </c>
      <c r="C109" s="20" t="s">
        <v>757</v>
      </c>
      <c r="D109" s="8" t="str">
        <f>C109</f>
        <v>E349</v>
      </c>
      <c r="E109" s="244">
        <v>1</v>
      </c>
      <c r="F109" s="244">
        <f>ROUND(IF(coss!$D$353=0,0,+coss!E$353/coss!$D$353),9)</f>
        <v>0.380960037</v>
      </c>
      <c r="G109" s="244">
        <f>ROUND(IF(coss!$D$353=0,0,+coss!F$353/coss!$D$353),9)</f>
        <v>0.260806241</v>
      </c>
      <c r="H109" s="244">
        <f>ROUND(IF(coss!$D$353=0,0,+coss!G$353/coss!$D$353),9)</f>
        <v>7.8175E-05</v>
      </c>
      <c r="I109" s="244">
        <f>ROUND(IF(coss!$D$353=0,0,+coss!H$353/coss!$D$353),9)</f>
        <v>0.001565879</v>
      </c>
      <c r="J109" s="244">
        <f>ROUND(IF(coss!$D$353=0,0,+coss!I$353/coss!$D$353),9)</f>
        <v>0.003532912</v>
      </c>
      <c r="K109" s="244">
        <f>ROUND(IF(coss!$D$353=0,0,+coss!J$353/coss!$D$353),9)</f>
        <v>0.000101237</v>
      </c>
      <c r="L109" s="244">
        <f>ROUND(IF(coss!$D$353=0,0,+coss!K$353/coss!$D$353),9)</f>
        <v>0.182578905</v>
      </c>
      <c r="M109" s="244">
        <f>ROUND(IF(coss!$D$353=0,0,+coss!L$353/coss!$D$353),9)</f>
        <v>0.000626737</v>
      </c>
      <c r="N109" s="244">
        <f>ROUND(IF(coss!$D$353=0,0,+coss!M$353/coss!$D$353),9)</f>
        <v>0.108912236</v>
      </c>
      <c r="O109" s="244">
        <f>ROUND(IF(coss!$D$353=0,0,+coss!N$353/coss!$D$353),9)</f>
        <v>0.00154796</v>
      </c>
      <c r="P109" s="244">
        <f>ROUND(IF(coss!$D$353=0,0,+coss!O$353/coss!$D$353),9)</f>
        <v>0.008571767</v>
      </c>
      <c r="Q109" s="244">
        <f>ROUND(IF(coss!$D$353=0,0,+coss!P$353/coss!$D$353),9)</f>
        <v>0</v>
      </c>
      <c r="R109" s="244">
        <f>ROUND(IF(coss!$D$353=0,0,+coss!Q$353/coss!$D$353),9)</f>
        <v>0.043501604</v>
      </c>
      <c r="S109" s="244">
        <f>ROUND(IF(coss!$D$353=0,0,+coss!R$353/coss!$D$353),9)</f>
        <v>0.000857623</v>
      </c>
      <c r="T109" s="244">
        <f>ROUND(IF(coss!$D$353=0,0,+coss!S$353/coss!$D$353),9)</f>
        <v>0.006277593</v>
      </c>
      <c r="U109" s="244">
        <f>ROUND(IF(coss!$D$353=0,0,+coss!T$353/coss!$D$353),9)</f>
        <v>0</v>
      </c>
      <c r="V109" s="258">
        <f>IF(coss!$D$353=0,0,1-SUM(F109:U109)-ROUND(coss!$W$353/coss!$D$353,9))</f>
        <v>8.109400000000377E-05</v>
      </c>
      <c r="W109" s="244">
        <f aca="true" t="shared" si="42" ref="W109:W117">SUM(F109:V109)</f>
        <v>1</v>
      </c>
      <c r="X109" s="67">
        <f t="shared" si="41"/>
        <v>0</v>
      </c>
      <c r="Y109" s="20" t="s">
        <v>282</v>
      </c>
    </row>
    <row r="110" spans="1:25" ht="17.25">
      <c r="A110" s="20" t="s">
        <v>282</v>
      </c>
      <c r="B110" s="52" t="s">
        <v>784</v>
      </c>
      <c r="C110" s="20" t="s">
        <v>282</v>
      </c>
      <c r="D110" s="8" t="str">
        <f>C110</f>
        <v>P459</v>
      </c>
      <c r="E110" s="244">
        <v>1</v>
      </c>
      <c r="F110" s="244">
        <f>ROUND(IF(coss!$D$362=0,0,+coss!E$362/coss!$D$362),9)</f>
        <v>0.399292873</v>
      </c>
      <c r="G110" s="244">
        <f>ROUND(IF(coss!$D$362=0,0,+coss!F$362/coss!$D$362),9)</f>
        <v>0.255622535</v>
      </c>
      <c r="H110" s="244">
        <f>ROUND(IF(coss!$D$362=0,0,+coss!G$362/coss!$D$362),9)</f>
        <v>9.7063E-05</v>
      </c>
      <c r="I110" s="244">
        <f>ROUND(IF(coss!$D$362=0,0,+coss!H$362/coss!$D$362),9)</f>
        <v>0.001475414</v>
      </c>
      <c r="J110" s="244">
        <f>ROUND(IF(coss!$D$362=0,0,+coss!I$362/coss!$D$362),9)</f>
        <v>0.003629734</v>
      </c>
      <c r="K110" s="244">
        <f>ROUND(IF(coss!$D$362=0,0,+coss!J$362/coss!$D$362),9)</f>
        <v>0.000101068</v>
      </c>
      <c r="L110" s="244">
        <f>ROUND(IF(coss!$D$362=0,0,+coss!K$362/coss!$D$362),9)</f>
        <v>0.174523414</v>
      </c>
      <c r="M110" s="244">
        <f>ROUND(IF(coss!$D$362=0,0,+coss!L$362/coss!$D$362),9)</f>
        <v>0.00078416</v>
      </c>
      <c r="N110" s="244">
        <f>ROUND(IF(coss!$D$362=0,0,+coss!M$362/coss!$D$362),9)</f>
        <v>0.104854712</v>
      </c>
      <c r="O110" s="244">
        <f>ROUND(IF(coss!$D$362=0,0,+coss!N$362/coss!$D$362),9)</f>
        <v>0.001848989</v>
      </c>
      <c r="P110" s="244">
        <f>ROUND(IF(coss!$D$362=0,0,+coss!O$362/coss!$D$362),9)</f>
        <v>0.008206306</v>
      </c>
      <c r="Q110" s="244">
        <f>ROUND(IF(coss!$D$362=0,0,+coss!P$362/coss!$D$362),9)</f>
        <v>0</v>
      </c>
      <c r="R110" s="244">
        <f>ROUND(IF(coss!$D$362=0,0,+coss!Q$362/coss!$D$362),9)</f>
        <v>0.042328098</v>
      </c>
      <c r="S110" s="244">
        <f>ROUND(IF(coss!$D$362=0,0,+coss!R$362/coss!$D$362),9)</f>
        <v>0.001013822</v>
      </c>
      <c r="T110" s="244">
        <f>ROUND(IF(coss!$D$362=0,0,+coss!S$362/coss!$D$362),9)</f>
        <v>0.006129657</v>
      </c>
      <c r="U110" s="244">
        <f>ROUND(IF(coss!$D$362=0,0,+coss!T$362/coss!$D$362),9)</f>
        <v>0</v>
      </c>
      <c r="V110" s="258">
        <f>IF(coss!$D$362=0,0,1-SUM(F110:U110)-ROUND(coss!$W$362/coss!$D$362,9))</f>
        <v>9.21550000001492E-05</v>
      </c>
      <c r="W110" s="244">
        <f>SUM(F110:V110)</f>
        <v>1</v>
      </c>
      <c r="X110" s="67">
        <f t="shared" si="41"/>
        <v>0</v>
      </c>
      <c r="Y110" s="20" t="s">
        <v>250</v>
      </c>
    </row>
    <row r="111" spans="1:25" ht="17.25">
      <c r="A111" s="20" t="s">
        <v>250</v>
      </c>
      <c r="B111" s="52" t="s">
        <v>249</v>
      </c>
      <c r="C111" s="20" t="s">
        <v>250</v>
      </c>
      <c r="D111" s="8" t="str">
        <f t="shared" si="40"/>
        <v>T349</v>
      </c>
      <c r="E111" s="244">
        <v>1</v>
      </c>
      <c r="F111" s="244">
        <f>ROUND(IF(coss!$D$369=0,0,+coss!E$369/coss!$D$369),9)</f>
        <v>0.517060898</v>
      </c>
      <c r="G111" s="244">
        <f>ROUND(IF(coss!$D$369=0,0,+coss!F$369/coss!$D$369),9)</f>
        <v>0.222322973</v>
      </c>
      <c r="H111" s="244">
        <f>ROUND(IF(coss!$D$369=0,0,+coss!G369/coss!$D$369),9)</f>
        <v>0.000218365</v>
      </c>
      <c r="I111" s="244">
        <f>ROUND(IF(coss!$D$369=0,0,+coss!H369/coss!$D$369),9)</f>
        <v>0.000894238</v>
      </c>
      <c r="J111" s="244">
        <f>ROUND(IF(coss!$D$369=0,0,+coss!I369/coss!$D$369),9)</f>
        <v>0.004251765</v>
      </c>
      <c r="K111" s="244">
        <f>ROUND(IF(coss!$D$369=0,0,+coss!J369/coss!$D$369),9)</f>
        <v>0.000100003</v>
      </c>
      <c r="L111" s="244">
        <f>ROUND(IF(coss!$D$369=0,0,+coss!K$369/coss!$D$369),9)</f>
        <v>0.122775842</v>
      </c>
      <c r="M111" s="244">
        <f>ROUND(IF(coss!$D$369=0,0,+coss!L369/coss!$D$369),9)</f>
        <v>0.001795443</v>
      </c>
      <c r="N111" s="244">
        <f>ROUND(IF(coss!$D$369=0,0,+coss!M369/coss!$D$369),9)</f>
        <v>0.078789678</v>
      </c>
      <c r="O111" s="244">
        <f>ROUND(IF(coss!$D$369=0,0,+coss!N$369/coss!$D$369),9)</f>
        <v>0.003782803</v>
      </c>
      <c r="P111" s="244">
        <f>ROUND(IF(coss!$D$369=0,0,+coss!O$369/coss!$D$369),9)</f>
        <v>0.005858596</v>
      </c>
      <c r="Q111" s="244">
        <f>ROUND(IF(coss!$D$369=0,0,+coss!P369/coss!$D$369),9)</f>
        <v>0</v>
      </c>
      <c r="R111" s="244">
        <f>ROUND(IF(coss!$D$369=0,0,+coss!Q$369/coss!$D$369),9)</f>
        <v>0.034789582</v>
      </c>
      <c r="S111" s="244">
        <f>ROUND(IF(coss!$D$369=0,0,+coss!R369/coss!$D$369),9)</f>
        <v>0.002017231</v>
      </c>
      <c r="T111" s="244">
        <f>ROUND(IF(coss!$D$369=0,0,+coss!S369/coss!$D$369),9)</f>
        <v>0.005179357</v>
      </c>
      <c r="U111" s="244">
        <f>ROUND(IF(coss!$D$369=0,0,+coss!T369/coss!$D$369),9)</f>
        <v>0</v>
      </c>
      <c r="V111" s="258">
        <f>IF(coss!$D$369=0,0,1-SUM(F111:U111)-ROUND(coss!$W$369/coss!$D$369,9))</f>
        <v>0.00016322599999973875</v>
      </c>
      <c r="W111" s="244">
        <f t="shared" si="42"/>
        <v>1</v>
      </c>
      <c r="X111" s="67">
        <f t="shared" si="41"/>
        <v>0</v>
      </c>
      <c r="Y111" s="20" t="s">
        <v>252</v>
      </c>
    </row>
    <row r="112" spans="1:25" ht="17.25">
      <c r="A112" s="20" t="s">
        <v>252</v>
      </c>
      <c r="B112" s="52" t="s">
        <v>251</v>
      </c>
      <c r="C112" s="20" t="s">
        <v>252</v>
      </c>
      <c r="D112" s="8" t="str">
        <f t="shared" si="40"/>
        <v>D349</v>
      </c>
      <c r="E112" s="244">
        <v>1</v>
      </c>
      <c r="F112" s="244">
        <f>ROUND(IF(coss!$D$383=0,0,+coss!E$383/coss!$D$383),9)</f>
        <v>0.492777465</v>
      </c>
      <c r="G112" s="244">
        <f>ROUND(IF(coss!$D$383=0,0,+coss!F$383/coss!$D$383),9)</f>
        <v>0.255278795</v>
      </c>
      <c r="H112" s="244">
        <f>ROUND(IF(coss!$D$383=0,0,+coss!G$383/coss!$D$383),9)</f>
        <v>0.000236393</v>
      </c>
      <c r="I112" s="244">
        <f>ROUND(IF(coss!$D$383=0,0,+coss!H$383/coss!$D$383),9)</f>
        <v>0.00099594</v>
      </c>
      <c r="J112" s="244">
        <f>ROUND(IF(coss!$D$383=0,0,+coss!I$383/coss!$D$383),9)</f>
        <v>0.003714829</v>
      </c>
      <c r="K112" s="244">
        <f>ROUND(IF(coss!$D$383=0,0,+coss!J$383/coss!$D$383),9)</f>
        <v>0.000118271</v>
      </c>
      <c r="L112" s="244">
        <f>ROUND(IF(coss!$D$383=0,0,+coss!K$383/coss!$D$383),9)</f>
        <v>0.148039233</v>
      </c>
      <c r="M112" s="244">
        <f>ROUND(IF(coss!$D$383=0,0,+coss!L$383/coss!$D$383),9)</f>
        <v>0.001702444</v>
      </c>
      <c r="N112" s="244">
        <f>ROUND(IF(coss!$D$383=0,0,+coss!M$383/coss!$D$383),9)</f>
        <v>0.074224658</v>
      </c>
      <c r="O112" s="244">
        <f>ROUND(IF(coss!$D$383=0,0,+coss!N$383/coss!$D$383),9)</f>
        <v>0.003429998</v>
      </c>
      <c r="P112" s="244">
        <f>ROUND(IF(coss!$D$383=0,0,+coss!O$383/coss!$D$383),9)</f>
        <v>0.006240116</v>
      </c>
      <c r="Q112" s="244">
        <f>ROUND(IF(coss!$D$383=0,0,+coss!P$383/coss!$D$383),9)</f>
        <v>0</v>
      </c>
      <c r="R112" s="244">
        <f>ROUND(IF(coss!$D$383=0,0,+coss!Q$383/coss!$D$383),9)</f>
        <v>0.004997828</v>
      </c>
      <c r="S112" s="244">
        <f>ROUND(IF(coss!$D$383=0,0,+coss!R$383/coss!$D$383),9)</f>
        <v>0.00028587</v>
      </c>
      <c r="T112" s="244">
        <f>ROUND(IF(coss!$D$383=0,0,+coss!S$383/coss!$D$383),9)</f>
        <v>0.007867526</v>
      </c>
      <c r="U112" s="244">
        <f>ROUND(IF(coss!$D$383=0,0,+coss!T$383/coss!$D$383),9)</f>
        <v>0</v>
      </c>
      <c r="V112" s="258">
        <f>IF(coss!$D$383=0,0,1-SUM(F112:U112)-ROUND(coss!$W$383/coss!$D$383,9))</f>
        <v>9.063400000008937E-05</v>
      </c>
      <c r="W112" s="244">
        <f t="shared" si="42"/>
        <v>1</v>
      </c>
      <c r="X112" s="67">
        <f t="shared" si="41"/>
        <v>0</v>
      </c>
      <c r="Y112" s="20" t="s">
        <v>889</v>
      </c>
    </row>
    <row r="113" spans="1:27" ht="17.25">
      <c r="A113" s="20" t="s">
        <v>889</v>
      </c>
      <c r="B113" s="52" t="s">
        <v>890</v>
      </c>
      <c r="C113" s="20" t="s">
        <v>889</v>
      </c>
      <c r="D113" s="8" t="str">
        <f t="shared" si="40"/>
        <v>C311</v>
      </c>
      <c r="E113" s="244">
        <v>1</v>
      </c>
      <c r="F113" s="244">
        <f>IF(coss!$D$387+coss!$D$390=0,0,ROUND((+coss!E$387+coss!E$390)/(coss!$D$387+coss!$D$390),9))</f>
        <v>0.894252219</v>
      </c>
      <c r="G113" s="244">
        <f>IF(coss!$D$387+coss!$D$390=0,0,ROUND((+coss!F$387+coss!F$390)/(coss!$D$387+coss!$D$390),9))</f>
        <v>0.093849283</v>
      </c>
      <c r="H113" s="244">
        <f>IF(coss!$D$387+coss!$D$390=0,0,ROUND((+coss!G$387+coss!G$390)/(coss!$D$387+coss!$D$390),9))</f>
        <v>8.28E-07</v>
      </c>
      <c r="I113" s="244">
        <f>IF(coss!$D$387+coss!$D$390=0,0,ROUND((+coss!H$387+coss!H$390)/(coss!$D$387+coss!$D$390),9))</f>
        <v>4.967E-06</v>
      </c>
      <c r="J113" s="244">
        <f>IF(coss!$D$387+coss!$D$390=0,0,ROUND((+coss!I$387+coss!I$390)/(coss!$D$387+coss!$D$390),9))</f>
        <v>7.451E-06</v>
      </c>
      <c r="K113" s="244">
        <f>IF(coss!$D$387+coss!$D$390=0,0,ROUND((+coss!J$387+coss!J$390)/(coss!$D$387+coss!$D$390),9))</f>
        <v>1.242E-06</v>
      </c>
      <c r="L113" s="244">
        <f>IF(coss!$D$387+coss!$D$390=0,0,ROUND((+coss!K$387+coss!K$390)/(coss!$D$387+coss!$D$390),9))</f>
        <v>0.011847997</v>
      </c>
      <c r="M113" s="244">
        <f>IF(coss!$D$387+coss!$D$390=0,0,ROUND((+coss!L$387+coss!L$390)/(coss!$D$387+coss!$D$390),9))</f>
        <v>4.14E-07</v>
      </c>
      <c r="N113" s="244">
        <f>IF(coss!$D$387+coss!$D$390=0,0,ROUND((+coss!M$387+coss!M$390)/(coss!$D$387+coss!$D$390),9))</f>
        <v>2.484E-06</v>
      </c>
      <c r="O113" s="244">
        <f>IF(coss!$D$387+coss!$D$390=0,0,ROUND((+coss!N$387+coss!N$390)/(coss!$D$387+coss!$D$390),9))</f>
        <v>4.14E-07</v>
      </c>
      <c r="P113" s="244">
        <f>IF(coss!$D$387+coss!$D$390=0,0,ROUND((+coss!O$387+coss!O$390)/(coss!$D$387+coss!$D$390),9))</f>
        <v>8.28E-07</v>
      </c>
      <c r="Q113" s="244">
        <f>IF(coss!$D$387+coss!$D$390=0,0,ROUND((+coss!P$387+coss!P$390)/(coss!$D$387+coss!$D$390),9))</f>
        <v>0</v>
      </c>
      <c r="R113" s="244">
        <f>IF(coss!$D$387+coss!$D$390=0,0,ROUND((+coss!Q$387+coss!Q$390)/(coss!$D$387+coss!$D$390),9))</f>
        <v>8.28E-07</v>
      </c>
      <c r="S113" s="244">
        <f>IF(coss!$D$387+coss!$D$390=0,0,ROUND((+coss!R$387+coss!R$390)/(coss!$D$387+coss!$D$390),9))</f>
        <v>4.14E-07</v>
      </c>
      <c r="T113" s="244">
        <f>IF(coss!$D$387+coss!$D$390=0,0,ROUND((+coss!S$387+coss!S$390)/(coss!$D$387+coss!$D$390),9))</f>
        <v>2.9804E-05</v>
      </c>
      <c r="U113" s="244">
        <f>IF(coss!$D$387+coss!$D$390=0,0,ROUND((+coss!T$387+coss!T$390)/(coss!$D$387+coss!$D$390),9))</f>
        <v>0</v>
      </c>
      <c r="V113" s="258">
        <f>IF(coss!$D$387+coss!$D$390=0,0,1-SUM(F113:U113)-ROUND((coss!$W$387+coss!$W$390)/(coss!$D$387+coss!$D390),9))</f>
        <v>8.270000002585931E-07</v>
      </c>
      <c r="W113" s="244">
        <f t="shared" si="42"/>
        <v>1</v>
      </c>
      <c r="X113" s="67">
        <f t="shared" si="41"/>
        <v>0</v>
      </c>
      <c r="Y113" s="20" t="s">
        <v>253</v>
      </c>
      <c r="Z113" s="60"/>
      <c r="AA113" s="60"/>
    </row>
    <row r="114" spans="1:25" ht="17.25">
      <c r="A114" s="20" t="s">
        <v>253</v>
      </c>
      <c r="B114" s="52" t="s">
        <v>762</v>
      </c>
      <c r="C114" s="20" t="s">
        <v>253</v>
      </c>
      <c r="D114" s="8" t="str">
        <f t="shared" si="40"/>
        <v>C319</v>
      </c>
      <c r="E114" s="244">
        <v>1</v>
      </c>
      <c r="F114" s="244">
        <f>ROUND(IF(coss!$D$391=0,0,+coss!E$391/coss!$D$391),9)</f>
        <v>0.885158323</v>
      </c>
      <c r="G114" s="244">
        <f>ROUND(IF(coss!$D$391=0,0,+coss!F$391/coss!$D$391),9)</f>
        <v>0.107090057</v>
      </c>
      <c r="H114" s="244">
        <f>ROUND(IF(coss!$D$391=0,0,+coss!G$391/coss!$D$391),9)</f>
        <v>8.9657E-05</v>
      </c>
      <c r="I114" s="244">
        <f>ROUND(IF(coss!$D$391=0,0,+coss!H$391/coss!$D$391),9)</f>
        <v>0.00055539</v>
      </c>
      <c r="J114" s="244">
        <f>ROUND(IF(coss!$D$391=0,0,+coss!I$391/coss!$D$391),9)</f>
        <v>0.000878086</v>
      </c>
      <c r="K114" s="244">
        <f>ROUND(IF(coss!$D$391=0,0,+coss!J$391/coss!$D$391),9)</f>
        <v>0.000139754</v>
      </c>
      <c r="L114" s="244">
        <f>ROUND(IF(coss!$D$391=0,0,+coss!K$391/coss!$D$391),9)</f>
        <v>0.003606839</v>
      </c>
      <c r="M114" s="244">
        <f>ROUND(IF(coss!$D$391=0,0,+coss!L$391/coss!$D$391),9)</f>
        <v>4.7161E-05</v>
      </c>
      <c r="N114" s="244">
        <f>ROUND(IF(coss!$D$391=0,0,+coss!M$391/coss!$D$391),9)</f>
        <v>0.000266553</v>
      </c>
      <c r="O114" s="244">
        <f>ROUND(IF(coss!$D$391=0,0,+coss!N$391/coss!$D$391),9)</f>
        <v>3.8696E-05</v>
      </c>
      <c r="P114" s="244">
        <f>ROUND(IF(coss!$D$391=0,0,+coss!O$391/coss!$D$391),9)</f>
        <v>0.000101404</v>
      </c>
      <c r="Q114" s="244">
        <f>ROUND(IF(coss!$D$391=0,0,+coss!P$391/coss!$D$391),9)</f>
        <v>0</v>
      </c>
      <c r="R114" s="244">
        <f>ROUND(IF(coss!$D$391=0,0,+coss!Q$391/coss!$D$391),9)</f>
        <v>9.8122E-05</v>
      </c>
      <c r="S114" s="244">
        <f>ROUND(IF(coss!$D$391=0,0,+coss!R$391/coss!$D$391),9)</f>
        <v>3.0231E-05</v>
      </c>
      <c r="T114" s="244">
        <f>ROUND(IF(coss!$D$391=0,0,+coss!S$391/coss!$D$391),9)</f>
        <v>0.001815425</v>
      </c>
      <c r="U114" s="244">
        <f>ROUND(IF(coss!$D$391=0,0,+coss!T$391/coss!$D$391),9)</f>
        <v>0</v>
      </c>
      <c r="V114" s="258">
        <f>IF(coss!$D$391=0,0,1-SUM(F114:U114)-ROUND(coss!$W$391/coss!$D$391,9))</f>
        <v>8.430200000009158E-05</v>
      </c>
      <c r="W114" s="244">
        <f t="shared" si="42"/>
        <v>1</v>
      </c>
      <c r="X114" s="67">
        <f t="shared" si="41"/>
        <v>0</v>
      </c>
      <c r="Y114" s="20" t="s">
        <v>580</v>
      </c>
    </row>
    <row r="115" spans="1:25" ht="17.25">
      <c r="A115" s="20" t="s">
        <v>580</v>
      </c>
      <c r="B115" s="52" t="s">
        <v>760</v>
      </c>
      <c r="C115" s="20" t="s">
        <v>580</v>
      </c>
      <c r="D115" s="8" t="str">
        <f>C115</f>
        <v>C331</v>
      </c>
      <c r="E115" s="244">
        <v>1</v>
      </c>
      <c r="F115" s="244">
        <f>ROUND(IF(coss!$D$398=0,0,+coss!E$398/coss!$D$398),9)</f>
        <v>0.661367401</v>
      </c>
      <c r="G115" s="244">
        <f>ROUND(IF(coss!$D$398=0,0,+coss!F$398/coss!$D$398),9)</f>
        <v>0.311920492</v>
      </c>
      <c r="H115" s="244">
        <f>ROUND(IF(coss!$D$398=0,0,+coss!G$398/coss!$D$398),9)</f>
        <v>0.000247511</v>
      </c>
      <c r="I115" s="244">
        <f>ROUND(IF(coss!$D$398=0,0,+coss!H$398/coss!$D$398),9)</f>
        <v>0.003788816</v>
      </c>
      <c r="J115" s="244">
        <f>ROUND(IF(coss!$D$398=0,0,+coss!I$398/coss!$D$398),9)</f>
        <v>0.003055804</v>
      </c>
      <c r="K115" s="244">
        <f>ROUND(IF(coss!$D$398=0,0,+coss!J$398/coss!$D$398),9)</f>
        <v>0.000713973</v>
      </c>
      <c r="L115" s="244">
        <f>ROUND(IF(coss!$D$398=0,0,+coss!K$398/coss!$D$398),9)</f>
        <v>0.004502789</v>
      </c>
      <c r="M115" s="244">
        <f>ROUND(IF(coss!$D$398=0,0,+coss!L$398/coss!$D$398),9)</f>
        <v>0.000152314</v>
      </c>
      <c r="N115" s="244">
        <f>ROUND(IF(coss!$D$398=0,0,+coss!M$398/coss!$D$398),9)</f>
        <v>0.000828209</v>
      </c>
      <c r="O115" s="244">
        <f>ROUND(IF(coss!$D$398=0,0,+coss!N$398/coss!$D$398),9)</f>
        <v>0.000123755</v>
      </c>
      <c r="P115" s="244">
        <f>ROUND(IF(coss!$D$398=0,0,+coss!O$398/coss!$D$398),9)</f>
        <v>0.000304628</v>
      </c>
      <c r="Q115" s="244">
        <f>ROUND(IF(coss!$D$398=0,0,+coss!P$398/coss!$D$398),9)</f>
        <v>0</v>
      </c>
      <c r="R115" s="244">
        <f>ROUND(IF(coss!$D$398=0,0,+coss!Q$398/coss!$D$398),9)</f>
        <v>0.00027607</v>
      </c>
      <c r="S115" s="244">
        <f>ROUND(IF(coss!$D$398=0,0,+coss!R$398/coss!$D$398),9)</f>
        <v>8.5677E-05</v>
      </c>
      <c r="T115" s="244">
        <f>ROUND(IF(coss!$D$398=0,0,+coss!S$398/coss!$D$398),9)</f>
        <v>0.012356491</v>
      </c>
      <c r="U115" s="244">
        <f>ROUND(IF(coss!$D$398=0,0,+coss!T$398/coss!$D$398),9)</f>
        <v>0</v>
      </c>
      <c r="V115" s="258">
        <f>IF(coss!$D$398=0,0,1-SUM(F115:U115)-ROUND(coss!$W$398/coss!$D$398,9))</f>
        <v>0.00027607000000007265</v>
      </c>
      <c r="W115" s="244">
        <f t="shared" si="42"/>
        <v>1</v>
      </c>
      <c r="X115" s="67">
        <f t="shared" si="41"/>
        <v>0</v>
      </c>
      <c r="Y115" s="20" t="s">
        <v>254</v>
      </c>
    </row>
    <row r="116" spans="1:25" ht="17.25">
      <c r="A116" s="20" t="s">
        <v>254</v>
      </c>
      <c r="B116" s="52" t="s">
        <v>761</v>
      </c>
      <c r="C116" s="20" t="s">
        <v>254</v>
      </c>
      <c r="D116" s="8" t="str">
        <f t="shared" si="40"/>
        <v>S319</v>
      </c>
      <c r="E116" s="244">
        <v>1</v>
      </c>
      <c r="F116" s="244">
        <f>ROUND(IF(coss!$D$404=0,0,+coss!E$404/coss!$D$404),9)</f>
        <v>0.679945055</v>
      </c>
      <c r="G116" s="244">
        <f>ROUND(IF(coss!$D$404=0,0,+coss!F$404/coss!$D$404),9)</f>
        <v>0.29532967</v>
      </c>
      <c r="H116" s="244">
        <f>ROUND(IF(coss!$D$404=0,0,+coss!G$404/coss!$D$404),9)</f>
        <v>0</v>
      </c>
      <c r="I116" s="244">
        <f>ROUND(IF(coss!$D$404=0,0,+coss!H$404/coss!$D$404),9)</f>
        <v>0.002747253</v>
      </c>
      <c r="J116" s="244">
        <f>ROUND(IF(coss!$D$404=0,0,+coss!I$404/coss!$D$404),9)</f>
        <v>0.002747253</v>
      </c>
      <c r="K116" s="244">
        <f>ROUND(IF(coss!$D$404=0,0,+coss!J$404/coss!$D$404),9)</f>
        <v>0</v>
      </c>
      <c r="L116" s="244">
        <f>ROUND(IF(coss!$D$404=0,0,+coss!K$404/coss!$D$404),9)</f>
        <v>0.005494505</v>
      </c>
      <c r="M116" s="244">
        <f>ROUND(IF(coss!$D$404=0,0,+coss!L$404/coss!$D$404),9)</f>
        <v>0</v>
      </c>
      <c r="N116" s="244">
        <f>ROUND(IF(coss!$D$404=0,0,+coss!M$404/coss!$D$404),9)</f>
        <v>0.001373626</v>
      </c>
      <c r="O116" s="244">
        <f>ROUND(IF(coss!$D$404=0,0,+coss!N$404/coss!$D$404),9)</f>
        <v>0.001373626</v>
      </c>
      <c r="P116" s="244">
        <f>ROUND(IF(coss!$D$404=0,0,+coss!O$404/coss!$D$404),9)</f>
        <v>0</v>
      </c>
      <c r="Q116" s="244">
        <f>ROUND(IF(coss!$D$404=0,0,+coss!P$404/coss!$D$404),9)</f>
        <v>0</v>
      </c>
      <c r="R116" s="244">
        <f>ROUND(IF(coss!$D$404=0,0,+coss!Q$404/coss!$D$404),9)</f>
        <v>0</v>
      </c>
      <c r="S116" s="244">
        <f>ROUND(IF(coss!$D$404=0,0,+coss!R$404/coss!$D$404),9)</f>
        <v>0</v>
      </c>
      <c r="T116" s="244">
        <f>ROUND(IF(coss!$D$404=0,0,+coss!S$404/coss!$D$404),9)</f>
        <v>0.010989011</v>
      </c>
      <c r="U116" s="244">
        <f>ROUND(IF(coss!$D$404=0,0,+coss!T$404/coss!$D$404),9)</f>
        <v>0</v>
      </c>
      <c r="V116" s="258">
        <f>IF(coss!$D$404=0,0,1-SUM(F116:U116)-ROUND(coss!$W$404/coss!$D$404,9))</f>
        <v>9.99999860695766E-10</v>
      </c>
      <c r="W116" s="244">
        <f t="shared" si="42"/>
        <v>1</v>
      </c>
      <c r="X116" s="67">
        <f t="shared" si="41"/>
        <v>0</v>
      </c>
      <c r="Y116" s="20" t="s">
        <v>257</v>
      </c>
    </row>
    <row r="117" spans="1:25" ht="17.25">
      <c r="A117" s="20" t="s">
        <v>257</v>
      </c>
      <c r="B117" s="52" t="s">
        <v>256</v>
      </c>
      <c r="C117" s="20" t="s">
        <v>257</v>
      </c>
      <c r="D117" s="8" t="str">
        <f t="shared" si="40"/>
        <v>OM39</v>
      </c>
      <c r="E117" s="244">
        <v>1</v>
      </c>
      <c r="F117" s="244">
        <f>ROUND(IF(coss!$D$436=0,0,+coss!E$436/coss!$D$436),9)</f>
        <v>0.446066611</v>
      </c>
      <c r="G117" s="244">
        <f>ROUND(IF(coss!$D$436=0,0,+coss!F$436/coss!$D$436),9)</f>
        <v>0.243675199</v>
      </c>
      <c r="H117" s="244">
        <f>ROUND(IF(coss!$D$436=0,0,+coss!G$436/coss!$D$436),9)</f>
        <v>0.000121533</v>
      </c>
      <c r="I117" s="244">
        <f>ROUND(IF(coss!$D$436=0,0,+coss!H$436/coss!$D$436),9)</f>
        <v>0.001329285</v>
      </c>
      <c r="J117" s="244">
        <f>ROUND(IF(coss!$D$436=0,0,+coss!I$436/coss!$D$436),9)</f>
        <v>0.003578653</v>
      </c>
      <c r="K117" s="244">
        <f>ROUND(IF(coss!$D$436=0,0,+coss!J$436/coss!$D$436),9)</f>
        <v>0.000105676</v>
      </c>
      <c r="L117" s="244">
        <f>ROUND(IF(coss!$D$436=0,0,+coss!K$436/coss!$D$436),9)</f>
        <v>0.156775998</v>
      </c>
      <c r="M117" s="244">
        <f>ROUND(IF(coss!$D$436=0,0,+coss!L$436/coss!$D$436),9)</f>
        <v>0.000934777</v>
      </c>
      <c r="N117" s="244">
        <f>ROUND(IF(coss!$D$436=0,0,+coss!M$436/coss!$D$436),9)</f>
        <v>0.093960523</v>
      </c>
      <c r="O117" s="244">
        <f>ROUND(IF(coss!$D$436=0,0,+coss!N$436/coss!$D$436),9)</f>
        <v>0.002105422</v>
      </c>
      <c r="P117" s="244">
        <f>ROUND(IF(coss!$D$436=0,0,+coss!O$436/coss!$D$436),9)</f>
        <v>0.007340246</v>
      </c>
      <c r="Q117" s="244">
        <f>ROUND(IF(coss!$D$436=0,0,+coss!P$436/coss!$D$436),9)</f>
        <v>0</v>
      </c>
      <c r="R117" s="244">
        <f>ROUND(IF(coss!$D$436=0,0,+coss!Q$436/coss!$D$436),9)</f>
        <v>0.036949731</v>
      </c>
      <c r="S117" s="244">
        <f>ROUND(IF(coss!$D$436=0,0,+coss!R$436/coss!$D$436),9)</f>
        <v>0.001058364</v>
      </c>
      <c r="T117" s="244">
        <f>ROUND(IF(coss!$D$436=0,0,+coss!S$436/coss!$D$436),9)</f>
        <v>0.005896003</v>
      </c>
      <c r="U117" s="244">
        <f>ROUND(IF(coss!$D$436=0,0,+coss!T$436/coss!$D$436),9)</f>
        <v>0</v>
      </c>
      <c r="V117" s="258">
        <f>IF(coss!$D$436=0,0,1-SUM(F117:U117)-ROUND(coss!$W$436/coss!$D$436,9))</f>
        <v>0.00010197899999997428</v>
      </c>
      <c r="W117" s="244">
        <f t="shared" si="42"/>
        <v>1</v>
      </c>
      <c r="X117" s="67">
        <f t="shared" si="41"/>
        <v>0</v>
      </c>
      <c r="Y117" s="20"/>
    </row>
    <row r="118" spans="1:25" ht="17.25">
      <c r="A118" s="20"/>
      <c r="B118" s="52"/>
      <c r="C118" s="20"/>
      <c r="D118" s="8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58"/>
      <c r="W118" s="244"/>
      <c r="X118" s="67"/>
      <c r="Y118" s="20"/>
    </row>
    <row r="119" spans="1:25" ht="17.25">
      <c r="A119" s="20"/>
      <c r="B119" s="221" t="s">
        <v>776</v>
      </c>
      <c r="C119" s="20"/>
      <c r="D119" s="8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58"/>
      <c r="W119" s="244"/>
      <c r="X119" s="67"/>
      <c r="Y119" s="20" t="s">
        <v>588</v>
      </c>
    </row>
    <row r="120" spans="1:25" ht="17.25">
      <c r="A120" s="20" t="s">
        <v>588</v>
      </c>
      <c r="B120" s="52" t="s">
        <v>777</v>
      </c>
      <c r="C120" s="20" t="s">
        <v>588</v>
      </c>
      <c r="D120" s="8" t="str">
        <f aca="true" t="shared" si="43" ref="D120:D128">C120</f>
        <v>A300</v>
      </c>
      <c r="E120" s="244">
        <v>1</v>
      </c>
      <c r="F120" s="244">
        <f>ROUND(IF(coss!$D$410=0,0,+coss!E$410/coss!$D$410),9)</f>
        <v>0.517060863</v>
      </c>
      <c r="G120" s="244">
        <f>ROUND(IF(coss!$D$410=0,0,+coss!F$410/coss!$D$410),9)</f>
        <v>0.222322976</v>
      </c>
      <c r="H120" s="244">
        <f>ROUND(IF(coss!$D$410=0,0,+coss!G$410/coss!$D$410),9)</f>
        <v>0.000218414</v>
      </c>
      <c r="I120" s="244">
        <f>ROUND(IF(coss!$D$410=0,0,+coss!H$410/coss!$D$410),9)</f>
        <v>0.000894244</v>
      </c>
      <c r="J120" s="244">
        <f>ROUND(IF(coss!$D$410=0,0,+coss!I$410/coss!$D$410),9)</f>
        <v>0.004251708</v>
      </c>
      <c r="K120" s="244">
        <f>ROUND(IF(coss!$D$410=0,0,+coss!J$410/coss!$D$410),9)</f>
        <v>0.000100011</v>
      </c>
      <c r="L120" s="244">
        <f>ROUND(IF(coss!$D$410=0,0,+coss!K$410/coss!$D$410),9)</f>
        <v>0.122775862</v>
      </c>
      <c r="M120" s="244">
        <f>ROUND(IF(coss!$D$410=0,0,+coss!L$410/coss!$D$410),9)</f>
        <v>0.001795442</v>
      </c>
      <c r="N120" s="244">
        <f>ROUND(IF(coss!$D$410=0,0,+coss!M$410/coss!$D$410),9)</f>
        <v>0.078789637</v>
      </c>
      <c r="O120" s="244">
        <f>ROUND(IF(coss!$D$410=0,0,+coss!N$410/coss!$D$410),9)</f>
        <v>0.003782763</v>
      </c>
      <c r="P120" s="244">
        <f>ROUND(IF(coss!$D$410=0,0,+coss!O$410/coss!$D$410),9)</f>
        <v>0.005858657</v>
      </c>
      <c r="Q120" s="244">
        <f>ROUND(IF(coss!$D$410=0,0,+coss!P$410/coss!$D$410),9)</f>
        <v>0</v>
      </c>
      <c r="R120" s="244">
        <f>ROUND(IF(coss!$D$410=0,0,+coss!Q$410/coss!$D$410),9)</f>
        <v>0.034789595</v>
      </c>
      <c r="S120" s="244">
        <f>ROUND(IF(coss!$D$410=0,0,+coss!R$410/coss!$D$410),9)</f>
        <v>0.002017242</v>
      </c>
      <c r="T120" s="244">
        <f>ROUND(IF(coss!$D$410=0,0,+coss!S$410/coss!$D$410),9)</f>
        <v>0.00517935</v>
      </c>
      <c r="U120" s="244">
        <f>ROUND(IF(coss!$D$410=0,0,+coss!T$410/coss!$D$410),9)</f>
        <v>0</v>
      </c>
      <c r="V120" s="258">
        <f>IF(coss!$D$410=0,0,1-SUM(F120:U120)-ROUND(coss!$W$410/coss!$D$410,9))</f>
        <v>0.00016323599999990002</v>
      </c>
      <c r="W120" s="244">
        <f>SUM(F120:V120)</f>
        <v>1</v>
      </c>
      <c r="X120" s="67">
        <f aca="true" t="shared" si="44" ref="X120:X128">E120-W120</f>
        <v>0</v>
      </c>
      <c r="Y120" s="20" t="s">
        <v>544</v>
      </c>
    </row>
    <row r="121" spans="1:25" ht="17.25">
      <c r="A121" s="20" t="s">
        <v>544</v>
      </c>
      <c r="B121" s="52" t="s">
        <v>778</v>
      </c>
      <c r="C121" s="20" t="s">
        <v>544</v>
      </c>
      <c r="D121" s="8" t="str">
        <f>C121</f>
        <v>A302</v>
      </c>
      <c r="E121" s="244">
        <v>1</v>
      </c>
      <c r="F121" s="244">
        <f>ROUND(IF(coss!$D$411=0,0,+coss!E$411/coss!$D$411),9)</f>
        <v>0.380960438</v>
      </c>
      <c r="G121" s="244">
        <f>ROUND(IF(coss!$D$411=0,0,+coss!F$411/coss!$D$411),9)</f>
        <v>0.260806286</v>
      </c>
      <c r="H121" s="244">
        <f>ROUND(IF(coss!$D$411=0,0,+coss!G$411/coss!$D$411),9)</f>
        <v>7.8176E-05</v>
      </c>
      <c r="I121" s="244">
        <f>ROUND(IF(coss!$D$411=0,0,+coss!H$411/coss!$D$411),9)</f>
        <v>0.001565843</v>
      </c>
      <c r="J121" s="244">
        <f>ROUND(IF(coss!$D$411=0,0,+coss!I$411/coss!$D$411),9)</f>
        <v>0.003532892</v>
      </c>
      <c r="K121" s="244">
        <f>ROUND(IF(coss!$D$411=0,0,+coss!J$411/coss!$D$411),9)</f>
        <v>0.000101144</v>
      </c>
      <c r="L121" s="244">
        <f>ROUND(IF(coss!$D$411=0,0,+coss!K$411/coss!$D$411),9)</f>
        <v>0.182578834</v>
      </c>
      <c r="M121" s="244">
        <f>ROUND(IF(coss!$D$411=0,0,+coss!L$411/coss!$D$411),9)</f>
        <v>0.000626674</v>
      </c>
      <c r="N121" s="244">
        <f>ROUND(IF(coss!$D$411=0,0,+coss!M$411/coss!$D$411),9)</f>
        <v>0.108912155</v>
      </c>
      <c r="O121" s="244">
        <f>ROUND(IF(coss!$D$411=0,0,+coss!N$411/coss!$D$411),9)</f>
        <v>0.001547932</v>
      </c>
      <c r="P121" s="244">
        <f>ROUND(IF(coss!$D$411=0,0,+coss!O$411/coss!$D$411),9)</f>
        <v>0.008571783</v>
      </c>
      <c r="Q121" s="244">
        <f>ROUND(IF(coss!$D$411=0,0,+coss!P$411/coss!$D$411),9)</f>
        <v>0</v>
      </c>
      <c r="R121" s="244">
        <f>ROUND(IF(coss!$D$411=0,0,+coss!Q$411/coss!$D$411),9)</f>
        <v>0.043501605</v>
      </c>
      <c r="S121" s="244">
        <f>ROUND(IF(coss!$D$411=0,0,+coss!R$411/coss!$D$411),9)</f>
        <v>0.000857621</v>
      </c>
      <c r="T121" s="244">
        <f>ROUND(IF(coss!$D$411=0,0,+coss!S$411/coss!$D$411),9)</f>
        <v>0.006277489</v>
      </c>
      <c r="U121" s="244">
        <f>ROUND(IF(coss!$D$411=0,0,+coss!T$411/coss!$D$411),9)</f>
        <v>0</v>
      </c>
      <c r="V121" s="258">
        <f>IF(coss!$D$411=0,0,1-SUM(F121:U121)-ROUND(coss!$W$411/coss!$D$411,9))</f>
        <v>8.112799999993037E-05</v>
      </c>
      <c r="W121" s="244">
        <f aca="true" t="shared" si="45" ref="W121:W127">SUM(F121:V121)</f>
        <v>1</v>
      </c>
      <c r="X121" s="67">
        <f t="shared" si="44"/>
        <v>0</v>
      </c>
      <c r="Y121" s="20" t="s">
        <v>545</v>
      </c>
    </row>
    <row r="122" spans="1:25" ht="17.25">
      <c r="A122" s="20" t="s">
        <v>545</v>
      </c>
      <c r="B122" s="52" t="s">
        <v>779</v>
      </c>
      <c r="C122" s="20" t="s">
        <v>545</v>
      </c>
      <c r="D122" s="8" t="str">
        <f t="shared" si="43"/>
        <v>A304</v>
      </c>
      <c r="E122" s="244">
        <v>1</v>
      </c>
      <c r="F122" s="244">
        <f>ROUND(IF(coss!$D$412=0,0,+coss!E$412/coss!$D$412),9)</f>
        <v>0.517064084</v>
      </c>
      <c r="G122" s="244">
        <f>ROUND(IF(coss!$D$412=0,0,+coss!F$412/coss!$D$412),9)</f>
        <v>0.22232341</v>
      </c>
      <c r="H122" s="244">
        <f>ROUND(IF(coss!$D$412=0,0,+coss!G$412/coss!$D$412),9)</f>
        <v>0.000218395</v>
      </c>
      <c r="I122" s="244">
        <f>ROUND(IF(coss!$D$412=0,0,+coss!H$412/coss!$D$412),9)</f>
        <v>0.000893564</v>
      </c>
      <c r="J122" s="244">
        <f>ROUND(IF(coss!$D$412=0,0,+coss!I$412/coss!$D$412),9)</f>
        <v>0.004252282</v>
      </c>
      <c r="K122" s="244">
        <f>ROUND(IF(coss!$D$412=0,0,+coss!J$412/coss!$D$412),9)</f>
        <v>9.9919E-05</v>
      </c>
      <c r="L122" s="244">
        <f>ROUND(IF(coss!$D$412=0,0,+coss!K$412/coss!$D$412),9)</f>
        <v>0.122775189</v>
      </c>
      <c r="M122" s="244">
        <f>ROUND(IF(coss!$D$412=0,0,+coss!L$412/coss!$D$412),9)</f>
        <v>0.001795693</v>
      </c>
      <c r="N122" s="244">
        <f>ROUND(IF(coss!$D$412=0,0,+coss!M$412/coss!$D$412),9)</f>
        <v>0.078789263</v>
      </c>
      <c r="O122" s="244">
        <f>ROUND(IF(coss!$D$412=0,0,+coss!N$412/coss!$D$412),9)</f>
        <v>0.003782661</v>
      </c>
      <c r="P122" s="244">
        <f>ROUND(IF(coss!$D$412=0,0,+coss!O$412/coss!$D$412),9)</f>
        <v>0.005858129</v>
      </c>
      <c r="Q122" s="244">
        <f>ROUND(IF(coss!$D$412=0,0,+coss!P$412/coss!$D$412),9)</f>
        <v>0</v>
      </c>
      <c r="R122" s="244">
        <f>ROUND(IF(coss!$D$412=0,0,+coss!Q$412/coss!$D$412),9)</f>
        <v>0.034789063</v>
      </c>
      <c r="S122" s="244">
        <f>ROUND(IF(coss!$D$412=0,0,+coss!R$412/coss!$D$412),9)</f>
        <v>0.002016943</v>
      </c>
      <c r="T122" s="244">
        <f>ROUND(IF(coss!$D$412=0,0,+coss!S$412/coss!$D$412),9)</f>
        <v>0.005178677</v>
      </c>
      <c r="U122" s="244">
        <f>ROUND(IF(coss!$D$412=0,0,+coss!T$412/coss!$D$412),9)</f>
        <v>0</v>
      </c>
      <c r="V122" s="258">
        <f>IF(coss!$D$412=0,0,1-SUM(F122:U122)-ROUND(coss!$W$412/coss!$D$412,9))</f>
        <v>0.00016272799999994536</v>
      </c>
      <c r="W122" s="244">
        <f t="shared" si="45"/>
        <v>1</v>
      </c>
      <c r="X122" s="67">
        <f t="shared" si="44"/>
        <v>0</v>
      </c>
      <c r="Y122" s="20" t="s">
        <v>589</v>
      </c>
    </row>
    <row r="123" spans="1:25" ht="17.25">
      <c r="A123" s="20" t="s">
        <v>589</v>
      </c>
      <c r="B123" s="52" t="s">
        <v>780</v>
      </c>
      <c r="C123" s="20" t="s">
        <v>589</v>
      </c>
      <c r="D123" s="8" t="str">
        <f t="shared" si="43"/>
        <v>A306</v>
      </c>
      <c r="E123" s="244">
        <v>1</v>
      </c>
      <c r="F123" s="244">
        <f>ROUND(IF(coss!$D$413=0,0,+coss!E$413/coss!$D$413),9)</f>
        <v>0.492777761</v>
      </c>
      <c r="G123" s="244">
        <f>ROUND(IF(coss!$D$413=0,0,+coss!F$413/coss!$D$413),9)</f>
        <v>0.255278851</v>
      </c>
      <c r="H123" s="244">
        <f>ROUND(IF(coss!$D$413=0,0,+coss!G$413/coss!$D$413),9)</f>
        <v>0.000236339</v>
      </c>
      <c r="I123" s="244">
        <f>ROUND(IF(coss!$D$413=0,0,+coss!H$413/coss!$D$413),9)</f>
        <v>0.000995952</v>
      </c>
      <c r="J123" s="244">
        <f>ROUND(IF(coss!$D$413=0,0,+coss!I$413/coss!$D$413),9)</f>
        <v>0.003714832</v>
      </c>
      <c r="K123" s="244">
        <f>ROUND(IF(coss!$D$413=0,0,+coss!J$413/coss!$D$413),9)</f>
        <v>0.000118279</v>
      </c>
      <c r="L123" s="244">
        <f>ROUND(IF(coss!$D$413=0,0,+coss!K$413/coss!$D$413),9)</f>
        <v>0.148039134</v>
      </c>
      <c r="M123" s="244">
        <f>ROUND(IF(coss!$D$413=0,0,+coss!L$413/coss!$D$413),9)</f>
        <v>0.001702339</v>
      </c>
      <c r="N123" s="244">
        <f>ROUND(IF(coss!$D$413=0,0,+coss!M$413/coss!$D$413),9)</f>
        <v>0.074224584</v>
      </c>
      <c r="O123" s="244">
        <f>ROUND(IF(coss!$D$413=0,0,+coss!N$413/coss!$D$413),9)</f>
        <v>0.003430087</v>
      </c>
      <c r="P123" s="244">
        <f>ROUND(IF(coss!$D$413=0,0,+coss!O$413/coss!$D$413),9)</f>
        <v>0.006240086</v>
      </c>
      <c r="Q123" s="244">
        <f>ROUND(IF(coss!$D$413=0,0,+coss!P$413/coss!$D$413),9)</f>
        <v>0</v>
      </c>
      <c r="R123" s="244">
        <f>ROUND(IF(coss!$D$413=0,0,+coss!Q$413/coss!$D$413),9)</f>
        <v>0.00499772</v>
      </c>
      <c r="S123" s="244">
        <f>ROUND(IF(coss!$D$413=0,0,+coss!R$413/coss!$D$413),9)</f>
        <v>0.000285841</v>
      </c>
      <c r="T123" s="244">
        <f>ROUND(IF(coss!$D$413=0,0,+coss!S$413/coss!$D$413),9)</f>
        <v>0.007867515</v>
      </c>
      <c r="U123" s="244">
        <f>ROUND(IF(coss!$D$413=0,0,+coss!T$413/coss!$D$413),9)</f>
        <v>0</v>
      </c>
      <c r="V123" s="258">
        <f>IF(coss!$D$413=0,0,1-SUM(F123:U123)-ROUND(coss!$W$413/coss!$D$413,9))</f>
        <v>9.067999999989862E-05</v>
      </c>
      <c r="W123" s="244">
        <f t="shared" si="45"/>
        <v>1</v>
      </c>
      <c r="X123" s="67">
        <f t="shared" si="44"/>
        <v>0</v>
      </c>
      <c r="Y123" s="20" t="s">
        <v>590</v>
      </c>
    </row>
    <row r="124" spans="1:25" ht="17.25">
      <c r="A124" s="20" t="s">
        <v>590</v>
      </c>
      <c r="B124" s="52" t="s">
        <v>781</v>
      </c>
      <c r="C124" s="20" t="s">
        <v>590</v>
      </c>
      <c r="D124" s="8" t="str">
        <f t="shared" si="43"/>
        <v>A308</v>
      </c>
      <c r="E124" s="244">
        <v>1</v>
      </c>
      <c r="F124" s="244">
        <f>ROUND(IF(coss!$D$414=0,0,+coss!E$414/coss!$D$414),9)</f>
        <v>0.885158196</v>
      </c>
      <c r="G124" s="244">
        <f>ROUND(IF(coss!$D$414=0,0,+coss!F$414/coss!$D$414),9)</f>
        <v>0.107090074</v>
      </c>
      <c r="H124" s="244">
        <f>ROUND(IF(coss!$D$414=0,0,+coss!G$414/coss!$D$414),9)</f>
        <v>8.9566E-05</v>
      </c>
      <c r="I124" s="244">
        <f>ROUND(IF(coss!$D$414=0,0,+coss!H$414/coss!$D$414),9)</f>
        <v>0.000555306</v>
      </c>
      <c r="J124" s="244">
        <f>ROUND(IF(coss!$D$414=0,0,+coss!I$414/coss!$D$414),9)</f>
        <v>0.000878184</v>
      </c>
      <c r="K124" s="244">
        <f>ROUND(IF(coss!$D$414=0,0,+coss!J$414/coss!$D$414),9)</f>
        <v>0.000139766</v>
      </c>
      <c r="L124" s="244">
        <f>ROUND(IF(coss!$D$414=0,0,+coss!K$414/coss!$D$414),9)</f>
        <v>0.003606948</v>
      </c>
      <c r="M124" s="244">
        <f>ROUND(IF(coss!$D$414=0,0,+coss!L$414/coss!$D$414),9)</f>
        <v>4.7105E-05</v>
      </c>
      <c r="N124" s="244">
        <f>ROUND(IF(coss!$D$414=0,0,+coss!M$414/coss!$D$414),9)</f>
        <v>0.000266485</v>
      </c>
      <c r="O124" s="244">
        <f>ROUND(IF(coss!$D$414=0,0,+coss!N$414/coss!$D$414),9)</f>
        <v>3.8701E-05</v>
      </c>
      <c r="P124" s="244">
        <f>ROUND(IF(coss!$D$414=0,0,+coss!O$414/coss!$D$414),9)</f>
        <v>0.000101508</v>
      </c>
      <c r="Q124" s="244">
        <f>ROUND(IF(coss!$D$414=0,0,+coss!P$414/coss!$D$414),9)</f>
        <v>0</v>
      </c>
      <c r="R124" s="244">
        <f>ROUND(IF(coss!$D$414=0,0,+coss!Q$414/coss!$D$414),9)</f>
        <v>9.819E-05</v>
      </c>
      <c r="S124" s="244">
        <f>ROUND(IF(coss!$D$414=0,0,+coss!R$414/coss!$D$414),9)</f>
        <v>3.0297E-05</v>
      </c>
      <c r="T124" s="244">
        <f>ROUND(IF(coss!$D$414=0,0,+coss!S$414/coss!$D$414),9)</f>
        <v>0.001815416</v>
      </c>
      <c r="U124" s="244">
        <f>ROUND(IF(coss!$D$414=0,0,+coss!T$414/coss!$D$414),9)</f>
        <v>0</v>
      </c>
      <c r="V124" s="258">
        <f>IF(coss!$D$414=0,0,1-SUM(F124:U124)-ROUND(coss!$W$414/coss!$D$414,9))</f>
        <v>8.42579999998927E-05</v>
      </c>
      <c r="W124" s="244">
        <f t="shared" si="45"/>
        <v>1</v>
      </c>
      <c r="X124" s="67">
        <f t="shared" si="44"/>
        <v>0</v>
      </c>
      <c r="Y124" s="20" t="s">
        <v>592</v>
      </c>
    </row>
    <row r="125" spans="1:25" ht="17.25">
      <c r="A125" s="20" t="s">
        <v>592</v>
      </c>
      <c r="B125" s="52" t="s">
        <v>782</v>
      </c>
      <c r="C125" s="20" t="s">
        <v>592</v>
      </c>
      <c r="D125" s="8" t="str">
        <f>C125</f>
        <v>A310</v>
      </c>
      <c r="E125" s="244">
        <v>1</v>
      </c>
      <c r="F125" s="244">
        <f>ROUND(IF(coss!$D$415=0,0,+coss!E$415/coss!$D$415),9)</f>
        <v>0.661366335</v>
      </c>
      <c r="G125" s="244">
        <f>ROUND(IF(coss!$D$415=0,0,+coss!F$415/coss!$D$415),9)</f>
        <v>0.311920376</v>
      </c>
      <c r="H125" s="244">
        <f>ROUND(IF(coss!$D$415=0,0,+coss!G$415/coss!$D$415),9)</f>
        <v>0.000247434</v>
      </c>
      <c r="I125" s="244">
        <f>ROUND(IF(coss!$D$415=0,0,+coss!H$415/coss!$D$415),9)</f>
        <v>0.003788235</v>
      </c>
      <c r="J125" s="244">
        <f>ROUND(IF(coss!$D$415=0,0,+coss!I$415/coss!$D$415),9)</f>
        <v>0.003055523</v>
      </c>
      <c r="K125" s="244">
        <f>ROUND(IF(coss!$D$415=0,0,+coss!J$415/coss!$D$415),9)</f>
        <v>0.000713531</v>
      </c>
      <c r="L125" s="244">
        <f>ROUND(IF(coss!$D$415=0,0,+coss!K$415/coss!$D$415),9)</f>
        <v>0.004503684</v>
      </c>
      <c r="M125" s="244">
        <f>ROUND(IF(coss!$D$415=0,0,+coss!L$415/coss!$D$415),9)</f>
        <v>0.000151529</v>
      </c>
      <c r="N125" s="244">
        <f>ROUND(IF(coss!$D$415=0,0,+coss!M$415/coss!$D$415),9)</f>
        <v>0.000828616</v>
      </c>
      <c r="O125" s="244">
        <f>ROUND(IF(coss!$D$415=0,0,+coss!N$415/coss!$D$415),9)</f>
        <v>0.000124676</v>
      </c>
      <c r="P125" s="244">
        <f>ROUND(IF(coss!$D$415=0,0,+coss!O$415/coss!$D$415),9)</f>
        <v>0.000304977</v>
      </c>
      <c r="Q125" s="244">
        <f>ROUND(IF(coss!$D$415=0,0,+coss!P$415/coss!$D$415),9)</f>
        <v>0</v>
      </c>
      <c r="R125" s="244">
        <f>ROUND(IF(coss!$D$415=0,0,+coss!Q$415/coss!$D$415),9)</f>
        <v>0.000276205</v>
      </c>
      <c r="S125" s="244">
        <f>ROUND(IF(coss!$D$415=0,0,+coss!R$415/coss!$D$415),9)</f>
        <v>8.6314E-05</v>
      </c>
      <c r="T125" s="244">
        <f>ROUND(IF(coss!$D$415=0,0,+coss!S$415/coss!$D$415),9)</f>
        <v>0.012356359</v>
      </c>
      <c r="U125" s="244">
        <f>ROUND(IF(coss!$D$415=0,0,+coss!T$415/coss!$D$415),9)</f>
        <v>0</v>
      </c>
      <c r="V125" s="258">
        <f>IF(coss!$D$415=0,0,1-SUM(F125:U125)-ROUND(coss!$W$415/coss!$D$415,9))</f>
        <v>0.00027620599999989004</v>
      </c>
      <c r="W125" s="244">
        <f t="shared" si="45"/>
        <v>1</v>
      </c>
      <c r="X125" s="67">
        <f t="shared" si="44"/>
        <v>0</v>
      </c>
      <c r="Y125" s="20" t="s">
        <v>594</v>
      </c>
    </row>
    <row r="126" spans="1:25" ht="17.25">
      <c r="A126" s="20" t="s">
        <v>594</v>
      </c>
      <c r="B126" s="52" t="s">
        <v>783</v>
      </c>
      <c r="C126" s="20" t="s">
        <v>594</v>
      </c>
      <c r="D126" s="8" t="str">
        <f t="shared" si="43"/>
        <v>A312</v>
      </c>
      <c r="E126" s="244">
        <v>1</v>
      </c>
      <c r="F126" s="244">
        <f>ROUND(IF(coss!$D$416=0,0,+coss!E$416/coss!$D$416),9)</f>
        <v>0</v>
      </c>
      <c r="G126" s="244">
        <f>ROUND(IF(coss!$D$416=0,0,+coss!F$416/coss!$D$416),9)</f>
        <v>0</v>
      </c>
      <c r="H126" s="244">
        <f>ROUND(IF(coss!$D$416=0,0,+coss!G$416/coss!$D$416),9)</f>
        <v>0</v>
      </c>
      <c r="I126" s="244">
        <f>ROUND(IF(coss!$D$416=0,0,+coss!H$416/coss!$D$416),9)</f>
        <v>0</v>
      </c>
      <c r="J126" s="244">
        <f>ROUND(IF(coss!$D$416=0,0,+coss!I$416/coss!$D$416),9)</f>
        <v>0</v>
      </c>
      <c r="K126" s="244">
        <f>ROUND(IF(coss!$D$416=0,0,+coss!J$416/coss!$D$416),9)</f>
        <v>0</v>
      </c>
      <c r="L126" s="244">
        <f>ROUND(IF(coss!$D$416=0,0,+coss!K$416/coss!$D$416),9)</f>
        <v>0</v>
      </c>
      <c r="M126" s="244">
        <f>ROUND(IF(coss!$D$416=0,0,+coss!L$416/coss!$D$416),9)</f>
        <v>0</v>
      </c>
      <c r="N126" s="244">
        <f>ROUND(IF(coss!$D$416=0,0,+coss!M$416/coss!$D$416),9)</f>
        <v>0</v>
      </c>
      <c r="O126" s="244">
        <f>ROUND(IF(coss!$D$416=0,0,+coss!N$416/coss!$D$416),9)</f>
        <v>0</v>
      </c>
      <c r="P126" s="244">
        <f>ROUND(IF(coss!$D$416=0,0,+coss!O$416/coss!$D$416),9)</f>
        <v>0</v>
      </c>
      <c r="Q126" s="244">
        <f>ROUND(IF(coss!$D$416=0,0,+coss!P$416/coss!$D$416),9)</f>
        <v>0</v>
      </c>
      <c r="R126" s="244">
        <f>ROUND(IF(coss!$D$416=0,0,+coss!Q$416/coss!$D$416),9)</f>
        <v>0</v>
      </c>
      <c r="S126" s="244">
        <f>ROUND(IF(coss!$D$416=0,0,+coss!R$416/coss!$D$416),9)</f>
        <v>0</v>
      </c>
      <c r="T126" s="244">
        <f>ROUND(IF(coss!$D$416=0,0,+coss!S$416/coss!$D$416),9)</f>
        <v>0</v>
      </c>
      <c r="U126" s="244">
        <f>ROUND(IF(coss!$D$416=0,0,+coss!T$416/coss!$D$416),9)</f>
        <v>0</v>
      </c>
      <c r="V126" s="258">
        <f>IF(coss!$D$416=0,0,1-SUM(F126:U126)-ROUND(coss!$W$416/coss!$D$416,9))</f>
        <v>0</v>
      </c>
      <c r="W126" s="244">
        <f t="shared" si="45"/>
        <v>0</v>
      </c>
      <c r="X126" s="67">
        <f t="shared" si="44"/>
        <v>1</v>
      </c>
      <c r="Y126" s="20" t="s">
        <v>546</v>
      </c>
    </row>
    <row r="127" spans="1:25" ht="17.25">
      <c r="A127" s="20" t="s">
        <v>546</v>
      </c>
      <c r="B127" s="20" t="s">
        <v>894</v>
      </c>
      <c r="C127" s="20" t="s">
        <v>546</v>
      </c>
      <c r="D127" s="8" t="str">
        <f t="shared" si="43"/>
        <v>A315</v>
      </c>
      <c r="E127" s="244">
        <v>1</v>
      </c>
      <c r="F127" s="244">
        <f>ROUND(IF(coss!$D$417=0,0,+coss!E$417/coss!$D$417),9)</f>
        <v>0.554890549</v>
      </c>
      <c r="G127" s="244">
        <f>ROUND(IF(coss!$D$417=0,0,+coss!F$417/coss!$D$417),9)</f>
        <v>0.216886403</v>
      </c>
      <c r="H127" s="244">
        <f>ROUND(IF(coss!$D$417=0,0,+coss!G$417/coss!$D$417),9)</f>
        <v>0.000174109</v>
      </c>
      <c r="I127" s="244">
        <f>ROUND(IF(coss!$D$417=0,0,+coss!H$417/coss!$D$417),9)</f>
        <v>0.00103384</v>
      </c>
      <c r="J127" s="244">
        <f>ROUND(IF(coss!$D$417=0,0,+coss!I$417/coss!$D$417),9)</f>
        <v>0.003415026</v>
      </c>
      <c r="K127" s="244">
        <f>ROUND(IF(coss!$D$417=0,0,+coss!J$417/coss!$D$417),9)</f>
        <v>0.000122654</v>
      </c>
      <c r="L127" s="244">
        <f>ROUND(IF(coss!$D$417=0,0,+coss!K$417/coss!$D$417),9)</f>
        <v>0.115025694</v>
      </c>
      <c r="M127" s="244">
        <f>ROUND(IF(coss!$D$417=0,0,+coss!L$417/coss!$D$417),9)</f>
        <v>0.001228386</v>
      </c>
      <c r="N127" s="244">
        <f>ROUND(IF(coss!$D$417=0,0,+coss!M$417/coss!$D$417),9)</f>
        <v>0.068259835</v>
      </c>
      <c r="O127" s="244">
        <f>ROUND(IF(coss!$D$417=0,0,+coss!N$417/coss!$D$417),9)</f>
        <v>0.002587661</v>
      </c>
      <c r="P127" s="244">
        <f>ROUND(IF(coss!$D$417=0,0,+coss!O$417/coss!$D$417),9)</f>
        <v>0.005307866</v>
      </c>
      <c r="Q127" s="244">
        <f>ROUND(IF(coss!$D$417=0,0,+coss!P$417/coss!$D$417),9)</f>
        <v>0</v>
      </c>
      <c r="R127" s="244">
        <f>ROUND(IF(coss!$D$417=0,0,+coss!Q$417/coss!$D$417),9)</f>
        <v>0.024416462</v>
      </c>
      <c r="S127" s="244">
        <f>ROUND(IF(coss!$D$417=0,0,+coss!R$417/coss!$D$417),9)</f>
        <v>0.0011167</v>
      </c>
      <c r="T127" s="244">
        <f>ROUND(IF(coss!$D$417=0,0,+coss!S$417/coss!$D$417),9)</f>
        <v>0.005410815</v>
      </c>
      <c r="U127" s="244">
        <f>ROUND(IF(coss!$D$417=0,0,+coss!T$417/coss!$D$417),9)</f>
        <v>0</v>
      </c>
      <c r="V127" s="258">
        <f>IF(coss!$D$417=0,0,1-SUM(F127:U127)-ROUND(coss!$W$417/coss!$D$417,9))</f>
        <v>0.00012400000000023503</v>
      </c>
      <c r="W127" s="244">
        <f t="shared" si="45"/>
        <v>1</v>
      </c>
      <c r="X127" s="67">
        <f t="shared" si="44"/>
        <v>0</v>
      </c>
      <c r="Y127" s="20" t="s">
        <v>551</v>
      </c>
    </row>
    <row r="128" spans="1:25" ht="17.25">
      <c r="A128" s="20" t="s">
        <v>551</v>
      </c>
      <c r="B128" s="20" t="s">
        <v>255</v>
      </c>
      <c r="C128" s="20" t="s">
        <v>551</v>
      </c>
      <c r="D128" s="8" t="str">
        <f t="shared" si="43"/>
        <v>A357</v>
      </c>
      <c r="E128" s="244">
        <v>1</v>
      </c>
      <c r="F128" s="244">
        <f>ROUND(IF(coss!$D$434=0,0,+coss!E$434/coss!$D$434),9)</f>
        <v>0.5548905</v>
      </c>
      <c r="G128" s="244">
        <f>ROUND(IF(coss!$D$434=0,0,+coss!F$434/coss!$D$434),9)</f>
        <v>0.216886393</v>
      </c>
      <c r="H128" s="244">
        <f>ROUND(IF(coss!$D$434=0,0,+coss!G$434/coss!$D$434),9)</f>
        <v>0.000174077</v>
      </c>
      <c r="I128" s="244">
        <f>ROUND(IF(coss!$D$434=0,0,+coss!H$434/coss!$D$434),9)</f>
        <v>0.001033808</v>
      </c>
      <c r="J128" s="244">
        <f>ROUND(IF(coss!$D$434=0,0,+coss!I$434/coss!$D$434),9)</f>
        <v>0.003415065</v>
      </c>
      <c r="K128" s="244">
        <f>ROUND(IF(coss!$D$434=0,0,+coss!J$434/coss!$D$434),9)</f>
        <v>0.00012266</v>
      </c>
      <c r="L128" s="244">
        <f>ROUND(IF(coss!$D$434=0,0,+coss!K$434/coss!$D$434),9)</f>
        <v>0.115025683</v>
      </c>
      <c r="M128" s="244">
        <f>ROUND(IF(coss!$D$434=0,0,+coss!L$434/coss!$D$434),9)</f>
        <v>0.001228369</v>
      </c>
      <c r="N128" s="244">
        <f>ROUND(IF(coss!$D$434=0,0,+coss!M$434/coss!$D$434),9)</f>
        <v>0.068259887</v>
      </c>
      <c r="O128" s="244">
        <f>ROUND(IF(coss!$D$434=0,0,+coss!N$434/coss!$D$434),9)</f>
        <v>0.002587707</v>
      </c>
      <c r="P128" s="244">
        <f>ROUND(IF(coss!$D$434=0,0,+coss!O$434/coss!$D$434),9)</f>
        <v>0.005307863</v>
      </c>
      <c r="Q128" s="244">
        <f>ROUND(IF(coss!$D$434=0,0,+coss!P$434/coss!$D$434),9)</f>
        <v>0</v>
      </c>
      <c r="R128" s="244">
        <f>ROUND(IF(coss!$D$434=0,0,+coss!Q$434/coss!$D$434),9)</f>
        <v>0.0244165</v>
      </c>
      <c r="S128" s="244">
        <f>ROUND(IF(coss!$D$434=0,0,+coss!R$434/coss!$D$434),9)</f>
        <v>0.00111665</v>
      </c>
      <c r="T128" s="244">
        <f>ROUND(IF(coss!$D$434=0,0,+coss!S$434/coss!$D$434),9)</f>
        <v>0.00541082</v>
      </c>
      <c r="U128" s="244">
        <f>ROUND(IF(coss!$D$434=0,0,+coss!T$434/coss!$D$434),9)</f>
        <v>0</v>
      </c>
      <c r="V128" s="258">
        <f>IF(coss!$D$434=0,0,1-SUM(F128:U128)-ROUND(coss!$W$434/coss!$D$434,9))</f>
        <v>0.000124017999999948</v>
      </c>
      <c r="W128" s="244">
        <f>SUM(F128:V128)</f>
        <v>1</v>
      </c>
      <c r="X128" s="67">
        <f t="shared" si="44"/>
        <v>0</v>
      </c>
      <c r="Y128" s="20"/>
    </row>
    <row r="129" spans="1:25" ht="17.25">
      <c r="A129" s="20"/>
      <c r="B129" s="20"/>
      <c r="C129" s="20"/>
      <c r="D129" s="8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58"/>
      <c r="W129" s="244"/>
      <c r="X129" s="67"/>
      <c r="Y129" s="8"/>
    </row>
    <row r="130" spans="1:25" ht="17.25">
      <c r="A130" s="8"/>
      <c r="B130" s="42" t="s">
        <v>258</v>
      </c>
      <c r="C130" s="8"/>
      <c r="D130" s="8"/>
      <c r="E130" s="244"/>
      <c r="F130" s="244"/>
      <c r="G130" s="244"/>
      <c r="H130" s="261"/>
      <c r="I130" s="261"/>
      <c r="J130" s="261"/>
      <c r="K130" s="261"/>
      <c r="L130" s="244"/>
      <c r="M130" s="261"/>
      <c r="N130" s="261"/>
      <c r="O130" s="244"/>
      <c r="P130" s="244"/>
      <c r="Q130" s="261"/>
      <c r="R130" s="244"/>
      <c r="S130" s="261"/>
      <c r="T130" s="244"/>
      <c r="U130" s="261"/>
      <c r="V130" s="258"/>
      <c r="W130" s="244"/>
      <c r="X130" s="67"/>
      <c r="Y130" s="20" t="s">
        <v>260</v>
      </c>
    </row>
    <row r="131" spans="1:25" ht="17.25">
      <c r="A131" s="20" t="s">
        <v>260</v>
      </c>
      <c r="B131" s="20" t="s">
        <v>259</v>
      </c>
      <c r="C131" s="20" t="s">
        <v>260</v>
      </c>
      <c r="D131" s="8" t="str">
        <f aca="true" t="shared" si="46" ref="D131:D136">C131</f>
        <v>P489</v>
      </c>
      <c r="E131" s="244">
        <v>1</v>
      </c>
      <c r="F131" s="244">
        <f>ROUND(IF(coss!$D$442=0,0,+coss!E$442/coss!$D$442),9)</f>
        <v>0.517060906</v>
      </c>
      <c r="G131" s="244">
        <f>ROUND(IF(coss!$D$442=0,0,+coss!F$442/coss!$D$442),9)</f>
        <v>0.222322966</v>
      </c>
      <c r="H131" s="244">
        <f>ROUND(IF(coss!$D$442=0,0,+coss!G$442/coss!$D$442),9)</f>
        <v>0.000218384</v>
      </c>
      <c r="I131" s="244">
        <f>ROUND(IF(coss!$D$442=0,0,+coss!H$442/coss!$D$442),9)</f>
        <v>0.000894254</v>
      </c>
      <c r="J131" s="244">
        <f>ROUND(IF(coss!$D$442=0,0,+coss!I$442/coss!$D$442),9)</f>
        <v>0.004251723</v>
      </c>
      <c r="K131" s="244">
        <f>ROUND(IF(coss!$D$442=0,0,+coss!J$442/coss!$D$442),9)</f>
        <v>0.000100018</v>
      </c>
      <c r="L131" s="244">
        <f>ROUND(IF(coss!$D$442=0,0,+coss!K$442/coss!$D$442),9)</f>
        <v>0.122775844</v>
      </c>
      <c r="M131" s="244">
        <f>ROUND(IF(coss!$D$442=0,0,+coss!L$442/coss!$D$442),9)</f>
        <v>0.0017954</v>
      </c>
      <c r="N131" s="244">
        <f>ROUND(IF(coss!$D$442=0,0,+coss!M$442/coss!$D$442),9)</f>
        <v>0.078789672</v>
      </c>
      <c r="O131" s="244">
        <f>ROUND(IF(coss!$D$442=0,0,+coss!N$442/coss!$D$442),9)</f>
        <v>0.00378278</v>
      </c>
      <c r="P131" s="244">
        <f>ROUND(IF(coss!$D$442=0,0,+coss!O$442/coss!$D$442),9)</f>
        <v>0.005858632</v>
      </c>
      <c r="Q131" s="244">
        <f>ROUND(IF(coss!$D$442=0,0,+coss!P$442/coss!$D$442),9)</f>
        <v>0</v>
      </c>
      <c r="R131" s="244">
        <f>ROUND(IF(coss!$D$442=0,0,+coss!Q$442/coss!$D$442),9)</f>
        <v>0.034789672</v>
      </c>
      <c r="S131" s="244">
        <f>ROUND(IF(coss!$D$442=0,0,+coss!R$442/coss!$D$442),9)</f>
        <v>0.002017229</v>
      </c>
      <c r="T131" s="244">
        <f>ROUND(IF(coss!$D$442=0,0,+coss!S$442/coss!$D$442),9)</f>
        <v>0.005179316</v>
      </c>
      <c r="U131" s="244">
        <f>ROUND(IF(coss!$D$442=0,0,+coss!T$442/coss!$D$442),9)</f>
        <v>0</v>
      </c>
      <c r="V131" s="258">
        <f>IF(coss!$D$442=0,0,1-SUM(F131:U131)-ROUND(coss!$W$442/coss!$D$442,9))</f>
        <v>0.00016320400000002788</v>
      </c>
      <c r="W131" s="244">
        <f aca="true" t="shared" si="47" ref="W131:W136">SUM(F131:V131)</f>
        <v>1</v>
      </c>
      <c r="X131" s="67">
        <f aca="true" t="shared" si="48" ref="X131:X136">E131-W131</f>
        <v>0</v>
      </c>
      <c r="Y131" s="20" t="s">
        <v>262</v>
      </c>
    </row>
    <row r="132" spans="1:25" ht="17.25">
      <c r="A132" s="20" t="s">
        <v>262</v>
      </c>
      <c r="B132" s="20" t="s">
        <v>261</v>
      </c>
      <c r="C132" s="20" t="s">
        <v>262</v>
      </c>
      <c r="D132" s="8" t="str">
        <f t="shared" si="46"/>
        <v>T489</v>
      </c>
      <c r="E132" s="244">
        <v>1</v>
      </c>
      <c r="F132" s="244">
        <f>ROUND(IF(coss!$D$447=0,0,+coss!E$447/coss!$D$447),9)</f>
        <v>0.517061111</v>
      </c>
      <c r="G132" s="244">
        <f>ROUND(IF(coss!$D$447=0,0,+coss!F$447/coss!$D$447),9)</f>
        <v>0.222322222</v>
      </c>
      <c r="H132" s="244">
        <f>ROUND(IF(coss!$D$447=0,0,+coss!G$447/coss!$D$447),9)</f>
        <v>0.000218519</v>
      </c>
      <c r="I132" s="244">
        <f>ROUND(IF(coss!$D$447=0,0,+coss!H$447/coss!$D$447),9)</f>
        <v>0.000894444</v>
      </c>
      <c r="J132" s="244">
        <f>ROUND(IF(coss!$D$447=0,0,+coss!I$447/coss!$D$447),9)</f>
        <v>0.004251852</v>
      </c>
      <c r="K132" s="244">
        <f>ROUND(IF(coss!$D$447=0,0,+coss!J$447/coss!$D$447),9)</f>
        <v>0.0001</v>
      </c>
      <c r="L132" s="244">
        <f>ROUND(IF(coss!$D$447=0,0,+coss!K$447/coss!$D$447),9)</f>
        <v>0.122775926</v>
      </c>
      <c r="M132" s="244">
        <f>ROUND(IF(coss!$D$447=0,0,+coss!L$447/coss!$D$447),9)</f>
        <v>0.001796296</v>
      </c>
      <c r="N132" s="244">
        <f>ROUND(IF(coss!$D$447=0,0,+coss!M$447/coss!$D$447),9)</f>
        <v>0.078788889</v>
      </c>
      <c r="O132" s="244">
        <f>ROUND(IF(coss!$D$447=0,0,+coss!N$447/coss!$D$447),9)</f>
        <v>0.003783333</v>
      </c>
      <c r="P132" s="244">
        <f>ROUND(IF(coss!$D$447=0,0,+coss!O$447/coss!$D$447),9)</f>
        <v>0.005859259</v>
      </c>
      <c r="Q132" s="244">
        <f>ROUND(IF(coss!$D$447=0,0,+coss!P$447/coss!$D$447),9)</f>
        <v>0</v>
      </c>
      <c r="R132" s="244">
        <f>ROUND(IF(coss!$D$447=0,0,+coss!Q$447/coss!$D$447),9)</f>
        <v>0.034788889</v>
      </c>
      <c r="S132" s="244">
        <f>ROUND(IF(coss!$D$447=0,0,+coss!R$447/coss!$D$447),9)</f>
        <v>0.002016667</v>
      </c>
      <c r="T132" s="244">
        <f>ROUND(IF(coss!$D$447=0,0,+coss!S$447/coss!$D$447),9)</f>
        <v>0.00517963</v>
      </c>
      <c r="U132" s="244">
        <f>ROUND(IF(coss!$D$447=0,0,+coss!T$447/coss!$D$447),9)</f>
        <v>0</v>
      </c>
      <c r="V132" s="258">
        <f>IF(coss!$D$447=0,0,1-SUM(F132:U132)-ROUND(coss!$W$447/coss!$D$447,9))</f>
        <v>0.00016296300000007147</v>
      </c>
      <c r="W132" s="244">
        <f t="shared" si="47"/>
        <v>1</v>
      </c>
      <c r="X132" s="67">
        <f t="shared" si="48"/>
        <v>0</v>
      </c>
      <c r="Y132" s="20" t="s">
        <v>264</v>
      </c>
    </row>
    <row r="133" spans="1:25" ht="17.25">
      <c r="A133" s="20" t="s">
        <v>264</v>
      </c>
      <c r="B133" s="20" t="s">
        <v>263</v>
      </c>
      <c r="C133" s="20" t="s">
        <v>264</v>
      </c>
      <c r="D133" s="8" t="str">
        <f t="shared" si="46"/>
        <v>D489</v>
      </c>
      <c r="E133" s="244">
        <v>1</v>
      </c>
      <c r="F133" s="244">
        <f>ROUND(IF(coss!$D$452=0,0,+coss!E$452/coss!$D$452),9)</f>
        <v>0.518385995</v>
      </c>
      <c r="G133" s="244">
        <f>ROUND(IF(coss!$D$452=0,0,+coss!F$452/coss!$D$452),9)</f>
        <v>0.247000592</v>
      </c>
      <c r="H133" s="244">
        <f>ROUND(IF(coss!$D$452=0,0,+coss!G$452/coss!$D$452),9)</f>
        <v>0.000225798</v>
      </c>
      <c r="I133" s="244">
        <f>ROUND(IF(coss!$D$452=0,0,+coss!H$452/coss!$D$452),9)</f>
        <v>0.000911981</v>
      </c>
      <c r="J133" s="244">
        <f>ROUND(IF(coss!$D$452=0,0,+coss!I$452/coss!$D$452),9)</f>
        <v>0.003745964</v>
      </c>
      <c r="K133" s="244">
        <f>ROUND(IF(coss!$D$452=0,0,+coss!J$452/coss!$D$452),9)</f>
        <v>0.000120223</v>
      </c>
      <c r="L133" s="244">
        <f>ROUND(IF(coss!$D$452=0,0,+coss!K$452/coss!$D$452),9)</f>
        <v>0.137530684</v>
      </c>
      <c r="M133" s="244">
        <f>ROUND(IF(coss!$D$452=0,0,+coss!L$452/coss!$D$452),9)</f>
        <v>0.001620032</v>
      </c>
      <c r="N133" s="244">
        <f>ROUND(IF(coss!$D$452=0,0,+coss!M$452/coss!$D$452),9)</f>
        <v>0.060938746</v>
      </c>
      <c r="O133" s="244">
        <f>ROUND(IF(coss!$D$452=0,0,+coss!N$452/coss!$D$452),9)</f>
        <v>0.002796734</v>
      </c>
      <c r="P133" s="244">
        <f>ROUND(IF(coss!$D$452=0,0,+coss!O$452/coss!$D$452),9)</f>
        <v>0.00527078</v>
      </c>
      <c r="Q133" s="244">
        <f>ROUND(IF(coss!$D$452=0,0,+coss!P$452/coss!$D$452),9)</f>
        <v>0</v>
      </c>
      <c r="R133" s="244">
        <f>ROUND(IF(coss!$D$452=0,0,+coss!Q$452/coss!$D$452),9)</f>
        <v>6.8744E-05</v>
      </c>
      <c r="S133" s="244">
        <f>ROUND(IF(coss!$D$452=0,0,+coss!R$452/coss!$D$452),9)</f>
        <v>0</v>
      </c>
      <c r="T133" s="244">
        <f>ROUND(IF(coss!$D$452=0,0,+coss!S$452/coss!$D$452),9)</f>
        <v>0.021284014</v>
      </c>
      <c r="U133" s="244">
        <f>ROUND(IF(coss!$D$452=0,0,+coss!T$452/coss!$D$452),9)</f>
        <v>0</v>
      </c>
      <c r="V133" s="258">
        <f>IF(coss!$D$452=0,0,1-SUM(F133:U133)-ROUND(coss!$W$452/coss!$D$452,9))</f>
        <v>9.97129999996682E-05</v>
      </c>
      <c r="W133" s="244">
        <f t="shared" si="47"/>
        <v>1</v>
      </c>
      <c r="X133" s="67">
        <f t="shared" si="48"/>
        <v>0</v>
      </c>
      <c r="Y133" s="20" t="s">
        <v>266</v>
      </c>
    </row>
    <row r="134" spans="1:25" ht="17.25">
      <c r="A134" s="20" t="s">
        <v>266</v>
      </c>
      <c r="B134" s="20" t="s">
        <v>265</v>
      </c>
      <c r="C134" s="20" t="s">
        <v>266</v>
      </c>
      <c r="D134" s="8" t="str">
        <f t="shared" si="46"/>
        <v>G489</v>
      </c>
      <c r="E134" s="244">
        <v>1</v>
      </c>
      <c r="F134" s="244">
        <f>ROUND(IF(coss!$D$457=0,0,+coss!E$457/coss!$D$457),9)</f>
        <v>0.554979798</v>
      </c>
      <c r="G134" s="244">
        <f>ROUND(IF(coss!$D$457=0,0,+coss!F$457/coss!$D$457),9)</f>
        <v>0.216828283</v>
      </c>
      <c r="H134" s="244">
        <f>ROUND(IF(coss!$D$457=0,0,+coss!G$457/coss!$D$457),9)</f>
        <v>0.000171717</v>
      </c>
      <c r="I134" s="244">
        <f>ROUND(IF(coss!$D$457=0,0,+coss!H$457/coss!$D$457),9)</f>
        <v>0.001030303</v>
      </c>
      <c r="J134" s="244">
        <f>ROUND(IF(coss!$D$457=0,0,+coss!I$457/coss!$D$457),9)</f>
        <v>0.003414141</v>
      </c>
      <c r="K134" s="244">
        <f>ROUND(IF(coss!$D$457=0,0,+coss!J$457/coss!$D$457),9)</f>
        <v>0.000121212</v>
      </c>
      <c r="L134" s="244">
        <f>ROUND(IF(coss!$D$457=0,0,+coss!K$457/coss!$D$457),9)</f>
        <v>0.115</v>
      </c>
      <c r="M134" s="244">
        <f>ROUND(IF(coss!$D$457=0,0,+coss!L$457/coss!$D$457),9)</f>
        <v>0.001232323</v>
      </c>
      <c r="N134" s="244">
        <f>ROUND(IF(coss!$D$457=0,0,+coss!M$457/coss!$D$457),9)</f>
        <v>0.068252525</v>
      </c>
      <c r="O134" s="244">
        <f>ROUND(IF(coss!$D$457=0,0,+coss!N$457/coss!$D$457),9)</f>
        <v>0.002585859</v>
      </c>
      <c r="P134" s="244">
        <f>ROUND(IF(coss!$D$457=0,0,+coss!O$457/coss!$D$457),9)</f>
        <v>0.005313131</v>
      </c>
      <c r="Q134" s="244">
        <f>ROUND(IF(coss!$D$457=0,0,+coss!P$457/coss!$D$457),9)</f>
        <v>0</v>
      </c>
      <c r="R134" s="244">
        <f>ROUND(IF(coss!$D$457=0,0,+coss!Q$457/coss!$D$457),9)</f>
        <v>0.024424242</v>
      </c>
      <c r="S134" s="244">
        <f>ROUND(IF(coss!$D$457=0,0,+coss!R$457/coss!$D$457),9)</f>
        <v>0.001121212</v>
      </c>
      <c r="T134" s="244">
        <f>ROUND(IF(coss!$D$457=0,0,+coss!S$457/coss!$D$457),9)</f>
        <v>0.00540404</v>
      </c>
      <c r="U134" s="244">
        <f>ROUND(IF(coss!$D$457=0,0,+coss!T$457/coss!$D$457),9)</f>
        <v>0</v>
      </c>
      <c r="V134" s="258">
        <f>IF(coss!$D$457=0,0,1-SUM(F134:U134)-ROUND(coss!$W$457/coss!$D$457,9))</f>
        <v>0.00012121399999998062</v>
      </c>
      <c r="W134" s="244">
        <f t="shared" si="47"/>
        <v>1</v>
      </c>
      <c r="X134" s="67">
        <f t="shared" si="48"/>
        <v>0</v>
      </c>
      <c r="Y134" s="20" t="s">
        <v>268</v>
      </c>
    </row>
    <row r="135" spans="1:25" ht="17.25">
      <c r="A135" s="20" t="s">
        <v>268</v>
      </c>
      <c r="B135" s="20" t="s">
        <v>267</v>
      </c>
      <c r="C135" s="20" t="s">
        <v>268</v>
      </c>
      <c r="D135" s="8" t="str">
        <f t="shared" si="46"/>
        <v>C489</v>
      </c>
      <c r="E135" s="244">
        <v>1</v>
      </c>
      <c r="F135" s="244">
        <f>ROUND(IF(coss!$D$462=0,0,+coss!E$462/coss!$D$462),9)</f>
        <v>0.554863492</v>
      </c>
      <c r="G135" s="244">
        <f>ROUND(IF(coss!$D$462=0,0,+coss!F$462/coss!$D$462),9)</f>
        <v>0.216898413</v>
      </c>
      <c r="H135" s="244">
        <f>ROUND(IF(coss!$D$462=0,0,+coss!G$462/coss!$D$462),9)</f>
        <v>0.000174603</v>
      </c>
      <c r="I135" s="244">
        <f>ROUND(IF(coss!$D$462=0,0,+coss!H$462/coss!$D$462),9)</f>
        <v>0.001033333</v>
      </c>
      <c r="J135" s="244">
        <f>ROUND(IF(coss!$D$462=0,0,+coss!I$462/coss!$D$462),9)</f>
        <v>0.003415873</v>
      </c>
      <c r="K135" s="244">
        <f>ROUND(IF(coss!$D$462=0,0,+coss!J$462/coss!$D$462),9)</f>
        <v>0.000122222</v>
      </c>
      <c r="L135" s="244">
        <f>ROUND(IF(coss!$D$462=0,0,+coss!K$462/coss!$D$462),9)</f>
        <v>0.115038095</v>
      </c>
      <c r="M135" s="244">
        <f>ROUND(IF(coss!$D$462=0,0,+coss!L$462/coss!$D$462),9)</f>
        <v>0.001228571</v>
      </c>
      <c r="N135" s="244">
        <f>ROUND(IF(coss!$D$462=0,0,+coss!M$462/coss!$D$462),9)</f>
        <v>0.068265079</v>
      </c>
      <c r="O135" s="244">
        <f>ROUND(IF(coss!$D$462=0,0,+coss!N$462/coss!$D$462),9)</f>
        <v>0.002587302</v>
      </c>
      <c r="P135" s="244">
        <f>ROUND(IF(coss!$D$462=0,0,+coss!O$462/coss!$D$462),9)</f>
        <v>0.005307937</v>
      </c>
      <c r="Q135" s="244">
        <f>ROUND(IF(coss!$D$462=0,0,+coss!P$462/coss!$D$462),9)</f>
        <v>0</v>
      </c>
      <c r="R135" s="244">
        <f>ROUND(IF(coss!$D$462=0,0,+coss!Q$462/coss!$D$462),9)</f>
        <v>0.024414286</v>
      </c>
      <c r="S135" s="244">
        <f>ROUND(IF(coss!$D$462=0,0,+coss!R$462/coss!$D$462),9)</f>
        <v>0.001115873</v>
      </c>
      <c r="T135" s="244">
        <f>ROUND(IF(coss!$D$462=0,0,+coss!S$462/coss!$D$462),9)</f>
        <v>0.005411111</v>
      </c>
      <c r="U135" s="244">
        <f>ROUND(IF(coss!$D$462=0,0,+coss!T$462/coss!$D$462),9)</f>
        <v>0</v>
      </c>
      <c r="V135" s="258">
        <f>IF(coss!$D$462=0,0,1-SUM(F135:U135)-ROUND(coss!$W$462/coss!$D$462,9))</f>
        <v>0.00012380999999994646</v>
      </c>
      <c r="W135" s="244">
        <f t="shared" si="47"/>
        <v>1</v>
      </c>
      <c r="X135" s="67">
        <f t="shared" si="48"/>
        <v>0</v>
      </c>
      <c r="Y135" s="20" t="s">
        <v>270</v>
      </c>
    </row>
    <row r="136" spans="1:25" ht="17.25">
      <c r="A136" s="20" t="s">
        <v>270</v>
      </c>
      <c r="B136" s="20" t="s">
        <v>269</v>
      </c>
      <c r="C136" s="20" t="s">
        <v>270</v>
      </c>
      <c r="D136" s="8" t="str">
        <f t="shared" si="46"/>
        <v>DE49</v>
      </c>
      <c r="E136" s="244">
        <v>1</v>
      </c>
      <c r="F136" s="244">
        <f>ROUND(IF(coss!$D$464=0,0,+coss!E$464/coss!$D$464),9)</f>
        <v>0.518273785</v>
      </c>
      <c r="G136" s="244">
        <f>ROUND(IF(coss!$D$464=0,0,+coss!F$464/coss!$D$464),9)</f>
        <v>0.229313383</v>
      </c>
      <c r="H136" s="244">
        <f>ROUND(IF(coss!$D$464=0,0,+coss!G$464/coss!$D$464),9)</f>
        <v>0.000219551</v>
      </c>
      <c r="I136" s="244">
        <f>ROUND(IF(coss!$D$464=0,0,+coss!H$464/coss!$D$464),9)</f>
        <v>0.000902412</v>
      </c>
      <c r="J136" s="244">
        <f>ROUND(IF(coss!$D$464=0,0,+coss!I$464/coss!$D$464),9)</f>
        <v>0.004087637</v>
      </c>
      <c r="K136" s="244">
        <f>ROUND(IF(coss!$D$464=0,0,+coss!J$464/coss!$D$464),9)</f>
        <v>0.000106324</v>
      </c>
      <c r="L136" s="244">
        <f>ROUND(IF(coss!$D$464=0,0,+coss!K$464/coss!$D$464),9)</f>
        <v>0.126856689</v>
      </c>
      <c r="M136" s="244">
        <f>ROUND(IF(coss!$D$464=0,0,+coss!L$464/coss!$D$464),9)</f>
        <v>0.001732444</v>
      </c>
      <c r="N136" s="244">
        <f>ROUND(IF(coss!$D$464=0,0,+coss!M$464/coss!$D$464),9)</f>
        <v>0.073415316</v>
      </c>
      <c r="O136" s="244">
        <f>ROUND(IF(coss!$D$464=0,0,+coss!N$464/coss!$D$464),9)</f>
        <v>0.003472424</v>
      </c>
      <c r="P136" s="244">
        <f>ROUND(IF(coss!$D$464=0,0,+coss!O$464/coss!$D$464),9)</f>
        <v>0.00567719</v>
      </c>
      <c r="Q136" s="244">
        <f>ROUND(IF(coss!$D$464=0,0,+coss!P$464/coss!$D$464),9)</f>
        <v>0</v>
      </c>
      <c r="R136" s="244">
        <f>ROUND(IF(coss!$D$464=0,0,+coss!Q$464/coss!$D$464),9)</f>
        <v>0.02455826</v>
      </c>
      <c r="S136" s="244">
        <f>ROUND(IF(coss!$D$464=0,0,+coss!R$464/coss!$D$464),9)</f>
        <v>0.001416245</v>
      </c>
      <c r="T136" s="244">
        <f>ROUND(IF(coss!$D$464=0,0,+coss!S$464/coss!$D$464),9)</f>
        <v>0.009824305</v>
      </c>
      <c r="U136" s="244">
        <f>ROUND(IF(coss!$D$464=0,0,+coss!T$464/coss!$D$464),9)</f>
        <v>0</v>
      </c>
      <c r="V136" s="258">
        <f>IF(coss!$D$464=0,0,1-SUM(F136:U136)-ROUND(coss!$W$464/coss!$D$464,9))</f>
        <v>0.00014403499999982028</v>
      </c>
      <c r="W136" s="244">
        <f t="shared" si="47"/>
        <v>1</v>
      </c>
      <c r="X136" s="67">
        <f t="shared" si="48"/>
        <v>0</v>
      </c>
      <c r="Y136" s="8"/>
    </row>
    <row r="137" spans="1:25" ht="17.25">
      <c r="A137" s="8"/>
      <c r="B137" s="8"/>
      <c r="C137" s="8"/>
      <c r="D137" s="8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67"/>
      <c r="Y137" s="8"/>
    </row>
    <row r="138" spans="1:25" ht="17.25">
      <c r="A138" s="8"/>
      <c r="B138" s="42" t="s">
        <v>271</v>
      </c>
      <c r="C138" s="62" t="s">
        <v>1181</v>
      </c>
      <c r="D138" s="8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67"/>
      <c r="Y138" s="20" t="s">
        <v>273</v>
      </c>
    </row>
    <row r="139" spans="1:25" ht="17.25">
      <c r="A139" s="20" t="s">
        <v>273</v>
      </c>
      <c r="B139" s="20" t="s">
        <v>272</v>
      </c>
      <c r="C139" s="20" t="s">
        <v>273</v>
      </c>
      <c r="D139" s="8" t="str">
        <f>C139</f>
        <v>L529</v>
      </c>
      <c r="E139" s="244">
        <v>1</v>
      </c>
      <c r="F139" s="244">
        <f>ROUND(IF(coss!$D$472=0,0,+coss!E472/coss!$D$472),9)</f>
        <v>0.517711314</v>
      </c>
      <c r="G139" s="244">
        <f>ROUND(IF(coss!$D$472=0,0,+coss!F472/coss!$D$472),9)</f>
        <v>0.234438983</v>
      </c>
      <c r="H139" s="244">
        <f>ROUND(IF(coss!$D$472=0,0,+coss!G472/coss!$D$472),9)</f>
        <v>0.000221943</v>
      </c>
      <c r="I139" s="244">
        <f>ROUND(IF(coss!$D$472=0,0,+coss!H472/coss!$D$472),9)</f>
        <v>0.00090305</v>
      </c>
      <c r="J139" s="244">
        <f>ROUND(IF(coss!$D$472=0,0,+coss!I472/coss!$D$472),9)</f>
        <v>0.00400341</v>
      </c>
      <c r="K139" s="244">
        <f>ROUND(IF(coss!$D$472=0,0,+coss!J472/coss!$D$472),9)</f>
        <v>0.000109918</v>
      </c>
      <c r="L139" s="244">
        <f>ROUND(IF(coss!$D$472=0,0,+coss!K472/coss!$D$472),9)</f>
        <v>0.130020043</v>
      </c>
      <c r="M139" s="244">
        <f>ROUND(IF(coss!$D$472=0,0,+coss!L472/coss!$D$472),9)</f>
        <v>0.001709351</v>
      </c>
      <c r="N139" s="244">
        <f>ROUND(IF(coss!$D$472=0,0,+coss!M472/coss!$D$472),9)</f>
        <v>0.070025434</v>
      </c>
      <c r="O139" s="244">
        <f>ROUND(IF(coss!$D$472=0,0,+coss!N472/coss!$D$472),9)</f>
        <v>0.003298599</v>
      </c>
      <c r="P139" s="244">
        <f>ROUND(IF(coss!$D$472=0,0,+coss!O472/coss!$D$472),9)</f>
        <v>0.005570007</v>
      </c>
      <c r="Q139" s="244">
        <f>ROUND(IF(coss!$D$472=0,0,+coss!P472/coss!$D$472),9)</f>
        <v>0</v>
      </c>
      <c r="R139" s="244">
        <f>ROUND(IF(coss!$D$472=0,0,+coss!Q472/coss!$D$472),9)</f>
        <v>0.017742832</v>
      </c>
      <c r="S139" s="244">
        <f>ROUND(IF(coss!$D$472=0,0,+coss!R472/coss!$D$472),9)</f>
        <v>0.00102684</v>
      </c>
      <c r="T139" s="244">
        <f>ROUND(IF(coss!$D$472=0,0,+coss!S472/coss!$D$472),9)</f>
        <v>0.013086234</v>
      </c>
      <c r="U139" s="244">
        <f>ROUND(IF(coss!$D$472=0,0,+coss!T472/coss!$D$472),9)</f>
        <v>0</v>
      </c>
      <c r="V139" s="258">
        <f>IF(coss!$D$472=0,0,1-SUM(F139:U139)-ROUND(coss!$W$472/coss!$D$472,9))</f>
        <v>0.00013204199999994337</v>
      </c>
      <c r="W139" s="244">
        <f>SUM(F139:V139)</f>
        <v>1</v>
      </c>
      <c r="X139" s="67">
        <f>E139-W139</f>
        <v>0</v>
      </c>
      <c r="Y139" s="20" t="s">
        <v>652</v>
      </c>
    </row>
    <row r="140" spans="1:25" ht="17.25">
      <c r="A140" s="20" t="s">
        <v>652</v>
      </c>
      <c r="B140" s="20" t="s">
        <v>274</v>
      </c>
      <c r="C140" s="20" t="s">
        <v>652</v>
      </c>
      <c r="D140" s="8" t="str">
        <f>C140</f>
        <v>L589</v>
      </c>
      <c r="E140" s="244">
        <v>1</v>
      </c>
      <c r="F140" s="244">
        <f>ROUND(IF(coss!$D$483=0,0,+coss!E483/coss!$D$483),9)</f>
        <v>0.557475392</v>
      </c>
      <c r="G140" s="244">
        <f>ROUND(IF(coss!$D$483=0,0,+coss!F483/coss!$D$483),9)</f>
        <v>0.216070474</v>
      </c>
      <c r="H140" s="244">
        <f>ROUND(IF(coss!$D$483=0,0,+coss!G483/coss!$D$483),9)</f>
        <v>0.000172963</v>
      </c>
      <c r="I140" s="244">
        <f>ROUND(IF(coss!$D$483=0,0,+coss!H483/coss!$D$483),9)</f>
        <v>0.001021123</v>
      </c>
      <c r="J140" s="244">
        <f>ROUND(IF(coss!$D$483=0,0,+coss!I483/coss!$D$483),9)</f>
        <v>0.003414667</v>
      </c>
      <c r="K140" s="244">
        <f>ROUND(IF(coss!$D$483=0,0,+coss!J483/coss!$D$483),9)</f>
        <v>0.000121933</v>
      </c>
      <c r="L140" s="244">
        <f>ROUND(IF(coss!$D$483=0,0,+coss!K483/coss!$D$483),9)</f>
        <v>0.114171915</v>
      </c>
      <c r="M140" s="244">
        <f>ROUND(IF(coss!$D$483=0,0,+coss!L483/coss!$D$483),9)</f>
        <v>0.001218795</v>
      </c>
      <c r="N140" s="244">
        <f>ROUND(IF(coss!$D$483=0,0,+coss!M483/coss!$D$483),9)</f>
        <v>0.06774813</v>
      </c>
      <c r="O140" s="244">
        <f>ROUND(IF(coss!$D$483=0,0,+coss!N483/coss!$D$483),9)</f>
        <v>0.002554152</v>
      </c>
      <c r="P140" s="244">
        <f>ROUND(IF(coss!$D$483=0,0,+coss!O483/coss!$D$483),9)</f>
        <v>0.005265688</v>
      </c>
      <c r="Q140" s="244">
        <f>ROUND(IF(coss!$D$483=0,0,+coss!P483/coss!$D$483),9)</f>
        <v>0</v>
      </c>
      <c r="R140" s="244">
        <f>ROUND(IF(coss!$D$483=0,0,+coss!Q483/coss!$D$483),9)</f>
        <v>0.024161575</v>
      </c>
      <c r="S140" s="244">
        <f>ROUND(IF(coss!$D$483=0,0,+coss!R483/coss!$D$483),9)</f>
        <v>0.001093102</v>
      </c>
      <c r="T140" s="244">
        <f>ROUND(IF(coss!$D$483=0,0,+coss!S483/coss!$D$483),9)</f>
        <v>0.005385473</v>
      </c>
      <c r="U140" s="244">
        <f>ROUND(IF(coss!$D$483=0,0,+coss!T483/coss!$D$483),9)</f>
        <v>0</v>
      </c>
      <c r="V140" s="258">
        <f>IF(coss!$D$483=0,0,1-SUM(F140:U140)-ROUND(coss!$W$483/coss!$D$483,9))</f>
        <v>0.00012461799999985423</v>
      </c>
      <c r="W140" s="244">
        <f>SUM(F140:V140)</f>
        <v>1</v>
      </c>
      <c r="X140" s="67">
        <f>E140-W140</f>
        <v>0</v>
      </c>
      <c r="Y140" s="20" t="s">
        <v>276</v>
      </c>
    </row>
    <row r="141" spans="1:25" ht="17.25">
      <c r="A141" s="20" t="s">
        <v>276</v>
      </c>
      <c r="B141" s="20" t="s">
        <v>275</v>
      </c>
      <c r="C141" s="20" t="s">
        <v>276</v>
      </c>
      <c r="D141" s="8" t="str">
        <f>C141</f>
        <v>L599</v>
      </c>
      <c r="E141" s="244">
        <v>1</v>
      </c>
      <c r="F141" s="244">
        <f>ROUND(IF(coss!$D$495=0,0,+coss!E495/coss!$D$495),9)</f>
        <v>0.5263161</v>
      </c>
      <c r="G141" s="244">
        <f>ROUND(IF(coss!$D$495=0,0,+coss!F495/coss!$D$495),9)</f>
        <v>0.230427654</v>
      </c>
      <c r="H141" s="244">
        <f>ROUND(IF(coss!$D$495=0,0,+coss!G495/coss!$D$495),9)</f>
        <v>0.000210754</v>
      </c>
      <c r="I141" s="244">
        <f>ROUND(IF(coss!$D$495=0,0,+coss!H495/coss!$D$495),9)</f>
        <v>0.000942824</v>
      </c>
      <c r="J141" s="244">
        <f>ROUND(IF(coss!$D$495=0,0,+coss!I495/coss!$D$495),9)</f>
        <v>0.00384884</v>
      </c>
      <c r="K141" s="244">
        <f>ROUND(IF(coss!$D$495=0,0,+coss!J495/coss!$D$495),9)</f>
        <v>0.00011317</v>
      </c>
      <c r="L141" s="244">
        <f>ROUND(IF(coss!$D$495=0,0,+coss!K495/coss!$D$495),9)</f>
        <v>0.126474014</v>
      </c>
      <c r="M141" s="244">
        <f>ROUND(IF(coss!$D$495=0,0,+coss!L495/coss!$D$495),9)</f>
        <v>0.001587004</v>
      </c>
      <c r="N141" s="244">
        <f>ROUND(IF(coss!$D$495=0,0,+coss!M495/coss!$D$495),9)</f>
        <v>0.069607096</v>
      </c>
      <c r="O141" s="244">
        <f>ROUND(IF(coss!$D$495=0,0,+coss!N495/coss!$D$495),9)</f>
        <v>0.003117031</v>
      </c>
      <c r="P141" s="244">
        <f>ROUND(IF(coss!$D$495=0,0,+coss!O495/coss!$D$495),9)</f>
        <v>0.005514566</v>
      </c>
      <c r="Q141" s="244">
        <f>ROUND(IF(coss!$D$495=0,0,+coss!P495/coss!$D$495),9)</f>
        <v>0</v>
      </c>
      <c r="R141" s="244">
        <f>ROUND(IF(coss!$D$495=0,0,+coss!Q495/coss!$D$495),9)</f>
        <v>0.019492544</v>
      </c>
      <c r="S141" s="244">
        <f>ROUND(IF(coss!$D$495=0,0,+coss!R495/coss!$D$495),9)</f>
        <v>0.001049838</v>
      </c>
      <c r="T141" s="244">
        <f>ROUND(IF(coss!$D$495=0,0,+coss!S495/coss!$D$495),9)</f>
        <v>0.011169153</v>
      </c>
      <c r="U141" s="244">
        <f>ROUND(IF(coss!$D$495=0,0,+coss!T495/coss!$D$495),9)</f>
        <v>0</v>
      </c>
      <c r="V141" s="258">
        <f>IF(coss!$D$495=0,0,1-SUM(F141:U141)-ROUND(coss!$W$495/coss!$D$495,9))</f>
        <v>0.0001294119999999399</v>
      </c>
      <c r="W141" s="244">
        <f>SUM(F141:V141)</f>
        <v>1</v>
      </c>
      <c r="X141" s="67">
        <f>E141-W141</f>
        <v>0</v>
      </c>
      <c r="Y141" s="20" t="s">
        <v>278</v>
      </c>
    </row>
    <row r="142" spans="1:25" ht="17.25">
      <c r="A142" s="20" t="s">
        <v>278</v>
      </c>
      <c r="B142" s="20" t="s">
        <v>277</v>
      </c>
      <c r="C142" s="20" t="s">
        <v>278</v>
      </c>
      <c r="D142" s="8" t="str">
        <f>C142</f>
        <v>OP69</v>
      </c>
      <c r="E142" s="244">
        <v>1</v>
      </c>
      <c r="F142" s="244">
        <f>ROUND(IF(coss!$D$496=0,0,+coss!E496/coss!$D$496),9)</f>
        <v>0.458678178</v>
      </c>
      <c r="G142" s="244">
        <f>ROUND(IF(coss!$D$496=0,0,+coss!F496/coss!$D$496),9)</f>
        <v>0.241253662</v>
      </c>
      <c r="H142" s="244">
        <f>ROUND(IF(coss!$D$496=0,0,+coss!G496/coss!$D$496),9)</f>
        <v>0.000138022</v>
      </c>
      <c r="I142" s="244">
        <f>ROUND(IF(coss!$D$496=0,0,+coss!H496/coss!$D$496),9)</f>
        <v>0.001257544</v>
      </c>
      <c r="J142" s="244">
        <f>ROUND(IF(coss!$D$496=0,0,+coss!I496/coss!$D$496),9)</f>
        <v>0.003658093</v>
      </c>
      <c r="K142" s="244">
        <f>ROUND(IF(coss!$D$496=0,0,+coss!J496/coss!$D$496),9)</f>
        <v>0.000106006</v>
      </c>
      <c r="L142" s="244">
        <f>ROUND(IF(coss!$D$496=0,0,+coss!K496/coss!$D$496),9)</f>
        <v>0.151644767</v>
      </c>
      <c r="M142" s="244">
        <f>ROUND(IF(coss!$D$496=0,0,+coss!L496/coss!$D$496),9)</f>
        <v>0.001066597</v>
      </c>
      <c r="N142" s="244">
        <f>ROUND(IF(coss!$D$496=0,0,+coss!M496/coss!$D$496),9)</f>
        <v>0.090323484</v>
      </c>
      <c r="O142" s="244">
        <f>ROUND(IF(coss!$D$496=0,0,+coss!N496/coss!$D$496),9)</f>
        <v>0.002327931</v>
      </c>
      <c r="P142" s="244">
        <f>ROUND(IF(coss!$D$496=0,0,+coss!O496/coss!$D$496),9)</f>
        <v>0.007050503</v>
      </c>
      <c r="Q142" s="244">
        <f>ROUND(IF(coss!$D$496=0,0,+coss!P496/coss!$D$496),9)</f>
        <v>0</v>
      </c>
      <c r="R142" s="244">
        <f>ROUND(IF(coss!$D$496=0,0,+coss!Q496/coss!$D$496),9)</f>
        <v>0.034667486</v>
      </c>
      <c r="S142" s="244">
        <f>ROUND(IF(coss!$D$496=0,0,+coss!R496/coss!$D$496),9)</f>
        <v>0.001107866</v>
      </c>
      <c r="T142" s="244">
        <f>ROUND(IF(coss!$D$496=0,0,+coss!S496/coss!$D$496),9)</f>
        <v>0.006611156</v>
      </c>
      <c r="U142" s="244">
        <f>ROUND(IF(coss!$D$496=0,0,+coss!T496/coss!$D$496),9)</f>
        <v>0</v>
      </c>
      <c r="V142" s="258">
        <f>IF(coss!$D$496=0,0,1-SUM(F142:U142)-ROUND(coss!$W$496/coss!$D$496,9))</f>
        <v>0.00010870500000004224</v>
      </c>
      <c r="W142" s="244">
        <f>SUM(F142:V142)</f>
        <v>1</v>
      </c>
      <c r="X142" s="67">
        <f>E142-W142</f>
        <v>0</v>
      </c>
      <c r="Y142" s="8"/>
    </row>
    <row r="143" spans="1:25" ht="17.25">
      <c r="A143" s="8"/>
      <c r="B143" s="8"/>
      <c r="C143" s="8"/>
      <c r="D143" s="8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67"/>
      <c r="Y143" s="8"/>
    </row>
    <row r="144" spans="1:25" ht="17.25">
      <c r="A144" s="8"/>
      <c r="B144" s="42" t="s">
        <v>279</v>
      </c>
      <c r="C144" s="8"/>
      <c r="D144" s="8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67"/>
      <c r="Y144" s="20" t="s">
        <v>281</v>
      </c>
    </row>
    <row r="145" spans="1:25" ht="17.25">
      <c r="A145" s="20" t="s">
        <v>281</v>
      </c>
      <c r="B145" s="20" t="s">
        <v>280</v>
      </c>
      <c r="C145" s="20" t="s">
        <v>281</v>
      </c>
      <c r="D145" s="8" t="str">
        <f>C145</f>
        <v>CS09</v>
      </c>
      <c r="E145" s="244">
        <v>1</v>
      </c>
      <c r="F145" s="244">
        <f>ROUND(IF(coss!$D$687=0,0,+coss!E$687/coss!$D$687),9)</f>
        <v>0.442060733</v>
      </c>
      <c r="G145" s="244">
        <f>ROUND(IF(coss!$D$687=0,0,+coss!F$687/coss!$D$687),9)</f>
        <v>0.261989466</v>
      </c>
      <c r="H145" s="244">
        <f>ROUND(IF(coss!$D$687=0,0,+coss!G$687/coss!$D$687),9)</f>
        <v>0.000247899</v>
      </c>
      <c r="I145" s="244">
        <f>ROUND(IF(coss!$D$687=0,0,+coss!H$687/coss!$D$687),9)</f>
        <v>0.001612369</v>
      </c>
      <c r="J145" s="244">
        <f>ROUND(IF(coss!$D$687=0,0,+coss!I$687/coss!$D$687),9)</f>
        <v>0.003308963</v>
      </c>
      <c r="K145" s="244">
        <f>ROUND(IF(coss!$D$687=0,0,+coss!J$687/coss!$D$687),9)</f>
        <v>0.000130458</v>
      </c>
      <c r="L145" s="244">
        <f>ROUND(IF(coss!$D$687=0,0,+coss!K$687/coss!$D$687),9)</f>
        <v>0.152510976</v>
      </c>
      <c r="M145" s="244">
        <f>ROUND(IF(coss!$D$687=0,0,+coss!L$687/coss!$D$687),9)</f>
        <v>0.00143485</v>
      </c>
      <c r="N145" s="244">
        <f>ROUND(IF(coss!$D$687=0,0,+coss!M$687/coss!$D$687),9)</f>
        <v>0.082878821</v>
      </c>
      <c r="O145" s="244">
        <f>ROUND(IF(coss!$D$687=0,0,+coss!N$687/coss!$D$687),9)</f>
        <v>0.003149733</v>
      </c>
      <c r="P145" s="244">
        <f>ROUND(IF(coss!$D$687=0,0,+coss!O$687/coss!$D$687),9)</f>
        <v>0.0069909</v>
      </c>
      <c r="Q145" s="244">
        <f>ROUND(IF(coss!$D$687=0,0,+coss!P$687/coss!$D$687),9)</f>
        <v>0</v>
      </c>
      <c r="R145" s="244">
        <f>ROUND(IF(coss!$D$687=0,0,+coss!Q$687/coss!$D$687),9)</f>
        <v>0.03317421</v>
      </c>
      <c r="S145" s="244">
        <f>ROUND(IF(coss!$D$687=0,0,+coss!R$687/coss!$D$687),9)</f>
        <v>0.001524242</v>
      </c>
      <c r="T145" s="244">
        <f>ROUND(IF(coss!$D$687=0,0,+coss!S$687/coss!$D$687),9)</f>
        <v>0.008904026</v>
      </c>
      <c r="U145" s="244">
        <f>ROUND(IF(coss!$D$687=0,0,+coss!T$687/coss!$D$687),9)</f>
        <v>0</v>
      </c>
      <c r="V145" s="258">
        <f>IF(coss!$D$687=0,0,1-SUM(F145:U145)-ROUND(coss!$W$687/coss!$D$687,9))</f>
        <v>8.235400000011772E-05</v>
      </c>
      <c r="W145" s="244">
        <f>SUM(F145:V145)</f>
        <v>1</v>
      </c>
      <c r="X145" s="67">
        <f>E145-W145</f>
        <v>0</v>
      </c>
      <c r="Y145" s="8"/>
    </row>
    <row r="146" spans="1:25" ht="17.25">
      <c r="A146" s="8"/>
      <c r="B146" s="8"/>
      <c r="C146" s="8"/>
      <c r="D146" s="8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67"/>
      <c r="Y146" s="8"/>
    </row>
    <row r="147" spans="1:25" ht="17.25">
      <c r="A147" s="8"/>
      <c r="B147" s="49" t="s">
        <v>283</v>
      </c>
      <c r="C147" s="8"/>
      <c r="D147" s="8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58"/>
      <c r="W147" s="244"/>
      <c r="X147" s="67"/>
      <c r="Y147" s="20" t="s">
        <v>285</v>
      </c>
    </row>
    <row r="148" spans="1:25" ht="17.25">
      <c r="A148" s="20" t="s">
        <v>285</v>
      </c>
      <c r="B148" s="20" t="s">
        <v>284</v>
      </c>
      <c r="C148" s="20" t="s">
        <v>285</v>
      </c>
      <c r="D148" s="8" t="str">
        <f>C148</f>
        <v>K669</v>
      </c>
      <c r="E148" s="244">
        <v>1</v>
      </c>
      <c r="F148" s="244">
        <v>0</v>
      </c>
      <c r="G148" s="244">
        <v>0</v>
      </c>
      <c r="H148" s="244">
        <v>0</v>
      </c>
      <c r="I148" s="244">
        <v>0</v>
      </c>
      <c r="J148" s="244">
        <v>0</v>
      </c>
      <c r="K148" s="244">
        <v>0</v>
      </c>
      <c r="L148" s="244">
        <v>0</v>
      </c>
      <c r="M148" s="244">
        <v>0</v>
      </c>
      <c r="N148" s="244">
        <v>0</v>
      </c>
      <c r="O148" s="244">
        <v>0</v>
      </c>
      <c r="P148" s="244">
        <v>0</v>
      </c>
      <c r="Q148" s="244">
        <v>0</v>
      </c>
      <c r="R148" s="244">
        <v>0</v>
      </c>
      <c r="S148" s="244">
        <v>0</v>
      </c>
      <c r="T148" s="244">
        <v>0</v>
      </c>
      <c r="U148" s="244">
        <v>0</v>
      </c>
      <c r="V148" s="258">
        <v>0</v>
      </c>
      <c r="W148" s="244">
        <f>SUM(F148:V148)</f>
        <v>0</v>
      </c>
      <c r="X148" s="67">
        <f>E148-W148</f>
        <v>1</v>
      </c>
      <c r="Y148" s="20"/>
    </row>
    <row r="149" spans="1:25" ht="17.25">
      <c r="A149" s="20"/>
      <c r="B149" s="20"/>
      <c r="C149" s="20"/>
      <c r="D149" s="8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58"/>
      <c r="W149" s="244"/>
      <c r="X149" s="67"/>
      <c r="Y149" s="8"/>
    </row>
    <row r="150" spans="1:25" ht="17.25">
      <c r="A150" s="8"/>
      <c r="B150" s="42" t="s">
        <v>785</v>
      </c>
      <c r="C150" s="8"/>
      <c r="D150" s="8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58"/>
      <c r="W150" s="262"/>
      <c r="X150" s="74"/>
      <c r="Y150" s="20" t="s">
        <v>134</v>
      </c>
    </row>
    <row r="151" spans="1:25" ht="17.25">
      <c r="A151" s="20" t="s">
        <v>134</v>
      </c>
      <c r="B151" s="20" t="s">
        <v>794</v>
      </c>
      <c r="C151" s="20" t="s">
        <v>134</v>
      </c>
      <c r="D151" s="8" t="str">
        <f aca="true" t="shared" si="49" ref="D151:D158">C151</f>
        <v>P429</v>
      </c>
      <c r="E151" s="244">
        <v>1</v>
      </c>
      <c r="F151" s="244">
        <f>ROUND(IF(coss!$U$205=0,0,+coss!E$205/coss!$V$205),9)</f>
        <v>0.517060925</v>
      </c>
      <c r="G151" s="244">
        <f>ROUND(IF(coss!$U$205=0,0,+coss!F$205/coss!$V$205),9)</f>
        <v>0.222322988</v>
      </c>
      <c r="H151" s="244">
        <f>ROUND(IF(coss!$U$205=0,0,+coss!G$205/coss!$V$205),9)</f>
        <v>0.000218388</v>
      </c>
      <c r="I151" s="244">
        <f>ROUND(IF(coss!$U$205=0,0,+coss!H$205/coss!$V$205),9)</f>
        <v>0.000894254</v>
      </c>
      <c r="J151" s="244">
        <f>ROUND(IF(coss!$U$205=0,0,+coss!I$205/coss!$V$205),9)</f>
        <v>0.004251723</v>
      </c>
      <c r="K151" s="244">
        <f>ROUND(IF(coss!$U$205=0,0,+coss!J$205/coss!$V$205),9)</f>
        <v>9.9999E-05</v>
      </c>
      <c r="L151" s="244">
        <f>ROUND(IF(coss!$U$205=0,0,+coss!K$205/coss!$V$205),9)</f>
        <v>0.122775863</v>
      </c>
      <c r="M151" s="244">
        <f>ROUND(IF(coss!$U$205=0,0,+coss!L$205/coss!$V$205),9)</f>
        <v>0.001795401</v>
      </c>
      <c r="N151" s="244">
        <f>ROUND(IF(coss!$U$205=0,0,+coss!M$205/coss!$V$205),9)</f>
        <v>0.078789654</v>
      </c>
      <c r="O151" s="244">
        <f>ROUND(IF(coss!$U$205=0,0,+coss!N$205/coss!$V$205),9)</f>
        <v>0.003782758</v>
      </c>
      <c r="P151" s="244">
        <f>ROUND(IF(coss!$U$205=0,0,+coss!O$205/coss!$V$205),9)</f>
        <v>0.005858621</v>
      </c>
      <c r="Q151" s="244">
        <f>ROUND(IF(coss!$U$205=0,0,+coss!P$205/coss!$V$205),9)</f>
        <v>0</v>
      </c>
      <c r="R151" s="244">
        <f>ROUND(IF(coss!$U$205=0,0,+coss!Q$205/coss!$V$205),9)</f>
        <v>0.034789654</v>
      </c>
      <c r="S151" s="244">
        <f>ROUND(IF(coss!$U$205=0,0,+coss!R$205/coss!$V$205),9)</f>
        <v>0.002017241</v>
      </c>
      <c r="T151" s="244">
        <f>ROUND(IF(coss!$U$205=0,0,+coss!S$205/coss!$V$205),9)</f>
        <v>0.005179311</v>
      </c>
      <c r="U151" s="244">
        <f>ROUND(IF(coss!$U$205=0,0,+coss!T$205/coss!$V$205),9)</f>
        <v>0</v>
      </c>
      <c r="V151" s="263">
        <f>IF(coss!$V$205=0,0,1-SUM(F151:U151))</f>
        <v>0.00016322000000001946</v>
      </c>
      <c r="W151" s="244">
        <f aca="true" t="shared" si="50" ref="W151:W162">SUM(F151:V151)</f>
        <v>1</v>
      </c>
      <c r="X151" s="67">
        <f aca="true" t="shared" si="51" ref="X151:X164">E151-W151</f>
        <v>0</v>
      </c>
      <c r="Y151" s="20" t="s">
        <v>131</v>
      </c>
    </row>
    <row r="152" spans="1:25" ht="17.25">
      <c r="A152" s="20" t="s">
        <v>131</v>
      </c>
      <c r="B152" s="20" t="s">
        <v>786</v>
      </c>
      <c r="C152" s="20" t="s">
        <v>131</v>
      </c>
      <c r="D152" s="8" t="str">
        <f t="shared" si="49"/>
        <v>T429</v>
      </c>
      <c r="E152" s="244">
        <v>1</v>
      </c>
      <c r="F152" s="244">
        <f>ROUND(IF(coss!$V$210=0,0,+coss!E$210/coss!$V$210),9)</f>
        <v>0.517060754</v>
      </c>
      <c r="G152" s="244">
        <f>ROUND(IF(coss!$V$210=0,0,+coss!F$210/coss!$V$210),9)</f>
        <v>0.222323011</v>
      </c>
      <c r="H152" s="244">
        <f>ROUND(IF(coss!$V$210=0,0,+coss!G$210/coss!$V$210),9)</f>
        <v>0.000218388</v>
      </c>
      <c r="I152" s="244">
        <f>ROUND(IF(coss!$V$210=0,0,+coss!H$210/coss!$V$210),9)</f>
        <v>0.000894271</v>
      </c>
      <c r="J152" s="244">
        <f>ROUND(IF(coss!$V$210=0,0,+coss!I$210/coss!$V$210),9)</f>
        <v>0.004251714</v>
      </c>
      <c r="K152" s="244">
        <f>ROUND(IF(coss!$V$210=0,0,+coss!J$210/coss!$V$210),9)</f>
        <v>0.000100052</v>
      </c>
      <c r="L152" s="244">
        <f>ROUND(IF(coss!$V$210=0,0,+coss!K$210/coss!$V$210),9)</f>
        <v>0.122775861</v>
      </c>
      <c r="M152" s="244">
        <f>ROUND(IF(coss!$V$210=0,0,+coss!L$210/coss!$V$210),9)</f>
        <v>0.001795473</v>
      </c>
      <c r="N152" s="244">
        <f>ROUND(IF(coss!$V$210=0,0,+coss!M$210/coss!$V$210),9)</f>
        <v>0.078789648</v>
      </c>
      <c r="O152" s="244">
        <f>ROUND(IF(coss!$V$210=0,0,+coss!N$210/coss!$V$210),9)</f>
        <v>0.003782791</v>
      </c>
      <c r="P152" s="244">
        <f>ROUND(IF(coss!$V$210=0,0,+coss!O$210/coss!$V$210),9)</f>
        <v>0.005858586</v>
      </c>
      <c r="Q152" s="244">
        <f>ROUND(IF(coss!$V$210=0,0,+coss!P$210/coss!$V$210),9)</f>
        <v>0</v>
      </c>
      <c r="R152" s="244">
        <f>ROUND(IF(coss!$V$210=0,0,+coss!Q$210/coss!$V$210),9)</f>
        <v>0.034789648</v>
      </c>
      <c r="S152" s="244">
        <f>ROUND(IF(coss!$V$210=0,0,+coss!R$210/coss!$V$210),9)</f>
        <v>0.002017253</v>
      </c>
      <c r="T152" s="244">
        <f>ROUND(IF(coss!$V$210=0,0,+coss!S$210/coss!$V$210),9)</f>
        <v>0.005179311</v>
      </c>
      <c r="U152" s="244">
        <f>ROUND(IF(coss!$V$210=0,0,+coss!T$210/coss!$V$210),9)</f>
        <v>0</v>
      </c>
      <c r="V152" s="263">
        <f>IF(coss!$V$210=0,0,1-SUM(F152:U152))</f>
        <v>0.00016323900000014824</v>
      </c>
      <c r="W152" s="244">
        <f t="shared" si="50"/>
        <v>1</v>
      </c>
      <c r="X152" s="67">
        <f t="shared" si="51"/>
        <v>0</v>
      </c>
      <c r="Y152" s="20" t="s">
        <v>135</v>
      </c>
    </row>
    <row r="153" spans="1:25" ht="17.25">
      <c r="A153" s="20" t="s">
        <v>135</v>
      </c>
      <c r="B153" s="20" t="s">
        <v>787</v>
      </c>
      <c r="C153" s="20" t="s">
        <v>135</v>
      </c>
      <c r="D153" s="8" t="str">
        <f t="shared" si="49"/>
        <v>D449</v>
      </c>
      <c r="E153" s="244">
        <v>1</v>
      </c>
      <c r="F153" s="244">
        <f>ROUND(IF(coss!$V$217=0,0,+coss!E$217/coss!$V$217),9)</f>
        <v>0.518385719</v>
      </c>
      <c r="G153" s="244">
        <f>ROUND(IF(coss!$V$217=0,0,+coss!F$217/coss!$V$217),9)</f>
        <v>0.24700063</v>
      </c>
      <c r="H153" s="244">
        <f>ROUND(IF(coss!$V$217=0,0,+coss!G$217/coss!$V$217),9)</f>
        <v>0.000225811</v>
      </c>
      <c r="I153" s="244">
        <f>ROUND(IF(coss!$V$217=0,0,+coss!H$217/coss!$V$217),9)</f>
        <v>0.000911998</v>
      </c>
      <c r="J153" s="244">
        <f>ROUND(IF(coss!$V$217=0,0,+coss!I$217/coss!$V$217),9)</f>
        <v>0.003745917</v>
      </c>
      <c r="K153" s="244">
        <f>ROUND(IF(coss!$V$217=0,0,+coss!J$217/coss!$V$217),9)</f>
        <v>0.000120273</v>
      </c>
      <c r="L153" s="244">
        <f>ROUND(IF(coss!$V$217=0,0,+coss!K$217/coss!$V$217),9)</f>
        <v>0.137530733</v>
      </c>
      <c r="M153" s="244">
        <f>ROUND(IF(coss!$V$217=0,0,+coss!L$217/coss!$V$217),9)</f>
        <v>0.001620073</v>
      </c>
      <c r="N153" s="244">
        <f>ROUND(IF(coss!$V$217=0,0,+coss!M$217/coss!$V$217),9)</f>
        <v>0.060938797</v>
      </c>
      <c r="O153" s="244">
        <f>ROUND(IF(coss!$V$217=0,0,+coss!N$217/coss!$V$217),9)</f>
        <v>0.002796762</v>
      </c>
      <c r="P153" s="244">
        <f>ROUND(IF(coss!$V$217=0,0,+coss!O$217/coss!$V$217),9)</f>
        <v>0.005270747</v>
      </c>
      <c r="Q153" s="244">
        <f>ROUND(IF(coss!$V$217=0,0,+coss!P$217/coss!$V$217),9)</f>
        <v>0</v>
      </c>
      <c r="R153" s="244">
        <f>ROUND(IF(coss!$V$217=0,0,+coss!Q$217/coss!$V$217),9)</f>
        <v>6.8794E-05</v>
      </c>
      <c r="S153" s="244">
        <f>ROUND(IF(coss!$V$217=0,0,+coss!R$217/coss!$V$217),9)</f>
        <v>0</v>
      </c>
      <c r="T153" s="244">
        <f>ROUND(IF(coss!$V$217=0,0,+coss!S$217/coss!$V$217),9)</f>
        <v>0.021284004</v>
      </c>
      <c r="U153" s="244">
        <f>ROUND(IF(coss!$V$217=0,0,+coss!T$217/coss!$V$217),9)</f>
        <v>0</v>
      </c>
      <c r="V153" s="263">
        <f>IF(coss!$V$217=0,0,1-SUM(F153:U153))</f>
        <v>9.97420000001803E-05</v>
      </c>
      <c r="W153" s="244">
        <f t="shared" si="50"/>
        <v>1</v>
      </c>
      <c r="X153" s="67">
        <f t="shared" si="51"/>
        <v>0</v>
      </c>
      <c r="Y153" s="20" t="s">
        <v>136</v>
      </c>
    </row>
    <row r="154" spans="1:25" ht="17.25">
      <c r="A154" s="20" t="s">
        <v>136</v>
      </c>
      <c r="B154" s="20" t="s">
        <v>788</v>
      </c>
      <c r="C154" s="20" t="s">
        <v>136</v>
      </c>
      <c r="D154" s="8" t="str">
        <f t="shared" si="49"/>
        <v>NT49</v>
      </c>
      <c r="E154" s="244">
        <v>1</v>
      </c>
      <c r="F154" s="244">
        <f>ROUND(IF(coss!$V$221=0,0,+coss!E$221/coss!$V$221),9)</f>
        <v>0.517478591</v>
      </c>
      <c r="G154" s="244">
        <f>ROUND(IF(coss!$V$221=0,0,+coss!F$221/coss!$V$221),9)</f>
        <v>0.230103141</v>
      </c>
      <c r="H154" s="244">
        <f>ROUND(IF(coss!$V$221=0,0,+coss!G$221/coss!$V$221),9)</f>
        <v>0.000220728</v>
      </c>
      <c r="I154" s="244">
        <f>ROUND(IF(coss!$V$221=0,0,+coss!H$221/coss!$V$221),9)</f>
        <v>0.000899849</v>
      </c>
      <c r="J154" s="244">
        <f>ROUND(IF(coss!$V$221=0,0,+coss!I$221/coss!$V$221),9)</f>
        <v>0.004092256</v>
      </c>
      <c r="K154" s="244">
        <f>ROUND(IF(coss!$V$221=0,0,+coss!J$221/coss!$V$221),9)</f>
        <v>0.000106392</v>
      </c>
      <c r="L154" s="244">
        <f>ROUND(IF(coss!$V$221=0,0,+coss!K$221/coss!$V$221),9)</f>
        <v>0.12742765</v>
      </c>
      <c r="M154" s="244">
        <f>ROUND(IF(coss!$V$221=0,0,+coss!L$221/coss!$V$221),9)</f>
        <v>0.001740127</v>
      </c>
      <c r="N154" s="244">
        <f>ROUND(IF(coss!$V$221=0,0,+coss!M$221/coss!$V$221),9)</f>
        <v>0.073161791</v>
      </c>
      <c r="O154" s="244">
        <f>ROUND(IF(coss!$V$221=0,0,+coss!N$221/coss!$V$221),9)</f>
        <v>0.003471903</v>
      </c>
      <c r="P154" s="244">
        <f>ROUND(IF(coss!$V$221=0,0,+coss!O$221/coss!$V$221),9)</f>
        <v>0.005673281</v>
      </c>
      <c r="Q154" s="244">
        <f>ROUND(IF(coss!$V$221=0,0,+coss!P$221/coss!$V$221),9)</f>
        <v>0</v>
      </c>
      <c r="R154" s="244">
        <f>ROUND(IF(coss!$V$221=0,0,+coss!Q$221/coss!$V$221),9)</f>
        <v>0.023843162</v>
      </c>
      <c r="S154" s="244">
        <f>ROUND(IF(coss!$V$221=0,0,+coss!R$221/coss!$V$221),9)</f>
        <v>0.001381263</v>
      </c>
      <c r="T154" s="244">
        <f>ROUND(IF(coss!$V$221=0,0,+coss!S$221/coss!$V$221),9)</f>
        <v>0.010256659</v>
      </c>
      <c r="U154" s="244">
        <f>ROUND(IF(coss!$V$221=0,0,+coss!T$221/coss!$V$221),9)</f>
        <v>0</v>
      </c>
      <c r="V154" s="263">
        <f>IF(coss!$V$221=0,0,1-SUM(F154:U154))</f>
        <v>0.0001432070000002561</v>
      </c>
      <c r="W154" s="244">
        <f t="shared" si="50"/>
        <v>1</v>
      </c>
      <c r="X154" s="67">
        <f t="shared" si="51"/>
        <v>0</v>
      </c>
      <c r="Y154" s="20" t="s">
        <v>132</v>
      </c>
    </row>
    <row r="155" spans="1:25" ht="17.25">
      <c r="A155" s="20" t="s">
        <v>132</v>
      </c>
      <c r="B155" s="20" t="s">
        <v>789</v>
      </c>
      <c r="C155" s="20" t="s">
        <v>132</v>
      </c>
      <c r="D155" s="8" t="str">
        <f t="shared" si="49"/>
        <v>G429</v>
      </c>
      <c r="E155" s="244">
        <v>1</v>
      </c>
      <c r="F155" s="244">
        <f>ROUND(IF(coss!$V$226=0,0,+coss!E$226/coss!$V$226),9)</f>
        <v>0.554967662</v>
      </c>
      <c r="G155" s="244">
        <f>ROUND(IF(coss!$V$226=0,0,+coss!F$226/coss!$V$226),9)</f>
        <v>0.216832711</v>
      </c>
      <c r="H155" s="244">
        <f>ROUND(IF(coss!$V$226=0,0,+coss!G$226/coss!$V$226),9)</f>
        <v>0.000174751</v>
      </c>
      <c r="I155" s="244">
        <f>ROUND(IF(coss!$V$226=0,0,+coss!H$226/coss!$V$226),9)</f>
        <v>0.001032338</v>
      </c>
      <c r="J155" s="244">
        <f>ROUND(IF(coss!$V$226=0,0,+coss!I$226/coss!$V$226),9)</f>
        <v>0.003416045</v>
      </c>
      <c r="K155" s="244">
        <f>ROUND(IF(coss!$V$226=0,0,+coss!J$226/coss!$V$226),9)</f>
        <v>0.000122512</v>
      </c>
      <c r="L155" s="244">
        <f>ROUND(IF(coss!$V$226=0,0,+coss!K$226/coss!$V$226),9)</f>
        <v>0.114998756</v>
      </c>
      <c r="M155" s="244">
        <f>ROUND(IF(coss!$V$226=0,0,+coss!L$226/coss!$V$226),9)</f>
        <v>0.001228856</v>
      </c>
      <c r="N155" s="244">
        <f>ROUND(IF(coss!$V$226=0,0,+coss!M$226/coss!$V$226),9)</f>
        <v>0.068251866</v>
      </c>
      <c r="O155" s="244">
        <f>ROUND(IF(coss!$V$226=0,0,+coss!N$226/coss!$V$226),9)</f>
        <v>0.002589552</v>
      </c>
      <c r="P155" s="244">
        <f>ROUND(IF(coss!$V$226=0,0,+coss!O$226/coss!$V$226),9)</f>
        <v>0.005308458</v>
      </c>
      <c r="Q155" s="244">
        <f>ROUND(IF(coss!$V$226=0,0,+coss!P$226/coss!$V$226),9)</f>
        <v>0</v>
      </c>
      <c r="R155" s="244">
        <f>ROUND(IF(coss!$V$226=0,0,+coss!Q$226/coss!$V$226),9)</f>
        <v>0.024425373</v>
      </c>
      <c r="S155" s="244">
        <f>ROUND(IF(coss!$V$226=0,0,+coss!R$226/coss!$V$226),9)</f>
        <v>0.001118159</v>
      </c>
      <c r="T155" s="244">
        <f>ROUND(IF(coss!$V$226=0,0,+coss!S$226/coss!$V$226),9)</f>
        <v>0.005408582</v>
      </c>
      <c r="U155" s="244">
        <f>ROUND(IF(coss!$V$226=0,0,+coss!T$226/coss!$V$226),9)</f>
        <v>0</v>
      </c>
      <c r="V155" s="263">
        <f>IF(coss!$V$226=0,0,1-SUM(F155:U155))</f>
        <v>0.00012437899999984126</v>
      </c>
      <c r="W155" s="244">
        <f t="shared" si="50"/>
        <v>1</v>
      </c>
      <c r="X155" s="67">
        <f t="shared" si="51"/>
        <v>0</v>
      </c>
      <c r="Y155" s="20" t="s">
        <v>133</v>
      </c>
    </row>
    <row r="156" spans="1:25" ht="17.25">
      <c r="A156" s="20" t="s">
        <v>133</v>
      </c>
      <c r="B156" s="52" t="s">
        <v>790</v>
      </c>
      <c r="C156" s="20" t="s">
        <v>133</v>
      </c>
      <c r="D156" s="8" t="str">
        <f t="shared" si="49"/>
        <v>C429</v>
      </c>
      <c r="E156" s="244">
        <v>1</v>
      </c>
      <c r="F156" s="244">
        <f>ROUND(IF(coss!$V$231=0,0,+coss!E$231/coss!$V$231),9)</f>
        <v>0.554862478</v>
      </c>
      <c r="G156" s="244">
        <f>ROUND(IF(coss!$V$231=0,0,+coss!F$231/coss!$V$231),9)</f>
        <v>0.216898353</v>
      </c>
      <c r="H156" s="244">
        <f>ROUND(IF(coss!$V$231=0,0,+coss!G$231/coss!$V$231),9)</f>
        <v>0.000174225</v>
      </c>
      <c r="I156" s="244">
        <f>ROUND(IF(coss!$V$231=0,0,+coss!H$231/coss!$V$231),9)</f>
        <v>0.00103376</v>
      </c>
      <c r="J156" s="244">
        <f>ROUND(IF(coss!$V$231=0,0,+coss!I$231/coss!$V$231),9)</f>
        <v>0.003415233</v>
      </c>
      <c r="K156" s="244">
        <f>ROUND(IF(coss!$V$231=0,0,+coss!J$231/coss!$V$231),9)</f>
        <v>0.000122712</v>
      </c>
      <c r="L156" s="244">
        <f>ROUND(IF(coss!$V$231=0,0,+coss!K$231/coss!$V$231),9)</f>
        <v>0.115037899</v>
      </c>
      <c r="M156" s="244">
        <f>ROUND(IF(coss!$V$231=0,0,+coss!L$231/coss!$V$231),9)</f>
        <v>0.00122859</v>
      </c>
      <c r="N156" s="244">
        <f>ROUND(IF(coss!$V$231=0,0,+coss!M$231/coss!$V$231),9)</f>
        <v>0.068264649</v>
      </c>
      <c r="O156" s="244">
        <f>ROUND(IF(coss!$V$231=0,0,+coss!N$231/coss!$V$231),9)</f>
        <v>0.002587894</v>
      </c>
      <c r="P156" s="244">
        <f>ROUND(IF(coss!$V$231=0,0,+coss!O$231/coss!$V$231),9)</f>
        <v>0.005308251</v>
      </c>
      <c r="Q156" s="244">
        <f>ROUND(IF(coss!$V$231=0,0,+coss!P$231/coss!$V$231),9)</f>
        <v>0</v>
      </c>
      <c r="R156" s="244">
        <f>ROUND(IF(coss!$V$231=0,0,+coss!Q$231/coss!$V$231),9)</f>
        <v>0.024413853</v>
      </c>
      <c r="S156" s="244">
        <f>ROUND(IF(coss!$V$231=0,0,+coss!R$231/coss!$V$231),9)</f>
        <v>0.001116641</v>
      </c>
      <c r="T156" s="244">
        <f>ROUND(IF(coss!$V$231=0,0,+coss!S$231/coss!$V$231),9)</f>
        <v>0.005411554</v>
      </c>
      <c r="U156" s="244">
        <f>ROUND(IF(coss!$V$231=0,0,+coss!T$231/coss!$V$231),9)</f>
        <v>0</v>
      </c>
      <c r="V156" s="263">
        <f>IF(coss!$V$231=0,0,1-SUM(F156:U156))</f>
        <v>0.00012390800000017244</v>
      </c>
      <c r="W156" s="244">
        <f t="shared" si="50"/>
        <v>1</v>
      </c>
      <c r="X156" s="67">
        <f t="shared" si="51"/>
        <v>0</v>
      </c>
      <c r="Y156" s="20" t="s">
        <v>137</v>
      </c>
    </row>
    <row r="157" spans="1:25" ht="17.25">
      <c r="A157" s="20" t="s">
        <v>137</v>
      </c>
      <c r="B157" s="52" t="s">
        <v>791</v>
      </c>
      <c r="C157" s="20" t="s">
        <v>137</v>
      </c>
      <c r="D157" s="8" t="str">
        <f t="shared" si="49"/>
        <v>NP49</v>
      </c>
      <c r="E157" s="244">
        <v>1</v>
      </c>
      <c r="F157" s="244">
        <f>ROUND(IF(coss!$V$233=0,0,+coss!E$233/coss!$V$233),9)</f>
        <v>0.518279449</v>
      </c>
      <c r="G157" s="244">
        <f>ROUND(IF(coss!$V$233=0,0,+coss!F$233/coss!$V$233),9)</f>
        <v>0.229820182</v>
      </c>
      <c r="H157" s="244">
        <f>ROUND(IF(coss!$V$233=0,0,+coss!G$233/coss!$V$233),9)</f>
        <v>0.000219734</v>
      </c>
      <c r="I157" s="244">
        <f>ROUND(IF(coss!$V$233=0,0,+coss!H$233/coss!$V$233),9)</f>
        <v>0.000902712</v>
      </c>
      <c r="J157" s="244">
        <f>ROUND(IF(coss!$V$233=0,0,+coss!I$233/coss!$V$233),9)</f>
        <v>0.00407776</v>
      </c>
      <c r="K157" s="244">
        <f>ROUND(IF(coss!$V$233=0,0,+coss!J$233/coss!$V$233),9)</f>
        <v>0.000106741</v>
      </c>
      <c r="L157" s="244">
        <f>ROUND(IF(coss!$V$233=0,0,+coss!K$233/coss!$V$233),9)</f>
        <v>0.127162218</v>
      </c>
      <c r="M157" s="244">
        <f>ROUND(IF(coss!$V$233=0,0,+coss!L$233/coss!$V$233),9)</f>
        <v>0.001729173</v>
      </c>
      <c r="N157" s="244">
        <f>ROUND(IF(coss!$V$233=0,0,+coss!M$233/coss!$V$233),9)</f>
        <v>0.073056884</v>
      </c>
      <c r="O157" s="244">
        <f>ROUND(IF(coss!$V$233=0,0,+coss!N$233/coss!$V$233),9)</f>
        <v>0.003452977</v>
      </c>
      <c r="P157" s="244">
        <f>ROUND(IF(coss!$V$233=0,0,+coss!O$233/coss!$V$233),9)</f>
        <v>0.005665464</v>
      </c>
      <c r="Q157" s="244">
        <f>ROUND(IF(coss!$V$233=0,0,+coss!P$233/coss!$V$233),9)</f>
        <v>0</v>
      </c>
      <c r="R157" s="244">
        <f>ROUND(IF(coss!$V$233=0,0,+coss!Q$233/coss!$V$233),9)</f>
        <v>0.023855415</v>
      </c>
      <c r="S157" s="244">
        <f>ROUND(IF(coss!$V$233=0,0,+coss!R$233/coss!$V$233),9)</f>
        <v>0.0013756</v>
      </c>
      <c r="T157" s="244">
        <f>ROUND(IF(coss!$V$233=0,0,+coss!S$233/coss!$V$233),9)</f>
        <v>0.010152894</v>
      </c>
      <c r="U157" s="244">
        <f>ROUND(IF(coss!$V$233=0,0,+coss!T$233/coss!$V$233),9)</f>
        <v>0</v>
      </c>
      <c r="V157" s="263">
        <f>IF(coss!$V$233=0,0,1-SUM(F157:U157))</f>
        <v>0.00014279700000008333</v>
      </c>
      <c r="W157" s="244">
        <f t="shared" si="50"/>
        <v>1</v>
      </c>
      <c r="X157" s="67">
        <f t="shared" si="51"/>
        <v>0</v>
      </c>
      <c r="Y157" s="20" t="s">
        <v>138</v>
      </c>
    </row>
    <row r="158" spans="1:25" ht="17.25">
      <c r="A158" s="20" t="s">
        <v>138</v>
      </c>
      <c r="B158" s="52" t="s">
        <v>792</v>
      </c>
      <c r="C158" s="20" t="s">
        <v>138</v>
      </c>
      <c r="D158" s="8" t="str">
        <f t="shared" si="49"/>
        <v>O429</v>
      </c>
      <c r="E158" s="244">
        <v>1</v>
      </c>
      <c r="F158" s="244">
        <f>ROUND(IF((coss!$V$226+coss!$V$231)=0,0,+(coss!E$226+coss!E$231)/(coss!$V$226+coss!$V$231)),9)</f>
        <v>0.554876032</v>
      </c>
      <c r="G158" s="244">
        <f>ROUND(IF((coss!$V$226+coss!$V$231)=0,0,+(coss!F$226+coss!F$231)/(coss!$V$226+coss!$V$231)),9)</f>
        <v>0.216889895</v>
      </c>
      <c r="H158" s="244">
        <f>ROUND(IF((coss!$V$226+coss!$V$231)=0,0,+(coss!G$226+coss!G$231)/(coss!$V$226+coss!$V$231)),9)</f>
        <v>0.000174293</v>
      </c>
      <c r="I158" s="244">
        <f>ROUND(IF((coss!$V$226+coss!$V$231)=0,0,+(coss!H$226+coss!H$231)/(coss!$V$226+coss!$V$231)),9)</f>
        <v>0.001033576</v>
      </c>
      <c r="J158" s="244">
        <f>ROUND(IF((coss!$V$226+coss!$V$231)=0,0,+(coss!I$226+coss!I$231)/(coss!$V$226+coss!$V$231)),9)</f>
        <v>0.003415338</v>
      </c>
      <c r="K158" s="244">
        <f>ROUND(IF((coss!$V$226+coss!$V$231)=0,0,+(coss!J$226+coss!J$231)/(coss!$V$226+coss!$V$231)),9)</f>
        <v>0.000122686</v>
      </c>
      <c r="L158" s="244">
        <f>ROUND(IF((coss!$V$226+coss!$V$231)=0,0,+(coss!K$226+coss!K$231)/(coss!$V$226+coss!$V$231)),9)</f>
        <v>0.115032855</v>
      </c>
      <c r="M158" s="244">
        <f>ROUND(IF((coss!$V$226+coss!$V$231)=0,0,+(coss!L$226+coss!L$231)/(coss!$V$226+coss!$V$231)),9)</f>
        <v>0.001228624</v>
      </c>
      <c r="N158" s="244">
        <f>ROUND(IF((coss!$V$226+coss!$V$231)=0,0,+(coss!M$226+coss!M$231)/(coss!$V$226+coss!$V$231)),9)</f>
        <v>0.068263002</v>
      </c>
      <c r="O158" s="244">
        <f>ROUND(IF((coss!$V$226+coss!$V$231)=0,0,+(coss!N$226+coss!N$231)/(coss!$V$226+coss!$V$231)),9)</f>
        <v>0.002588108</v>
      </c>
      <c r="P158" s="244">
        <f>ROUND(IF((coss!$V$226+coss!$V$231)=0,0,+(coss!O$226+coss!O$231)/(coss!$V$226+coss!$V$231)),9)</f>
        <v>0.005308278</v>
      </c>
      <c r="Q158" s="244">
        <f>ROUND(IF((coss!$V$226+coss!$V$231)=0,0,+(coss!P$226+coss!P$231)/(coss!$V$226+coss!$V$231)),9)</f>
        <v>0</v>
      </c>
      <c r="R158" s="244">
        <f>ROUND(IF((coss!$V$226+coss!$V$231)=0,0,+(coss!Q$226+coss!Q$231)/(coss!$V$226+coss!$V$231)),9)</f>
        <v>0.024415338</v>
      </c>
      <c r="S158" s="244">
        <f>ROUND(IF((coss!$V$226+coss!$V$231)=0,0,+(coss!R$226+coss!R$231)/(coss!$V$226+coss!$V$231)),9)</f>
        <v>0.001116836</v>
      </c>
      <c r="T158" s="244">
        <f>ROUND(IF((coss!$V$226+coss!$V$231)=0,0,+(coss!S$226+coss!S$231)/(coss!$V$226+coss!$V$231)),9)</f>
        <v>0.005411171</v>
      </c>
      <c r="U158" s="244">
        <f>ROUND(IF((coss!$V$226+coss!$V$231)=0,0,+(coss!T$226+coss!T$231)/(coss!$V$226+coss!$V$231)),9)</f>
        <v>0</v>
      </c>
      <c r="V158" s="263">
        <f>IF(coss!$V$226+coss!V231=0,0,1-SUM(F158:U158))</f>
        <v>0.0001239679999999188</v>
      </c>
      <c r="W158" s="244">
        <f t="shared" si="50"/>
        <v>1</v>
      </c>
      <c r="X158" s="67">
        <f t="shared" si="51"/>
        <v>0</v>
      </c>
      <c r="Y158" s="20" t="s">
        <v>775</v>
      </c>
    </row>
    <row r="159" spans="1:25" ht="17.25">
      <c r="A159" s="20" t="s">
        <v>775</v>
      </c>
      <c r="B159" s="52" t="s">
        <v>793</v>
      </c>
      <c r="C159" s="20" t="s">
        <v>775</v>
      </c>
      <c r="D159" s="8" t="str">
        <f>C159</f>
        <v>J349</v>
      </c>
      <c r="E159" s="244">
        <v>1</v>
      </c>
      <c r="F159" s="244">
        <f>ROUND(IF(coss!$V$362=0,0,+coss!E$362/coss!$V$362),9)</f>
        <v>0.399292873</v>
      </c>
      <c r="G159" s="244">
        <f>ROUND(IF(coss!$V$362=0,0,+coss!F$362/coss!$V$362),9)</f>
        <v>0.255622535</v>
      </c>
      <c r="H159" s="244">
        <f>ROUND(IF(coss!$V$362=0,0,+coss!G$362/coss!$V$362),9)</f>
        <v>9.7063E-05</v>
      </c>
      <c r="I159" s="244">
        <f>ROUND(IF(coss!$V$362=0,0,+coss!H$362/coss!$V$362),9)</f>
        <v>0.001475414</v>
      </c>
      <c r="J159" s="244">
        <f>ROUND(IF(coss!$V$362=0,0,+coss!I$362/coss!$V$362),9)</f>
        <v>0.003629734</v>
      </c>
      <c r="K159" s="244">
        <f>ROUND(IF(coss!$V$362=0,0,+coss!J$362/coss!$V$362),9)</f>
        <v>0.000101068</v>
      </c>
      <c r="L159" s="244">
        <f>ROUND(IF(coss!$V$362=0,0,+coss!K$362/coss!$V$362),9)</f>
        <v>0.174523414</v>
      </c>
      <c r="M159" s="244">
        <f>ROUND(IF(coss!$V$362=0,0,+coss!L$362/coss!$V$362),9)</f>
        <v>0.00078416</v>
      </c>
      <c r="N159" s="244">
        <f>ROUND(IF(coss!$V$362=0,0,+coss!M$362/coss!$V$362),9)</f>
        <v>0.104854712</v>
      </c>
      <c r="O159" s="244">
        <f>ROUND(IF(coss!$V$362=0,0,+coss!N$362/coss!$V$362),9)</f>
        <v>0.001848989</v>
      </c>
      <c r="P159" s="244">
        <f>ROUND(IF(coss!$V$362=0,0,+coss!O$362/coss!$V$362),9)</f>
        <v>0.008206306</v>
      </c>
      <c r="Q159" s="244">
        <f>ROUND(IF(coss!$V$362=0,0,+coss!P$362/coss!$V$362),9)</f>
        <v>0</v>
      </c>
      <c r="R159" s="244">
        <f>ROUND(IF(coss!$V$362=0,0,+coss!Q$362/coss!$V$362),9)</f>
        <v>0.042328098</v>
      </c>
      <c r="S159" s="244">
        <f>ROUND(IF(coss!$V$362=0,0,+coss!R$362/coss!$V$362),9)</f>
        <v>0.001013822</v>
      </c>
      <c r="T159" s="244">
        <f>ROUND(IF(coss!$V$362=0,0,+coss!S$362/coss!$V$362),9)</f>
        <v>0.006129657</v>
      </c>
      <c r="U159" s="244">
        <f>ROUND(IF(coss!$V$362=0,0,+coss!T$362/coss!$V$362),9)</f>
        <v>0</v>
      </c>
      <c r="V159" s="263">
        <f>IF(coss!$V$362=0,0,1-SUM(F159:U159))</f>
        <v>9.21550000001492E-05</v>
      </c>
      <c r="W159" s="244">
        <f t="shared" si="50"/>
        <v>1</v>
      </c>
      <c r="X159" s="67">
        <f t="shared" si="51"/>
        <v>0</v>
      </c>
      <c r="Y159" s="20" t="s">
        <v>797</v>
      </c>
    </row>
    <row r="160" spans="1:25" ht="17.25">
      <c r="A160" s="20" t="s">
        <v>797</v>
      </c>
      <c r="B160" s="52" t="s">
        <v>798</v>
      </c>
      <c r="C160" s="20" t="s">
        <v>797</v>
      </c>
      <c r="D160" s="8" t="str">
        <f>+C160</f>
        <v>J315</v>
      </c>
      <c r="E160" s="244">
        <v>1</v>
      </c>
      <c r="F160" s="244">
        <f>ROUND(IF(coss!$V$417=0,0,+coss!E$417/coss!$V$417),9)</f>
        <v>0.554890549</v>
      </c>
      <c r="G160" s="244">
        <f>ROUND(IF(coss!$V$417=0,0,+coss!F$417/coss!$V$417),9)</f>
        <v>0.216886403</v>
      </c>
      <c r="H160" s="244">
        <f>ROUND(IF(coss!$V$417=0,0,+coss!G$417/coss!$V$417),9)</f>
        <v>0.000174109</v>
      </c>
      <c r="I160" s="244">
        <f>ROUND(IF(coss!$V$417=0,0,+coss!H$417/coss!$V$417),9)</f>
        <v>0.00103384</v>
      </c>
      <c r="J160" s="244">
        <f>ROUND(IF(coss!$V$417=0,0,+coss!I$417/coss!$V$417),9)</f>
        <v>0.003415026</v>
      </c>
      <c r="K160" s="244">
        <f>ROUND(IF(coss!$V$417=0,0,+coss!J$417/coss!$V$417),9)</f>
        <v>0.000122654</v>
      </c>
      <c r="L160" s="244">
        <f>ROUND(IF(coss!$V$417=0,0,+coss!K$417/coss!$V$417),9)</f>
        <v>0.115025694</v>
      </c>
      <c r="M160" s="244">
        <f>ROUND(IF(coss!$V$417=0,0,+coss!L$417/coss!$V$417),9)</f>
        <v>0.001228386</v>
      </c>
      <c r="N160" s="244">
        <f>ROUND(IF(coss!$V$417=0,0,+coss!M$417/coss!$V$417),9)</f>
        <v>0.068259835</v>
      </c>
      <c r="O160" s="244">
        <f>ROUND(IF(coss!$V$417=0,0,+coss!N$417/coss!$V$417),9)</f>
        <v>0.002587661</v>
      </c>
      <c r="P160" s="244">
        <f>ROUND(IF(coss!$V$417=0,0,+coss!O$417/coss!$V$417),9)</f>
        <v>0.005307866</v>
      </c>
      <c r="Q160" s="244">
        <f>ROUND(IF(coss!$V$417=0,0,+coss!P$417/coss!$V$417),9)</f>
        <v>0</v>
      </c>
      <c r="R160" s="244">
        <f>ROUND(IF(coss!$V$417=0,0,+coss!Q$417/coss!$V$417),9)</f>
        <v>0.024416462</v>
      </c>
      <c r="S160" s="244">
        <f>ROUND(IF(coss!$V$417=0,0,+coss!R$417/coss!$V$417),9)</f>
        <v>0.0011167</v>
      </c>
      <c r="T160" s="244">
        <f>ROUND(IF(coss!$V$417=0,0,+coss!S$417/coss!$V$417),9)</f>
        <v>0.005410815</v>
      </c>
      <c r="U160" s="244">
        <f>ROUND(IF(coss!$V$417=0,0,+coss!T$417/coss!$V$417),9)</f>
        <v>0</v>
      </c>
      <c r="V160" s="263">
        <f>IF(coss!$V$417=0,0,1-SUM(F160:U160))</f>
        <v>0.00012400000000023503</v>
      </c>
      <c r="W160" s="244">
        <f t="shared" si="50"/>
        <v>1</v>
      </c>
      <c r="X160" s="67">
        <f t="shared" si="51"/>
        <v>0</v>
      </c>
      <c r="Y160" s="20" t="s">
        <v>801</v>
      </c>
    </row>
    <row r="161" spans="1:25" ht="17.25">
      <c r="A161" s="20" t="s">
        <v>801</v>
      </c>
      <c r="B161" s="52" t="s">
        <v>799</v>
      </c>
      <c r="C161" s="20" t="s">
        <v>801</v>
      </c>
      <c r="D161" s="8" t="str">
        <f>+C161</f>
        <v>J600</v>
      </c>
      <c r="E161" s="244">
        <v>1</v>
      </c>
      <c r="F161" s="244">
        <f>ROUND(IF(coss!$V$729=0,0,+coss!E$729/coss!$V$729),9)</f>
        <v>0.410424625</v>
      </c>
      <c r="G161" s="244">
        <f>ROUND(IF(coss!$V$729=0,0,+coss!F$729/coss!$V$729),9)</f>
        <v>0.280412025</v>
      </c>
      <c r="H161" s="244">
        <f>ROUND(IF(coss!$V$729=0,0,+coss!G$729/coss!$V$729),9)</f>
        <v>0.000294664</v>
      </c>
      <c r="I161" s="244">
        <f>ROUND(IF(coss!$V$729=0,0,+coss!H$729/coss!$V$729),9)</f>
        <v>0.001983672</v>
      </c>
      <c r="J161" s="244">
        <f>ROUND(IF(coss!$V$729=0,0,+coss!I$729/coss!$V$729),9)</f>
        <v>0.002919326</v>
      </c>
      <c r="K161" s="244">
        <f>ROUND(IF(coss!$V$729=0,0,+coss!J$729/coss!$V$729),9)</f>
        <v>0.000147614</v>
      </c>
      <c r="L161" s="244">
        <f>ROUND(IF(coss!$V$729=0,0,+coss!K$729/coss!$V$729),9)</f>
        <v>0.161323341</v>
      </c>
      <c r="M161" s="244">
        <f>ROUND(IF(coss!$V$729=0,0,+coss!L$729/coss!$V$729),9)</f>
        <v>0.001444802</v>
      </c>
      <c r="N161" s="244">
        <f>ROUND(IF(coss!$V$729=0,0,+coss!M$729/coss!$V$729),9)</f>
        <v>0.083491008</v>
      </c>
      <c r="O161" s="244">
        <f>ROUND(IF(coss!$V$729=0,0,+coss!N$729/coss!$V$729),9)</f>
        <v>0.003289191</v>
      </c>
      <c r="P161" s="244">
        <f>ROUND(IF(coss!$V$729=0,0,+coss!O$729/coss!$V$729),9)</f>
        <v>0.007418322</v>
      </c>
      <c r="Q161" s="244">
        <f>ROUND(IF(coss!$V$729=0,0,+coss!P$729/coss!$V$729),9)</f>
        <v>0</v>
      </c>
      <c r="R161" s="244">
        <f>ROUND(IF(coss!$V$729=0,0,+coss!Q$729/coss!$V$729),9)</f>
        <v>0.03587656</v>
      </c>
      <c r="S161" s="244">
        <f>ROUND(IF(coss!$V$729=0,0,+coss!R$729/coss!$V$729),9)</f>
        <v>0.001699352</v>
      </c>
      <c r="T161" s="244">
        <f>ROUND(IF(coss!$V$729=0,0,+coss!S$729/coss!$V$729),9)</f>
        <v>0.009223342</v>
      </c>
      <c r="U161" s="244">
        <f>ROUND(IF(coss!$V$729=0,0,+coss!T$729/coss!$V$729),9)</f>
        <v>0</v>
      </c>
      <c r="V161" s="263">
        <f>IF(coss!$V$729=0,0,1-SUM(F161:U161))</f>
        <v>5.215599999996989E-05</v>
      </c>
      <c r="W161" s="244">
        <f t="shared" si="50"/>
        <v>1</v>
      </c>
      <c r="X161" s="67">
        <f t="shared" si="51"/>
        <v>0</v>
      </c>
      <c r="Y161" s="20" t="s">
        <v>802</v>
      </c>
    </row>
    <row r="162" spans="1:25" ht="17.25">
      <c r="A162" s="20" t="s">
        <v>802</v>
      </c>
      <c r="B162" s="52" t="s">
        <v>800</v>
      </c>
      <c r="C162" s="20" t="s">
        <v>802</v>
      </c>
      <c r="D162" s="8" t="str">
        <f>+C162</f>
        <v>J602</v>
      </c>
      <c r="E162" s="244">
        <v>1</v>
      </c>
      <c r="F162" s="244">
        <f>ROUND(IF(coss!$V$730=0,0,+coss!E$730/coss!$V$730),9)</f>
        <v>0.442061367</v>
      </c>
      <c r="G162" s="244">
        <f>ROUND(IF(coss!$V$730=0,0,+coss!F$730/coss!$V$730),9)</f>
        <v>0.261989167</v>
      </c>
      <c r="H162" s="244">
        <f>ROUND(IF(coss!$V$730=0,0,+coss!G$730/coss!$V$730),9)</f>
        <v>0.000247902</v>
      </c>
      <c r="I162" s="244">
        <f>ROUND(IF(coss!$V$730=0,0,+coss!H$730/coss!$V$730),9)</f>
        <v>0.001612367</v>
      </c>
      <c r="J162" s="244">
        <f>ROUND(IF(coss!$V$730=0,0,+coss!I$730/coss!$V$730),9)</f>
        <v>0.003308963</v>
      </c>
      <c r="K162" s="244">
        <f>ROUND(IF(coss!$V$730=0,0,+coss!J$730/coss!$V$730),9)</f>
        <v>0.000130458</v>
      </c>
      <c r="L162" s="244">
        <f>ROUND(IF(coss!$V$730=0,0,+coss!K$730/coss!$V$730),9)</f>
        <v>0.152510798</v>
      </c>
      <c r="M162" s="244">
        <f>ROUND(IF(coss!$V$730=0,0,+coss!L$730/coss!$V$730),9)</f>
        <v>0.001434849</v>
      </c>
      <c r="N162" s="244">
        <f>ROUND(IF(coss!$V$730=0,0,+coss!M$730/coss!$V$730),9)</f>
        <v>0.082878726</v>
      </c>
      <c r="O162" s="244">
        <f>ROUND(IF(coss!$V$730=0,0,+coss!N$730/coss!$V$730),9)</f>
        <v>0.003149726</v>
      </c>
      <c r="P162" s="244">
        <f>ROUND(IF(coss!$V$730=0,0,+coss!O$730/coss!$V$730),9)</f>
        <v>0.006990889</v>
      </c>
      <c r="Q162" s="244">
        <f>ROUND(IF(coss!$V$730=0,0,+coss!P$730/coss!$V$730),9)</f>
        <v>0</v>
      </c>
      <c r="R162" s="244">
        <f>ROUND(IF(coss!$V$730=0,0,+coss!Q$730/coss!$V$730),9)</f>
        <v>0.033174173</v>
      </c>
      <c r="S162" s="244">
        <f>ROUND(IF(coss!$V$730=0,0,+coss!R$730/coss!$V$730),9)</f>
        <v>0.001524244</v>
      </c>
      <c r="T162" s="244">
        <f>ROUND(IF(coss!$V$730=0,0,+coss!S$730/coss!$V$730),9)</f>
        <v>0.008904019</v>
      </c>
      <c r="U162" s="244">
        <f>ROUND(IF(coss!$V$730=0,0,+coss!T$730/coss!$V$730),9)</f>
        <v>0</v>
      </c>
      <c r="V162" s="263">
        <f>IF(coss!$V$730=0,0,1-SUM(F162:U162))</f>
        <v>8.235199999984122E-05</v>
      </c>
      <c r="W162" s="244">
        <f t="shared" si="50"/>
        <v>1</v>
      </c>
      <c r="X162" s="67">
        <f t="shared" si="51"/>
        <v>0</v>
      </c>
      <c r="Y162" s="20" t="s">
        <v>804</v>
      </c>
    </row>
    <row r="163" spans="1:25" ht="17.25">
      <c r="A163" s="20" t="s">
        <v>804</v>
      </c>
      <c r="B163" s="52" t="s">
        <v>803</v>
      </c>
      <c r="C163" s="20" t="s">
        <v>804</v>
      </c>
      <c r="D163" s="8" t="str">
        <f>+C163</f>
        <v>J865</v>
      </c>
      <c r="E163" s="244">
        <v>1</v>
      </c>
      <c r="F163" s="244">
        <f>ROUND(IF(coss!$V$575=0,0,+coss!E$575/coss!$V$575),9)</f>
        <v>0.311509966</v>
      </c>
      <c r="G163" s="244">
        <f>ROUND(IF(coss!$V$575=0,0,+coss!F$575/coss!$V$575),9)</f>
        <v>0.389352634</v>
      </c>
      <c r="H163" s="244">
        <f>ROUND(IF(coss!$V$575=0,0,+coss!G$575/coss!$V$575),9)</f>
        <v>0.000847988</v>
      </c>
      <c r="I163" s="244">
        <f>ROUND(IF(coss!$V$575=0,0,+coss!H$575/coss!$V$575),9)</f>
        <v>0.003850405</v>
      </c>
      <c r="J163" s="244">
        <f>ROUND(IF(coss!$V$575=0,0,+coss!I$575/coss!$V$575),9)</f>
        <v>0.001096922</v>
      </c>
      <c r="K163" s="244">
        <f>ROUND(IF(coss!$V$575=0,0,+coss!J$575/coss!$V$575),9)</f>
        <v>0.00026846</v>
      </c>
      <c r="L163" s="244">
        <f>ROUND(IF(coss!$V$575=0,0,+coss!K$575/coss!$V$575),9)</f>
        <v>0.171290272</v>
      </c>
      <c r="M163" s="244">
        <f>ROUND(IF(coss!$V$575=0,0,+coss!L$575/coss!$V$575),9)</f>
        <v>0.003275559</v>
      </c>
      <c r="N163" s="244">
        <f>ROUND(IF(coss!$V$575=0,0,+coss!M$575/coss!$V$575),9)</f>
        <v>0.04924285</v>
      </c>
      <c r="O163" s="244">
        <f>ROUND(IF(coss!$V$575=0,0,+coss!N$575/coss!$V$575),9)</f>
        <v>0.00741914</v>
      </c>
      <c r="P163" s="244">
        <f>ROUND(IF(coss!$V$575=0,0,+coss!O$575/coss!$V$575),9)</f>
        <v>0.007399215</v>
      </c>
      <c r="Q163" s="244">
        <f>ROUND(IF(coss!$V$575=0,0,+coss!P$575/coss!$V$575),9)</f>
        <v>0</v>
      </c>
      <c r="R163" s="244">
        <f>ROUND(IF(coss!$V$575=0,0,+coss!Q$575/coss!$V$575),9)</f>
        <v>0.030037097</v>
      </c>
      <c r="S163" s="244">
        <f>ROUND(IF(coss!$V$575=0,0,+coss!R$575/coss!$V$575),9)</f>
        <v>0.00382304</v>
      </c>
      <c r="T163" s="244">
        <f>ROUND(IF(coss!$V$575=0,0,+coss!S$575/coss!$V$575),9)</f>
        <v>0.020670615</v>
      </c>
      <c r="U163" s="244">
        <f>ROUND(IF(coss!$V$575=0,0,+coss!T$575/coss!$V$575),9)</f>
        <v>0</v>
      </c>
      <c r="V163" s="263">
        <f>IF(coss!$V$575=0,0,1-SUM(F163:U163))</f>
        <v>-8.416299999991494E-05</v>
      </c>
      <c r="W163" s="244">
        <f>SUM(F163:V163)</f>
        <v>1</v>
      </c>
      <c r="X163" s="67">
        <f t="shared" si="51"/>
        <v>0</v>
      </c>
      <c r="Y163" s="20" t="s">
        <v>796</v>
      </c>
    </row>
    <row r="164" spans="1:25" ht="17.25">
      <c r="A164" s="20" t="s">
        <v>796</v>
      </c>
      <c r="B164" s="52" t="s">
        <v>795</v>
      </c>
      <c r="C164" s="20" t="s">
        <v>796</v>
      </c>
      <c r="D164" s="8" t="str">
        <f>C164</f>
        <v>JR99</v>
      </c>
      <c r="E164" s="244">
        <v>1</v>
      </c>
      <c r="F164" s="244">
        <f>ROUND(IF(coss!$V$336=0,0,+coss!E$336/coss!$V$336),9)</f>
        <v>0.51286288</v>
      </c>
      <c r="G164" s="244">
        <f>ROUND(IF(coss!$V$336=0,0,+coss!F$336/coss!$V$336),9)</f>
        <v>0.230980804</v>
      </c>
      <c r="H164" s="244">
        <f>ROUND(IF(coss!$V$336=0,0,+coss!G$336/coss!$V$336),9)</f>
        <v>0.000220628</v>
      </c>
      <c r="I164" s="244">
        <f>ROUND(IF(coss!$V$336=0,0,+coss!H$336/coss!$V$336),9)</f>
        <v>0.000932123</v>
      </c>
      <c r="J164" s="244">
        <f>ROUND(IF(coss!$V$336=0,0,+coss!I$336/coss!$V$336),9)</f>
        <v>0.004039873</v>
      </c>
      <c r="K164" s="244">
        <f>ROUND(IF(coss!$V$336=0,0,+coss!J$336/coss!$V$336),9)</f>
        <v>0.000106765</v>
      </c>
      <c r="L164" s="244">
        <f>ROUND(IF(coss!$V$336=0,0,+coss!K$336/coss!$V$336),9)</f>
        <v>0.129367649</v>
      </c>
      <c r="M164" s="244">
        <f>ROUND(IF(coss!$V$336=0,0,+coss!L$336/coss!$V$336),9)</f>
        <v>0.001734348</v>
      </c>
      <c r="N164" s="244">
        <f>ROUND(IF(coss!$V$336=0,0,+coss!M$336/coss!$V$336),9)</f>
        <v>0.07431799</v>
      </c>
      <c r="O164" s="244">
        <f>ROUND(IF(coss!$V$336=0,0,+coss!N$336/coss!$V$336),9)</f>
        <v>0.003500848</v>
      </c>
      <c r="P164" s="244">
        <f>ROUND(IF(coss!$V$336=0,0,+coss!O$336/coss!$V$336),9)</f>
        <v>0.005774227</v>
      </c>
      <c r="Q164" s="244">
        <f>ROUND(IF(coss!$V$336=0,0,+coss!P$336/coss!$V$336),9)</f>
        <v>0</v>
      </c>
      <c r="R164" s="244">
        <f>ROUND(IF(coss!$V$336=0,0,+coss!Q$336/coss!$V$336),9)</f>
        <v>0.02443565</v>
      </c>
      <c r="S164" s="244">
        <f>ROUND(IF(coss!$V$336=0,0,+coss!R$336/coss!$V$336),9)</f>
        <v>0.001418447</v>
      </c>
      <c r="T164" s="244">
        <f>ROUND(IF(coss!$V$336=0,0,+coss!S$336/coss!$V$336),9)</f>
        <v>0.010168325</v>
      </c>
      <c r="U164" s="244">
        <f>ROUND(IF(coss!$V$336=0,0,+coss!T$336/coss!$V$336),9)</f>
        <v>0</v>
      </c>
      <c r="V164" s="263">
        <f>IF(coss!$V$336=0,0,1-SUM(F164:U164))</f>
        <v>0.00013944300000012788</v>
      </c>
      <c r="W164" s="244">
        <f>SUM(F164:V164)</f>
        <v>1</v>
      </c>
      <c r="X164" s="67">
        <f t="shared" si="51"/>
        <v>0</v>
      </c>
      <c r="Y164" s="20"/>
    </row>
    <row r="165" spans="1:25" ht="17.25">
      <c r="A165" s="20"/>
      <c r="B165" s="20"/>
      <c r="C165" s="20"/>
      <c r="D165" s="8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5"/>
      <c r="W165" s="264"/>
      <c r="X165" s="75"/>
      <c r="Y165" s="13"/>
    </row>
    <row r="166" spans="1:25" ht="17.25">
      <c r="A166" s="13"/>
      <c r="B166" s="13"/>
      <c r="C166" s="13"/>
      <c r="D166" s="13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6"/>
      <c r="Y166" s="20"/>
    </row>
    <row r="167" spans="5:23" ht="15"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</row>
    <row r="168" spans="1:23" ht="15">
      <c r="A168" s="12" t="s">
        <v>126</v>
      </c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</row>
    <row r="169" spans="1:23" ht="15">
      <c r="A169" s="12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</row>
    <row r="170" spans="1:23" ht="15">
      <c r="A170" s="12"/>
      <c r="E170" s="268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</row>
    <row r="171" spans="5:23" ht="15">
      <c r="E171" s="268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</row>
    <row r="172" spans="5:23" ht="15"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</row>
    <row r="173" spans="5:23" ht="15"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</row>
    <row r="174" spans="5:25" ht="15"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Y174" s="13"/>
    </row>
    <row r="175" spans="1:25" ht="15">
      <c r="A175" s="13"/>
      <c r="B175" s="13"/>
      <c r="C175" s="13"/>
      <c r="E175" s="269"/>
      <c r="F175" s="267"/>
      <c r="G175" s="267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13"/>
      <c r="Y175" s="13"/>
    </row>
    <row r="176" spans="1:25" ht="15">
      <c r="A176" s="13"/>
      <c r="B176" s="13"/>
      <c r="C176" s="13"/>
      <c r="E176" s="269"/>
      <c r="F176" s="267"/>
      <c r="G176" s="267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13"/>
      <c r="Y176" s="13"/>
    </row>
    <row r="177" spans="1:25" ht="15">
      <c r="A177" s="13"/>
      <c r="B177" s="13"/>
      <c r="C177" s="13"/>
      <c r="E177" s="269"/>
      <c r="F177" s="267"/>
      <c r="G177" s="267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13"/>
      <c r="Y177" s="13"/>
    </row>
    <row r="178" spans="1:25" ht="15">
      <c r="A178" s="13"/>
      <c r="B178" s="13"/>
      <c r="C178" s="13"/>
      <c r="E178" s="269"/>
      <c r="F178" s="267"/>
      <c r="G178" s="267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13"/>
      <c r="Y178" s="13"/>
    </row>
    <row r="179" spans="1:25" ht="15">
      <c r="A179" s="13"/>
      <c r="B179" s="13"/>
      <c r="C179" s="13"/>
      <c r="E179" s="269"/>
      <c r="F179" s="267"/>
      <c r="G179" s="267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13"/>
      <c r="Y179" s="13"/>
    </row>
    <row r="180" spans="1:25" ht="15">
      <c r="A180" s="13"/>
      <c r="B180" s="13"/>
      <c r="C180" s="13"/>
      <c r="E180" s="269"/>
      <c r="F180" s="267"/>
      <c r="G180" s="267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13"/>
      <c r="Y180" s="13"/>
    </row>
    <row r="181" spans="1:25" ht="15">
      <c r="A181" s="13"/>
      <c r="B181" s="13"/>
      <c r="C181" s="13"/>
      <c r="E181" s="269"/>
      <c r="F181" s="267"/>
      <c r="G181" s="267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13"/>
      <c r="Y181" s="13"/>
    </row>
    <row r="182" spans="1:25" ht="15">
      <c r="A182" s="13"/>
      <c r="B182" s="13"/>
      <c r="C182" s="13"/>
      <c r="E182" s="269"/>
      <c r="F182" s="267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13"/>
      <c r="Y182" s="13"/>
    </row>
    <row r="183" spans="1:25" ht="15">
      <c r="A183" s="13"/>
      <c r="B183" s="13"/>
      <c r="C183" s="13"/>
      <c r="D183" s="13"/>
      <c r="E183" s="269"/>
      <c r="F183" s="267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13"/>
      <c r="Y183" s="13"/>
    </row>
    <row r="184" spans="1:25" ht="15">
      <c r="A184" s="13"/>
      <c r="B184" s="13"/>
      <c r="C184" s="13"/>
      <c r="D184" s="13"/>
      <c r="E184" s="269"/>
      <c r="F184" s="267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13"/>
      <c r="Y184" s="13"/>
    </row>
    <row r="185" spans="1:25" ht="15">
      <c r="A185" s="13"/>
      <c r="B185" s="13"/>
      <c r="C185" s="13"/>
      <c r="D185" s="13"/>
      <c r="E185" s="269"/>
      <c r="F185" s="267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13"/>
      <c r="Y185" s="13"/>
    </row>
    <row r="186" spans="1:25" ht="15">
      <c r="A186" s="13"/>
      <c r="B186" s="13"/>
      <c r="C186" s="13"/>
      <c r="D186" s="13"/>
      <c r="E186" s="269"/>
      <c r="F186" s="267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13"/>
      <c r="Y186" s="13"/>
    </row>
    <row r="187" spans="1:2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4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7.25">
      <c r="A217" s="13"/>
      <c r="B217" s="13"/>
      <c r="C217" s="13"/>
      <c r="D217" s="13"/>
      <c r="E217" s="44" t="s">
        <v>300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2:24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2:24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2:24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2:24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2:24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2:24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2:24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2:24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2:24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2:24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2:24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2:24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2:24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2:24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2:24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2:24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2:24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2:24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2:24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2:24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</sheetData>
  <printOptions headings="1"/>
  <pageMargins left="0.25" right="0.15" top="0.69" bottom="0.4" header="0.31" footer="0.25"/>
  <pageSetup fitToHeight="3" horizontalDpi="600" verticalDpi="600" orientation="landscape" scale="50" r:id="rId1"/>
  <headerFooter alignWithMargins="0">
    <oddHeader>&amp;RPAGE  &amp;P OF &amp;N</oddHeader>
    <oddFooter>&amp;L&amp;Z&amp;F&amp;CELECTRIC CASE NO:  2006-00172&amp;R&amp;D  &amp;T</oddFooter>
  </headerFooter>
  <rowBreaks count="3" manualBreakCount="3">
    <brk id="50" min="1" max="23" man="1"/>
    <brk id="93" min="1" max="23" man="1"/>
    <brk id="137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EH1010"/>
  <sheetViews>
    <sheetView tabSelected="1" zoomScale="65" zoomScaleNormal="65" workbookViewId="0" topLeftCell="A1">
      <pane xSplit="3" ySplit="8" topLeftCell="D2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43" sqref="D43"/>
    </sheetView>
  </sheetViews>
  <sheetFormatPr defaultColWidth="9.77734375" defaultRowHeight="15"/>
  <cols>
    <col min="1" max="1" width="41.99609375" style="0" customWidth="1"/>
    <col min="2" max="2" width="6.77734375" style="0" customWidth="1"/>
    <col min="3" max="3" width="11.3359375" style="0" customWidth="1"/>
    <col min="4" max="4" width="20.10546875" style="0" customWidth="1"/>
    <col min="5" max="5" width="18.88671875" style="0" customWidth="1"/>
    <col min="6" max="10" width="18.21484375" style="0" customWidth="1"/>
    <col min="11" max="11" width="19.5546875" style="0" customWidth="1"/>
    <col min="12" max="13" width="17.88671875" style="0" customWidth="1"/>
    <col min="14" max="14" width="16.88671875" style="0" customWidth="1"/>
    <col min="15" max="15" width="16.21484375" style="0" customWidth="1"/>
    <col min="16" max="16" width="16.88671875" style="0" hidden="1" customWidth="1"/>
    <col min="17" max="18" width="16.6640625" style="0" customWidth="1"/>
    <col min="19" max="19" width="19.5546875" style="0" customWidth="1"/>
    <col min="20" max="20" width="16.10546875" style="0" hidden="1" customWidth="1"/>
    <col min="21" max="21" width="17.21484375" style="0" customWidth="1"/>
    <col min="22" max="22" width="21.6640625" style="0" customWidth="1"/>
    <col min="23" max="23" width="17.4453125" style="0" customWidth="1"/>
    <col min="24" max="24" width="0.88671875" style="0" customWidth="1"/>
    <col min="25" max="25" width="15.21484375" style="142" customWidth="1"/>
    <col min="26" max="26" width="45.4453125" style="136" bestFit="1" customWidth="1"/>
    <col min="27" max="27" width="4.5546875" style="136" customWidth="1"/>
    <col min="28" max="16384" width="9.77734375" style="136" customWidth="1"/>
  </cols>
  <sheetData>
    <row r="1" spans="1:25" ht="18">
      <c r="A1" s="128" t="s">
        <v>1247</v>
      </c>
      <c r="B1" s="16"/>
      <c r="C1" s="88"/>
      <c r="D1" s="343"/>
      <c r="E1" s="136"/>
      <c r="F1" s="16"/>
      <c r="G1" s="16"/>
      <c r="H1" s="16"/>
      <c r="I1" s="16"/>
      <c r="J1" s="1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77">
        <v>38672.35761585648</v>
      </c>
      <c r="X1" s="13">
        <v>38671.391943055554</v>
      </c>
      <c r="Y1" s="135"/>
    </row>
    <row r="2" spans="1:37" ht="18">
      <c r="A2" s="128" t="s">
        <v>717</v>
      </c>
      <c r="B2" s="16"/>
      <c r="C2" s="88"/>
      <c r="D2" s="115"/>
      <c r="E2" s="136"/>
      <c r="F2" s="190" t="s">
        <v>1049</v>
      </c>
      <c r="G2" s="16"/>
      <c r="H2" s="16"/>
      <c r="I2" s="16"/>
      <c r="J2" s="16"/>
      <c r="K2" s="3"/>
      <c r="L2" s="3"/>
      <c r="M2" s="3"/>
      <c r="N2" s="3"/>
      <c r="O2" s="3"/>
      <c r="P2" s="3"/>
      <c r="Q2" s="9"/>
      <c r="R2" s="9"/>
      <c r="S2" s="45"/>
      <c r="T2" s="3"/>
      <c r="X2" s="13"/>
      <c r="Y2" s="137"/>
      <c r="AC2" s="138"/>
      <c r="AK2" s="139"/>
    </row>
    <row r="3" spans="1:37" ht="18">
      <c r="A3" s="129" t="str">
        <f>time_period</f>
        <v>TWELVE MONTHS ENDING DECEMBER 31, 2007</v>
      </c>
      <c r="B3" s="16"/>
      <c r="C3" s="88"/>
      <c r="D3" s="115"/>
      <c r="E3" s="136"/>
      <c r="F3" s="16"/>
      <c r="G3" s="16"/>
      <c r="H3" s="16"/>
      <c r="I3" s="16"/>
      <c r="J3" s="16"/>
      <c r="K3" s="3"/>
      <c r="L3" s="3"/>
      <c r="M3" s="3"/>
      <c r="N3" s="3"/>
      <c r="O3" s="3"/>
      <c r="P3" s="273" t="s">
        <v>1332</v>
      </c>
      <c r="Q3" s="3"/>
      <c r="R3" s="3"/>
      <c r="S3" s="45"/>
      <c r="T3" s="3"/>
      <c r="X3" s="13"/>
      <c r="Y3" s="137"/>
      <c r="AC3" s="138"/>
      <c r="AK3" s="139"/>
    </row>
    <row r="4" spans="1:37" ht="18">
      <c r="A4" s="128" t="str">
        <f>VERSION</f>
        <v>FR-9v-2     (AVERAGE  &amp;  EXCESS)</v>
      </c>
      <c r="B4" s="16"/>
      <c r="C4" s="88"/>
      <c r="D4" s="150"/>
      <c r="E4" s="344"/>
      <c r="F4" s="16"/>
      <c r="G4" s="16"/>
      <c r="H4" s="16"/>
      <c r="I4" s="16"/>
      <c r="J4" s="16"/>
      <c r="Q4" s="3"/>
      <c r="R4" s="3"/>
      <c r="S4" s="45"/>
      <c r="T4" s="3"/>
      <c r="X4" s="13"/>
      <c r="Y4" s="137"/>
      <c r="AC4" s="138"/>
      <c r="AK4" s="139"/>
    </row>
    <row r="5" spans="2:37" ht="18">
      <c r="B5" s="16"/>
      <c r="C5" s="88"/>
      <c r="D5" s="345"/>
      <c r="E5" s="115"/>
      <c r="F5" s="16"/>
      <c r="G5" s="16"/>
      <c r="H5" s="16"/>
      <c r="I5" s="16"/>
      <c r="J5" s="16"/>
      <c r="K5" s="3"/>
      <c r="L5" s="3"/>
      <c r="M5" s="3"/>
      <c r="N5" s="3"/>
      <c r="O5" s="3"/>
      <c r="P5" s="3"/>
      <c r="Q5" s="3"/>
      <c r="R5" s="3"/>
      <c r="S5" s="45"/>
      <c r="T5" s="3"/>
      <c r="V5" s="3"/>
      <c r="W5" s="3"/>
      <c r="X5" s="13"/>
      <c r="Y5" s="137"/>
      <c r="AC5" s="138"/>
      <c r="AK5" s="139"/>
    </row>
    <row r="6" spans="1:37" ht="18">
      <c r="A6" s="128" t="str">
        <f>case_name</f>
        <v>ELECTRIC CASE NO:  2006-00172</v>
      </c>
      <c r="B6" s="16"/>
      <c r="C6" s="88"/>
      <c r="D6" s="3"/>
      <c r="E6" s="11" t="s">
        <v>984</v>
      </c>
      <c r="F6" s="134" t="s">
        <v>1044</v>
      </c>
      <c r="G6" s="116" t="s">
        <v>1174</v>
      </c>
      <c r="H6" s="116" t="s">
        <v>1046</v>
      </c>
      <c r="I6" s="116" t="s">
        <v>1045</v>
      </c>
      <c r="J6" s="116" t="s">
        <v>1055</v>
      </c>
      <c r="K6" s="116" t="s">
        <v>1178</v>
      </c>
      <c r="L6" s="116" t="s">
        <v>1179</v>
      </c>
      <c r="M6" s="116" t="s">
        <v>1175</v>
      </c>
      <c r="N6" s="116" t="s">
        <v>1336</v>
      </c>
      <c r="O6" s="116" t="s">
        <v>1047</v>
      </c>
      <c r="P6" s="116" t="s">
        <v>1176</v>
      </c>
      <c r="Q6" s="116" t="s">
        <v>1060</v>
      </c>
      <c r="R6" s="116" t="s">
        <v>1177</v>
      </c>
      <c r="S6" s="134" t="s">
        <v>973</v>
      </c>
      <c r="T6" s="11" t="s">
        <v>302</v>
      </c>
      <c r="U6" s="134" t="s">
        <v>316</v>
      </c>
      <c r="V6" s="11" t="s">
        <v>304</v>
      </c>
      <c r="W6" s="3"/>
      <c r="X6" s="13"/>
      <c r="Y6" s="137"/>
      <c r="AK6" s="139"/>
    </row>
    <row r="7" spans="1:32" ht="15">
      <c r="A7" s="3"/>
      <c r="B7" s="12"/>
      <c r="C7" s="12"/>
      <c r="D7" s="15" t="s">
        <v>304</v>
      </c>
      <c r="E7" s="120" t="s">
        <v>306</v>
      </c>
      <c r="F7" s="15" t="s">
        <v>753</v>
      </c>
      <c r="G7" s="130" t="s">
        <v>1170</v>
      </c>
      <c r="H7" s="15" t="s">
        <v>753</v>
      </c>
      <c r="I7" s="15" t="s">
        <v>753</v>
      </c>
      <c r="J7" s="15" t="s">
        <v>753</v>
      </c>
      <c r="K7" s="15" t="s">
        <v>753</v>
      </c>
      <c r="L7" s="130" t="s">
        <v>1170</v>
      </c>
      <c r="M7" s="130" t="s">
        <v>754</v>
      </c>
      <c r="N7" s="130" t="s">
        <v>1170</v>
      </c>
      <c r="O7" s="130" t="s">
        <v>754</v>
      </c>
      <c r="P7" s="130" t="s">
        <v>1170</v>
      </c>
      <c r="Q7" s="130" t="s">
        <v>314</v>
      </c>
      <c r="R7" s="130" t="s">
        <v>1171</v>
      </c>
      <c r="S7" s="120" t="s">
        <v>306</v>
      </c>
      <c r="T7" s="27" t="s">
        <v>306</v>
      </c>
      <c r="U7" s="15" t="s">
        <v>1236</v>
      </c>
      <c r="V7" s="15" t="s">
        <v>1172</v>
      </c>
      <c r="W7" s="15" t="s">
        <v>308</v>
      </c>
      <c r="X7" s="13"/>
      <c r="Y7" s="137"/>
      <c r="AF7" s="136" t="s">
        <v>386</v>
      </c>
    </row>
    <row r="8" spans="1:32" ht="15">
      <c r="A8" s="17"/>
      <c r="B8" s="18" t="s">
        <v>309</v>
      </c>
      <c r="C8" s="19" t="s">
        <v>310</v>
      </c>
      <c r="D8" s="19" t="s">
        <v>311</v>
      </c>
      <c r="E8" s="19" t="s">
        <v>312</v>
      </c>
      <c r="F8" s="19" t="s">
        <v>313</v>
      </c>
      <c r="G8" s="131" t="s">
        <v>1058</v>
      </c>
      <c r="H8" s="131" t="s">
        <v>313</v>
      </c>
      <c r="I8" s="131" t="s">
        <v>313</v>
      </c>
      <c r="J8" s="131" t="s">
        <v>313</v>
      </c>
      <c r="K8" s="131" t="s">
        <v>313</v>
      </c>
      <c r="L8" s="131" t="s">
        <v>806</v>
      </c>
      <c r="M8" s="131" t="s">
        <v>313</v>
      </c>
      <c r="N8" s="131" t="s">
        <v>805</v>
      </c>
      <c r="O8" s="131" t="s">
        <v>313</v>
      </c>
      <c r="P8" s="131" t="s">
        <v>1059</v>
      </c>
      <c r="Q8" s="131" t="s">
        <v>718</v>
      </c>
      <c r="R8" s="131" t="s">
        <v>718</v>
      </c>
      <c r="S8" s="19" t="s">
        <v>307</v>
      </c>
      <c r="T8" s="19" t="s">
        <v>302</v>
      </c>
      <c r="U8" s="19" t="s">
        <v>1235</v>
      </c>
      <c r="V8" s="19" t="s">
        <v>1173</v>
      </c>
      <c r="W8" s="19" t="s">
        <v>316</v>
      </c>
      <c r="X8" s="13"/>
      <c r="Y8" s="137"/>
      <c r="AF8" s="136" t="s">
        <v>385</v>
      </c>
    </row>
    <row r="9" spans="1:25" ht="15.75">
      <c r="A9" s="9"/>
      <c r="B9" s="3"/>
      <c r="C9" s="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132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/>
      <c r="Y9" s="137"/>
    </row>
    <row r="10" spans="1:25" ht="20.25">
      <c r="A10" s="277" t="s">
        <v>173</v>
      </c>
      <c r="B10" s="132" t="s">
        <v>174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50"/>
      <c r="Y10" s="137"/>
    </row>
    <row r="11" spans="1:25" ht="20.25">
      <c r="A11" s="132" t="s">
        <v>128</v>
      </c>
      <c r="B11" s="132"/>
      <c r="C11" s="132"/>
      <c r="D11" s="118"/>
      <c r="E11" s="118"/>
      <c r="F11" s="118"/>
      <c r="G11" s="118"/>
      <c r="H11" s="118"/>
      <c r="I11" s="118"/>
      <c r="J11" s="118"/>
      <c r="K11" s="133"/>
      <c r="L11" s="133"/>
      <c r="M11" s="13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50"/>
      <c r="Y11" s="137"/>
    </row>
    <row r="12" spans="1:25" ht="20.25">
      <c r="A12" s="132" t="s">
        <v>333</v>
      </c>
      <c r="B12" s="149" t="s">
        <v>223</v>
      </c>
      <c r="C12" s="132"/>
      <c r="D12" s="118">
        <f aca="true" t="shared" si="0" ref="D12:W12">D97</f>
        <v>1122822000</v>
      </c>
      <c r="E12" s="118">
        <f t="shared" si="0"/>
        <v>582452264</v>
      </c>
      <c r="F12" s="118">
        <f t="shared" si="0"/>
        <v>255091683</v>
      </c>
      <c r="G12" s="118">
        <f t="shared" si="0"/>
        <v>244801</v>
      </c>
      <c r="H12" s="118">
        <f t="shared" si="0"/>
        <v>1009804</v>
      </c>
      <c r="I12" s="118">
        <f t="shared" si="0"/>
        <v>4598512</v>
      </c>
      <c r="J12" s="118">
        <f t="shared" si="0"/>
        <v>118176</v>
      </c>
      <c r="K12" s="118">
        <f t="shared" si="0"/>
        <v>140778646</v>
      </c>
      <c r="L12" s="118">
        <f t="shared" si="0"/>
        <v>1942065</v>
      </c>
      <c r="M12" s="118">
        <f t="shared" si="0"/>
        <v>81787242</v>
      </c>
      <c r="N12" s="118">
        <f t="shared" si="0"/>
        <v>3874507</v>
      </c>
      <c r="O12" s="118">
        <f t="shared" si="0"/>
        <v>6291583</v>
      </c>
      <c r="P12" s="118">
        <f t="shared" si="0"/>
        <v>0</v>
      </c>
      <c r="Q12" s="118">
        <f t="shared" si="0"/>
        <v>28543033</v>
      </c>
      <c r="R12" s="118">
        <f t="shared" si="0"/>
        <v>1646789</v>
      </c>
      <c r="S12" s="118">
        <f t="shared" si="0"/>
        <v>14277680</v>
      </c>
      <c r="T12" s="118">
        <f t="shared" si="0"/>
        <v>0</v>
      </c>
      <c r="U12" s="118">
        <f t="shared" si="0"/>
        <v>165215</v>
      </c>
      <c r="V12" s="118">
        <f t="shared" si="0"/>
        <v>1122822000</v>
      </c>
      <c r="W12" s="118">
        <f t="shared" si="0"/>
        <v>0</v>
      </c>
      <c r="X12" s="150"/>
      <c r="Y12" s="137"/>
    </row>
    <row r="13" spans="1:25" ht="20.25">
      <c r="A13" s="132" t="s">
        <v>409</v>
      </c>
      <c r="B13" s="149" t="s">
        <v>225</v>
      </c>
      <c r="C13" s="132"/>
      <c r="D13" s="118">
        <f aca="true" t="shared" si="1" ref="D13:W13">-D148</f>
        <v>-540093766</v>
      </c>
      <c r="E13" s="118">
        <f t="shared" si="1"/>
        <v>-280436196</v>
      </c>
      <c r="F13" s="118">
        <f t="shared" si="1"/>
        <v>-121168974</v>
      </c>
      <c r="G13" s="118">
        <f t="shared" si="1"/>
        <v>-116756</v>
      </c>
      <c r="H13" s="118">
        <f t="shared" si="1"/>
        <v>-483768</v>
      </c>
      <c r="I13" s="118">
        <f t="shared" si="1"/>
        <v>-2222286</v>
      </c>
      <c r="J13" s="118">
        <f t="shared" si="1"/>
        <v>-55975</v>
      </c>
      <c r="K13" s="118">
        <f t="shared" si="1"/>
        <v>-66677631</v>
      </c>
      <c r="L13" s="118">
        <f t="shared" si="1"/>
        <v>-934427</v>
      </c>
      <c r="M13" s="118">
        <f t="shared" si="1"/>
        <v>-39214933</v>
      </c>
      <c r="N13" s="118">
        <f t="shared" si="1"/>
        <v>-1862360</v>
      </c>
      <c r="O13" s="118">
        <f t="shared" si="1"/>
        <v>-2990157</v>
      </c>
      <c r="P13" s="118">
        <f t="shared" si="1"/>
        <v>0</v>
      </c>
      <c r="Q13" s="118">
        <f t="shared" si="1"/>
        <v>-14641809</v>
      </c>
      <c r="R13" s="118">
        <f t="shared" si="1"/>
        <v>-845188</v>
      </c>
      <c r="S13" s="118">
        <f t="shared" si="1"/>
        <v>-8361302</v>
      </c>
      <c r="T13" s="118">
        <f t="shared" si="1"/>
        <v>0</v>
      </c>
      <c r="U13" s="118">
        <f t="shared" si="1"/>
        <v>-82004</v>
      </c>
      <c r="V13" s="118">
        <f t="shared" si="1"/>
        <v>-540093766</v>
      </c>
      <c r="W13" s="118">
        <f t="shared" si="1"/>
        <v>0</v>
      </c>
      <c r="X13" s="150"/>
      <c r="Y13" s="137"/>
    </row>
    <row r="14" spans="1:25" ht="20.25">
      <c r="A14" s="132" t="s">
        <v>500</v>
      </c>
      <c r="B14" s="149" t="s">
        <v>498</v>
      </c>
      <c r="C14" s="132"/>
      <c r="D14" s="118">
        <f aca="true" t="shared" si="2" ref="D14:W14">D331</f>
        <v>8213167</v>
      </c>
      <c r="E14" s="118">
        <f t="shared" si="2"/>
        <v>1055841</v>
      </c>
      <c r="F14" s="118">
        <f t="shared" si="2"/>
        <v>2573411</v>
      </c>
      <c r="G14" s="118">
        <f t="shared" si="2"/>
        <v>2333</v>
      </c>
      <c r="H14" s="118">
        <f t="shared" si="2"/>
        <v>24794</v>
      </c>
      <c r="I14" s="118">
        <f t="shared" si="2"/>
        <v>11102</v>
      </c>
      <c r="J14" s="118">
        <f t="shared" si="2"/>
        <v>891</v>
      </c>
      <c r="K14" s="118">
        <f t="shared" si="2"/>
        <v>2347685</v>
      </c>
      <c r="L14" s="118">
        <f t="shared" si="2"/>
        <v>17260</v>
      </c>
      <c r="M14" s="118">
        <f t="shared" si="2"/>
        <v>1345268</v>
      </c>
      <c r="N14" s="118">
        <f t="shared" si="2"/>
        <v>56649</v>
      </c>
      <c r="O14" s="118">
        <f t="shared" si="2"/>
        <v>110804</v>
      </c>
      <c r="P14" s="118">
        <f t="shared" si="2"/>
        <v>0</v>
      </c>
      <c r="Q14" s="118">
        <f t="shared" si="2"/>
        <v>538813</v>
      </c>
      <c r="R14" s="118">
        <f t="shared" si="2"/>
        <v>36618</v>
      </c>
      <c r="S14" s="118">
        <f t="shared" si="2"/>
        <v>92506</v>
      </c>
      <c r="T14" s="118">
        <f t="shared" si="2"/>
        <v>0</v>
      </c>
      <c r="U14" s="118">
        <f t="shared" si="2"/>
        <v>-808</v>
      </c>
      <c r="V14" s="118">
        <f t="shared" si="2"/>
        <v>8213167</v>
      </c>
      <c r="W14" s="118">
        <f t="shared" si="2"/>
        <v>0</v>
      </c>
      <c r="X14" s="150"/>
      <c r="Y14" s="137"/>
    </row>
    <row r="15" spans="1:25" ht="20.25">
      <c r="A15" s="240" t="s">
        <v>501</v>
      </c>
      <c r="B15" s="149" t="s">
        <v>327</v>
      </c>
      <c r="C15" s="359"/>
      <c r="D15" s="202">
        <f aca="true" t="shared" si="3" ref="D15:W15">SUM(D11:D14)</f>
        <v>590941401</v>
      </c>
      <c r="E15" s="202">
        <f t="shared" si="3"/>
        <v>303071909</v>
      </c>
      <c r="F15" s="202">
        <f t="shared" si="3"/>
        <v>136496120</v>
      </c>
      <c r="G15" s="202">
        <f t="shared" si="3"/>
        <v>130378</v>
      </c>
      <c r="H15" s="202">
        <f t="shared" si="3"/>
        <v>550830</v>
      </c>
      <c r="I15" s="202">
        <f t="shared" si="3"/>
        <v>2387328</v>
      </c>
      <c r="J15" s="202">
        <f t="shared" si="3"/>
        <v>63092</v>
      </c>
      <c r="K15" s="202">
        <f t="shared" si="3"/>
        <v>76448700</v>
      </c>
      <c r="L15" s="202">
        <f t="shared" si="3"/>
        <v>1024898</v>
      </c>
      <c r="M15" s="202">
        <f t="shared" si="3"/>
        <v>43917577</v>
      </c>
      <c r="N15" s="202">
        <f t="shared" si="3"/>
        <v>2068796</v>
      </c>
      <c r="O15" s="202">
        <f t="shared" si="3"/>
        <v>3412230</v>
      </c>
      <c r="P15" s="202">
        <f t="shared" si="3"/>
        <v>0</v>
      </c>
      <c r="Q15" s="202">
        <f t="shared" si="3"/>
        <v>14440037</v>
      </c>
      <c r="R15" s="202">
        <f t="shared" si="3"/>
        <v>838219</v>
      </c>
      <c r="S15" s="202">
        <f t="shared" si="3"/>
        <v>6008884</v>
      </c>
      <c r="T15" s="202">
        <f t="shared" si="3"/>
        <v>0</v>
      </c>
      <c r="U15" s="202">
        <f t="shared" si="3"/>
        <v>82403</v>
      </c>
      <c r="V15" s="202">
        <f t="shared" si="3"/>
        <v>590941401</v>
      </c>
      <c r="W15" s="202">
        <f t="shared" si="3"/>
        <v>0</v>
      </c>
      <c r="X15" s="150"/>
      <c r="Y15" s="137"/>
    </row>
    <row r="16" spans="1:25" ht="20.25">
      <c r="A16" s="136"/>
      <c r="B16" s="149"/>
      <c r="C16" s="132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50"/>
      <c r="Y16" s="137"/>
    </row>
    <row r="17" spans="1:25" ht="20.25">
      <c r="A17" s="231" t="s">
        <v>1237</v>
      </c>
      <c r="B17" s="149" t="s">
        <v>1238</v>
      </c>
      <c r="C17" s="312"/>
      <c r="D17" s="118">
        <f aca="true" t="shared" si="4" ref="D17:W17">D338</f>
        <v>557080702</v>
      </c>
      <c r="E17" s="118">
        <f t="shared" si="4"/>
        <v>285706013</v>
      </c>
      <c r="F17" s="118">
        <f t="shared" si="4"/>
        <v>128674948</v>
      </c>
      <c r="G17" s="118">
        <f t="shared" si="4"/>
        <v>122908</v>
      </c>
      <c r="H17" s="118">
        <f t="shared" si="4"/>
        <v>519268</v>
      </c>
      <c r="I17" s="118">
        <f t="shared" si="4"/>
        <v>2250535</v>
      </c>
      <c r="J17" s="118">
        <f t="shared" si="4"/>
        <v>59477</v>
      </c>
      <c r="K17" s="118">
        <f t="shared" si="4"/>
        <v>72068221</v>
      </c>
      <c r="L17" s="118">
        <f t="shared" si="4"/>
        <v>966172</v>
      </c>
      <c r="M17" s="118">
        <f t="shared" si="4"/>
        <v>41401118</v>
      </c>
      <c r="N17" s="118">
        <f t="shared" si="4"/>
        <v>1950255</v>
      </c>
      <c r="O17" s="118">
        <f t="shared" si="4"/>
        <v>3216710</v>
      </c>
      <c r="P17" s="118">
        <f t="shared" si="4"/>
        <v>0</v>
      </c>
      <c r="Q17" s="118">
        <f t="shared" si="4"/>
        <v>13612629</v>
      </c>
      <c r="R17" s="118">
        <f t="shared" si="4"/>
        <v>790189</v>
      </c>
      <c r="S17" s="118">
        <f t="shared" si="4"/>
        <v>5664578</v>
      </c>
      <c r="T17" s="118">
        <f t="shared" si="4"/>
        <v>0</v>
      </c>
      <c r="U17" s="118">
        <f t="shared" si="4"/>
        <v>77681</v>
      </c>
      <c r="V17" s="118">
        <f t="shared" si="4"/>
        <v>557080702</v>
      </c>
      <c r="W17" s="118">
        <f t="shared" si="4"/>
        <v>0</v>
      </c>
      <c r="X17" s="118"/>
      <c r="Y17" s="118"/>
    </row>
    <row r="18" spans="1:25" ht="20.25">
      <c r="A18" s="136"/>
      <c r="B18" s="149"/>
      <c r="C18" s="132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50"/>
      <c r="Y18" s="137"/>
    </row>
    <row r="19" spans="1:25" ht="20.25">
      <c r="A19" s="132" t="s">
        <v>175</v>
      </c>
      <c r="B19" s="149"/>
      <c r="C19" s="132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50"/>
      <c r="Y19" s="137"/>
    </row>
    <row r="20" spans="1:25" ht="20.25">
      <c r="A20" s="132" t="s">
        <v>654</v>
      </c>
      <c r="B20" s="149" t="s">
        <v>257</v>
      </c>
      <c r="C20" s="312"/>
      <c r="D20" s="118">
        <f aca="true" t="shared" si="5" ref="D20:W20">D436</f>
        <v>197699516</v>
      </c>
      <c r="E20" s="118">
        <f t="shared" si="5"/>
        <v>88187153</v>
      </c>
      <c r="F20" s="118">
        <f t="shared" si="5"/>
        <v>48174469</v>
      </c>
      <c r="G20" s="118">
        <f t="shared" si="5"/>
        <v>24027</v>
      </c>
      <c r="H20" s="118">
        <f t="shared" si="5"/>
        <v>262799</v>
      </c>
      <c r="I20" s="118">
        <f t="shared" si="5"/>
        <v>707498</v>
      </c>
      <c r="J20" s="118">
        <f t="shared" si="5"/>
        <v>20892</v>
      </c>
      <c r="K20" s="118">
        <f t="shared" si="5"/>
        <v>30994539</v>
      </c>
      <c r="L20" s="118">
        <f t="shared" si="5"/>
        <v>184805</v>
      </c>
      <c r="M20" s="118">
        <f t="shared" si="5"/>
        <v>18575950</v>
      </c>
      <c r="N20" s="118">
        <f t="shared" si="5"/>
        <v>416241</v>
      </c>
      <c r="O20" s="118">
        <f t="shared" si="5"/>
        <v>1451163</v>
      </c>
      <c r="P20" s="118">
        <f t="shared" si="5"/>
        <v>0</v>
      </c>
      <c r="Q20" s="118">
        <f t="shared" si="5"/>
        <v>7304944</v>
      </c>
      <c r="R20" s="118">
        <f t="shared" si="5"/>
        <v>209238</v>
      </c>
      <c r="S20" s="118">
        <f t="shared" si="5"/>
        <v>1165637</v>
      </c>
      <c r="T20" s="118">
        <f t="shared" si="5"/>
        <v>0</v>
      </c>
      <c r="U20" s="118">
        <f t="shared" si="5"/>
        <v>20161</v>
      </c>
      <c r="V20" s="118">
        <f t="shared" si="5"/>
        <v>197699516</v>
      </c>
      <c r="W20" s="118">
        <f t="shared" si="5"/>
        <v>0</v>
      </c>
      <c r="X20" s="150"/>
      <c r="Y20" s="137"/>
    </row>
    <row r="21" spans="1:25" ht="20.25">
      <c r="A21" s="132" t="s">
        <v>633</v>
      </c>
      <c r="B21" s="149" t="s">
        <v>270</v>
      </c>
      <c r="C21" s="132"/>
      <c r="D21" s="118">
        <f aca="true" t="shared" si="6" ref="D21:W21">D464</f>
        <v>33172220</v>
      </c>
      <c r="E21" s="118">
        <f t="shared" si="6"/>
        <v>17192292</v>
      </c>
      <c r="F21" s="118">
        <f t="shared" si="6"/>
        <v>7606834</v>
      </c>
      <c r="G21" s="118">
        <f t="shared" si="6"/>
        <v>7283</v>
      </c>
      <c r="H21" s="118">
        <f t="shared" si="6"/>
        <v>29935</v>
      </c>
      <c r="I21" s="118">
        <f t="shared" si="6"/>
        <v>135596</v>
      </c>
      <c r="J21" s="118">
        <f t="shared" si="6"/>
        <v>3527</v>
      </c>
      <c r="K21" s="118">
        <f t="shared" si="6"/>
        <v>4208118</v>
      </c>
      <c r="L21" s="118">
        <f t="shared" si="6"/>
        <v>57469</v>
      </c>
      <c r="M21" s="118">
        <f t="shared" si="6"/>
        <v>2435349</v>
      </c>
      <c r="N21" s="118">
        <f t="shared" si="6"/>
        <v>115188</v>
      </c>
      <c r="O21" s="118">
        <f t="shared" si="6"/>
        <v>188325</v>
      </c>
      <c r="P21" s="118">
        <f t="shared" si="6"/>
        <v>0</v>
      </c>
      <c r="Q21" s="118">
        <f t="shared" si="6"/>
        <v>814652</v>
      </c>
      <c r="R21" s="118">
        <f t="shared" si="6"/>
        <v>46980</v>
      </c>
      <c r="S21" s="118">
        <f t="shared" si="6"/>
        <v>325894</v>
      </c>
      <c r="T21" s="118">
        <f t="shared" si="6"/>
        <v>0</v>
      </c>
      <c r="U21" s="118">
        <f t="shared" si="6"/>
        <v>4778</v>
      </c>
      <c r="V21" s="118">
        <f t="shared" si="6"/>
        <v>33172220</v>
      </c>
      <c r="W21" s="118">
        <f t="shared" si="6"/>
        <v>0</v>
      </c>
      <c r="X21" s="150"/>
      <c r="Y21" s="137"/>
    </row>
    <row r="22" spans="1:25" ht="20.25">
      <c r="A22" s="132" t="s">
        <v>653</v>
      </c>
      <c r="B22" s="149" t="s">
        <v>655</v>
      </c>
      <c r="C22" s="132"/>
      <c r="D22" s="118">
        <f aca="true" t="shared" si="7" ref="D22:W22">D490</f>
        <v>7634509</v>
      </c>
      <c r="E22" s="118">
        <f t="shared" si="7"/>
        <v>4018165</v>
      </c>
      <c r="F22" s="118">
        <f t="shared" si="7"/>
        <v>1759202</v>
      </c>
      <c r="G22" s="118">
        <f t="shared" si="7"/>
        <v>1609</v>
      </c>
      <c r="H22" s="118">
        <f t="shared" si="7"/>
        <v>7198</v>
      </c>
      <c r="I22" s="118">
        <f t="shared" si="7"/>
        <v>29384</v>
      </c>
      <c r="J22" s="118">
        <f t="shared" si="7"/>
        <v>864</v>
      </c>
      <c r="K22" s="118">
        <f t="shared" si="7"/>
        <v>965567</v>
      </c>
      <c r="L22" s="118">
        <f t="shared" si="7"/>
        <v>12116</v>
      </c>
      <c r="M22" s="118">
        <f t="shared" si="7"/>
        <v>531416</v>
      </c>
      <c r="N22" s="118">
        <f t="shared" si="7"/>
        <v>23797</v>
      </c>
      <c r="O22" s="118">
        <f t="shared" si="7"/>
        <v>42101</v>
      </c>
      <c r="P22" s="118">
        <f t="shared" si="7"/>
        <v>0</v>
      </c>
      <c r="Q22" s="118">
        <f t="shared" si="7"/>
        <v>148816</v>
      </c>
      <c r="R22" s="118">
        <f t="shared" si="7"/>
        <v>8015</v>
      </c>
      <c r="S22" s="118">
        <f t="shared" si="7"/>
        <v>85271</v>
      </c>
      <c r="T22" s="118">
        <f t="shared" si="7"/>
        <v>0</v>
      </c>
      <c r="U22" s="118">
        <f t="shared" si="7"/>
        <v>988</v>
      </c>
      <c r="V22" s="118">
        <f t="shared" si="7"/>
        <v>7634509</v>
      </c>
      <c r="W22" s="118">
        <f t="shared" si="7"/>
        <v>0</v>
      </c>
      <c r="X22" s="150"/>
      <c r="Y22" s="137"/>
    </row>
    <row r="23" spans="1:25" ht="20.25">
      <c r="A23" s="240" t="s">
        <v>176</v>
      </c>
      <c r="B23" s="149" t="s">
        <v>278</v>
      </c>
      <c r="C23" s="132"/>
      <c r="D23" s="202">
        <f aca="true" t="shared" si="8" ref="D23:W23">SUM(D19:D22)</f>
        <v>238506245</v>
      </c>
      <c r="E23" s="202">
        <f t="shared" si="8"/>
        <v>109397610</v>
      </c>
      <c r="F23" s="202">
        <f t="shared" si="8"/>
        <v>57540505</v>
      </c>
      <c r="G23" s="202">
        <f t="shared" si="8"/>
        <v>32919</v>
      </c>
      <c r="H23" s="202">
        <f t="shared" si="8"/>
        <v>299932</v>
      </c>
      <c r="I23" s="202">
        <f t="shared" si="8"/>
        <v>872478</v>
      </c>
      <c r="J23" s="202">
        <f t="shared" si="8"/>
        <v>25283</v>
      </c>
      <c r="K23" s="202">
        <f t="shared" si="8"/>
        <v>36168224</v>
      </c>
      <c r="L23" s="202">
        <f t="shared" si="8"/>
        <v>254390</v>
      </c>
      <c r="M23" s="202">
        <f t="shared" si="8"/>
        <v>21542715</v>
      </c>
      <c r="N23" s="202">
        <f t="shared" si="8"/>
        <v>555226</v>
      </c>
      <c r="O23" s="202">
        <f t="shared" si="8"/>
        <v>1681589</v>
      </c>
      <c r="P23" s="202">
        <f t="shared" si="8"/>
        <v>0</v>
      </c>
      <c r="Q23" s="202">
        <f t="shared" si="8"/>
        <v>8268412</v>
      </c>
      <c r="R23" s="202">
        <f t="shared" si="8"/>
        <v>264233</v>
      </c>
      <c r="S23" s="202">
        <f t="shared" si="8"/>
        <v>1576802</v>
      </c>
      <c r="T23" s="202">
        <f t="shared" si="8"/>
        <v>0</v>
      </c>
      <c r="U23" s="202">
        <f t="shared" si="8"/>
        <v>25927</v>
      </c>
      <c r="V23" s="202">
        <f t="shared" si="8"/>
        <v>238506245</v>
      </c>
      <c r="W23" s="202">
        <f t="shared" si="8"/>
        <v>0</v>
      </c>
      <c r="X23" s="150"/>
      <c r="Y23" s="137"/>
    </row>
    <row r="24" spans="1:25" ht="20.25">
      <c r="A24" s="132" t="s">
        <v>35</v>
      </c>
      <c r="B24" s="149" t="s">
        <v>3</v>
      </c>
      <c r="C24" s="132"/>
      <c r="D24" s="118">
        <f aca="true" t="shared" si="9" ref="D24:W24">D580</f>
        <v>16566971</v>
      </c>
      <c r="E24" s="118">
        <f t="shared" si="9"/>
        <v>5518593</v>
      </c>
      <c r="F24" s="118">
        <f t="shared" si="9"/>
        <v>6174362</v>
      </c>
      <c r="G24" s="118">
        <f t="shared" si="9"/>
        <v>12961</v>
      </c>
      <c r="H24" s="118">
        <f t="shared" si="9"/>
        <v>58688</v>
      </c>
      <c r="I24" s="118">
        <f t="shared" si="9"/>
        <v>23329</v>
      </c>
      <c r="J24" s="118">
        <f t="shared" si="9"/>
        <v>4168</v>
      </c>
      <c r="K24" s="118">
        <f t="shared" si="9"/>
        <v>2761421</v>
      </c>
      <c r="L24" s="118">
        <f t="shared" si="9"/>
        <v>51590</v>
      </c>
      <c r="M24" s="118">
        <f t="shared" si="9"/>
        <v>856988</v>
      </c>
      <c r="N24" s="118">
        <f t="shared" si="9"/>
        <v>116047</v>
      </c>
      <c r="O24" s="118">
        <f t="shared" si="9"/>
        <v>119582</v>
      </c>
      <c r="P24" s="118">
        <f t="shared" si="9"/>
        <v>0</v>
      </c>
      <c r="Q24" s="118">
        <f t="shared" si="9"/>
        <v>486873</v>
      </c>
      <c r="R24" s="118">
        <f t="shared" si="9"/>
        <v>59098</v>
      </c>
      <c r="S24" s="118">
        <f t="shared" si="9"/>
        <v>324273</v>
      </c>
      <c r="T24" s="118">
        <f t="shared" si="9"/>
        <v>0</v>
      </c>
      <c r="U24" s="118">
        <f t="shared" si="9"/>
        <v>-1002</v>
      </c>
      <c r="V24" s="118">
        <f t="shared" si="9"/>
        <v>16566971</v>
      </c>
      <c r="W24" s="118">
        <f t="shared" si="9"/>
        <v>0</v>
      </c>
      <c r="X24" s="150"/>
      <c r="Y24" s="137"/>
    </row>
    <row r="25" spans="1:25" ht="20.25">
      <c r="A25" s="132" t="s">
        <v>64</v>
      </c>
      <c r="B25" s="149" t="s">
        <v>47</v>
      </c>
      <c r="C25" s="132"/>
      <c r="D25" s="118">
        <f aca="true" t="shared" si="10" ref="D25:W25">D641</f>
        <v>2930903</v>
      </c>
      <c r="E25" s="118">
        <f t="shared" si="10"/>
        <v>980561</v>
      </c>
      <c r="F25" s="118">
        <f t="shared" si="10"/>
        <v>1089077</v>
      </c>
      <c r="G25" s="118">
        <f t="shared" si="10"/>
        <v>2279</v>
      </c>
      <c r="H25" s="118">
        <f t="shared" si="10"/>
        <v>10322</v>
      </c>
      <c r="I25" s="118">
        <f t="shared" si="10"/>
        <v>4188</v>
      </c>
      <c r="J25" s="118">
        <f t="shared" si="10"/>
        <v>735</v>
      </c>
      <c r="K25" s="118">
        <f t="shared" si="10"/>
        <v>487643</v>
      </c>
      <c r="L25" s="118">
        <f t="shared" si="10"/>
        <v>9094</v>
      </c>
      <c r="M25" s="118">
        <f t="shared" si="10"/>
        <v>152077</v>
      </c>
      <c r="N25" s="118">
        <f t="shared" si="10"/>
        <v>20447</v>
      </c>
      <c r="O25" s="118">
        <f t="shared" si="10"/>
        <v>21119</v>
      </c>
      <c r="P25" s="118">
        <f t="shared" si="10"/>
        <v>0</v>
      </c>
      <c r="Q25" s="118">
        <f t="shared" si="10"/>
        <v>85959</v>
      </c>
      <c r="R25" s="118">
        <f t="shared" si="10"/>
        <v>10401</v>
      </c>
      <c r="S25" s="118">
        <f t="shared" si="10"/>
        <v>57174</v>
      </c>
      <c r="T25" s="118">
        <f t="shared" si="10"/>
        <v>0</v>
      </c>
      <c r="U25" s="118">
        <f t="shared" si="10"/>
        <v>-173</v>
      </c>
      <c r="V25" s="118">
        <f t="shared" si="10"/>
        <v>2930903</v>
      </c>
      <c r="W25" s="118">
        <f t="shared" si="10"/>
        <v>0</v>
      </c>
      <c r="X25" s="150"/>
      <c r="Y25" s="137"/>
    </row>
    <row r="26" spans="1:25" ht="20.25">
      <c r="A26" s="132" t="s">
        <v>1239</v>
      </c>
      <c r="B26" s="149" t="s">
        <v>177</v>
      </c>
      <c r="C26" s="132" t="s">
        <v>1250</v>
      </c>
      <c r="D26" s="272">
        <v>-373481</v>
      </c>
      <c r="E26" s="219">
        <f>V26-SUM(F26:U26)</f>
        <v>-194944</v>
      </c>
      <c r="F26" s="118">
        <f aca="true" ca="1" t="shared" si="11" ref="F26:V26">ROUND($D26*VLOOKUP($C26,IF(LEFT($C26,1)="K",INDIRECT("TABLE"),INDIRECT("TABLE2")),F$9+1),0)</f>
        <v>-93752</v>
      </c>
      <c r="G26" s="118">
        <f ca="1" t="shared" si="11"/>
        <v>-83</v>
      </c>
      <c r="H26" s="118">
        <f ca="1" t="shared" si="11"/>
        <v>-338</v>
      </c>
      <c r="I26" s="118">
        <f ca="1" t="shared" si="11"/>
        <v>-1291</v>
      </c>
      <c r="J26" s="118">
        <f ca="1" t="shared" si="11"/>
        <v>-48</v>
      </c>
      <c r="K26" s="118">
        <f ca="1" t="shared" si="11"/>
        <v>-51818</v>
      </c>
      <c r="L26" s="118">
        <f ca="1" t="shared" si="11"/>
        <v>-556</v>
      </c>
      <c r="M26" s="118">
        <f ca="1" t="shared" si="11"/>
        <v>-17127</v>
      </c>
      <c r="N26" s="118">
        <f ca="1" t="shared" si="11"/>
        <v>-755</v>
      </c>
      <c r="O26" s="118">
        <f ca="1" t="shared" si="11"/>
        <v>-1665</v>
      </c>
      <c r="P26" s="118">
        <f ca="1" t="shared" si="11"/>
        <v>0</v>
      </c>
      <c r="Q26" s="118">
        <f ca="1" t="shared" si="11"/>
        <v>6669</v>
      </c>
      <c r="R26" s="118">
        <f ca="1" t="shared" si="11"/>
        <v>388</v>
      </c>
      <c r="S26" s="118">
        <f ca="1" t="shared" si="11"/>
        <v>-18133</v>
      </c>
      <c r="T26" s="118">
        <f ca="1" t="shared" si="11"/>
        <v>0</v>
      </c>
      <c r="U26" s="118">
        <f ca="1" t="shared" si="11"/>
        <v>-28</v>
      </c>
      <c r="V26" s="118">
        <f ca="1" t="shared" si="11"/>
        <v>-373481</v>
      </c>
      <c r="W26" s="118">
        <f>D26-V26</f>
        <v>0</v>
      </c>
      <c r="X26" s="150"/>
      <c r="Y26" s="137"/>
    </row>
    <row r="27" spans="1:25" ht="20.25">
      <c r="A27" s="240" t="s">
        <v>178</v>
      </c>
      <c r="B27" s="149" t="s">
        <v>179</v>
      </c>
      <c r="C27" s="312"/>
      <c r="D27" s="202">
        <f aca="true" t="shared" si="12" ref="D27:W27">SUM(D23:D26)</f>
        <v>257630638</v>
      </c>
      <c r="E27" s="202">
        <f t="shared" si="12"/>
        <v>115701820</v>
      </c>
      <c r="F27" s="202">
        <f t="shared" si="12"/>
        <v>64710192</v>
      </c>
      <c r="G27" s="202">
        <f t="shared" si="12"/>
        <v>48076</v>
      </c>
      <c r="H27" s="202">
        <f t="shared" si="12"/>
        <v>368604</v>
      </c>
      <c r="I27" s="202">
        <f t="shared" si="12"/>
        <v>898704</v>
      </c>
      <c r="J27" s="202">
        <f t="shared" si="12"/>
        <v>30138</v>
      </c>
      <c r="K27" s="202">
        <f t="shared" si="12"/>
        <v>39365470</v>
      </c>
      <c r="L27" s="202">
        <f t="shared" si="12"/>
        <v>314518</v>
      </c>
      <c r="M27" s="202">
        <f t="shared" si="12"/>
        <v>22534653</v>
      </c>
      <c r="N27" s="202">
        <f t="shared" si="12"/>
        <v>690965</v>
      </c>
      <c r="O27" s="202">
        <f t="shared" si="12"/>
        <v>1820625</v>
      </c>
      <c r="P27" s="202">
        <f t="shared" si="12"/>
        <v>0</v>
      </c>
      <c r="Q27" s="202">
        <f t="shared" si="12"/>
        <v>8847913</v>
      </c>
      <c r="R27" s="202">
        <f t="shared" si="12"/>
        <v>334120</v>
      </c>
      <c r="S27" s="202">
        <f t="shared" si="12"/>
        <v>1940116</v>
      </c>
      <c r="T27" s="202">
        <f t="shared" si="12"/>
        <v>0</v>
      </c>
      <c r="U27" s="202">
        <f t="shared" si="12"/>
        <v>24724</v>
      </c>
      <c r="V27" s="202">
        <f t="shared" si="12"/>
        <v>257630638</v>
      </c>
      <c r="W27" s="202">
        <f t="shared" si="12"/>
        <v>0</v>
      </c>
      <c r="X27" s="150"/>
      <c r="Y27" s="137"/>
    </row>
    <row r="28" spans="1:25" ht="20.25">
      <c r="A28" s="132"/>
      <c r="B28" s="149"/>
      <c r="C28" s="132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50"/>
      <c r="Y28" s="137"/>
    </row>
    <row r="29" spans="1:25" ht="20.25">
      <c r="A29" s="132" t="s">
        <v>1256</v>
      </c>
      <c r="B29" s="149" t="s">
        <v>504</v>
      </c>
      <c r="C29" s="132"/>
      <c r="D29" s="118">
        <f aca="true" t="shared" si="13" ref="D29:W29">D341</f>
        <v>48805840</v>
      </c>
      <c r="E29" s="118">
        <f t="shared" si="13"/>
        <v>19861454</v>
      </c>
      <c r="F29" s="118">
        <f t="shared" si="13"/>
        <v>15533238</v>
      </c>
      <c r="G29" s="118">
        <f t="shared" si="13"/>
        <v>27870</v>
      </c>
      <c r="H29" s="118">
        <f t="shared" si="13"/>
        <v>124592</v>
      </c>
      <c r="I29" s="118">
        <f t="shared" si="13"/>
        <v>116256</v>
      </c>
      <c r="J29" s="118">
        <f t="shared" si="13"/>
        <v>9811</v>
      </c>
      <c r="K29" s="118">
        <f t="shared" si="13"/>
        <v>7335475</v>
      </c>
      <c r="L29" s="118">
        <f t="shared" si="13"/>
        <v>125620</v>
      </c>
      <c r="M29" s="118">
        <f t="shared" si="13"/>
        <v>2847948</v>
      </c>
      <c r="N29" s="118">
        <f t="shared" si="13"/>
        <v>274750</v>
      </c>
      <c r="O29" s="118">
        <f t="shared" si="13"/>
        <v>319850</v>
      </c>
      <c r="P29" s="118">
        <f t="shared" si="13"/>
        <v>0</v>
      </c>
      <c r="Q29" s="118">
        <f t="shared" si="13"/>
        <v>1305129</v>
      </c>
      <c r="R29" s="118">
        <f t="shared" si="13"/>
        <v>132823</v>
      </c>
      <c r="S29" s="118">
        <f t="shared" si="13"/>
        <v>790435</v>
      </c>
      <c r="T29" s="118">
        <f t="shared" si="13"/>
        <v>0</v>
      </c>
      <c r="U29" s="118">
        <f t="shared" si="13"/>
        <v>589</v>
      </c>
      <c r="V29" s="118">
        <f t="shared" si="13"/>
        <v>48805840</v>
      </c>
      <c r="W29" s="118">
        <f t="shared" si="13"/>
        <v>0</v>
      </c>
      <c r="X29" s="150"/>
      <c r="Y29" s="137"/>
    </row>
    <row r="30" spans="1:25" ht="20.25">
      <c r="A30" s="132" t="s">
        <v>65</v>
      </c>
      <c r="B30" s="149" t="s">
        <v>661</v>
      </c>
      <c r="C30" s="312"/>
      <c r="D30" s="118">
        <f aca="true" t="shared" si="14" ref="D30:W30">-D669</f>
        <v>-1978260</v>
      </c>
      <c r="E30" s="118">
        <f t="shared" si="14"/>
        <v>-974251</v>
      </c>
      <c r="F30" s="118">
        <f t="shared" si="14"/>
        <v>-478584</v>
      </c>
      <c r="G30" s="118">
        <f t="shared" si="14"/>
        <v>-471</v>
      </c>
      <c r="H30" s="118">
        <f t="shared" si="14"/>
        <v>-2297</v>
      </c>
      <c r="I30" s="118">
        <f t="shared" si="14"/>
        <v>-7519</v>
      </c>
      <c r="J30" s="118">
        <f t="shared" si="14"/>
        <v>-230</v>
      </c>
      <c r="K30" s="118">
        <f t="shared" si="14"/>
        <v>-267725</v>
      </c>
      <c r="L30" s="118">
        <f t="shared" si="14"/>
        <v>-3286</v>
      </c>
      <c r="M30" s="118">
        <f t="shared" si="14"/>
        <v>-149463</v>
      </c>
      <c r="N30" s="118">
        <f t="shared" si="14"/>
        <v>-6753</v>
      </c>
      <c r="O30" s="118">
        <f t="shared" si="14"/>
        <v>-12038</v>
      </c>
      <c r="P30" s="118">
        <f t="shared" si="14"/>
        <v>0</v>
      </c>
      <c r="Q30" s="118">
        <f t="shared" si="14"/>
        <v>-52881</v>
      </c>
      <c r="R30" s="118">
        <f t="shared" si="14"/>
        <v>-2875</v>
      </c>
      <c r="S30" s="118">
        <f t="shared" si="14"/>
        <v>-19647</v>
      </c>
      <c r="T30" s="118">
        <f t="shared" si="14"/>
        <v>0</v>
      </c>
      <c r="U30" s="118">
        <f t="shared" si="14"/>
        <v>-240</v>
      </c>
      <c r="V30" s="118">
        <f t="shared" si="14"/>
        <v>-1978260</v>
      </c>
      <c r="W30" s="118">
        <f t="shared" si="14"/>
        <v>0</v>
      </c>
      <c r="X30" s="150"/>
      <c r="Y30" s="137"/>
    </row>
    <row r="31" spans="1:25" ht="20.25">
      <c r="A31" s="240" t="s">
        <v>78</v>
      </c>
      <c r="B31" s="149" t="s">
        <v>281</v>
      </c>
      <c r="C31" s="132"/>
      <c r="D31" s="202">
        <f aca="true" t="shared" si="15" ref="D31:W31">SUM(D27:D30)</f>
        <v>304458218</v>
      </c>
      <c r="E31" s="202">
        <f t="shared" si="15"/>
        <v>134589023</v>
      </c>
      <c r="F31" s="202">
        <f t="shared" si="15"/>
        <v>79764846</v>
      </c>
      <c r="G31" s="202">
        <f t="shared" si="15"/>
        <v>75475</v>
      </c>
      <c r="H31" s="202">
        <f t="shared" si="15"/>
        <v>490899</v>
      </c>
      <c r="I31" s="202">
        <f t="shared" si="15"/>
        <v>1007441</v>
      </c>
      <c r="J31" s="202">
        <f t="shared" si="15"/>
        <v>39719</v>
      </c>
      <c r="K31" s="202">
        <f t="shared" si="15"/>
        <v>46433220</v>
      </c>
      <c r="L31" s="202">
        <f t="shared" si="15"/>
        <v>436852</v>
      </c>
      <c r="M31" s="202">
        <f t="shared" si="15"/>
        <v>25233138</v>
      </c>
      <c r="N31" s="202">
        <f t="shared" si="15"/>
        <v>958962</v>
      </c>
      <c r="O31" s="202">
        <f t="shared" si="15"/>
        <v>2128437</v>
      </c>
      <c r="P31" s="202">
        <f t="shared" si="15"/>
        <v>0</v>
      </c>
      <c r="Q31" s="202">
        <f t="shared" si="15"/>
        <v>10100161</v>
      </c>
      <c r="R31" s="202">
        <f t="shared" si="15"/>
        <v>464068</v>
      </c>
      <c r="S31" s="202">
        <f t="shared" si="15"/>
        <v>2710904</v>
      </c>
      <c r="T31" s="202">
        <f t="shared" si="15"/>
        <v>0</v>
      </c>
      <c r="U31" s="202">
        <f t="shared" si="15"/>
        <v>25073</v>
      </c>
      <c r="V31" s="202">
        <f t="shared" si="15"/>
        <v>304458218</v>
      </c>
      <c r="W31" s="202">
        <f t="shared" si="15"/>
        <v>0</v>
      </c>
      <c r="X31" s="150"/>
      <c r="Y31" s="137"/>
    </row>
    <row r="32" spans="1:25" ht="20.25">
      <c r="A32" s="132"/>
      <c r="B32" s="149"/>
      <c r="C32" s="312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50"/>
      <c r="Y32" s="137"/>
    </row>
    <row r="33" spans="1:25" ht="20.25">
      <c r="A33" s="132" t="s">
        <v>76</v>
      </c>
      <c r="B33" s="149" t="s">
        <v>77</v>
      </c>
      <c r="C33" s="132"/>
      <c r="D33" s="118">
        <f aca="true" t="shared" si="16" ref="D33:W33">D730</f>
        <v>304458566</v>
      </c>
      <c r="E33" s="118">
        <f t="shared" si="16"/>
        <v>134589370</v>
      </c>
      <c r="F33" s="118">
        <f t="shared" si="16"/>
        <v>79764846</v>
      </c>
      <c r="G33" s="118">
        <f>G730</f>
        <v>75476</v>
      </c>
      <c r="H33" s="118">
        <f>H730</f>
        <v>490899</v>
      </c>
      <c r="I33" s="118">
        <f>I730</f>
        <v>1007442</v>
      </c>
      <c r="J33" s="118">
        <f>J730</f>
        <v>39719</v>
      </c>
      <c r="K33" s="118">
        <f t="shared" si="16"/>
        <v>46433219</v>
      </c>
      <c r="L33" s="118">
        <f>L730</f>
        <v>436852</v>
      </c>
      <c r="M33" s="118">
        <f>M730</f>
        <v>25233138</v>
      </c>
      <c r="N33" s="118">
        <f t="shared" si="16"/>
        <v>958961</v>
      </c>
      <c r="O33" s="118">
        <f>O730</f>
        <v>2128436</v>
      </c>
      <c r="P33" s="118">
        <f>P730</f>
        <v>0</v>
      </c>
      <c r="Q33" s="118">
        <f t="shared" si="16"/>
        <v>10100161</v>
      </c>
      <c r="R33" s="118">
        <f>R730</f>
        <v>464069</v>
      </c>
      <c r="S33" s="118">
        <f t="shared" si="16"/>
        <v>2710905</v>
      </c>
      <c r="T33" s="118">
        <f t="shared" si="16"/>
        <v>0</v>
      </c>
      <c r="U33" s="118">
        <f t="shared" si="16"/>
        <v>25073</v>
      </c>
      <c r="V33" s="118">
        <f t="shared" si="16"/>
        <v>304458566</v>
      </c>
      <c r="W33" s="118">
        <f t="shared" si="16"/>
        <v>0</v>
      </c>
      <c r="X33" s="150"/>
      <c r="Y33" s="137"/>
    </row>
    <row r="34" spans="1:25" ht="20.25">
      <c r="A34" s="240" t="s">
        <v>79</v>
      </c>
      <c r="B34" s="149" t="s">
        <v>80</v>
      </c>
      <c r="C34" s="312"/>
      <c r="D34" s="202">
        <f aca="true" t="shared" si="17" ref="D34:W34">D33-D31</f>
        <v>348</v>
      </c>
      <c r="E34" s="202">
        <f t="shared" si="17"/>
        <v>347</v>
      </c>
      <c r="F34" s="202">
        <f t="shared" si="17"/>
        <v>0</v>
      </c>
      <c r="G34" s="202">
        <f t="shared" si="17"/>
        <v>1</v>
      </c>
      <c r="H34" s="202">
        <f t="shared" si="17"/>
        <v>0</v>
      </c>
      <c r="I34" s="202">
        <f t="shared" si="17"/>
        <v>1</v>
      </c>
      <c r="J34" s="202">
        <f t="shared" si="17"/>
        <v>0</v>
      </c>
      <c r="K34" s="202">
        <f t="shared" si="17"/>
        <v>-1</v>
      </c>
      <c r="L34" s="202">
        <f t="shared" si="17"/>
        <v>0</v>
      </c>
      <c r="M34" s="202">
        <f t="shared" si="17"/>
        <v>0</v>
      </c>
      <c r="N34" s="202">
        <f t="shared" si="17"/>
        <v>-1</v>
      </c>
      <c r="O34" s="202">
        <f t="shared" si="17"/>
        <v>-1</v>
      </c>
      <c r="P34" s="202">
        <f t="shared" si="17"/>
        <v>0</v>
      </c>
      <c r="Q34" s="202">
        <f t="shared" si="17"/>
        <v>0</v>
      </c>
      <c r="R34" s="202">
        <f t="shared" si="17"/>
        <v>1</v>
      </c>
      <c r="S34" s="202">
        <f t="shared" si="17"/>
        <v>1</v>
      </c>
      <c r="T34" s="202">
        <f t="shared" si="17"/>
        <v>0</v>
      </c>
      <c r="U34" s="202">
        <f t="shared" si="17"/>
        <v>0</v>
      </c>
      <c r="V34" s="202">
        <f t="shared" si="17"/>
        <v>348</v>
      </c>
      <c r="W34" s="202">
        <f t="shared" si="17"/>
        <v>0</v>
      </c>
      <c r="X34" s="150"/>
      <c r="Y34" s="137"/>
    </row>
    <row r="35" spans="1:25" ht="20.25">
      <c r="A35" s="132"/>
      <c r="B35" s="149"/>
      <c r="C35" s="13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50"/>
      <c r="Y35" s="137"/>
    </row>
    <row r="36" spans="1:25" ht="20.25">
      <c r="A36" s="132" t="s">
        <v>180</v>
      </c>
      <c r="B36" s="149" t="s">
        <v>181</v>
      </c>
      <c r="C36" s="132"/>
      <c r="D36" s="118">
        <f>D694+D29</f>
        <v>48806053</v>
      </c>
      <c r="E36" s="118">
        <f aca="true" t="shared" si="18" ref="E36:W36">E694+E29</f>
        <v>19861666</v>
      </c>
      <c r="F36" s="118">
        <f t="shared" si="18"/>
        <v>15533238</v>
      </c>
      <c r="G36" s="118">
        <f t="shared" si="18"/>
        <v>27871</v>
      </c>
      <c r="H36" s="118">
        <f t="shared" si="18"/>
        <v>124592</v>
      </c>
      <c r="I36" s="118">
        <f t="shared" si="18"/>
        <v>116257</v>
      </c>
      <c r="J36" s="118">
        <f t="shared" si="18"/>
        <v>9811</v>
      </c>
      <c r="K36" s="118">
        <f t="shared" si="18"/>
        <v>7335474</v>
      </c>
      <c r="L36" s="118">
        <f t="shared" si="18"/>
        <v>125620</v>
      </c>
      <c r="M36" s="118">
        <f t="shared" si="18"/>
        <v>2847948</v>
      </c>
      <c r="N36" s="118">
        <f t="shared" si="18"/>
        <v>274749</v>
      </c>
      <c r="O36" s="118">
        <f t="shared" si="18"/>
        <v>319849</v>
      </c>
      <c r="P36" s="118">
        <f t="shared" si="18"/>
        <v>0</v>
      </c>
      <c r="Q36" s="118">
        <f t="shared" si="18"/>
        <v>1305129</v>
      </c>
      <c r="R36" s="118">
        <f t="shared" si="18"/>
        <v>132824</v>
      </c>
      <c r="S36" s="118">
        <f t="shared" si="18"/>
        <v>790436</v>
      </c>
      <c r="T36" s="118">
        <f t="shared" si="18"/>
        <v>0</v>
      </c>
      <c r="U36" s="118">
        <f t="shared" si="18"/>
        <v>589</v>
      </c>
      <c r="V36" s="118">
        <f t="shared" si="18"/>
        <v>48806053</v>
      </c>
      <c r="W36" s="118">
        <f t="shared" si="18"/>
        <v>0</v>
      </c>
      <c r="X36" s="150"/>
      <c r="Y36" s="137"/>
    </row>
    <row r="37" spans="1:25" ht="20.25">
      <c r="A37" s="132" t="s">
        <v>1315</v>
      </c>
      <c r="B37" s="149" t="s">
        <v>182</v>
      </c>
      <c r="C37" s="132"/>
      <c r="D37" s="278">
        <f aca="true" t="shared" si="19" ref="D37:W37">IF(D17=0,0,ROUND(D36/D17,9))</f>
        <v>0.087610382</v>
      </c>
      <c r="E37" s="278">
        <f t="shared" si="19"/>
        <v>0.069517844</v>
      </c>
      <c r="F37" s="278">
        <f t="shared" si="19"/>
        <v>0.120716878</v>
      </c>
      <c r="G37" s="278">
        <f t="shared" si="19"/>
        <v>0.226763107</v>
      </c>
      <c r="H37" s="278">
        <f t="shared" si="19"/>
        <v>0.239937759</v>
      </c>
      <c r="I37" s="278">
        <f t="shared" si="19"/>
        <v>0.051657495</v>
      </c>
      <c r="J37" s="278">
        <f t="shared" si="19"/>
        <v>0.16495452</v>
      </c>
      <c r="K37" s="278">
        <f t="shared" si="19"/>
        <v>0.10178514</v>
      </c>
      <c r="L37" s="278">
        <f t="shared" si="19"/>
        <v>0.130018258</v>
      </c>
      <c r="M37" s="278">
        <f t="shared" si="19"/>
        <v>0.068789157</v>
      </c>
      <c r="N37" s="278">
        <f t="shared" si="19"/>
        <v>0.140878501</v>
      </c>
      <c r="O37" s="278">
        <f t="shared" si="19"/>
        <v>0.099433583</v>
      </c>
      <c r="P37" s="278">
        <f t="shared" si="19"/>
        <v>0</v>
      </c>
      <c r="Q37" s="278">
        <f t="shared" si="19"/>
        <v>0.095876337</v>
      </c>
      <c r="R37" s="278">
        <f t="shared" si="19"/>
        <v>0.168091431</v>
      </c>
      <c r="S37" s="278">
        <f t="shared" si="19"/>
        <v>0.139540139</v>
      </c>
      <c r="T37" s="278">
        <f t="shared" si="19"/>
        <v>0</v>
      </c>
      <c r="U37" s="278">
        <f t="shared" si="19"/>
        <v>0.007582292</v>
      </c>
      <c r="V37" s="278">
        <f t="shared" si="19"/>
        <v>0.087610382</v>
      </c>
      <c r="W37" s="278">
        <f t="shared" si="19"/>
        <v>0</v>
      </c>
      <c r="X37" s="150"/>
      <c r="Y37" s="137"/>
    </row>
    <row r="38" spans="1:25" ht="20.25">
      <c r="A38" s="132" t="s">
        <v>502</v>
      </c>
      <c r="B38" s="149" t="s">
        <v>503</v>
      </c>
      <c r="C38" s="132"/>
      <c r="D38" s="279">
        <f aca="true" t="shared" si="20" ref="D38:W38">$D$720</f>
        <v>0.08761000000000001</v>
      </c>
      <c r="E38" s="279">
        <f t="shared" si="20"/>
        <v>0.08761000000000001</v>
      </c>
      <c r="F38" s="279">
        <f t="shared" si="20"/>
        <v>0.08761000000000001</v>
      </c>
      <c r="G38" s="279">
        <f t="shared" si="20"/>
        <v>0.08761000000000001</v>
      </c>
      <c r="H38" s="279">
        <f t="shared" si="20"/>
        <v>0.08761000000000001</v>
      </c>
      <c r="I38" s="279">
        <f t="shared" si="20"/>
        <v>0.08761000000000001</v>
      </c>
      <c r="J38" s="279">
        <f t="shared" si="20"/>
        <v>0.08761000000000001</v>
      </c>
      <c r="K38" s="279">
        <f t="shared" si="20"/>
        <v>0.08761000000000001</v>
      </c>
      <c r="L38" s="279">
        <f t="shared" si="20"/>
        <v>0.08761000000000001</v>
      </c>
      <c r="M38" s="279">
        <f t="shared" si="20"/>
        <v>0.08761000000000001</v>
      </c>
      <c r="N38" s="279">
        <f t="shared" si="20"/>
        <v>0.08761000000000001</v>
      </c>
      <c r="O38" s="279">
        <f t="shared" si="20"/>
        <v>0.08761000000000001</v>
      </c>
      <c r="P38" s="279">
        <f t="shared" si="20"/>
        <v>0.08761000000000001</v>
      </c>
      <c r="Q38" s="279">
        <f t="shared" si="20"/>
        <v>0.08761000000000001</v>
      </c>
      <c r="R38" s="279">
        <f t="shared" si="20"/>
        <v>0.08761000000000001</v>
      </c>
      <c r="S38" s="279">
        <f t="shared" si="20"/>
        <v>0.08761000000000001</v>
      </c>
      <c r="T38" s="279">
        <f t="shared" si="20"/>
        <v>0.08761000000000001</v>
      </c>
      <c r="U38" s="279">
        <f t="shared" si="20"/>
        <v>0.08761000000000001</v>
      </c>
      <c r="V38" s="279">
        <f t="shared" si="20"/>
        <v>0.08761000000000001</v>
      </c>
      <c r="W38" s="279">
        <f t="shared" si="20"/>
        <v>0.08761000000000001</v>
      </c>
      <c r="X38" s="150"/>
      <c r="Y38" s="137"/>
    </row>
    <row r="39" spans="1:25" ht="20.25">
      <c r="A39" s="132" t="s">
        <v>187</v>
      </c>
      <c r="B39" s="149" t="s">
        <v>188</v>
      </c>
      <c r="C39" s="132"/>
      <c r="D39" s="279">
        <f aca="true" t="shared" si="21" ref="D39:W39">IF($D702=0,0,IF(D37=0,0,(D37-$D$715-$D$716)*$D$705/$D$702))</f>
        <v>0.1235612951328819</v>
      </c>
      <c r="E39" s="279">
        <f t="shared" si="21"/>
        <v>0.08800341626520013</v>
      </c>
      <c r="F39" s="279">
        <f t="shared" si="21"/>
        <v>0.18862661512841772</v>
      </c>
      <c r="G39" s="279">
        <f t="shared" si="21"/>
        <v>0.3970428674616416</v>
      </c>
      <c r="H39" s="279">
        <f t="shared" si="21"/>
        <v>0.4229354580943025</v>
      </c>
      <c r="I39" s="279">
        <f t="shared" si="21"/>
        <v>0.052901866318115776</v>
      </c>
      <c r="J39" s="279">
        <f t="shared" si="21"/>
        <v>0.2755683540722779</v>
      </c>
      <c r="K39" s="279">
        <f t="shared" si="21"/>
        <v>0.15141942802406075</v>
      </c>
      <c r="L39" s="279">
        <f t="shared" si="21"/>
        <v>0.20690693286727102</v>
      </c>
      <c r="M39" s="279">
        <f t="shared" si="21"/>
        <v>0.08657130297747596</v>
      </c>
      <c r="N39" s="279">
        <f t="shared" si="21"/>
        <v>0.22825093695711118</v>
      </c>
      <c r="O39" s="279">
        <f t="shared" si="21"/>
        <v>0.14679783325629248</v>
      </c>
      <c r="P39" s="279">
        <f t="shared" si="21"/>
        <v>0</v>
      </c>
      <c r="Q39" s="279">
        <f t="shared" si="21"/>
        <v>0.1398066569840334</v>
      </c>
      <c r="R39" s="279">
        <f t="shared" si="21"/>
        <v>0.28173343170575865</v>
      </c>
      <c r="S39" s="279">
        <f t="shared" si="21"/>
        <v>0.2256206087037115</v>
      </c>
      <c r="T39" s="279">
        <f t="shared" si="21"/>
        <v>0</v>
      </c>
      <c r="U39" s="279">
        <f t="shared" si="21"/>
        <v>-0.033720625746982244</v>
      </c>
      <c r="V39" s="279">
        <f t="shared" si="21"/>
        <v>0.1235612951328819</v>
      </c>
      <c r="W39" s="279">
        <f t="shared" si="21"/>
        <v>0</v>
      </c>
      <c r="X39" s="150"/>
      <c r="Y39" s="137"/>
    </row>
    <row r="40" spans="1:25" ht="20.25">
      <c r="A40" s="132" t="s">
        <v>189</v>
      </c>
      <c r="B40" s="149" t="s">
        <v>190</v>
      </c>
      <c r="C40" s="132"/>
      <c r="D40" s="279">
        <f aca="true" t="shared" si="22" ref="D40:V40">IF($D$702=0,0,(D38-$D$715-$D$716-$D$718)*$D$705/$D$702)</f>
        <v>0.11499168842691176</v>
      </c>
      <c r="E40" s="279">
        <f t="shared" si="22"/>
        <v>0.11499168842691176</v>
      </c>
      <c r="F40" s="279">
        <f t="shared" si="22"/>
        <v>0.11499168842691176</v>
      </c>
      <c r="G40" s="279">
        <f>IF($D$702=0,0,(G38-$D$715-$D$716-$D$718)*$D$705/$D$702)</f>
        <v>0.11499168842691176</v>
      </c>
      <c r="H40" s="279">
        <f>IF($D$702=0,0,(H38-$D$715-$D$716-$D$718)*$D$705/$D$702)</f>
        <v>0.11499168842691176</v>
      </c>
      <c r="I40" s="279">
        <f>IF($D$702=0,0,(I38-$D$715-$D$716-$D$718)*$D$705/$D$702)</f>
        <v>0.11499168842691176</v>
      </c>
      <c r="J40" s="279">
        <f>IF($D$702=0,0,(J38-$D$715-$D$716-$D$718)*$D$705/$D$702)</f>
        <v>0.11499168842691176</v>
      </c>
      <c r="K40" s="279">
        <f t="shared" si="22"/>
        <v>0.11499168842691176</v>
      </c>
      <c r="L40" s="279">
        <f>IF($D$702=0,0,(L38-$D$715-$D$716-$D$718)*$D$705/$D$702)</f>
        <v>0.11499168842691176</v>
      </c>
      <c r="M40" s="279">
        <f>IF($D$702=0,0,(M38-$D$715-$D$716-$D$718)*$D$705/$D$702)</f>
        <v>0.11499168842691176</v>
      </c>
      <c r="N40" s="279">
        <f t="shared" si="22"/>
        <v>0.11499168842691176</v>
      </c>
      <c r="O40" s="279">
        <f>IF($D$702=0,0,(O38-$D$715-$D$716-$D$718)*$D$705/$D$702)</f>
        <v>0.11499168842691176</v>
      </c>
      <c r="P40" s="279">
        <f>IF($D$702=0,0,(P38-$D$715-$D$716-$D$718)*$D$705/$D$702)</f>
        <v>0.11499168842691176</v>
      </c>
      <c r="Q40" s="279">
        <f t="shared" si="22"/>
        <v>0.11499168842691176</v>
      </c>
      <c r="R40" s="279">
        <f>IF($D$702=0,0,(R38-$D$715-$D$716-$D$718)*$D$705/$D$702)</f>
        <v>0.11499168842691176</v>
      </c>
      <c r="S40" s="279">
        <f t="shared" si="22"/>
        <v>0.11499168842691176</v>
      </c>
      <c r="T40" s="279">
        <f t="shared" si="22"/>
        <v>0.11499168842691176</v>
      </c>
      <c r="U40" s="279">
        <f t="shared" si="22"/>
        <v>0.11499168842691176</v>
      </c>
      <c r="V40" s="279">
        <f t="shared" si="22"/>
        <v>0.11499168842691176</v>
      </c>
      <c r="W40" s="279">
        <f>IF($D$702=0,0,(W38-$D$715-$D$716-$D$718)*$D$705/$D$702)</f>
        <v>0.11499168842691176</v>
      </c>
      <c r="X40" s="150"/>
      <c r="Y40" s="137"/>
    </row>
    <row r="41" spans="1:25" ht="20.25">
      <c r="A41" s="132"/>
      <c r="B41" s="149"/>
      <c r="C41" s="132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50"/>
      <c r="Y41" s="137"/>
    </row>
    <row r="42" spans="1:25" ht="20.25">
      <c r="A42" s="132" t="s">
        <v>123</v>
      </c>
      <c r="B42" s="149" t="s">
        <v>124</v>
      </c>
      <c r="C42" s="132"/>
      <c r="D42" s="118">
        <f aca="true" t="shared" si="23" ref="D42:W42">D729</f>
        <v>237897726</v>
      </c>
      <c r="E42" s="118">
        <f t="shared" si="23"/>
        <v>97639085</v>
      </c>
      <c r="F42" s="118">
        <f t="shared" si="23"/>
        <v>66709383</v>
      </c>
      <c r="G42" s="118">
        <f>G729</f>
        <v>70100</v>
      </c>
      <c r="H42" s="118">
        <f>H729</f>
        <v>471911</v>
      </c>
      <c r="I42" s="118">
        <f>I729</f>
        <v>694501</v>
      </c>
      <c r="J42" s="118">
        <f>J729</f>
        <v>35117</v>
      </c>
      <c r="K42" s="118">
        <f t="shared" si="23"/>
        <v>38378456</v>
      </c>
      <c r="L42" s="118">
        <f>L729</f>
        <v>343715</v>
      </c>
      <c r="M42" s="118">
        <f>M729</f>
        <v>19862321</v>
      </c>
      <c r="N42" s="118">
        <f t="shared" si="23"/>
        <v>782491</v>
      </c>
      <c r="O42" s="118">
        <f>O729</f>
        <v>1764802</v>
      </c>
      <c r="P42" s="118">
        <f>P729</f>
        <v>0</v>
      </c>
      <c r="Q42" s="118">
        <f t="shared" si="23"/>
        <v>8534952</v>
      </c>
      <c r="R42" s="118">
        <f>R729</f>
        <v>404272</v>
      </c>
      <c r="S42" s="118">
        <f t="shared" si="23"/>
        <v>2194212</v>
      </c>
      <c r="T42" s="118">
        <f t="shared" si="23"/>
        <v>0</v>
      </c>
      <c r="U42" s="118">
        <f t="shared" si="23"/>
        <v>12408</v>
      </c>
      <c r="V42" s="118">
        <f t="shared" si="23"/>
        <v>237897726</v>
      </c>
      <c r="W42" s="118">
        <f t="shared" si="23"/>
        <v>0</v>
      </c>
      <c r="X42" s="150"/>
      <c r="Y42" s="137"/>
    </row>
    <row r="43" spans="1:25" ht="20.25">
      <c r="A43" s="132" t="s">
        <v>191</v>
      </c>
      <c r="B43" s="149" t="s">
        <v>192</v>
      </c>
      <c r="C43" s="132"/>
      <c r="D43" s="118">
        <f aca="true" t="shared" si="24" ref="D43:W43">D31-D42</f>
        <v>66560492</v>
      </c>
      <c r="E43" s="118">
        <f t="shared" si="24"/>
        <v>36949938</v>
      </c>
      <c r="F43" s="118">
        <f t="shared" si="24"/>
        <v>13055463</v>
      </c>
      <c r="G43" s="118">
        <f t="shared" si="24"/>
        <v>5375</v>
      </c>
      <c r="H43" s="118">
        <f t="shared" si="24"/>
        <v>18988</v>
      </c>
      <c r="I43" s="118">
        <f t="shared" si="24"/>
        <v>312940</v>
      </c>
      <c r="J43" s="118">
        <f t="shared" si="24"/>
        <v>4602</v>
      </c>
      <c r="K43" s="118">
        <f t="shared" si="24"/>
        <v>8054764</v>
      </c>
      <c r="L43" s="118">
        <f t="shared" si="24"/>
        <v>93137</v>
      </c>
      <c r="M43" s="118">
        <f t="shared" si="24"/>
        <v>5370817</v>
      </c>
      <c r="N43" s="118">
        <f t="shared" si="24"/>
        <v>176471</v>
      </c>
      <c r="O43" s="118">
        <f t="shared" si="24"/>
        <v>363635</v>
      </c>
      <c r="P43" s="118">
        <f t="shared" si="24"/>
        <v>0</v>
      </c>
      <c r="Q43" s="118">
        <f t="shared" si="24"/>
        <v>1565209</v>
      </c>
      <c r="R43" s="118">
        <f t="shared" si="24"/>
        <v>59796</v>
      </c>
      <c r="S43" s="118">
        <f t="shared" si="24"/>
        <v>516692</v>
      </c>
      <c r="T43" s="118">
        <f t="shared" si="24"/>
        <v>0</v>
      </c>
      <c r="U43" s="118">
        <f t="shared" si="24"/>
        <v>12665</v>
      </c>
      <c r="V43" s="118">
        <f t="shared" si="24"/>
        <v>66560492</v>
      </c>
      <c r="W43" s="118">
        <f t="shared" si="24"/>
        <v>0</v>
      </c>
      <c r="X43" s="150"/>
      <c r="Y43" s="137"/>
    </row>
    <row r="44" spans="1:25" ht="20.25">
      <c r="A44" s="132" t="s">
        <v>193</v>
      </c>
      <c r="B44" s="149" t="s">
        <v>194</v>
      </c>
      <c r="C44" s="132"/>
      <c r="D44" s="279">
        <f aca="true" t="shared" si="25" ref="D44:W44">IF(D42=0,0,ROUND(D43/D42,5))</f>
        <v>0.27979</v>
      </c>
      <c r="E44" s="279">
        <f t="shared" si="25"/>
        <v>0.37843</v>
      </c>
      <c r="F44" s="279">
        <f t="shared" si="25"/>
        <v>0.19571</v>
      </c>
      <c r="G44" s="279">
        <f t="shared" si="25"/>
        <v>0.07668</v>
      </c>
      <c r="H44" s="279">
        <f t="shared" si="25"/>
        <v>0.04024</v>
      </c>
      <c r="I44" s="279">
        <f t="shared" si="25"/>
        <v>0.4506</v>
      </c>
      <c r="J44" s="279">
        <f t="shared" si="25"/>
        <v>0.13105</v>
      </c>
      <c r="K44" s="279">
        <f t="shared" si="25"/>
        <v>0.20988</v>
      </c>
      <c r="L44" s="279">
        <f t="shared" si="25"/>
        <v>0.27097</v>
      </c>
      <c r="M44" s="279">
        <f t="shared" si="25"/>
        <v>0.2704</v>
      </c>
      <c r="N44" s="279">
        <f t="shared" si="25"/>
        <v>0.22552</v>
      </c>
      <c r="O44" s="279">
        <f t="shared" si="25"/>
        <v>0.20605</v>
      </c>
      <c r="P44" s="279">
        <f t="shared" si="25"/>
        <v>0</v>
      </c>
      <c r="Q44" s="279">
        <f t="shared" si="25"/>
        <v>0.18339</v>
      </c>
      <c r="R44" s="279">
        <f t="shared" si="25"/>
        <v>0.14791</v>
      </c>
      <c r="S44" s="279">
        <f t="shared" si="25"/>
        <v>0.23548</v>
      </c>
      <c r="T44" s="279">
        <f t="shared" si="25"/>
        <v>0</v>
      </c>
      <c r="U44" s="279">
        <f t="shared" si="25"/>
        <v>1.02071</v>
      </c>
      <c r="V44" s="279">
        <f t="shared" si="25"/>
        <v>0.27979</v>
      </c>
      <c r="W44" s="279">
        <f t="shared" si="25"/>
        <v>0</v>
      </c>
      <c r="X44" s="150"/>
      <c r="Y44" s="137"/>
    </row>
    <row r="45" spans="1:25" ht="20.25">
      <c r="A45" s="132" t="s">
        <v>195</v>
      </c>
      <c r="B45" s="149" t="s">
        <v>196</v>
      </c>
      <c r="C45" s="132"/>
      <c r="D45" s="118">
        <f aca="true" t="shared" si="26" ref="D45:W45">D33-D42</f>
        <v>66560840</v>
      </c>
      <c r="E45" s="118">
        <f t="shared" si="26"/>
        <v>36950285</v>
      </c>
      <c r="F45" s="118">
        <f t="shared" si="26"/>
        <v>13055463</v>
      </c>
      <c r="G45" s="118">
        <f>G33-G42</f>
        <v>5376</v>
      </c>
      <c r="H45" s="118">
        <f>H33-H42</f>
        <v>18988</v>
      </c>
      <c r="I45" s="118">
        <f>I33-I42</f>
        <v>312941</v>
      </c>
      <c r="J45" s="118">
        <f>J33-J42</f>
        <v>4602</v>
      </c>
      <c r="K45" s="118">
        <f t="shared" si="26"/>
        <v>8054763</v>
      </c>
      <c r="L45" s="118">
        <f>L33-L42</f>
        <v>93137</v>
      </c>
      <c r="M45" s="118">
        <f>M33-M42</f>
        <v>5370817</v>
      </c>
      <c r="N45" s="118">
        <f>N33-N42</f>
        <v>176470</v>
      </c>
      <c r="O45" s="118">
        <f>O33-O42</f>
        <v>363634</v>
      </c>
      <c r="P45" s="118">
        <f>P33-P42</f>
        <v>0</v>
      </c>
      <c r="Q45" s="118">
        <f t="shared" si="26"/>
        <v>1565209</v>
      </c>
      <c r="R45" s="118">
        <f>R33-R42</f>
        <v>59797</v>
      </c>
      <c r="S45" s="118">
        <f t="shared" si="26"/>
        <v>516693</v>
      </c>
      <c r="T45" s="118">
        <f t="shared" si="26"/>
        <v>0</v>
      </c>
      <c r="U45" s="118">
        <f t="shared" si="26"/>
        <v>12665</v>
      </c>
      <c r="V45" s="118">
        <f t="shared" si="26"/>
        <v>66560840</v>
      </c>
      <c r="W45" s="118">
        <f t="shared" si="26"/>
        <v>0</v>
      </c>
      <c r="X45" s="150"/>
      <c r="Y45" s="137"/>
    </row>
    <row r="46" spans="1:25" ht="20.25">
      <c r="A46" s="132" t="s">
        <v>193</v>
      </c>
      <c r="B46" s="149" t="s">
        <v>197</v>
      </c>
      <c r="C46" s="132"/>
      <c r="D46" s="279">
        <f aca="true" t="shared" si="27" ref="D46:W46">IF(D42=0,0,ROUND(D45/D42,5))</f>
        <v>0.27979</v>
      </c>
      <c r="E46" s="279">
        <f t="shared" si="27"/>
        <v>0.37844</v>
      </c>
      <c r="F46" s="279">
        <f t="shared" si="27"/>
        <v>0.19571</v>
      </c>
      <c r="G46" s="279">
        <f t="shared" si="27"/>
        <v>0.07669</v>
      </c>
      <c r="H46" s="279">
        <f t="shared" si="27"/>
        <v>0.04024</v>
      </c>
      <c r="I46" s="279">
        <f t="shared" si="27"/>
        <v>0.4506</v>
      </c>
      <c r="J46" s="279">
        <f t="shared" si="27"/>
        <v>0.13105</v>
      </c>
      <c r="K46" s="279">
        <f t="shared" si="27"/>
        <v>0.20988</v>
      </c>
      <c r="L46" s="279">
        <f t="shared" si="27"/>
        <v>0.27097</v>
      </c>
      <c r="M46" s="279">
        <f t="shared" si="27"/>
        <v>0.2704</v>
      </c>
      <c r="N46" s="279">
        <f t="shared" si="27"/>
        <v>0.22552</v>
      </c>
      <c r="O46" s="279">
        <f t="shared" si="27"/>
        <v>0.20605</v>
      </c>
      <c r="P46" s="279">
        <f t="shared" si="27"/>
        <v>0</v>
      </c>
      <c r="Q46" s="279">
        <f t="shared" si="27"/>
        <v>0.18339</v>
      </c>
      <c r="R46" s="279">
        <f t="shared" si="27"/>
        <v>0.14791</v>
      </c>
      <c r="S46" s="279">
        <f t="shared" si="27"/>
        <v>0.23548</v>
      </c>
      <c r="T46" s="279">
        <f t="shared" si="27"/>
        <v>0</v>
      </c>
      <c r="U46" s="279">
        <f t="shared" si="27"/>
        <v>1.02071</v>
      </c>
      <c r="V46" s="279">
        <f t="shared" si="27"/>
        <v>0.27979</v>
      </c>
      <c r="W46" s="279">
        <f t="shared" si="27"/>
        <v>0</v>
      </c>
      <c r="X46" s="150"/>
      <c r="Y46" s="137"/>
    </row>
    <row r="47" spans="1:25" ht="20.25">
      <c r="A47" s="133"/>
      <c r="B47" s="149"/>
      <c r="C47" s="132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150"/>
      <c r="Y47" s="137"/>
    </row>
    <row r="48" spans="1:25" ht="15.75">
      <c r="A48" s="28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7"/>
    </row>
    <row r="49" spans="1:25" ht="15.75">
      <c r="A49" s="281" t="s">
        <v>333</v>
      </c>
      <c r="B49" s="281" t="s">
        <v>334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50"/>
      <c r="Y49" s="137"/>
    </row>
    <row r="50" spans="1:25" ht="15.75">
      <c r="A50" s="282" t="s">
        <v>335</v>
      </c>
      <c r="B50" s="132"/>
      <c r="C50" s="132"/>
      <c r="D50" s="132"/>
      <c r="E50" s="283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284"/>
      <c r="W50" s="284"/>
      <c r="X50" s="150"/>
      <c r="Y50" s="137"/>
    </row>
    <row r="51" spans="1:32" ht="20.25">
      <c r="A51" s="148" t="s">
        <v>336</v>
      </c>
      <c r="B51" s="149" t="s">
        <v>337</v>
      </c>
      <c r="C51" s="148" t="s">
        <v>318</v>
      </c>
      <c r="D51" s="214">
        <v>501176000</v>
      </c>
      <c r="E51" s="285">
        <f>V51-SUM(F51:U51)</f>
        <v>259138525</v>
      </c>
      <c r="F51" s="286">
        <f aca="true" ca="1" t="shared" si="28" ref="F51:O52">ROUND($D51*VLOOKUP($C51,IF(LEFT($C51,1)="K",INDIRECT("TABLE"),INDIRECT("TABLE2")),F$9+1),0)</f>
        <v>111422946</v>
      </c>
      <c r="G51" s="286">
        <f ca="1" t="shared" si="28"/>
        <v>109452</v>
      </c>
      <c r="H51" s="286">
        <f ca="1" t="shared" si="28"/>
        <v>448178</v>
      </c>
      <c r="I51" s="286">
        <f ca="1" t="shared" si="28"/>
        <v>2130862</v>
      </c>
      <c r="J51" s="286">
        <f ca="1" t="shared" si="28"/>
        <v>50118</v>
      </c>
      <c r="K51" s="286">
        <f ca="1" t="shared" si="28"/>
        <v>61532315</v>
      </c>
      <c r="L51" s="286">
        <f ca="1" t="shared" si="28"/>
        <v>899812</v>
      </c>
      <c r="M51" s="286">
        <f ca="1" t="shared" si="28"/>
        <v>39487484</v>
      </c>
      <c r="N51" s="286">
        <f ca="1" t="shared" si="28"/>
        <v>1895828</v>
      </c>
      <c r="O51" s="286">
        <f ca="1" t="shared" si="28"/>
        <v>2936200</v>
      </c>
      <c r="P51" s="286">
        <f aca="true" ca="1" t="shared" si="29" ref="P51:V52">ROUND($D51*VLOOKUP($C51,IF(LEFT($C51,1)="K",INDIRECT("TABLE"),INDIRECT("TABLE2")),P$9+1),0)</f>
        <v>0</v>
      </c>
      <c r="Q51" s="286">
        <f ca="1" t="shared" si="29"/>
        <v>17435740</v>
      </c>
      <c r="R51" s="286">
        <f ca="1" t="shared" si="29"/>
        <v>1010993</v>
      </c>
      <c r="S51" s="286">
        <f ca="1" t="shared" si="29"/>
        <v>2595746</v>
      </c>
      <c r="T51" s="286">
        <f ca="1" t="shared" si="29"/>
        <v>0</v>
      </c>
      <c r="U51" s="286">
        <f ca="1" t="shared" si="29"/>
        <v>81801</v>
      </c>
      <c r="V51" s="286">
        <f ca="1" t="shared" si="29"/>
        <v>501176000</v>
      </c>
      <c r="W51" s="286">
        <f>D51-V51</f>
        <v>0</v>
      </c>
      <c r="X51" s="150"/>
      <c r="Y51" s="140"/>
      <c r="Z51" s="140" t="str">
        <f>IF($C51="B","",VLOOKUP($C51,orig_alloc!$A$13:$B$227,2,FALSE))</f>
        <v>TOTAL KW (AVERAGE  &amp;  EXCESS)</v>
      </c>
      <c r="AA51" s="141"/>
      <c r="AD51" s="141"/>
      <c r="AE51" s="141"/>
      <c r="AF51" s="141"/>
    </row>
    <row r="52" spans="1:32" ht="20.25">
      <c r="A52" s="148" t="s">
        <v>851</v>
      </c>
      <c r="B52" s="149" t="s">
        <v>338</v>
      </c>
      <c r="C52" s="148" t="s">
        <v>318</v>
      </c>
      <c r="D52" s="201">
        <v>277834000</v>
      </c>
      <c r="E52" s="219">
        <f>V52-SUM(F52:U52)</f>
        <v>143657105</v>
      </c>
      <c r="F52" s="118">
        <f ca="1" t="shared" si="28"/>
        <v>61768885</v>
      </c>
      <c r="G52" s="118">
        <f ca="1" t="shared" si="28"/>
        <v>60676</v>
      </c>
      <c r="H52" s="118">
        <f ca="1" t="shared" si="28"/>
        <v>248454</v>
      </c>
      <c r="I52" s="118">
        <f ca="1" t="shared" si="28"/>
        <v>1181273</v>
      </c>
      <c r="J52" s="118">
        <f ca="1" t="shared" si="28"/>
        <v>27783</v>
      </c>
      <c r="K52" s="118">
        <f ca="1" t="shared" si="28"/>
        <v>34111309</v>
      </c>
      <c r="L52" s="118">
        <f ca="1" t="shared" si="28"/>
        <v>498824</v>
      </c>
      <c r="M52" s="118">
        <f ca="1" t="shared" si="28"/>
        <v>21890445</v>
      </c>
      <c r="N52" s="118">
        <f ca="1" t="shared" si="28"/>
        <v>1050979</v>
      </c>
      <c r="O52" s="118">
        <f ca="1" t="shared" si="28"/>
        <v>1627724</v>
      </c>
      <c r="P52" s="118">
        <f ca="1" t="shared" si="29"/>
        <v>0</v>
      </c>
      <c r="Q52" s="118">
        <f ca="1" t="shared" si="29"/>
        <v>9665749</v>
      </c>
      <c r="R52" s="118">
        <f ca="1" t="shared" si="29"/>
        <v>560458</v>
      </c>
      <c r="S52" s="118">
        <f ca="1" t="shared" si="29"/>
        <v>1438988</v>
      </c>
      <c r="T52" s="118">
        <f ca="1" t="shared" si="29"/>
        <v>0</v>
      </c>
      <c r="U52" s="118">
        <f ca="1" t="shared" si="29"/>
        <v>45348</v>
      </c>
      <c r="V52" s="118">
        <f ca="1" t="shared" si="29"/>
        <v>277834000</v>
      </c>
      <c r="W52" s="118">
        <f>D52-V52</f>
        <v>0</v>
      </c>
      <c r="X52" s="150"/>
      <c r="Y52" s="140"/>
      <c r="Z52" s="140" t="str">
        <f>IF($C52="B","",VLOOKUP($C52,orig_alloc!$A$13:$B$227,2,FALSE))</f>
        <v>TOTAL KW (AVERAGE  &amp;  EXCESS)</v>
      </c>
      <c r="AA52" s="141"/>
      <c r="AD52" s="141"/>
      <c r="AE52" s="141"/>
      <c r="AF52" s="141"/>
    </row>
    <row r="53" spans="1:32" ht="20.25">
      <c r="A53" s="240" t="s">
        <v>339</v>
      </c>
      <c r="B53" s="149" t="s">
        <v>208</v>
      </c>
      <c r="C53" s="132"/>
      <c r="D53" s="202">
        <f aca="true" t="shared" si="30" ref="D53:W53">SUM(D50:D52)</f>
        <v>779010000</v>
      </c>
      <c r="E53" s="202">
        <f t="shared" si="30"/>
        <v>402795630</v>
      </c>
      <c r="F53" s="202">
        <f t="shared" si="30"/>
        <v>173191831</v>
      </c>
      <c r="G53" s="202">
        <f t="shared" si="30"/>
        <v>170128</v>
      </c>
      <c r="H53" s="202">
        <f t="shared" si="30"/>
        <v>696632</v>
      </c>
      <c r="I53" s="202">
        <f t="shared" si="30"/>
        <v>3312135</v>
      </c>
      <c r="J53" s="202">
        <f t="shared" si="30"/>
        <v>77901</v>
      </c>
      <c r="K53" s="202">
        <f t="shared" si="30"/>
        <v>95643624</v>
      </c>
      <c r="L53" s="202">
        <f t="shared" si="30"/>
        <v>1398636</v>
      </c>
      <c r="M53" s="202">
        <f t="shared" si="30"/>
        <v>61377929</v>
      </c>
      <c r="N53" s="202">
        <f t="shared" si="30"/>
        <v>2946807</v>
      </c>
      <c r="O53" s="202">
        <f t="shared" si="30"/>
        <v>4563924</v>
      </c>
      <c r="P53" s="202">
        <f t="shared" si="30"/>
        <v>0</v>
      </c>
      <c r="Q53" s="202">
        <f t="shared" si="30"/>
        <v>27101489</v>
      </c>
      <c r="R53" s="202">
        <f t="shared" si="30"/>
        <v>1571451</v>
      </c>
      <c r="S53" s="202">
        <f t="shared" si="30"/>
        <v>4034734</v>
      </c>
      <c r="T53" s="202">
        <f t="shared" si="30"/>
        <v>0</v>
      </c>
      <c r="U53" s="202">
        <f t="shared" si="30"/>
        <v>127149</v>
      </c>
      <c r="V53" s="202">
        <f t="shared" si="30"/>
        <v>779010000</v>
      </c>
      <c r="W53" s="202">
        <f t="shared" si="30"/>
        <v>0</v>
      </c>
      <c r="X53" s="150"/>
      <c r="Y53" s="140"/>
      <c r="Z53" s="140">
        <f>IF($C53="B","",VLOOKUP($C53,orig_alloc!$A$13:$B$227,2,FALSE))</f>
      </c>
      <c r="AA53" s="141"/>
      <c r="AD53" s="141"/>
      <c r="AE53" s="141"/>
      <c r="AF53" s="141"/>
    </row>
    <row r="54" spans="1:32" ht="20.25">
      <c r="A54" s="132"/>
      <c r="B54" s="149"/>
      <c r="C54" s="132"/>
      <c r="D54" s="118"/>
      <c r="E54" s="28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50"/>
      <c r="Y54" s="140"/>
      <c r="Z54" s="140">
        <f>IF($C54="B","",VLOOKUP($C54,orig_alloc!$A$13:$B$227,2,FALSE))</f>
      </c>
      <c r="AA54" s="141"/>
      <c r="AD54" s="141"/>
      <c r="AE54" s="141"/>
      <c r="AF54" s="141"/>
    </row>
    <row r="55" spans="1:32" ht="20.25">
      <c r="A55" s="282" t="s">
        <v>340</v>
      </c>
      <c r="B55" s="149"/>
      <c r="C55" s="13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50"/>
      <c r="Y55" s="140"/>
      <c r="Z55" s="140">
        <f>IF($C55="B","",VLOOKUP($C55,orig_alloc!$A$13:$B$227,2,FALSE))</f>
      </c>
      <c r="AA55" s="141"/>
      <c r="AD55" s="141"/>
      <c r="AE55" s="141"/>
      <c r="AF55" s="141"/>
    </row>
    <row r="56" spans="1:32" ht="20.25">
      <c r="A56" s="132" t="s">
        <v>341</v>
      </c>
      <c r="B56" s="149" t="s">
        <v>343</v>
      </c>
      <c r="C56" s="148" t="s">
        <v>318</v>
      </c>
      <c r="D56" s="118">
        <v>0</v>
      </c>
      <c r="E56" s="219">
        <f>V56-SUM(F56:U56)</f>
        <v>0</v>
      </c>
      <c r="F56" s="118">
        <f aca="true" ca="1" t="shared" si="31" ref="F56:O57">ROUND($D56*VLOOKUP($C56,IF(LEFT($C56,1)="K",INDIRECT("TABLE"),INDIRECT("TABLE2")),F$9+1),0)</f>
        <v>0</v>
      </c>
      <c r="G56" s="118">
        <f ca="1" t="shared" si="31"/>
        <v>0</v>
      </c>
      <c r="H56" s="118">
        <f ca="1" t="shared" si="31"/>
        <v>0</v>
      </c>
      <c r="I56" s="118">
        <f ca="1" t="shared" si="31"/>
        <v>0</v>
      </c>
      <c r="J56" s="118">
        <f ca="1" t="shared" si="31"/>
        <v>0</v>
      </c>
      <c r="K56" s="118">
        <f ca="1" t="shared" si="31"/>
        <v>0</v>
      </c>
      <c r="L56" s="118">
        <f ca="1" t="shared" si="31"/>
        <v>0</v>
      </c>
      <c r="M56" s="118">
        <f ca="1" t="shared" si="31"/>
        <v>0</v>
      </c>
      <c r="N56" s="118">
        <f ca="1" t="shared" si="31"/>
        <v>0</v>
      </c>
      <c r="O56" s="118">
        <f ca="1" t="shared" si="31"/>
        <v>0</v>
      </c>
      <c r="P56" s="118">
        <f aca="true" ca="1" t="shared" si="32" ref="P56:V57">ROUND($D56*VLOOKUP($C56,IF(LEFT($C56,1)="K",INDIRECT("TABLE"),INDIRECT("TABLE2")),P$9+1),0)</f>
        <v>0</v>
      </c>
      <c r="Q56" s="118">
        <f ca="1" t="shared" si="32"/>
        <v>0</v>
      </c>
      <c r="R56" s="118">
        <f ca="1" t="shared" si="32"/>
        <v>0</v>
      </c>
      <c r="S56" s="118">
        <f ca="1" t="shared" si="32"/>
        <v>0</v>
      </c>
      <c r="T56" s="118">
        <f ca="1" t="shared" si="32"/>
        <v>0</v>
      </c>
      <c r="U56" s="118">
        <f ca="1" t="shared" si="32"/>
        <v>0</v>
      </c>
      <c r="V56" s="118">
        <f ca="1" t="shared" si="32"/>
        <v>0</v>
      </c>
      <c r="W56" s="118">
        <f>D56-V56</f>
        <v>0</v>
      </c>
      <c r="X56" s="150"/>
      <c r="Y56" s="140"/>
      <c r="Z56" s="140" t="str">
        <f>IF($C56="B","",VLOOKUP($C56,orig_alloc!$A$13:$B$227,2,FALSE))</f>
        <v>TOTAL KW (AVERAGE  &amp;  EXCESS)</v>
      </c>
      <c r="AA56" s="141"/>
      <c r="AD56" s="141"/>
      <c r="AE56" s="141"/>
      <c r="AF56" s="141"/>
    </row>
    <row r="57" spans="1:32" ht="20.25">
      <c r="A57" s="132" t="s">
        <v>342</v>
      </c>
      <c r="B57" s="149" t="s">
        <v>521</v>
      </c>
      <c r="C57" s="148" t="s">
        <v>318</v>
      </c>
      <c r="D57" s="118">
        <f>23766000</f>
        <v>23766000</v>
      </c>
      <c r="E57" s="219">
        <f>V57-SUM(F57:U57)</f>
        <v>12288470</v>
      </c>
      <c r="F57" s="118">
        <f ca="1" t="shared" si="31"/>
        <v>5283728</v>
      </c>
      <c r="G57" s="118">
        <f ca="1" t="shared" si="31"/>
        <v>5190</v>
      </c>
      <c r="H57" s="118">
        <f ca="1" t="shared" si="31"/>
        <v>21253</v>
      </c>
      <c r="I57" s="118">
        <f ca="1" t="shared" si="31"/>
        <v>101046</v>
      </c>
      <c r="J57" s="118">
        <f ca="1" t="shared" si="31"/>
        <v>2377</v>
      </c>
      <c r="K57" s="118">
        <f ca="1" t="shared" si="31"/>
        <v>2917891</v>
      </c>
      <c r="L57" s="118">
        <f ca="1" t="shared" si="31"/>
        <v>42670</v>
      </c>
      <c r="M57" s="118">
        <f ca="1" t="shared" si="31"/>
        <v>1872515</v>
      </c>
      <c r="N57" s="118">
        <f ca="1" t="shared" si="31"/>
        <v>89901</v>
      </c>
      <c r="O57" s="118">
        <f ca="1" t="shared" si="31"/>
        <v>139236</v>
      </c>
      <c r="P57" s="118">
        <f ca="1" t="shared" si="32"/>
        <v>0</v>
      </c>
      <c r="Q57" s="118">
        <f ca="1" t="shared" si="32"/>
        <v>826811</v>
      </c>
      <c r="R57" s="118">
        <f ca="1" t="shared" si="32"/>
        <v>47942</v>
      </c>
      <c r="S57" s="118">
        <f ca="1" t="shared" si="32"/>
        <v>123091</v>
      </c>
      <c r="T57" s="118">
        <f ca="1" t="shared" si="32"/>
        <v>0</v>
      </c>
      <c r="U57" s="118">
        <f ca="1" t="shared" si="32"/>
        <v>3879</v>
      </c>
      <c r="V57" s="118">
        <f ca="1" t="shared" si="32"/>
        <v>23766000</v>
      </c>
      <c r="W57" s="118">
        <f>D57-V57</f>
        <v>0</v>
      </c>
      <c r="X57" s="150"/>
      <c r="Y57" s="140"/>
      <c r="Z57" s="140" t="str">
        <f>IF($C57="B","",VLOOKUP($C57,orig_alloc!$A$13:$B$227,2,FALSE))</f>
        <v>TOTAL KW (AVERAGE  &amp;  EXCESS)</v>
      </c>
      <c r="AA57" s="141"/>
      <c r="AD57" s="141"/>
      <c r="AE57" s="141"/>
      <c r="AF57" s="141"/>
    </row>
    <row r="58" spans="1:32" ht="20.25">
      <c r="A58" s="240" t="s">
        <v>344</v>
      </c>
      <c r="B58" s="149" t="s">
        <v>210</v>
      </c>
      <c r="C58" s="148"/>
      <c r="D58" s="202">
        <f aca="true" t="shared" si="33" ref="D58:U58">SUM(D56:D57)</f>
        <v>23766000</v>
      </c>
      <c r="E58" s="202">
        <f t="shared" si="33"/>
        <v>12288470</v>
      </c>
      <c r="F58" s="202">
        <f t="shared" si="33"/>
        <v>5283728</v>
      </c>
      <c r="G58" s="202">
        <f t="shared" si="33"/>
        <v>5190</v>
      </c>
      <c r="H58" s="202">
        <f t="shared" si="33"/>
        <v>21253</v>
      </c>
      <c r="I58" s="202">
        <f t="shared" si="33"/>
        <v>101046</v>
      </c>
      <c r="J58" s="202">
        <f t="shared" si="33"/>
        <v>2377</v>
      </c>
      <c r="K58" s="202">
        <f t="shared" si="33"/>
        <v>2917891</v>
      </c>
      <c r="L58" s="202">
        <f t="shared" si="33"/>
        <v>42670</v>
      </c>
      <c r="M58" s="202">
        <f t="shared" si="33"/>
        <v>1872515</v>
      </c>
      <c r="N58" s="202">
        <f t="shared" si="33"/>
        <v>89901</v>
      </c>
      <c r="O58" s="202">
        <f t="shared" si="33"/>
        <v>139236</v>
      </c>
      <c r="P58" s="202">
        <f t="shared" si="33"/>
        <v>0</v>
      </c>
      <c r="Q58" s="202">
        <f t="shared" si="33"/>
        <v>826811</v>
      </c>
      <c r="R58" s="202">
        <f t="shared" si="33"/>
        <v>47942</v>
      </c>
      <c r="S58" s="202">
        <f t="shared" si="33"/>
        <v>123091</v>
      </c>
      <c r="T58" s="202">
        <f t="shared" si="33"/>
        <v>0</v>
      </c>
      <c r="U58" s="202">
        <f t="shared" si="33"/>
        <v>3879</v>
      </c>
      <c r="V58" s="202">
        <f>SUM(V55:V57)</f>
        <v>23766000</v>
      </c>
      <c r="W58" s="202">
        <f>SUM(W55:W57)</f>
        <v>0</v>
      </c>
      <c r="X58" s="150"/>
      <c r="Y58" s="140"/>
      <c r="Z58" s="140">
        <f>IF($C58="B","",VLOOKUP($C58,orig_alloc!$A$13:$B$227,2,FALSE))</f>
      </c>
      <c r="AA58" s="141"/>
      <c r="AD58" s="141"/>
      <c r="AE58" s="141"/>
      <c r="AF58" s="141"/>
    </row>
    <row r="59" spans="1:32" ht="20.25">
      <c r="A59" s="284"/>
      <c r="B59" s="149"/>
      <c r="C59" s="132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50"/>
      <c r="Y59" s="140"/>
      <c r="Z59" s="140">
        <f>IF($C59="B","",VLOOKUP($C59,orig_alloc!$A$13:$B$227,2,FALSE))</f>
      </c>
      <c r="AA59" s="141"/>
      <c r="AD59" s="141"/>
      <c r="AE59" s="141"/>
      <c r="AF59" s="141"/>
    </row>
    <row r="60" spans="1:32" ht="20.25">
      <c r="A60" s="132" t="s">
        <v>345</v>
      </c>
      <c r="B60" s="149" t="s">
        <v>212</v>
      </c>
      <c r="C60" s="132"/>
      <c r="D60" s="118">
        <f aca="true" t="shared" si="34" ref="D60:W60">D58+D53</f>
        <v>802776000</v>
      </c>
      <c r="E60" s="118">
        <f t="shared" si="34"/>
        <v>415084100</v>
      </c>
      <c r="F60" s="118">
        <f t="shared" si="34"/>
        <v>178475559</v>
      </c>
      <c r="G60" s="118">
        <f t="shared" si="34"/>
        <v>175318</v>
      </c>
      <c r="H60" s="118">
        <f t="shared" si="34"/>
        <v>717885</v>
      </c>
      <c r="I60" s="118">
        <f t="shared" si="34"/>
        <v>3413181</v>
      </c>
      <c r="J60" s="118">
        <f t="shared" si="34"/>
        <v>80278</v>
      </c>
      <c r="K60" s="118">
        <f t="shared" si="34"/>
        <v>98561515</v>
      </c>
      <c r="L60" s="118">
        <f t="shared" si="34"/>
        <v>1441306</v>
      </c>
      <c r="M60" s="118">
        <f t="shared" si="34"/>
        <v>63250444</v>
      </c>
      <c r="N60" s="118">
        <f t="shared" si="34"/>
        <v>3036708</v>
      </c>
      <c r="O60" s="118">
        <f t="shared" si="34"/>
        <v>4703160</v>
      </c>
      <c r="P60" s="118">
        <f t="shared" si="34"/>
        <v>0</v>
      </c>
      <c r="Q60" s="118">
        <f t="shared" si="34"/>
        <v>27928300</v>
      </c>
      <c r="R60" s="118">
        <f t="shared" si="34"/>
        <v>1619393</v>
      </c>
      <c r="S60" s="118">
        <f t="shared" si="34"/>
        <v>4157825</v>
      </c>
      <c r="T60" s="118">
        <f t="shared" si="34"/>
        <v>0</v>
      </c>
      <c r="U60" s="118">
        <f t="shared" si="34"/>
        <v>131028</v>
      </c>
      <c r="V60" s="118">
        <f t="shared" si="34"/>
        <v>802776000</v>
      </c>
      <c r="W60" s="118">
        <f t="shared" si="34"/>
        <v>0</v>
      </c>
      <c r="X60" s="150"/>
      <c r="Y60" s="140"/>
      <c r="Z60" s="140">
        <f>IF($C60="B","",VLOOKUP($C60,orig_alloc!$A$13:$B$227,2,FALSE))</f>
      </c>
      <c r="AA60" s="141"/>
      <c r="AD60" s="141"/>
      <c r="AE60" s="141"/>
      <c r="AF60" s="141"/>
    </row>
    <row r="61" spans="1:32" ht="20.25">
      <c r="A61" s="132"/>
      <c r="B61" s="149"/>
      <c r="C61" s="132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50"/>
      <c r="Y61" s="140"/>
      <c r="Z61" s="140">
        <f>IF($C61="B","",VLOOKUP($C61,orig_alloc!$A$13:$B$227,2,FALSE))</f>
      </c>
      <c r="AA61" s="141"/>
      <c r="AD61" s="141"/>
      <c r="AE61" s="141"/>
      <c r="AF61" s="141"/>
    </row>
    <row r="62" spans="1:32" ht="20.25">
      <c r="A62" s="282" t="s">
        <v>346</v>
      </c>
      <c r="B62" s="149"/>
      <c r="C62" s="132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50"/>
      <c r="Y62" s="140"/>
      <c r="Z62" s="140">
        <f>IF($C62="B","",VLOOKUP($C62,orig_alloc!$A$13:$B$227,2,FALSE))</f>
      </c>
      <c r="AA62" s="141"/>
      <c r="AD62" s="141"/>
      <c r="AE62" s="141"/>
      <c r="AF62" s="141"/>
    </row>
    <row r="63" spans="1:32" ht="20.25">
      <c r="A63" s="148" t="s">
        <v>347</v>
      </c>
      <c r="B63" s="149" t="s">
        <v>348</v>
      </c>
      <c r="C63" s="148" t="s">
        <v>811</v>
      </c>
      <c r="D63" s="201">
        <f>34202000+3094000+309000</f>
        <v>37605000</v>
      </c>
      <c r="E63" s="219">
        <f aca="true" t="shared" si="35" ref="E63:E71">V63-SUM(F63:U63)</f>
        <v>16967803</v>
      </c>
      <c r="F63" s="118">
        <f aca="true" ca="1" t="shared" si="36" ref="F63:O71">ROUND($D63*VLOOKUP($C63,IF(LEFT($C63,1)="K",INDIRECT("TABLE"),INDIRECT("TABLE2")),F$9+1),0)</f>
        <v>10113411</v>
      </c>
      <c r="G63" s="118">
        <f ca="1" t="shared" si="36"/>
        <v>9581</v>
      </c>
      <c r="H63" s="118">
        <f ca="1" t="shared" si="36"/>
        <v>39501</v>
      </c>
      <c r="I63" s="118">
        <f ca="1" t="shared" si="36"/>
        <v>133491</v>
      </c>
      <c r="J63" s="118">
        <f ca="1" t="shared" si="36"/>
        <v>3961</v>
      </c>
      <c r="K63" s="118">
        <f ca="1" t="shared" si="36"/>
        <v>6041616</v>
      </c>
      <c r="L63" s="118">
        <f ca="1" t="shared" si="36"/>
        <v>66799</v>
      </c>
      <c r="M63" s="118">
        <f ca="1" t="shared" si="36"/>
        <v>3433565</v>
      </c>
      <c r="N63" s="118">
        <f ca="1" t="shared" si="36"/>
        <v>158112</v>
      </c>
      <c r="O63" s="118">
        <f ca="1" t="shared" si="36"/>
        <v>296688</v>
      </c>
      <c r="P63" s="118">
        <f aca="true" ca="1" t="shared" si="37" ref="P63:V71">ROUND($D63*VLOOKUP($C63,IF(LEFT($C63,1)="K",INDIRECT("TABLE"),INDIRECT("TABLE2")),P$9+1),0)</f>
        <v>0</v>
      </c>
      <c r="Q63" s="118">
        <f ca="1" t="shared" si="37"/>
        <v>0</v>
      </c>
      <c r="R63" s="118">
        <f ca="1" t="shared" si="37"/>
        <v>0</v>
      </c>
      <c r="S63" s="118">
        <f ca="1" t="shared" si="37"/>
        <v>337421</v>
      </c>
      <c r="T63" s="118">
        <f ca="1" t="shared" si="37"/>
        <v>0</v>
      </c>
      <c r="U63" s="118">
        <f ca="1" t="shared" si="37"/>
        <v>3051</v>
      </c>
      <c r="V63" s="118">
        <f ca="1" t="shared" si="37"/>
        <v>37605000</v>
      </c>
      <c r="W63" s="118">
        <f aca="true" t="shared" si="38" ref="W63:W71">D63-V63</f>
        <v>0</v>
      </c>
      <c r="X63" s="150"/>
      <c r="Y63" s="140"/>
      <c r="Z63" s="140" t="str">
        <f>IF($C63="B","",VLOOKUP($C63,orig_alloc!$A$13:$B$227,2,FALSE))</f>
        <v>TOTAL DIVERSIFIED CLASS DEMANDS</v>
      </c>
      <c r="AA63" s="141"/>
      <c r="AD63" s="141"/>
      <c r="AE63" s="141"/>
      <c r="AF63" s="141"/>
    </row>
    <row r="64" spans="1:32" ht="20.25">
      <c r="A64" s="148" t="s">
        <v>205</v>
      </c>
      <c r="B64" s="149" t="s">
        <v>349</v>
      </c>
      <c r="C64" s="114" t="s">
        <v>1043</v>
      </c>
      <c r="D64" s="201">
        <f>44360000+4460000</f>
        <v>48820000</v>
      </c>
      <c r="E64" s="219">
        <f t="shared" si="35"/>
        <v>22398721</v>
      </c>
      <c r="F64" s="118">
        <f ca="1" t="shared" si="36"/>
        <v>13350433</v>
      </c>
      <c r="G64" s="118">
        <f ca="1" t="shared" si="36"/>
        <v>12648</v>
      </c>
      <c r="H64" s="118">
        <f ca="1" t="shared" si="36"/>
        <v>52145</v>
      </c>
      <c r="I64" s="118">
        <f ca="1" t="shared" si="36"/>
        <v>176218</v>
      </c>
      <c r="J64" s="118">
        <f ca="1" t="shared" si="36"/>
        <v>5229</v>
      </c>
      <c r="K64" s="118">
        <f ca="1" t="shared" si="36"/>
        <v>7975369</v>
      </c>
      <c r="L64" s="118">
        <f ca="1" t="shared" si="36"/>
        <v>88180</v>
      </c>
      <c r="M64" s="118">
        <f ca="1" t="shared" si="36"/>
        <v>3807334</v>
      </c>
      <c r="N64" s="118">
        <f ca="1" t="shared" si="36"/>
        <v>175299</v>
      </c>
      <c r="O64" s="118">
        <f ca="1" t="shared" si="36"/>
        <v>328977</v>
      </c>
      <c r="P64" s="118">
        <f ca="1" t="shared" si="37"/>
        <v>0</v>
      </c>
      <c r="Q64" s="118">
        <f ca="1" t="shared" si="37"/>
        <v>0</v>
      </c>
      <c r="R64" s="118">
        <f ca="1" t="shared" si="37"/>
        <v>0</v>
      </c>
      <c r="S64" s="118">
        <f ca="1" t="shared" si="37"/>
        <v>445420</v>
      </c>
      <c r="T64" s="118">
        <f ca="1" t="shared" si="37"/>
        <v>0</v>
      </c>
      <c r="U64" s="118">
        <f ca="1" t="shared" si="37"/>
        <v>4027</v>
      </c>
      <c r="V64" s="118">
        <f ca="1" t="shared" si="37"/>
        <v>48820000</v>
      </c>
      <c r="W64" s="118">
        <f t="shared" si="38"/>
        <v>0</v>
      </c>
      <c r="X64" s="150"/>
      <c r="Y64" s="140"/>
      <c r="Z64" s="140" t="str">
        <f>IF($C64="B","",VLOOKUP($C64,orig_alloc!$A$13:$B$227,2,FALSE))</f>
        <v>DISTRIBUTION LINE - WTD. DIVERSIFIED CLASS</v>
      </c>
      <c r="AA64" s="141"/>
      <c r="AD64" s="141"/>
      <c r="AE64" s="141"/>
      <c r="AF64" s="141"/>
    </row>
    <row r="65" spans="1:32" ht="20.25">
      <c r="A65" s="148" t="s">
        <v>351</v>
      </c>
      <c r="B65" s="149" t="s">
        <v>352</v>
      </c>
      <c r="C65" s="114" t="s">
        <v>1043</v>
      </c>
      <c r="D65" s="201">
        <f>61283000+14371000+33388000</f>
        <v>109042000</v>
      </c>
      <c r="E65" s="219">
        <f t="shared" si="35"/>
        <v>50028708</v>
      </c>
      <c r="F65" s="118">
        <f ca="1" t="shared" si="36"/>
        <v>29818883</v>
      </c>
      <c r="G65" s="118">
        <f ca="1" t="shared" si="36"/>
        <v>28249</v>
      </c>
      <c r="H65" s="118">
        <f ca="1" t="shared" si="36"/>
        <v>116468</v>
      </c>
      <c r="I65" s="118">
        <f ca="1" t="shared" si="36"/>
        <v>393591</v>
      </c>
      <c r="J65" s="118">
        <f ca="1" t="shared" si="36"/>
        <v>11678</v>
      </c>
      <c r="K65" s="118">
        <f ca="1" t="shared" si="36"/>
        <v>17813401</v>
      </c>
      <c r="L65" s="118">
        <f ca="1" t="shared" si="36"/>
        <v>196954</v>
      </c>
      <c r="M65" s="118">
        <f ca="1" t="shared" si="36"/>
        <v>8503877</v>
      </c>
      <c r="N65" s="118">
        <f ca="1" t="shared" si="36"/>
        <v>391540</v>
      </c>
      <c r="O65" s="118">
        <f ca="1" t="shared" si="36"/>
        <v>734788</v>
      </c>
      <c r="P65" s="118">
        <f ca="1" t="shared" si="37"/>
        <v>0</v>
      </c>
      <c r="Q65" s="118">
        <f ca="1" t="shared" si="37"/>
        <v>0</v>
      </c>
      <c r="R65" s="118">
        <f ca="1" t="shared" si="37"/>
        <v>0</v>
      </c>
      <c r="S65" s="118">
        <f ca="1" t="shared" si="37"/>
        <v>994868</v>
      </c>
      <c r="T65" s="118">
        <f ca="1" t="shared" si="37"/>
        <v>0</v>
      </c>
      <c r="U65" s="118">
        <f ca="1" t="shared" si="37"/>
        <v>8995</v>
      </c>
      <c r="V65" s="118">
        <f ca="1" t="shared" si="37"/>
        <v>109042000</v>
      </c>
      <c r="W65" s="118">
        <f t="shared" si="38"/>
        <v>0</v>
      </c>
      <c r="X65" s="150"/>
      <c r="Y65" s="140"/>
      <c r="Z65" s="140" t="str">
        <f>IF($C65="B","",VLOOKUP($C65,orig_alloc!$A$13:$B$227,2,FALSE))</f>
        <v>DISTRIBUTION LINE - WTD. DIVERSIFIED CLASS</v>
      </c>
      <c r="AA65" s="141"/>
      <c r="AD65" s="141"/>
      <c r="AE65" s="141"/>
      <c r="AF65" s="141"/>
    </row>
    <row r="66" spans="1:32" ht="20.25">
      <c r="A66" s="148" t="s">
        <v>353</v>
      </c>
      <c r="B66" s="149" t="s">
        <v>354</v>
      </c>
      <c r="C66" s="148" t="s">
        <v>326</v>
      </c>
      <c r="D66" s="201">
        <v>47561000</v>
      </c>
      <c r="E66" s="219">
        <f t="shared" si="35"/>
        <v>31439413</v>
      </c>
      <c r="F66" s="118">
        <f ca="1" t="shared" si="36"/>
        <v>10699352</v>
      </c>
      <c r="G66" s="118">
        <f ca="1" t="shared" si="36"/>
        <v>10576</v>
      </c>
      <c r="H66" s="118">
        <f ca="1" t="shared" si="36"/>
        <v>27969</v>
      </c>
      <c r="I66" s="118">
        <f ca="1" t="shared" si="36"/>
        <v>246908</v>
      </c>
      <c r="J66" s="118">
        <f ca="1" t="shared" si="36"/>
        <v>5271</v>
      </c>
      <c r="K66" s="118">
        <f ca="1" t="shared" si="36"/>
        <v>4788363</v>
      </c>
      <c r="L66" s="118">
        <f ca="1" t="shared" si="36"/>
        <v>88686</v>
      </c>
      <c r="M66" s="118">
        <f ca="1" t="shared" si="36"/>
        <v>0</v>
      </c>
      <c r="N66" s="118">
        <f ca="1" t="shared" si="36"/>
        <v>0</v>
      </c>
      <c r="O66" s="118">
        <f ca="1" t="shared" si="36"/>
        <v>0</v>
      </c>
      <c r="P66" s="118">
        <f ca="1" t="shared" si="37"/>
        <v>0</v>
      </c>
      <c r="Q66" s="118">
        <f ca="1" t="shared" si="37"/>
        <v>0</v>
      </c>
      <c r="R66" s="118">
        <f ca="1" t="shared" si="37"/>
        <v>0</v>
      </c>
      <c r="S66" s="118">
        <f ca="1" t="shared" si="37"/>
        <v>243394</v>
      </c>
      <c r="T66" s="118">
        <f ca="1" t="shared" si="37"/>
        <v>0</v>
      </c>
      <c r="U66" s="118">
        <f ca="1" t="shared" si="37"/>
        <v>11068</v>
      </c>
      <c r="V66" s="118">
        <f ca="1" t="shared" si="37"/>
        <v>47561000</v>
      </c>
      <c r="W66" s="118">
        <f t="shared" si="38"/>
        <v>0</v>
      </c>
      <c r="X66" s="150"/>
      <c r="Y66" s="140"/>
      <c r="Z66" s="140" t="str">
        <f>IF($C66="B","",VLOOKUP($C66,orig_alloc!$A$13:$B$227,2,FALSE))</f>
        <v>SECONDARY NON-COIN PEAK (KW)</v>
      </c>
      <c r="AA66" s="141"/>
      <c r="AD66" s="141"/>
      <c r="AE66" s="141"/>
      <c r="AF66" s="141"/>
    </row>
    <row r="67" spans="1:32" ht="20.25">
      <c r="A67" s="148" t="s">
        <v>355</v>
      </c>
      <c r="B67" s="149" t="s">
        <v>356</v>
      </c>
      <c r="C67" s="148" t="s">
        <v>1248</v>
      </c>
      <c r="D67" s="201">
        <f>1716000+515000+10256000</f>
        <v>12487000</v>
      </c>
      <c r="E67" s="219">
        <f t="shared" si="35"/>
        <v>11138071</v>
      </c>
      <c r="F67" s="118">
        <f ca="1" t="shared" si="36"/>
        <v>1127362</v>
      </c>
      <c r="G67" s="118">
        <f ca="1" t="shared" si="36"/>
        <v>0</v>
      </c>
      <c r="H67" s="118">
        <f ca="1" t="shared" si="36"/>
        <v>13481</v>
      </c>
      <c r="I67" s="118">
        <f ca="1" t="shared" si="36"/>
        <v>32740</v>
      </c>
      <c r="J67" s="118">
        <f ca="1" t="shared" si="36"/>
        <v>2476</v>
      </c>
      <c r="K67" s="118">
        <f ca="1" t="shared" si="36"/>
        <v>139396</v>
      </c>
      <c r="L67" s="118">
        <f ca="1" t="shared" si="36"/>
        <v>0</v>
      </c>
      <c r="M67" s="118">
        <f ca="1" t="shared" si="36"/>
        <v>0</v>
      </c>
      <c r="N67" s="118">
        <f ca="1" t="shared" si="36"/>
        <v>0</v>
      </c>
      <c r="O67" s="118">
        <f ca="1" t="shared" si="36"/>
        <v>0</v>
      </c>
      <c r="P67" s="118">
        <f ca="1" t="shared" si="37"/>
        <v>0</v>
      </c>
      <c r="Q67" s="118">
        <f ca="1" t="shared" si="37"/>
        <v>0</v>
      </c>
      <c r="R67" s="118">
        <f ca="1" t="shared" si="37"/>
        <v>0</v>
      </c>
      <c r="S67" s="118">
        <f ca="1" t="shared" si="37"/>
        <v>31456</v>
      </c>
      <c r="T67" s="118">
        <f ca="1" t="shared" si="37"/>
        <v>0</v>
      </c>
      <c r="U67" s="118">
        <f ca="1" t="shared" si="37"/>
        <v>2018</v>
      </c>
      <c r="V67" s="118">
        <f ca="1" t="shared" si="37"/>
        <v>12487000</v>
      </c>
      <c r="W67" s="118">
        <f t="shared" si="38"/>
        <v>0</v>
      </c>
      <c r="X67" s="150"/>
      <c r="Y67" s="140"/>
      <c r="Z67" s="140" t="str">
        <f>IF($C67="B","",VLOOKUP($C67,orig_alloc!$A$13:$B$227,2,FALSE))</f>
        <v>WEIGHTED CUSTOMER SERVICE</v>
      </c>
      <c r="AA67" s="141"/>
      <c r="AD67" s="141"/>
      <c r="AE67" s="141"/>
      <c r="AF67" s="141"/>
    </row>
    <row r="68" spans="1:32" ht="20.25">
      <c r="A68" s="148" t="s">
        <v>357</v>
      </c>
      <c r="B68" s="149" t="s">
        <v>358</v>
      </c>
      <c r="C68" s="148" t="s">
        <v>359</v>
      </c>
      <c r="D68" s="201">
        <f>13852000+10000</f>
        <v>13862000</v>
      </c>
      <c r="E68" s="219">
        <f t="shared" si="35"/>
        <v>11980490</v>
      </c>
      <c r="F68" s="118">
        <f ca="1" t="shared" si="36"/>
        <v>1640700</v>
      </c>
      <c r="G68" s="118">
        <f ca="1" t="shared" si="36"/>
        <v>0</v>
      </c>
      <c r="H68" s="118">
        <f ca="1" t="shared" si="36"/>
        <v>0</v>
      </c>
      <c r="I68" s="118">
        <f ca="1" t="shared" si="36"/>
        <v>48377</v>
      </c>
      <c r="J68" s="118">
        <f ca="1" t="shared" si="36"/>
        <v>4050</v>
      </c>
      <c r="K68" s="118">
        <f ca="1" t="shared" si="36"/>
        <v>125563</v>
      </c>
      <c r="L68" s="118">
        <f ca="1" t="shared" si="36"/>
        <v>0</v>
      </c>
      <c r="M68" s="118">
        <f ca="1" t="shared" si="36"/>
        <v>42435</v>
      </c>
      <c r="N68" s="118">
        <f ca="1" t="shared" si="36"/>
        <v>0</v>
      </c>
      <c r="O68" s="118">
        <f ca="1" t="shared" si="36"/>
        <v>4789</v>
      </c>
      <c r="P68" s="118">
        <f ca="1" t="shared" si="37"/>
        <v>0</v>
      </c>
      <c r="Q68" s="118">
        <f ca="1" t="shared" si="37"/>
        <v>14751</v>
      </c>
      <c r="R68" s="118">
        <f ca="1" t="shared" si="37"/>
        <v>0</v>
      </c>
      <c r="S68" s="118">
        <f ca="1" t="shared" si="37"/>
        <v>845</v>
      </c>
      <c r="T68" s="118">
        <f ca="1" t="shared" si="37"/>
        <v>0</v>
      </c>
      <c r="U68" s="118">
        <f ca="1" t="shared" si="37"/>
        <v>0</v>
      </c>
      <c r="V68" s="118">
        <f ca="1" t="shared" si="37"/>
        <v>13862000</v>
      </c>
      <c r="W68" s="118">
        <f t="shared" si="38"/>
        <v>0</v>
      </c>
      <c r="X68" s="150"/>
      <c r="Y68" s="140"/>
      <c r="Z68" s="140" t="str">
        <f>IF($C68="B","",VLOOKUP($C68,orig_alloc!$A$13:$B$227,2,FALSE))</f>
        <v>METERS</v>
      </c>
      <c r="AA68" s="141"/>
      <c r="AD68" s="141"/>
      <c r="AE68" s="141"/>
      <c r="AF68" s="141"/>
    </row>
    <row r="69" spans="1:32" ht="20.25" hidden="1">
      <c r="A69" s="148" t="s">
        <v>1220</v>
      </c>
      <c r="B69" s="149" t="s">
        <v>360</v>
      </c>
      <c r="C69" s="148" t="s">
        <v>742</v>
      </c>
      <c r="D69" s="201">
        <v>0</v>
      </c>
      <c r="E69" s="219">
        <f t="shared" si="35"/>
        <v>0</v>
      </c>
      <c r="F69" s="118">
        <f ca="1" t="shared" si="36"/>
        <v>0</v>
      </c>
      <c r="G69" s="118">
        <f ca="1" t="shared" si="36"/>
        <v>0</v>
      </c>
      <c r="H69" s="118">
        <f ca="1" t="shared" si="36"/>
        <v>0</v>
      </c>
      <c r="I69" s="118">
        <f ca="1" t="shared" si="36"/>
        <v>0</v>
      </c>
      <c r="J69" s="118">
        <f ca="1" t="shared" si="36"/>
        <v>0</v>
      </c>
      <c r="K69" s="118">
        <f ca="1" t="shared" si="36"/>
        <v>0</v>
      </c>
      <c r="L69" s="118">
        <f ca="1" t="shared" si="36"/>
        <v>0</v>
      </c>
      <c r="M69" s="118">
        <f ca="1" t="shared" si="36"/>
        <v>0</v>
      </c>
      <c r="N69" s="118">
        <f ca="1" t="shared" si="36"/>
        <v>0</v>
      </c>
      <c r="O69" s="118">
        <f ca="1" t="shared" si="36"/>
        <v>0</v>
      </c>
      <c r="P69" s="118">
        <f ca="1" t="shared" si="37"/>
        <v>0</v>
      </c>
      <c r="Q69" s="118">
        <f ca="1" t="shared" si="37"/>
        <v>0</v>
      </c>
      <c r="R69" s="118">
        <f ca="1" t="shared" si="37"/>
        <v>0</v>
      </c>
      <c r="S69" s="118">
        <f ca="1" t="shared" si="37"/>
        <v>0</v>
      </c>
      <c r="T69" s="118">
        <f ca="1" t="shared" si="37"/>
        <v>0</v>
      </c>
      <c r="U69" s="118">
        <f ca="1" t="shared" si="37"/>
        <v>0</v>
      </c>
      <c r="V69" s="118">
        <f ca="1" t="shared" si="37"/>
        <v>0</v>
      </c>
      <c r="W69" s="118">
        <f t="shared" si="38"/>
        <v>0</v>
      </c>
      <c r="X69" s="150"/>
      <c r="Y69" s="140"/>
      <c r="Z69" s="140" t="str">
        <f>IF($C69="B","",VLOOKUP($C69,orig_alloc!$A$13:$B$227,2,FALSE))</f>
        <v>GROSS DISTRIBUTION PLANT EXCL. CCNC</v>
      </c>
      <c r="AA69" s="141"/>
      <c r="AD69" s="141"/>
      <c r="AE69" s="141"/>
      <c r="AF69" s="141"/>
    </row>
    <row r="70" spans="1:32" ht="20.25">
      <c r="A70" s="148" t="s">
        <v>361</v>
      </c>
      <c r="B70" s="149" t="s">
        <v>362</v>
      </c>
      <c r="C70" s="148" t="s">
        <v>363</v>
      </c>
      <c r="D70" s="201">
        <f>2861000+2819000+1616000+1000</f>
        <v>7297000</v>
      </c>
      <c r="E70" s="219">
        <f t="shared" si="35"/>
        <v>0</v>
      </c>
      <c r="F70" s="118">
        <f ca="1" t="shared" si="36"/>
        <v>0</v>
      </c>
      <c r="G70" s="118">
        <f ca="1" t="shared" si="36"/>
        <v>0</v>
      </c>
      <c r="H70" s="118">
        <f ca="1" t="shared" si="36"/>
        <v>0</v>
      </c>
      <c r="I70" s="118">
        <f ca="1" t="shared" si="36"/>
        <v>0</v>
      </c>
      <c r="J70" s="118">
        <f ca="1" t="shared" si="36"/>
        <v>0</v>
      </c>
      <c r="K70" s="118">
        <f ca="1" t="shared" si="36"/>
        <v>0</v>
      </c>
      <c r="L70" s="118">
        <f ca="1" t="shared" si="36"/>
        <v>0</v>
      </c>
      <c r="M70" s="118">
        <f ca="1" t="shared" si="36"/>
        <v>0</v>
      </c>
      <c r="N70" s="118">
        <f ca="1" t="shared" si="36"/>
        <v>0</v>
      </c>
      <c r="O70" s="118">
        <f ca="1" t="shared" si="36"/>
        <v>0</v>
      </c>
      <c r="P70" s="118">
        <f ca="1" t="shared" si="37"/>
        <v>0</v>
      </c>
      <c r="Q70" s="118">
        <f ca="1" t="shared" si="37"/>
        <v>0</v>
      </c>
      <c r="R70" s="118">
        <f ca="1" t="shared" si="37"/>
        <v>0</v>
      </c>
      <c r="S70" s="118">
        <f ca="1" t="shared" si="37"/>
        <v>7297000</v>
      </c>
      <c r="T70" s="118">
        <f ca="1" t="shared" si="37"/>
        <v>0</v>
      </c>
      <c r="U70" s="118">
        <f ca="1" t="shared" si="37"/>
        <v>0</v>
      </c>
      <c r="V70" s="118">
        <f ca="1" t="shared" si="37"/>
        <v>7297000</v>
      </c>
      <c r="W70" s="118">
        <f t="shared" si="38"/>
        <v>0</v>
      </c>
      <c r="X70" s="150"/>
      <c r="Y70" s="140"/>
      <c r="Z70" s="140" t="str">
        <f>IF($C70="B","",VLOOKUP($C70,orig_alloc!$A$13:$B$227,2,FALSE))</f>
        <v>ASSIGN 100% TO LIGHTING</v>
      </c>
      <c r="AA70" s="141"/>
      <c r="AD70" s="141"/>
      <c r="AE70" s="141"/>
      <c r="AF70" s="141"/>
    </row>
    <row r="71" spans="1:32" ht="20.25">
      <c r="A71" s="148" t="s">
        <v>414</v>
      </c>
      <c r="B71" s="149" t="s">
        <v>364</v>
      </c>
      <c r="C71" s="148" t="s">
        <v>742</v>
      </c>
      <c r="D71" s="201">
        <v>18840000</v>
      </c>
      <c r="E71" s="219">
        <f t="shared" si="35"/>
        <v>9802432</v>
      </c>
      <c r="F71" s="118">
        <f ca="1" t="shared" si="36"/>
        <v>4545323</v>
      </c>
      <c r="G71" s="118">
        <f ca="1" t="shared" si="36"/>
        <v>4157</v>
      </c>
      <c r="H71" s="118">
        <f ca="1" t="shared" si="36"/>
        <v>16994</v>
      </c>
      <c r="I71" s="118">
        <f ca="1" t="shared" si="36"/>
        <v>70228</v>
      </c>
      <c r="J71" s="118">
        <f ca="1" t="shared" si="36"/>
        <v>2224</v>
      </c>
      <c r="K71" s="118">
        <f ca="1" t="shared" si="36"/>
        <v>2511581</v>
      </c>
      <c r="L71" s="118">
        <f ca="1" t="shared" si="36"/>
        <v>30004</v>
      </c>
      <c r="M71" s="118">
        <f ca="1" t="shared" si="36"/>
        <v>1075024</v>
      </c>
      <c r="N71" s="118">
        <f ca="1" t="shared" si="36"/>
        <v>49365</v>
      </c>
      <c r="O71" s="118">
        <f ca="1" t="shared" si="36"/>
        <v>92966</v>
      </c>
      <c r="P71" s="118">
        <f ca="1" t="shared" si="37"/>
        <v>0</v>
      </c>
      <c r="Q71" s="118">
        <f ca="1" t="shared" si="37"/>
        <v>1004</v>
      </c>
      <c r="R71" s="118">
        <f ca="1" t="shared" si="37"/>
        <v>0</v>
      </c>
      <c r="S71" s="118">
        <f ca="1" t="shared" si="37"/>
        <v>636712</v>
      </c>
      <c r="T71" s="118">
        <f ca="1" t="shared" si="37"/>
        <v>0</v>
      </c>
      <c r="U71" s="118">
        <f ca="1" t="shared" si="37"/>
        <v>1986</v>
      </c>
      <c r="V71" s="118">
        <f ca="1" t="shared" si="37"/>
        <v>18840000</v>
      </c>
      <c r="W71" s="118">
        <f t="shared" si="38"/>
        <v>0</v>
      </c>
      <c r="X71" s="150"/>
      <c r="Y71" s="140"/>
      <c r="Z71" s="140" t="str">
        <f>IF($C71="B","",VLOOKUP($C71,orig_alloc!$A$13:$B$227,2,FALSE))</f>
        <v>GROSS DISTRIBUTION PLANT EXCL. CCNC</v>
      </c>
      <c r="AA71" s="141"/>
      <c r="AD71" s="141"/>
      <c r="AE71" s="141"/>
      <c r="AF71" s="141"/>
    </row>
    <row r="72" spans="1:32" ht="20.25">
      <c r="A72" s="240" t="s">
        <v>365</v>
      </c>
      <c r="B72" s="149" t="s">
        <v>400</v>
      </c>
      <c r="C72" s="132"/>
      <c r="D72" s="202">
        <f aca="true" t="shared" si="39" ref="D72:W72">SUM(D62:D71)</f>
        <v>295514000</v>
      </c>
      <c r="E72" s="202">
        <f t="shared" si="39"/>
        <v>153755638</v>
      </c>
      <c r="F72" s="202">
        <f t="shared" si="39"/>
        <v>71295464</v>
      </c>
      <c r="G72" s="202">
        <f t="shared" si="39"/>
        <v>65211</v>
      </c>
      <c r="H72" s="202">
        <f t="shared" si="39"/>
        <v>266558</v>
      </c>
      <c r="I72" s="202">
        <f t="shared" si="39"/>
        <v>1101553</v>
      </c>
      <c r="J72" s="202">
        <f t="shared" si="39"/>
        <v>34889</v>
      </c>
      <c r="K72" s="202">
        <f t="shared" si="39"/>
        <v>39395289</v>
      </c>
      <c r="L72" s="202">
        <f t="shared" si="39"/>
        <v>470623</v>
      </c>
      <c r="M72" s="202">
        <f t="shared" si="39"/>
        <v>16862235</v>
      </c>
      <c r="N72" s="202">
        <f t="shared" si="39"/>
        <v>774316</v>
      </c>
      <c r="O72" s="202">
        <f t="shared" si="39"/>
        <v>1458208</v>
      </c>
      <c r="P72" s="202">
        <f t="shared" si="39"/>
        <v>0</v>
      </c>
      <c r="Q72" s="202">
        <f t="shared" si="39"/>
        <v>15755</v>
      </c>
      <c r="R72" s="202">
        <f t="shared" si="39"/>
        <v>0</v>
      </c>
      <c r="S72" s="202">
        <f t="shared" si="39"/>
        <v>9987116</v>
      </c>
      <c r="T72" s="202">
        <f t="shared" si="39"/>
        <v>0</v>
      </c>
      <c r="U72" s="202">
        <f t="shared" si="39"/>
        <v>31145</v>
      </c>
      <c r="V72" s="202">
        <f t="shared" si="39"/>
        <v>295514000</v>
      </c>
      <c r="W72" s="202">
        <f t="shared" si="39"/>
        <v>0</v>
      </c>
      <c r="X72" s="150"/>
      <c r="Y72" s="140"/>
      <c r="Z72" s="140">
        <f>IF($C72="B","",VLOOKUP($C72,orig_alloc!$A$13:$B$227,2,FALSE))</f>
      </c>
      <c r="AA72" s="141"/>
      <c r="AD72" s="141"/>
      <c r="AE72" s="141"/>
      <c r="AF72" s="141"/>
    </row>
    <row r="73" spans="1:32" ht="20.25">
      <c r="A73" s="132"/>
      <c r="B73" s="149"/>
      <c r="C73" s="13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50"/>
      <c r="Y73" s="140"/>
      <c r="Z73" s="140">
        <f>IF($C73="B","",VLOOKUP($C73,orig_alloc!$A$13:$B$227,2,FALSE))</f>
      </c>
      <c r="AA73" s="141"/>
      <c r="AD73" s="141"/>
      <c r="AE73" s="141"/>
      <c r="AF73" s="141"/>
    </row>
    <row r="74" spans="1:32" ht="20.25">
      <c r="A74" s="132" t="s">
        <v>366</v>
      </c>
      <c r="B74" s="149" t="s">
        <v>215</v>
      </c>
      <c r="C74" s="132"/>
      <c r="D74" s="118">
        <f aca="true" t="shared" si="40" ref="D74:W74">D72+D58</f>
        <v>319280000</v>
      </c>
      <c r="E74" s="118">
        <f t="shared" si="40"/>
        <v>166044108</v>
      </c>
      <c r="F74" s="118">
        <f t="shared" si="40"/>
        <v>76579192</v>
      </c>
      <c r="G74" s="118">
        <f t="shared" si="40"/>
        <v>70401</v>
      </c>
      <c r="H74" s="118">
        <f t="shared" si="40"/>
        <v>287811</v>
      </c>
      <c r="I74" s="118">
        <f t="shared" si="40"/>
        <v>1202599</v>
      </c>
      <c r="J74" s="118">
        <f t="shared" si="40"/>
        <v>37266</v>
      </c>
      <c r="K74" s="118">
        <f t="shared" si="40"/>
        <v>42313180</v>
      </c>
      <c r="L74" s="118">
        <f t="shared" si="40"/>
        <v>513293</v>
      </c>
      <c r="M74" s="118">
        <f t="shared" si="40"/>
        <v>18734750</v>
      </c>
      <c r="N74" s="118">
        <f t="shared" si="40"/>
        <v>864217</v>
      </c>
      <c r="O74" s="118">
        <f t="shared" si="40"/>
        <v>1597444</v>
      </c>
      <c r="P74" s="118">
        <f t="shared" si="40"/>
        <v>0</v>
      </c>
      <c r="Q74" s="118">
        <f t="shared" si="40"/>
        <v>842566</v>
      </c>
      <c r="R74" s="118">
        <f t="shared" si="40"/>
        <v>47942</v>
      </c>
      <c r="S74" s="118">
        <f t="shared" si="40"/>
        <v>10110207</v>
      </c>
      <c r="T74" s="118">
        <f t="shared" si="40"/>
        <v>0</v>
      </c>
      <c r="U74" s="118">
        <f t="shared" si="40"/>
        <v>35024</v>
      </c>
      <c r="V74" s="118">
        <f t="shared" si="40"/>
        <v>319280000</v>
      </c>
      <c r="W74" s="118">
        <f t="shared" si="40"/>
        <v>0</v>
      </c>
      <c r="X74" s="150"/>
      <c r="Y74" s="140"/>
      <c r="Z74" s="140">
        <f>IF($C74="B","",VLOOKUP($C74,orig_alloc!$A$13:$B$227,2,FALSE))</f>
      </c>
      <c r="AA74" s="141"/>
      <c r="AD74" s="141"/>
      <c r="AE74" s="141"/>
      <c r="AF74" s="141"/>
    </row>
    <row r="75" spans="1:32" ht="20.25">
      <c r="A75" s="132" t="s">
        <v>367</v>
      </c>
      <c r="B75" s="149" t="s">
        <v>217</v>
      </c>
      <c r="C75" s="132"/>
      <c r="D75" s="118">
        <f aca="true" t="shared" si="41" ref="D75:W75">D72+D60</f>
        <v>1098290000</v>
      </c>
      <c r="E75" s="118">
        <f t="shared" si="41"/>
        <v>568839738</v>
      </c>
      <c r="F75" s="118">
        <f t="shared" si="41"/>
        <v>249771023</v>
      </c>
      <c r="G75" s="118">
        <f t="shared" si="41"/>
        <v>240529</v>
      </c>
      <c r="H75" s="118">
        <f t="shared" si="41"/>
        <v>984443</v>
      </c>
      <c r="I75" s="118">
        <f t="shared" si="41"/>
        <v>4514734</v>
      </c>
      <c r="J75" s="118">
        <f t="shared" si="41"/>
        <v>115167</v>
      </c>
      <c r="K75" s="118">
        <f t="shared" si="41"/>
        <v>137956804</v>
      </c>
      <c r="L75" s="118">
        <f t="shared" si="41"/>
        <v>1911929</v>
      </c>
      <c r="M75" s="118">
        <f t="shared" si="41"/>
        <v>80112679</v>
      </c>
      <c r="N75" s="118">
        <f t="shared" si="41"/>
        <v>3811024</v>
      </c>
      <c r="O75" s="118">
        <f t="shared" si="41"/>
        <v>6161368</v>
      </c>
      <c r="P75" s="118">
        <f t="shared" si="41"/>
        <v>0</v>
      </c>
      <c r="Q75" s="118">
        <f t="shared" si="41"/>
        <v>27944055</v>
      </c>
      <c r="R75" s="118">
        <f t="shared" si="41"/>
        <v>1619393</v>
      </c>
      <c r="S75" s="118">
        <f t="shared" si="41"/>
        <v>14144941</v>
      </c>
      <c r="T75" s="118">
        <f t="shared" si="41"/>
        <v>0</v>
      </c>
      <c r="U75" s="118">
        <f t="shared" si="41"/>
        <v>162173</v>
      </c>
      <c r="V75" s="118">
        <f t="shared" si="41"/>
        <v>1098290000</v>
      </c>
      <c r="W75" s="118">
        <f t="shared" si="41"/>
        <v>0</v>
      </c>
      <c r="X75" s="150"/>
      <c r="Y75" s="140"/>
      <c r="Z75" s="140">
        <f>IF($C75="B","",VLOOKUP($C75,orig_alloc!$A$13:$B$227,2,FALSE))</f>
      </c>
      <c r="AA75" s="141"/>
      <c r="AD75" s="141"/>
      <c r="AE75" s="141"/>
      <c r="AF75" s="141"/>
    </row>
    <row r="76" spans="1:32" ht="20.25">
      <c r="A76" s="132"/>
      <c r="B76" s="149"/>
      <c r="C76" s="132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50"/>
      <c r="Y76" s="140"/>
      <c r="Z76" s="140">
        <f>IF($C76="B","",VLOOKUP($C76,orig_alloc!$A$13:$B$227,2,FALSE))</f>
      </c>
      <c r="AA76" s="141"/>
      <c r="AD76" s="141"/>
      <c r="AE76" s="141"/>
      <c r="AF76" s="141"/>
    </row>
    <row r="77" spans="1:32" ht="20.25">
      <c r="A77" s="282" t="s">
        <v>368</v>
      </c>
      <c r="B77" s="149"/>
      <c r="C77" s="132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0"/>
      <c r="Y77" s="140"/>
      <c r="Z77" s="140">
        <f>IF($C77="B","",VLOOKUP($C77,orig_alloc!$A$13:$B$227,2,FALSE))</f>
      </c>
      <c r="AA77" s="141"/>
      <c r="AD77" s="141"/>
      <c r="AE77" s="141"/>
      <c r="AF77" s="141"/>
    </row>
    <row r="78" spans="1:32" ht="20.25">
      <c r="A78" s="132" t="s">
        <v>369</v>
      </c>
      <c r="B78" s="149" t="s">
        <v>372</v>
      </c>
      <c r="C78" s="114" t="s">
        <v>588</v>
      </c>
      <c r="D78" s="288">
        <f>backup!D13</f>
        <v>1445000</v>
      </c>
      <c r="E78" s="219">
        <f aca="true" t="shared" si="42" ref="E78:E84">V78-SUM(F78:U78)</f>
        <v>747152</v>
      </c>
      <c r="F78" s="118">
        <f aca="true" ca="1" t="shared" si="43" ref="F78:O84">ROUND($D78*VLOOKUP($C78,IF(LEFT($C78,1)="K",INDIRECT("TABLE"),INDIRECT("TABLE2")),F$9+1),0)</f>
        <v>321257</v>
      </c>
      <c r="G78" s="118">
        <f ca="1" t="shared" si="43"/>
        <v>316</v>
      </c>
      <c r="H78" s="118">
        <f ca="1" t="shared" si="43"/>
        <v>1292</v>
      </c>
      <c r="I78" s="118">
        <f ca="1" t="shared" si="43"/>
        <v>6144</v>
      </c>
      <c r="J78" s="118">
        <f ca="1" t="shared" si="43"/>
        <v>145</v>
      </c>
      <c r="K78" s="118">
        <f ca="1" t="shared" si="43"/>
        <v>177411</v>
      </c>
      <c r="L78" s="118">
        <f ca="1" t="shared" si="43"/>
        <v>2594</v>
      </c>
      <c r="M78" s="118">
        <f ca="1" t="shared" si="43"/>
        <v>113851</v>
      </c>
      <c r="N78" s="118">
        <f ca="1" t="shared" si="43"/>
        <v>5466</v>
      </c>
      <c r="O78" s="118">
        <f ca="1" t="shared" si="43"/>
        <v>8466</v>
      </c>
      <c r="P78" s="118">
        <f aca="true" ca="1" t="shared" si="44" ref="P78:V84">ROUND($D78*VLOOKUP($C78,IF(LEFT($C78,1)="K",INDIRECT("TABLE"),INDIRECT("TABLE2")),P$9+1),0)</f>
        <v>0</v>
      </c>
      <c r="Q78" s="118">
        <f ca="1" t="shared" si="44"/>
        <v>50271</v>
      </c>
      <c r="R78" s="118">
        <f ca="1" t="shared" si="44"/>
        <v>2915</v>
      </c>
      <c r="S78" s="118">
        <f ca="1" t="shared" si="44"/>
        <v>7484</v>
      </c>
      <c r="T78" s="118">
        <f ca="1" t="shared" si="44"/>
        <v>0</v>
      </c>
      <c r="U78" s="118">
        <f ca="1" t="shared" si="44"/>
        <v>236</v>
      </c>
      <c r="V78" s="118">
        <f ca="1" t="shared" si="44"/>
        <v>1445000</v>
      </c>
      <c r="W78" s="118">
        <f aca="true" t="shared" si="45" ref="W78:W84">D78-V78</f>
        <v>0</v>
      </c>
      <c r="X78" s="150"/>
      <c r="Y78" s="140"/>
      <c r="Z78" s="140" t="str">
        <f>IF($C78="B","",VLOOKUP($C78,orig_alloc!$A$13:$B$227,2,FALSE))</f>
        <v>WTD PROD DEMAND A&amp;G EXP RATIOS</v>
      </c>
      <c r="AA78" s="141"/>
      <c r="AD78" s="141"/>
      <c r="AE78" s="141"/>
      <c r="AF78" s="141"/>
    </row>
    <row r="79" spans="1:32" ht="20.25">
      <c r="A79" s="132" t="s">
        <v>370</v>
      </c>
      <c r="B79" s="149" t="s">
        <v>373</v>
      </c>
      <c r="C79" s="114" t="s">
        <v>544</v>
      </c>
      <c r="D79" s="288">
        <f>backup!D14</f>
        <v>627000</v>
      </c>
      <c r="E79" s="219">
        <f t="shared" si="42"/>
        <v>238860</v>
      </c>
      <c r="F79" s="118">
        <f ca="1" t="shared" si="43"/>
        <v>163526</v>
      </c>
      <c r="G79" s="118">
        <f ca="1" t="shared" si="43"/>
        <v>49</v>
      </c>
      <c r="H79" s="118">
        <f ca="1" t="shared" si="43"/>
        <v>982</v>
      </c>
      <c r="I79" s="118">
        <f ca="1" t="shared" si="43"/>
        <v>2215</v>
      </c>
      <c r="J79" s="118">
        <f ca="1" t="shared" si="43"/>
        <v>63</v>
      </c>
      <c r="K79" s="118">
        <f ca="1" t="shared" si="43"/>
        <v>114477</v>
      </c>
      <c r="L79" s="118">
        <f ca="1" t="shared" si="43"/>
        <v>393</v>
      </c>
      <c r="M79" s="118">
        <f ca="1" t="shared" si="43"/>
        <v>68288</v>
      </c>
      <c r="N79" s="118">
        <f ca="1" t="shared" si="43"/>
        <v>971</v>
      </c>
      <c r="O79" s="118">
        <f ca="1" t="shared" si="43"/>
        <v>5375</v>
      </c>
      <c r="P79" s="118">
        <f ca="1" t="shared" si="44"/>
        <v>0</v>
      </c>
      <c r="Q79" s="118">
        <f ca="1" t="shared" si="44"/>
        <v>27276</v>
      </c>
      <c r="R79" s="118">
        <f ca="1" t="shared" si="44"/>
        <v>538</v>
      </c>
      <c r="S79" s="118">
        <f ca="1" t="shared" si="44"/>
        <v>3936</v>
      </c>
      <c r="T79" s="118">
        <f ca="1" t="shared" si="44"/>
        <v>0</v>
      </c>
      <c r="U79" s="118">
        <f ca="1" t="shared" si="44"/>
        <v>51</v>
      </c>
      <c r="V79" s="118">
        <f ca="1" t="shared" si="44"/>
        <v>627000</v>
      </c>
      <c r="W79" s="118">
        <f t="shared" si="45"/>
        <v>0</v>
      </c>
      <c r="X79" s="150"/>
      <c r="Y79" s="140"/>
      <c r="Z79" s="140" t="str">
        <f>IF($C79="B","",VLOOKUP($C79,orig_alloc!$A$13:$B$227,2,FALSE))</f>
        <v>WTD PROD ENERGY A&amp;G EXP RATIOS</v>
      </c>
      <c r="AA79" s="141"/>
      <c r="AD79" s="141"/>
      <c r="AE79" s="141"/>
      <c r="AF79" s="141"/>
    </row>
    <row r="80" spans="1:32" ht="20.25">
      <c r="A80" s="132" t="s">
        <v>314</v>
      </c>
      <c r="B80" s="149" t="s">
        <v>374</v>
      </c>
      <c r="C80" s="114" t="s">
        <v>545</v>
      </c>
      <c r="D80" s="288">
        <f>backup!D15</f>
        <v>93000</v>
      </c>
      <c r="E80" s="219">
        <f t="shared" si="42"/>
        <v>48088</v>
      </c>
      <c r="F80" s="118">
        <f ca="1" t="shared" si="43"/>
        <v>20676</v>
      </c>
      <c r="G80" s="118">
        <f ca="1" t="shared" si="43"/>
        <v>20</v>
      </c>
      <c r="H80" s="118">
        <f ca="1" t="shared" si="43"/>
        <v>83</v>
      </c>
      <c r="I80" s="118">
        <f ca="1" t="shared" si="43"/>
        <v>395</v>
      </c>
      <c r="J80" s="118">
        <f ca="1" t="shared" si="43"/>
        <v>9</v>
      </c>
      <c r="K80" s="118">
        <f ca="1" t="shared" si="43"/>
        <v>11418</v>
      </c>
      <c r="L80" s="118">
        <f ca="1" t="shared" si="43"/>
        <v>167</v>
      </c>
      <c r="M80" s="118">
        <f ca="1" t="shared" si="43"/>
        <v>7327</v>
      </c>
      <c r="N80" s="118">
        <f ca="1" t="shared" si="43"/>
        <v>352</v>
      </c>
      <c r="O80" s="118">
        <f ca="1" t="shared" si="43"/>
        <v>545</v>
      </c>
      <c r="P80" s="118">
        <f ca="1" t="shared" si="44"/>
        <v>0</v>
      </c>
      <c r="Q80" s="118">
        <f ca="1" t="shared" si="44"/>
        <v>3235</v>
      </c>
      <c r="R80" s="118">
        <f ca="1" t="shared" si="44"/>
        <v>188</v>
      </c>
      <c r="S80" s="118">
        <f ca="1" t="shared" si="44"/>
        <v>482</v>
      </c>
      <c r="T80" s="118">
        <f ca="1" t="shared" si="44"/>
        <v>0</v>
      </c>
      <c r="U80" s="118">
        <f ca="1" t="shared" si="44"/>
        <v>15</v>
      </c>
      <c r="V80" s="118">
        <f ca="1" t="shared" si="44"/>
        <v>93000</v>
      </c>
      <c r="W80" s="118">
        <f t="shared" si="45"/>
        <v>0</v>
      </c>
      <c r="X80" s="150"/>
      <c r="Y80" s="140"/>
      <c r="Z80" s="140" t="str">
        <f>IF($C80="B","",VLOOKUP($C80,orig_alloc!$A$13:$B$227,2,FALSE))</f>
        <v>WTD TRANS A&amp;G EXP RATIOS</v>
      </c>
      <c r="AA80" s="141"/>
      <c r="AD80" s="141"/>
      <c r="AE80" s="141"/>
      <c r="AF80" s="141"/>
    </row>
    <row r="81" spans="1:32" ht="20.25">
      <c r="A81" s="132" t="s">
        <v>313</v>
      </c>
      <c r="B81" s="149" t="s">
        <v>522</v>
      </c>
      <c r="C81" s="114" t="s">
        <v>589</v>
      </c>
      <c r="D81" s="288">
        <f>backup!D16</f>
        <v>603000</v>
      </c>
      <c r="E81" s="219">
        <f t="shared" si="42"/>
        <v>297144</v>
      </c>
      <c r="F81" s="118">
        <f ca="1" t="shared" si="43"/>
        <v>153933</v>
      </c>
      <c r="G81" s="118">
        <f ca="1" t="shared" si="43"/>
        <v>143</v>
      </c>
      <c r="H81" s="118">
        <f ca="1" t="shared" si="43"/>
        <v>601</v>
      </c>
      <c r="I81" s="118">
        <f ca="1" t="shared" si="43"/>
        <v>2240</v>
      </c>
      <c r="J81" s="118">
        <f ca="1" t="shared" si="43"/>
        <v>71</v>
      </c>
      <c r="K81" s="118">
        <f ca="1" t="shared" si="43"/>
        <v>89268</v>
      </c>
      <c r="L81" s="118">
        <f ca="1" t="shared" si="43"/>
        <v>1027</v>
      </c>
      <c r="M81" s="118">
        <f ca="1" t="shared" si="43"/>
        <v>44757</v>
      </c>
      <c r="N81" s="118">
        <f ca="1" t="shared" si="43"/>
        <v>2068</v>
      </c>
      <c r="O81" s="118">
        <f ca="1" t="shared" si="43"/>
        <v>3763</v>
      </c>
      <c r="P81" s="118">
        <f ca="1" t="shared" si="44"/>
        <v>0</v>
      </c>
      <c r="Q81" s="118">
        <f ca="1" t="shared" si="44"/>
        <v>3014</v>
      </c>
      <c r="R81" s="118">
        <f ca="1" t="shared" si="44"/>
        <v>172</v>
      </c>
      <c r="S81" s="118">
        <f ca="1" t="shared" si="44"/>
        <v>4744</v>
      </c>
      <c r="T81" s="118">
        <f ca="1" t="shared" si="44"/>
        <v>0</v>
      </c>
      <c r="U81" s="118">
        <f ca="1" t="shared" si="44"/>
        <v>55</v>
      </c>
      <c r="V81" s="118">
        <f ca="1" t="shared" si="44"/>
        <v>603000</v>
      </c>
      <c r="W81" s="118">
        <f t="shared" si="45"/>
        <v>0</v>
      </c>
      <c r="X81" s="150"/>
      <c r="Y81" s="140"/>
      <c r="Z81" s="140" t="str">
        <f>IF($C81="B","",VLOOKUP($C81,orig_alloc!$A$13:$B$227,2,FALSE))</f>
        <v>WTD DIST A&amp;G EXP RATIOS</v>
      </c>
      <c r="AA81" s="141"/>
      <c r="AD81" s="141"/>
      <c r="AE81" s="141"/>
      <c r="AF81" s="141"/>
    </row>
    <row r="82" spans="1:32" ht="20.25">
      <c r="A82" s="132" t="s">
        <v>571</v>
      </c>
      <c r="B82" s="149" t="s">
        <v>523</v>
      </c>
      <c r="C82" s="114" t="s">
        <v>590</v>
      </c>
      <c r="D82" s="288">
        <f>backup!D17</f>
        <v>598000</v>
      </c>
      <c r="E82" s="219">
        <f t="shared" si="42"/>
        <v>529324</v>
      </c>
      <c r="F82" s="118">
        <f ca="1" t="shared" si="43"/>
        <v>64040</v>
      </c>
      <c r="G82" s="118">
        <f ca="1" t="shared" si="43"/>
        <v>54</v>
      </c>
      <c r="H82" s="118">
        <f ca="1" t="shared" si="43"/>
        <v>332</v>
      </c>
      <c r="I82" s="118">
        <f ca="1" t="shared" si="43"/>
        <v>525</v>
      </c>
      <c r="J82" s="118">
        <f ca="1" t="shared" si="43"/>
        <v>84</v>
      </c>
      <c r="K82" s="118">
        <f ca="1" t="shared" si="43"/>
        <v>2157</v>
      </c>
      <c r="L82" s="118">
        <f ca="1" t="shared" si="43"/>
        <v>28</v>
      </c>
      <c r="M82" s="118">
        <f ca="1" t="shared" si="43"/>
        <v>159</v>
      </c>
      <c r="N82" s="118">
        <f ca="1" t="shared" si="43"/>
        <v>23</v>
      </c>
      <c r="O82" s="118">
        <f ca="1" t="shared" si="43"/>
        <v>61</v>
      </c>
      <c r="P82" s="118">
        <f ca="1" t="shared" si="44"/>
        <v>0</v>
      </c>
      <c r="Q82" s="118">
        <f ca="1" t="shared" si="44"/>
        <v>59</v>
      </c>
      <c r="R82" s="118">
        <f ca="1" t="shared" si="44"/>
        <v>18</v>
      </c>
      <c r="S82" s="118">
        <f ca="1" t="shared" si="44"/>
        <v>1086</v>
      </c>
      <c r="T82" s="118">
        <f ca="1" t="shared" si="44"/>
        <v>0</v>
      </c>
      <c r="U82" s="118">
        <f ca="1" t="shared" si="44"/>
        <v>50</v>
      </c>
      <c r="V82" s="118">
        <f ca="1" t="shared" si="44"/>
        <v>598000</v>
      </c>
      <c r="W82" s="118">
        <f t="shared" si="45"/>
        <v>0</v>
      </c>
      <c r="X82" s="150"/>
      <c r="Y82" s="140"/>
      <c r="Z82" s="140" t="str">
        <f>IF($C82="B","",VLOOKUP($C82,orig_alloc!$A$13:$B$227,2,FALSE))</f>
        <v>WTD CUST ACCT A&amp;G EXP RATIOS</v>
      </c>
      <c r="AA82" s="141"/>
      <c r="AD82" s="141"/>
      <c r="AE82" s="141"/>
      <c r="AF82" s="141"/>
    </row>
    <row r="83" spans="1:32" ht="20.25">
      <c r="A83" s="132" t="s">
        <v>577</v>
      </c>
      <c r="B83" s="149" t="s">
        <v>524</v>
      </c>
      <c r="C83" s="114" t="s">
        <v>592</v>
      </c>
      <c r="D83" s="288">
        <f>backup!D18</f>
        <v>69000</v>
      </c>
      <c r="E83" s="219">
        <f t="shared" si="42"/>
        <v>45634</v>
      </c>
      <c r="F83" s="118">
        <f ca="1" t="shared" si="43"/>
        <v>21523</v>
      </c>
      <c r="G83" s="118">
        <f ca="1" t="shared" si="43"/>
        <v>17</v>
      </c>
      <c r="H83" s="118">
        <f ca="1" t="shared" si="43"/>
        <v>261</v>
      </c>
      <c r="I83" s="118">
        <f ca="1" t="shared" si="43"/>
        <v>211</v>
      </c>
      <c r="J83" s="118">
        <f ca="1" t="shared" si="43"/>
        <v>49</v>
      </c>
      <c r="K83" s="118">
        <f ca="1" t="shared" si="43"/>
        <v>311</v>
      </c>
      <c r="L83" s="118">
        <f ca="1" t="shared" si="43"/>
        <v>10</v>
      </c>
      <c r="M83" s="118">
        <f ca="1" t="shared" si="43"/>
        <v>57</v>
      </c>
      <c r="N83" s="118">
        <f ca="1" t="shared" si="43"/>
        <v>9</v>
      </c>
      <c r="O83" s="118">
        <f ca="1" t="shared" si="43"/>
        <v>21</v>
      </c>
      <c r="P83" s="118">
        <f ca="1" t="shared" si="44"/>
        <v>0</v>
      </c>
      <c r="Q83" s="118">
        <f ca="1" t="shared" si="44"/>
        <v>19</v>
      </c>
      <c r="R83" s="118">
        <f ca="1" t="shared" si="44"/>
        <v>6</v>
      </c>
      <c r="S83" s="118">
        <f ca="1" t="shared" si="44"/>
        <v>853</v>
      </c>
      <c r="T83" s="118">
        <f ca="1" t="shared" si="44"/>
        <v>0</v>
      </c>
      <c r="U83" s="118">
        <f ca="1" t="shared" si="44"/>
        <v>19</v>
      </c>
      <c r="V83" s="118">
        <f ca="1" t="shared" si="44"/>
        <v>69000</v>
      </c>
      <c r="W83" s="118">
        <f t="shared" si="45"/>
        <v>0</v>
      </c>
      <c r="X83" s="150"/>
      <c r="Y83" s="140"/>
      <c r="Z83" s="140" t="str">
        <f>IF($C83="B","",VLOOKUP($C83,orig_alloc!$A$13:$B$227,2,FALSE))</f>
        <v>WTD CUST SERV &amp; INFO A&amp;G  EXP RATIOS</v>
      </c>
      <c r="AA83" s="141"/>
      <c r="AD83" s="141"/>
      <c r="AE83" s="141"/>
      <c r="AF83" s="141"/>
    </row>
    <row r="84" spans="1:32" ht="20.25">
      <c r="A84" s="132" t="s">
        <v>371</v>
      </c>
      <c r="B84" s="149" t="s">
        <v>525</v>
      </c>
      <c r="C84" s="114" t="s">
        <v>594</v>
      </c>
      <c r="D84" s="288">
        <f>backup!D19</f>
        <v>0</v>
      </c>
      <c r="E84" s="219">
        <f t="shared" si="42"/>
        <v>0</v>
      </c>
      <c r="F84" s="118">
        <f ca="1" t="shared" si="43"/>
        <v>0</v>
      </c>
      <c r="G84" s="118">
        <f ca="1" t="shared" si="43"/>
        <v>0</v>
      </c>
      <c r="H84" s="118">
        <f ca="1" t="shared" si="43"/>
        <v>0</v>
      </c>
      <c r="I84" s="118">
        <f ca="1" t="shared" si="43"/>
        <v>0</v>
      </c>
      <c r="J84" s="118">
        <f ca="1" t="shared" si="43"/>
        <v>0</v>
      </c>
      <c r="K84" s="118">
        <f ca="1" t="shared" si="43"/>
        <v>0</v>
      </c>
      <c r="L84" s="118">
        <f ca="1" t="shared" si="43"/>
        <v>0</v>
      </c>
      <c r="M84" s="118">
        <f ca="1" t="shared" si="43"/>
        <v>0</v>
      </c>
      <c r="N84" s="118">
        <f ca="1" t="shared" si="43"/>
        <v>0</v>
      </c>
      <c r="O84" s="118">
        <f ca="1" t="shared" si="43"/>
        <v>0</v>
      </c>
      <c r="P84" s="118">
        <f ca="1" t="shared" si="44"/>
        <v>0</v>
      </c>
      <c r="Q84" s="118">
        <f ca="1" t="shared" si="44"/>
        <v>0</v>
      </c>
      <c r="R84" s="118">
        <f ca="1" t="shared" si="44"/>
        <v>0</v>
      </c>
      <c r="S84" s="118">
        <f ca="1" t="shared" si="44"/>
        <v>0</v>
      </c>
      <c r="T84" s="118">
        <f ca="1" t="shared" si="44"/>
        <v>0</v>
      </c>
      <c r="U84" s="118">
        <f ca="1" t="shared" si="44"/>
        <v>0</v>
      </c>
      <c r="V84" s="118">
        <f ca="1" t="shared" si="44"/>
        <v>0</v>
      </c>
      <c r="W84" s="118">
        <f t="shared" si="45"/>
        <v>0</v>
      </c>
      <c r="X84" s="150"/>
      <c r="Y84" s="140"/>
      <c r="Z84" s="140" t="str">
        <f>IF($C84="B","",VLOOKUP($C84,orig_alloc!$A$13:$B$227,2,FALSE))</f>
        <v>WTD SALES A&amp;G EXP RATIOS</v>
      </c>
      <c r="AA84" s="141"/>
      <c r="AD84" s="141"/>
      <c r="AE84" s="141"/>
      <c r="AF84" s="141"/>
    </row>
    <row r="85" spans="1:32" ht="20.25">
      <c r="A85" s="240" t="s">
        <v>1313</v>
      </c>
      <c r="B85" s="149" t="s">
        <v>219</v>
      </c>
      <c r="C85" s="132"/>
      <c r="D85" s="202">
        <f aca="true" t="shared" si="46" ref="D85:W85">SUM(D78:D84)</f>
        <v>3435000</v>
      </c>
      <c r="E85" s="202">
        <f t="shared" si="46"/>
        <v>1906202</v>
      </c>
      <c r="F85" s="202">
        <f t="shared" si="46"/>
        <v>744955</v>
      </c>
      <c r="G85" s="202">
        <f t="shared" si="46"/>
        <v>599</v>
      </c>
      <c r="H85" s="202">
        <f t="shared" si="46"/>
        <v>3551</v>
      </c>
      <c r="I85" s="202">
        <f t="shared" si="46"/>
        <v>11730</v>
      </c>
      <c r="J85" s="202">
        <f t="shared" si="46"/>
        <v>421</v>
      </c>
      <c r="K85" s="202">
        <f t="shared" si="46"/>
        <v>395042</v>
      </c>
      <c r="L85" s="202">
        <f t="shared" si="46"/>
        <v>4219</v>
      </c>
      <c r="M85" s="202">
        <f t="shared" si="46"/>
        <v>234439</v>
      </c>
      <c r="N85" s="202">
        <f t="shared" si="46"/>
        <v>8889</v>
      </c>
      <c r="O85" s="202">
        <f t="shared" si="46"/>
        <v>18231</v>
      </c>
      <c r="P85" s="202">
        <f t="shared" si="46"/>
        <v>0</v>
      </c>
      <c r="Q85" s="202">
        <f t="shared" si="46"/>
        <v>83874</v>
      </c>
      <c r="R85" s="202">
        <f t="shared" si="46"/>
        <v>3837</v>
      </c>
      <c r="S85" s="202">
        <f t="shared" si="46"/>
        <v>18585</v>
      </c>
      <c r="T85" s="202">
        <f t="shared" si="46"/>
        <v>0</v>
      </c>
      <c r="U85" s="202">
        <f t="shared" si="46"/>
        <v>426</v>
      </c>
      <c r="V85" s="202">
        <f t="shared" si="46"/>
        <v>3435000</v>
      </c>
      <c r="W85" s="202">
        <f t="shared" si="46"/>
        <v>0</v>
      </c>
      <c r="X85" s="150"/>
      <c r="Y85" s="140"/>
      <c r="Z85" s="140">
        <f>IF($C85="B","",VLOOKUP($C85,orig_alloc!$A$13:$B$227,2,FALSE))</f>
      </c>
      <c r="AA85" s="141"/>
      <c r="AD85" s="141"/>
      <c r="AE85" s="141"/>
      <c r="AF85" s="141"/>
    </row>
    <row r="86" spans="1:32" ht="20.25">
      <c r="A86" s="132"/>
      <c r="B86" s="149"/>
      <c r="C86" s="132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50"/>
      <c r="Y86" s="140"/>
      <c r="Z86" s="140">
        <f>IF($C86="B","",VLOOKUP($C86,orig_alloc!$A$13:$B$227,2,FALSE))</f>
      </c>
      <c r="AA86" s="141"/>
      <c r="AD86" s="141"/>
      <c r="AE86" s="141"/>
      <c r="AF86" s="141"/>
    </row>
    <row r="87" spans="1:32" ht="20.25">
      <c r="A87" s="281" t="s">
        <v>375</v>
      </c>
      <c r="B87" s="149"/>
      <c r="C87" s="132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50"/>
      <c r="Y87" s="140"/>
      <c r="Z87" s="140">
        <f>IF($C87="B","",VLOOKUP($C87,orig_alloc!$A$13:$B$227,2,FALSE))</f>
      </c>
      <c r="AA87" s="141"/>
      <c r="AD87" s="141"/>
      <c r="AE87" s="141"/>
      <c r="AF87" s="141"/>
    </row>
    <row r="88" spans="1:32" ht="20.25">
      <c r="A88" s="132" t="s">
        <v>376</v>
      </c>
      <c r="B88" s="149" t="s">
        <v>526</v>
      </c>
      <c r="C88" s="114" t="s">
        <v>588</v>
      </c>
      <c r="D88" s="288">
        <f>backup!F13</f>
        <v>8873000</v>
      </c>
      <c r="E88" s="219">
        <f aca="true" t="shared" si="47" ref="E88:E94">V88-SUM(F88:U88)</f>
        <v>4587883</v>
      </c>
      <c r="F88" s="118">
        <f aca="true" ca="1" t="shared" si="48" ref="F88:O94">ROUND($D88*VLOOKUP($C88,IF(LEFT($C88,1)="K",INDIRECT("TABLE"),INDIRECT("TABLE2")),F$9+1),0)</f>
        <v>1972672</v>
      </c>
      <c r="G88" s="118">
        <f ca="1" t="shared" si="48"/>
        <v>1938</v>
      </c>
      <c r="H88" s="118">
        <f ca="1" t="shared" si="48"/>
        <v>7935</v>
      </c>
      <c r="I88" s="118">
        <f ca="1" t="shared" si="48"/>
        <v>37725</v>
      </c>
      <c r="J88" s="118">
        <f ca="1" t="shared" si="48"/>
        <v>887</v>
      </c>
      <c r="K88" s="118">
        <f ca="1" t="shared" si="48"/>
        <v>1089390</v>
      </c>
      <c r="L88" s="118">
        <f ca="1" t="shared" si="48"/>
        <v>15931</v>
      </c>
      <c r="M88" s="118">
        <f ca="1" t="shared" si="48"/>
        <v>699100</v>
      </c>
      <c r="N88" s="118">
        <f ca="1" t="shared" si="48"/>
        <v>33564</v>
      </c>
      <c r="O88" s="118">
        <f ca="1" t="shared" si="48"/>
        <v>51984</v>
      </c>
      <c r="P88" s="118">
        <f aca="true" ca="1" t="shared" si="49" ref="P88:V94">ROUND($D88*VLOOKUP($C88,IF(LEFT($C88,1)="K",INDIRECT("TABLE"),INDIRECT("TABLE2")),P$9+1),0)</f>
        <v>0</v>
      </c>
      <c r="Q88" s="118">
        <f ca="1" t="shared" si="49"/>
        <v>308688</v>
      </c>
      <c r="R88" s="118">
        <f ca="1" t="shared" si="49"/>
        <v>17899</v>
      </c>
      <c r="S88" s="118">
        <f ca="1" t="shared" si="49"/>
        <v>45956</v>
      </c>
      <c r="T88" s="118">
        <f ca="1" t="shared" si="49"/>
        <v>0</v>
      </c>
      <c r="U88" s="118">
        <f ca="1" t="shared" si="49"/>
        <v>1448</v>
      </c>
      <c r="V88" s="118">
        <f ca="1" t="shared" si="49"/>
        <v>8873000</v>
      </c>
      <c r="W88" s="118">
        <f aca="true" t="shared" si="50" ref="W88:W94">D88-V88</f>
        <v>0</v>
      </c>
      <c r="X88" s="150"/>
      <c r="Y88" s="140"/>
      <c r="Z88" s="140" t="str">
        <f>IF($C88="B","",VLOOKUP($C88,orig_alloc!$A$13:$B$227,2,FALSE))</f>
        <v>WTD PROD DEMAND A&amp;G EXP RATIOS</v>
      </c>
      <c r="AA88" s="141"/>
      <c r="AD88" s="141"/>
      <c r="AE88" s="141"/>
      <c r="AF88" s="141"/>
    </row>
    <row r="89" spans="1:32" ht="20.25">
      <c r="A89" s="132" t="s">
        <v>377</v>
      </c>
      <c r="B89" s="149" t="s">
        <v>527</v>
      </c>
      <c r="C89" s="114" t="s">
        <v>544</v>
      </c>
      <c r="D89" s="288">
        <f>backup!F14</f>
        <v>3853000</v>
      </c>
      <c r="E89" s="219">
        <f t="shared" si="47"/>
        <v>1467840</v>
      </c>
      <c r="F89" s="118">
        <f ca="1" t="shared" si="48"/>
        <v>1004887</v>
      </c>
      <c r="G89" s="118">
        <f ca="1" t="shared" si="48"/>
        <v>301</v>
      </c>
      <c r="H89" s="118">
        <f ca="1" t="shared" si="48"/>
        <v>6033</v>
      </c>
      <c r="I89" s="118">
        <f ca="1" t="shared" si="48"/>
        <v>13612</v>
      </c>
      <c r="J89" s="118">
        <f ca="1" t="shared" si="48"/>
        <v>390</v>
      </c>
      <c r="K89" s="118">
        <f ca="1" t="shared" si="48"/>
        <v>703476</v>
      </c>
      <c r="L89" s="118">
        <f ca="1" t="shared" si="48"/>
        <v>2415</v>
      </c>
      <c r="M89" s="118">
        <f ca="1" t="shared" si="48"/>
        <v>419639</v>
      </c>
      <c r="N89" s="118">
        <f ca="1" t="shared" si="48"/>
        <v>5964</v>
      </c>
      <c r="O89" s="118">
        <f ca="1" t="shared" si="48"/>
        <v>33027</v>
      </c>
      <c r="P89" s="118">
        <f ca="1" t="shared" si="49"/>
        <v>0</v>
      </c>
      <c r="Q89" s="118">
        <f ca="1" t="shared" si="49"/>
        <v>167612</v>
      </c>
      <c r="R89" s="118">
        <f ca="1" t="shared" si="49"/>
        <v>3304</v>
      </c>
      <c r="S89" s="118">
        <f ca="1" t="shared" si="49"/>
        <v>24187</v>
      </c>
      <c r="T89" s="118">
        <f ca="1" t="shared" si="49"/>
        <v>0</v>
      </c>
      <c r="U89" s="118">
        <f ca="1" t="shared" si="49"/>
        <v>313</v>
      </c>
      <c r="V89" s="118">
        <f ca="1" t="shared" si="49"/>
        <v>3853000</v>
      </c>
      <c r="W89" s="118">
        <f t="shared" si="50"/>
        <v>0</v>
      </c>
      <c r="X89" s="150"/>
      <c r="Y89" s="140"/>
      <c r="Z89" s="140" t="str">
        <f>IF($C89="B","",VLOOKUP($C89,orig_alloc!$A$13:$B$227,2,FALSE))</f>
        <v>WTD PROD ENERGY A&amp;G EXP RATIOS</v>
      </c>
      <c r="AA89" s="141"/>
      <c r="AD89" s="141"/>
      <c r="AE89" s="141"/>
      <c r="AF89" s="141"/>
    </row>
    <row r="90" spans="1:32" ht="20.25">
      <c r="A90" s="132" t="s">
        <v>314</v>
      </c>
      <c r="B90" s="149" t="s">
        <v>528</v>
      </c>
      <c r="C90" s="114" t="s">
        <v>545</v>
      </c>
      <c r="D90" s="288">
        <f>backup!F15</f>
        <v>569000</v>
      </c>
      <c r="E90" s="219">
        <f t="shared" si="47"/>
        <v>294209</v>
      </c>
      <c r="F90" s="118">
        <f ca="1" t="shared" si="48"/>
        <v>126502</v>
      </c>
      <c r="G90" s="118">
        <f ca="1" t="shared" si="48"/>
        <v>124</v>
      </c>
      <c r="H90" s="118">
        <f ca="1" t="shared" si="48"/>
        <v>508</v>
      </c>
      <c r="I90" s="118">
        <f ca="1" t="shared" si="48"/>
        <v>2420</v>
      </c>
      <c r="J90" s="118">
        <f ca="1" t="shared" si="48"/>
        <v>57</v>
      </c>
      <c r="K90" s="118">
        <f ca="1" t="shared" si="48"/>
        <v>69859</v>
      </c>
      <c r="L90" s="118">
        <f ca="1" t="shared" si="48"/>
        <v>1022</v>
      </c>
      <c r="M90" s="118">
        <f ca="1" t="shared" si="48"/>
        <v>44831</v>
      </c>
      <c r="N90" s="118">
        <f ca="1" t="shared" si="48"/>
        <v>2152</v>
      </c>
      <c r="O90" s="118">
        <f ca="1" t="shared" si="48"/>
        <v>3333</v>
      </c>
      <c r="P90" s="118">
        <f ca="1" t="shared" si="49"/>
        <v>0</v>
      </c>
      <c r="Q90" s="118">
        <f ca="1" t="shared" si="49"/>
        <v>19795</v>
      </c>
      <c r="R90" s="118">
        <f ca="1" t="shared" si="49"/>
        <v>1148</v>
      </c>
      <c r="S90" s="118">
        <f ca="1" t="shared" si="49"/>
        <v>2947</v>
      </c>
      <c r="T90" s="118">
        <f ca="1" t="shared" si="49"/>
        <v>0</v>
      </c>
      <c r="U90" s="118">
        <f ca="1" t="shared" si="49"/>
        <v>93</v>
      </c>
      <c r="V90" s="118">
        <f ca="1" t="shared" si="49"/>
        <v>569000</v>
      </c>
      <c r="W90" s="118">
        <f t="shared" si="50"/>
        <v>0</v>
      </c>
      <c r="X90" s="150"/>
      <c r="Y90" s="140"/>
      <c r="Z90" s="140" t="str">
        <f>IF($C90="B","",VLOOKUP($C90,orig_alloc!$A$13:$B$227,2,FALSE))</f>
        <v>WTD TRANS A&amp;G EXP RATIOS</v>
      </c>
      <c r="AA90" s="141"/>
      <c r="AD90" s="141"/>
      <c r="AE90" s="141"/>
      <c r="AF90" s="141"/>
    </row>
    <row r="91" spans="1:32" ht="20.25">
      <c r="A91" s="132" t="s">
        <v>378</v>
      </c>
      <c r="B91" s="149" t="s">
        <v>529</v>
      </c>
      <c r="C91" s="114" t="s">
        <v>589</v>
      </c>
      <c r="D91" s="288">
        <f>backup!F16</f>
        <v>3708000</v>
      </c>
      <c r="E91" s="219">
        <f t="shared" si="47"/>
        <v>1827219</v>
      </c>
      <c r="F91" s="118">
        <f ca="1" t="shared" si="48"/>
        <v>946574</v>
      </c>
      <c r="G91" s="118">
        <f ca="1" t="shared" si="48"/>
        <v>876</v>
      </c>
      <c r="H91" s="118">
        <f ca="1" t="shared" si="48"/>
        <v>3693</v>
      </c>
      <c r="I91" s="118">
        <f ca="1" t="shared" si="48"/>
        <v>13775</v>
      </c>
      <c r="J91" s="118">
        <f ca="1" t="shared" si="48"/>
        <v>439</v>
      </c>
      <c r="K91" s="118">
        <f ca="1" t="shared" si="48"/>
        <v>548929</v>
      </c>
      <c r="L91" s="118">
        <f ca="1" t="shared" si="48"/>
        <v>6312</v>
      </c>
      <c r="M91" s="118">
        <f ca="1" t="shared" si="48"/>
        <v>275225</v>
      </c>
      <c r="N91" s="118">
        <f ca="1" t="shared" si="48"/>
        <v>12719</v>
      </c>
      <c r="O91" s="118">
        <f ca="1" t="shared" si="48"/>
        <v>23138</v>
      </c>
      <c r="P91" s="118">
        <f ca="1" t="shared" si="49"/>
        <v>0</v>
      </c>
      <c r="Q91" s="118">
        <f ca="1" t="shared" si="49"/>
        <v>18532</v>
      </c>
      <c r="R91" s="118">
        <f ca="1" t="shared" si="49"/>
        <v>1060</v>
      </c>
      <c r="S91" s="118">
        <f ca="1" t="shared" si="49"/>
        <v>29173</v>
      </c>
      <c r="T91" s="118">
        <f ca="1" t="shared" si="49"/>
        <v>0</v>
      </c>
      <c r="U91" s="118">
        <f ca="1" t="shared" si="49"/>
        <v>336</v>
      </c>
      <c r="V91" s="118">
        <f ca="1" t="shared" si="49"/>
        <v>3708000</v>
      </c>
      <c r="W91" s="118">
        <f t="shared" si="50"/>
        <v>0</v>
      </c>
      <c r="X91" s="150"/>
      <c r="Y91" s="140"/>
      <c r="Z91" s="140" t="str">
        <f>IF($C91="B","",VLOOKUP($C91,orig_alloc!$A$13:$B$227,2,FALSE))</f>
        <v>WTD DIST A&amp;G EXP RATIOS</v>
      </c>
      <c r="AA91" s="141"/>
      <c r="AD91" s="141"/>
      <c r="AE91" s="141"/>
      <c r="AF91" s="141"/>
    </row>
    <row r="92" spans="1:32" ht="20.25">
      <c r="A92" s="132" t="s">
        <v>571</v>
      </c>
      <c r="B92" s="149" t="s">
        <v>530</v>
      </c>
      <c r="C92" s="114" t="s">
        <v>590</v>
      </c>
      <c r="D92" s="288">
        <f>backup!F17</f>
        <v>3671000</v>
      </c>
      <c r="E92" s="219">
        <f t="shared" si="47"/>
        <v>3249416</v>
      </c>
      <c r="F92" s="118">
        <f ca="1" t="shared" si="48"/>
        <v>393128</v>
      </c>
      <c r="G92" s="118">
        <f ca="1" t="shared" si="48"/>
        <v>329</v>
      </c>
      <c r="H92" s="118">
        <f ca="1" t="shared" si="48"/>
        <v>2039</v>
      </c>
      <c r="I92" s="118">
        <f ca="1" t="shared" si="48"/>
        <v>3224</v>
      </c>
      <c r="J92" s="118">
        <f ca="1" t="shared" si="48"/>
        <v>513</v>
      </c>
      <c r="K92" s="118">
        <f ca="1" t="shared" si="48"/>
        <v>13241</v>
      </c>
      <c r="L92" s="118">
        <f ca="1" t="shared" si="48"/>
        <v>173</v>
      </c>
      <c r="M92" s="118">
        <f ca="1" t="shared" si="48"/>
        <v>978</v>
      </c>
      <c r="N92" s="118">
        <f ca="1" t="shared" si="48"/>
        <v>142</v>
      </c>
      <c r="O92" s="118">
        <f ca="1" t="shared" si="48"/>
        <v>373</v>
      </c>
      <c r="P92" s="118">
        <f ca="1" t="shared" si="49"/>
        <v>0</v>
      </c>
      <c r="Q92" s="118">
        <f ca="1" t="shared" si="49"/>
        <v>360</v>
      </c>
      <c r="R92" s="118">
        <f ca="1" t="shared" si="49"/>
        <v>111</v>
      </c>
      <c r="S92" s="118">
        <f ca="1" t="shared" si="49"/>
        <v>6664</v>
      </c>
      <c r="T92" s="118">
        <f ca="1" t="shared" si="49"/>
        <v>0</v>
      </c>
      <c r="U92" s="118">
        <f ca="1" t="shared" si="49"/>
        <v>309</v>
      </c>
      <c r="V92" s="118">
        <f ca="1" t="shared" si="49"/>
        <v>3671000</v>
      </c>
      <c r="W92" s="118">
        <f t="shared" si="50"/>
        <v>0</v>
      </c>
      <c r="X92" s="150"/>
      <c r="Y92" s="140"/>
      <c r="Z92" s="140" t="str">
        <f>IF($C92="B","",VLOOKUP($C92,orig_alloc!$A$13:$B$227,2,FALSE))</f>
        <v>WTD CUST ACCT A&amp;G EXP RATIOS</v>
      </c>
      <c r="AA92" s="141"/>
      <c r="AD92" s="141"/>
      <c r="AE92" s="141"/>
      <c r="AF92" s="141"/>
    </row>
    <row r="93" spans="1:32" ht="20.25">
      <c r="A93" s="132" t="s">
        <v>577</v>
      </c>
      <c r="B93" s="149" t="s">
        <v>531</v>
      </c>
      <c r="C93" s="114" t="s">
        <v>592</v>
      </c>
      <c r="D93" s="288">
        <f>backup!F18</f>
        <v>423000</v>
      </c>
      <c r="E93" s="219">
        <f t="shared" si="47"/>
        <v>279757</v>
      </c>
      <c r="F93" s="118">
        <f ca="1" t="shared" si="48"/>
        <v>131942</v>
      </c>
      <c r="G93" s="118">
        <f ca="1" t="shared" si="48"/>
        <v>105</v>
      </c>
      <c r="H93" s="118">
        <f ca="1" t="shared" si="48"/>
        <v>1602</v>
      </c>
      <c r="I93" s="118">
        <f ca="1" t="shared" si="48"/>
        <v>1292</v>
      </c>
      <c r="J93" s="118">
        <f ca="1" t="shared" si="48"/>
        <v>302</v>
      </c>
      <c r="K93" s="118">
        <f ca="1" t="shared" si="48"/>
        <v>1905</v>
      </c>
      <c r="L93" s="118">
        <f ca="1" t="shared" si="48"/>
        <v>64</v>
      </c>
      <c r="M93" s="118">
        <f ca="1" t="shared" si="48"/>
        <v>351</v>
      </c>
      <c r="N93" s="118">
        <f ca="1" t="shared" si="48"/>
        <v>53</v>
      </c>
      <c r="O93" s="118">
        <f ca="1" t="shared" si="48"/>
        <v>129</v>
      </c>
      <c r="P93" s="118">
        <f ca="1" t="shared" si="49"/>
        <v>0</v>
      </c>
      <c r="Q93" s="118">
        <f ca="1" t="shared" si="49"/>
        <v>117</v>
      </c>
      <c r="R93" s="118">
        <f ca="1" t="shared" si="49"/>
        <v>37</v>
      </c>
      <c r="S93" s="118">
        <f ca="1" t="shared" si="49"/>
        <v>5227</v>
      </c>
      <c r="T93" s="118">
        <f ca="1" t="shared" si="49"/>
        <v>0</v>
      </c>
      <c r="U93" s="118">
        <f ca="1" t="shared" si="49"/>
        <v>117</v>
      </c>
      <c r="V93" s="118">
        <f ca="1" t="shared" si="49"/>
        <v>423000</v>
      </c>
      <c r="W93" s="118">
        <f t="shared" si="50"/>
        <v>0</v>
      </c>
      <c r="X93" s="150"/>
      <c r="Y93" s="140"/>
      <c r="Z93" s="140" t="str">
        <f>IF($C93="B","",VLOOKUP($C93,orig_alloc!$A$13:$B$227,2,FALSE))</f>
        <v>WTD CUST SERV &amp; INFO A&amp;G  EXP RATIOS</v>
      </c>
      <c r="AA93" s="141"/>
      <c r="AD93" s="141"/>
      <c r="AE93" s="141"/>
      <c r="AF93" s="141"/>
    </row>
    <row r="94" spans="1:32" ht="20.25">
      <c r="A94" s="132" t="s">
        <v>371</v>
      </c>
      <c r="B94" s="149" t="s">
        <v>532</v>
      </c>
      <c r="C94" s="114" t="s">
        <v>594</v>
      </c>
      <c r="D94" s="288">
        <f>backup!F19</f>
        <v>0</v>
      </c>
      <c r="E94" s="219">
        <f t="shared" si="47"/>
        <v>0</v>
      </c>
      <c r="F94" s="118">
        <f ca="1" t="shared" si="48"/>
        <v>0</v>
      </c>
      <c r="G94" s="118">
        <f ca="1" t="shared" si="48"/>
        <v>0</v>
      </c>
      <c r="H94" s="118">
        <f ca="1" t="shared" si="48"/>
        <v>0</v>
      </c>
      <c r="I94" s="118">
        <f ca="1" t="shared" si="48"/>
        <v>0</v>
      </c>
      <c r="J94" s="118">
        <f ca="1" t="shared" si="48"/>
        <v>0</v>
      </c>
      <c r="K94" s="118">
        <f ca="1" t="shared" si="48"/>
        <v>0</v>
      </c>
      <c r="L94" s="118">
        <f ca="1" t="shared" si="48"/>
        <v>0</v>
      </c>
      <c r="M94" s="118">
        <f ca="1" t="shared" si="48"/>
        <v>0</v>
      </c>
      <c r="N94" s="118">
        <f ca="1" t="shared" si="48"/>
        <v>0</v>
      </c>
      <c r="O94" s="118">
        <f ca="1" t="shared" si="48"/>
        <v>0</v>
      </c>
      <c r="P94" s="118">
        <f ca="1" t="shared" si="49"/>
        <v>0</v>
      </c>
      <c r="Q94" s="118">
        <f ca="1" t="shared" si="49"/>
        <v>0</v>
      </c>
      <c r="R94" s="118">
        <f ca="1" t="shared" si="49"/>
        <v>0</v>
      </c>
      <c r="S94" s="118">
        <f ca="1" t="shared" si="49"/>
        <v>0</v>
      </c>
      <c r="T94" s="118">
        <f ca="1" t="shared" si="49"/>
        <v>0</v>
      </c>
      <c r="U94" s="118">
        <f ca="1" t="shared" si="49"/>
        <v>0</v>
      </c>
      <c r="V94" s="118">
        <f ca="1" t="shared" si="49"/>
        <v>0</v>
      </c>
      <c r="W94" s="118">
        <f t="shared" si="50"/>
        <v>0</v>
      </c>
      <c r="X94" s="150"/>
      <c r="Y94" s="140"/>
      <c r="Z94" s="140" t="str">
        <f>IF($C94="B","",VLOOKUP($C94,orig_alloc!$A$13:$B$227,2,FALSE))</f>
        <v>WTD SALES A&amp;G EXP RATIOS</v>
      </c>
      <c r="AA94" s="141"/>
      <c r="AD94" s="141"/>
      <c r="AE94" s="141"/>
      <c r="AF94" s="141"/>
    </row>
    <row r="95" spans="1:32" ht="20.25">
      <c r="A95" s="240" t="s">
        <v>1314</v>
      </c>
      <c r="B95" s="149" t="s">
        <v>221</v>
      </c>
      <c r="C95" s="148"/>
      <c r="D95" s="227">
        <f>backup!F20</f>
        <v>21097000</v>
      </c>
      <c r="E95" s="202">
        <f aca="true" t="shared" si="51" ref="E95:W95">SUM(E88:E94)</f>
        <v>11706324</v>
      </c>
      <c r="F95" s="202">
        <f t="shared" si="51"/>
        <v>4575705</v>
      </c>
      <c r="G95" s="202">
        <f t="shared" si="51"/>
        <v>3673</v>
      </c>
      <c r="H95" s="202">
        <f t="shared" si="51"/>
        <v>21810</v>
      </c>
      <c r="I95" s="202">
        <f t="shared" si="51"/>
        <v>72048</v>
      </c>
      <c r="J95" s="202">
        <f t="shared" si="51"/>
        <v>2588</v>
      </c>
      <c r="K95" s="202">
        <f t="shared" si="51"/>
        <v>2426800</v>
      </c>
      <c r="L95" s="202">
        <f t="shared" si="51"/>
        <v>25917</v>
      </c>
      <c r="M95" s="202">
        <f t="shared" si="51"/>
        <v>1440124</v>
      </c>
      <c r="N95" s="202">
        <f t="shared" si="51"/>
        <v>54594</v>
      </c>
      <c r="O95" s="202">
        <f t="shared" si="51"/>
        <v>111984</v>
      </c>
      <c r="P95" s="202">
        <f t="shared" si="51"/>
        <v>0</v>
      </c>
      <c r="Q95" s="202">
        <f t="shared" si="51"/>
        <v>515104</v>
      </c>
      <c r="R95" s="202">
        <f t="shared" si="51"/>
        <v>23559</v>
      </c>
      <c r="S95" s="202">
        <f t="shared" si="51"/>
        <v>114154</v>
      </c>
      <c r="T95" s="202">
        <f t="shared" si="51"/>
        <v>0</v>
      </c>
      <c r="U95" s="202">
        <f t="shared" si="51"/>
        <v>2616</v>
      </c>
      <c r="V95" s="202">
        <f t="shared" si="51"/>
        <v>21097000</v>
      </c>
      <c r="W95" s="202">
        <f t="shared" si="51"/>
        <v>0</v>
      </c>
      <c r="X95" s="150"/>
      <c r="Y95" s="140"/>
      <c r="Z95" s="140">
        <f>IF($C95="B","",VLOOKUP($C95,orig_alloc!$A$13:$B$227,2,FALSE))</f>
      </c>
      <c r="AA95" s="141"/>
      <c r="AD95" s="141"/>
      <c r="AE95" s="141"/>
      <c r="AF95" s="141"/>
    </row>
    <row r="96" spans="1:32" ht="20.25">
      <c r="A96" s="132"/>
      <c r="B96" s="149"/>
      <c r="C96" s="132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50"/>
      <c r="Y96" s="140"/>
      <c r="Z96" s="140">
        <f>IF($C96="B","",VLOOKUP($C96,orig_alloc!$A$13:$B$227,2,FALSE))</f>
      </c>
      <c r="AA96" s="141"/>
      <c r="AD96" s="141"/>
      <c r="AE96" s="141"/>
      <c r="AF96" s="141"/>
    </row>
    <row r="97" spans="1:32" ht="20.25">
      <c r="A97" s="281" t="s">
        <v>333</v>
      </c>
      <c r="B97" s="149" t="s">
        <v>223</v>
      </c>
      <c r="C97" s="132"/>
      <c r="D97" s="118">
        <f aca="true" t="shared" si="52" ref="D97:W97">D75+D85+D95</f>
        <v>1122822000</v>
      </c>
      <c r="E97" s="118">
        <f t="shared" si="52"/>
        <v>582452264</v>
      </c>
      <c r="F97" s="118">
        <f t="shared" si="52"/>
        <v>255091683</v>
      </c>
      <c r="G97" s="118">
        <f t="shared" si="52"/>
        <v>244801</v>
      </c>
      <c r="H97" s="118">
        <f t="shared" si="52"/>
        <v>1009804</v>
      </c>
      <c r="I97" s="118">
        <f t="shared" si="52"/>
        <v>4598512</v>
      </c>
      <c r="J97" s="118">
        <f t="shared" si="52"/>
        <v>118176</v>
      </c>
      <c r="K97" s="118">
        <f t="shared" si="52"/>
        <v>140778646</v>
      </c>
      <c r="L97" s="118">
        <f t="shared" si="52"/>
        <v>1942065</v>
      </c>
      <c r="M97" s="118">
        <f t="shared" si="52"/>
        <v>81787242</v>
      </c>
      <c r="N97" s="118">
        <f t="shared" si="52"/>
        <v>3874507</v>
      </c>
      <c r="O97" s="118">
        <f t="shared" si="52"/>
        <v>6291583</v>
      </c>
      <c r="P97" s="118">
        <f t="shared" si="52"/>
        <v>0</v>
      </c>
      <c r="Q97" s="118">
        <f t="shared" si="52"/>
        <v>28543033</v>
      </c>
      <c r="R97" s="118">
        <f t="shared" si="52"/>
        <v>1646789</v>
      </c>
      <c r="S97" s="118">
        <f t="shared" si="52"/>
        <v>14277680</v>
      </c>
      <c r="T97" s="118">
        <f t="shared" si="52"/>
        <v>0</v>
      </c>
      <c r="U97" s="118">
        <f t="shared" si="52"/>
        <v>165215</v>
      </c>
      <c r="V97" s="118">
        <f t="shared" si="52"/>
        <v>1122822000</v>
      </c>
      <c r="W97" s="118">
        <f t="shared" si="52"/>
        <v>0</v>
      </c>
      <c r="X97" s="150"/>
      <c r="Y97" s="140"/>
      <c r="Z97" s="140">
        <f>IF($C97="B","",VLOOKUP($C97,orig_alloc!$A$13:$B$227,2,FALSE))</f>
      </c>
      <c r="AA97" s="141"/>
      <c r="AD97" s="141"/>
      <c r="AE97" s="141"/>
      <c r="AF97" s="141"/>
    </row>
    <row r="98" spans="1:32" ht="20.25">
      <c r="A98" s="132"/>
      <c r="B98" s="149"/>
      <c r="C98" s="132"/>
      <c r="D98" s="118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50"/>
      <c r="Y98" s="140"/>
      <c r="Z98" s="140">
        <f>IF($C98="B","",VLOOKUP($C98,orig_alloc!$A$13:$B$227,2,FALSE))</f>
      </c>
      <c r="AA98" s="141"/>
      <c r="AD98" s="141"/>
      <c r="AE98" s="141"/>
      <c r="AF98" s="141"/>
    </row>
    <row r="99" spans="1:32" ht="20.25">
      <c r="A99" s="289" t="s">
        <v>380</v>
      </c>
      <c r="B99" s="290" t="s">
        <v>381</v>
      </c>
      <c r="C99" s="148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50"/>
      <c r="Y99" s="140"/>
      <c r="Z99" s="140">
        <f>IF($C99="B","",VLOOKUP($C99,orig_alloc!$A$13:$B$227,2,FALSE))</f>
      </c>
      <c r="AA99" s="141"/>
      <c r="AD99" s="141"/>
      <c r="AE99" s="141"/>
      <c r="AF99" s="141"/>
    </row>
    <row r="100" spans="1:32" ht="20.25">
      <c r="A100" s="281" t="s">
        <v>335</v>
      </c>
      <c r="B100" s="149"/>
      <c r="C100" s="132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50"/>
      <c r="Y100" s="140"/>
      <c r="Z100" s="140">
        <f>IF($C100="B","",VLOOKUP($C100,orig_alloc!$A$13:$B$227,2,FALSE))</f>
      </c>
      <c r="AA100" s="141"/>
      <c r="AD100" s="141"/>
      <c r="AE100" s="141"/>
      <c r="AF100" s="141"/>
    </row>
    <row r="101" spans="1:32" ht="20.25">
      <c r="A101" s="148" t="s">
        <v>336</v>
      </c>
      <c r="B101" s="149" t="s">
        <v>382</v>
      </c>
      <c r="C101" s="148" t="s">
        <v>318</v>
      </c>
      <c r="D101" s="201">
        <v>275391000</v>
      </c>
      <c r="E101" s="219">
        <f>V101-SUM(F101:U101)</f>
        <v>142393924</v>
      </c>
      <c r="F101" s="118">
        <f aca="true" ca="1" t="shared" si="53" ref="F101:T102">ROUND($D101*VLOOKUP($C101,IF(LEFT($C101,1)="K",INDIRECT("TABLE"),INDIRECT("TABLE2")),F$9+1),0)</f>
        <v>61225750</v>
      </c>
      <c r="G101" s="118">
        <f ca="1" t="shared" si="53"/>
        <v>60143</v>
      </c>
      <c r="H101" s="118">
        <f ca="1" t="shared" si="53"/>
        <v>246269</v>
      </c>
      <c r="I101" s="118">
        <f ca="1" t="shared" si="53"/>
        <v>1170887</v>
      </c>
      <c r="J101" s="118">
        <f ca="1" t="shared" si="53"/>
        <v>27539</v>
      </c>
      <c r="K101" s="118">
        <f ca="1" t="shared" si="53"/>
        <v>33811367</v>
      </c>
      <c r="L101" s="118">
        <f ca="1" t="shared" si="53"/>
        <v>494438</v>
      </c>
      <c r="M101" s="118">
        <f ca="1" t="shared" si="53"/>
        <v>21697962</v>
      </c>
      <c r="N101" s="118">
        <f ca="1" t="shared" si="53"/>
        <v>1041738</v>
      </c>
      <c r="O101" s="118">
        <f ca="1" t="shared" si="53"/>
        <v>1613411</v>
      </c>
      <c r="P101" s="118">
        <f ca="1" t="shared" si="53"/>
        <v>0</v>
      </c>
      <c r="Q101" s="118">
        <f ca="1" t="shared" si="53"/>
        <v>9580758</v>
      </c>
      <c r="R101" s="118">
        <f ca="1" t="shared" si="53"/>
        <v>555530</v>
      </c>
      <c r="S101" s="118">
        <f ca="1" t="shared" si="53"/>
        <v>1426335</v>
      </c>
      <c r="T101" s="118">
        <f ca="1" t="shared" si="53"/>
        <v>0</v>
      </c>
      <c r="U101" s="118">
        <f ca="1">ROUND($D101*VLOOKUP($C101,IF(LEFT($C101,1)="K",INDIRECT("TABLE"),INDIRECT("TABLE2")),U$9+1),0)+Y101</f>
        <v>44949</v>
      </c>
      <c r="V101" s="118">
        <f ca="1">ROUND($D101*VLOOKUP($C101,IF(LEFT($C101,1)="K",INDIRECT("TABLE"),INDIRECT("TABLE2")),V$9+1),0)+Y101</f>
        <v>275391000</v>
      </c>
      <c r="W101" s="118">
        <f>D101-V101</f>
        <v>0</v>
      </c>
      <c r="X101" s="150"/>
      <c r="Y101" s="140"/>
      <c r="Z101" s="140" t="str">
        <f>IF($C101="B","",VLOOKUP($C101,orig_alloc!$A$13:$B$227,2,FALSE))</f>
        <v>TOTAL KW (AVERAGE  &amp;  EXCESS)</v>
      </c>
      <c r="AA101" s="141"/>
      <c r="AD101" s="141"/>
      <c r="AE101" s="141"/>
      <c r="AF101" s="141"/>
    </row>
    <row r="102" spans="1:32" ht="20.25">
      <c r="A102" s="148" t="s">
        <v>851</v>
      </c>
      <c r="B102" s="149" t="s">
        <v>383</v>
      </c>
      <c r="C102" s="148" t="s">
        <v>318</v>
      </c>
      <c r="D102" s="201">
        <v>126716000</v>
      </c>
      <c r="E102" s="219">
        <f>V102-SUM(F102:U102)</f>
        <v>65519892</v>
      </c>
      <c r="F102" s="118">
        <f ca="1" t="shared" si="53"/>
        <v>28171880</v>
      </c>
      <c r="G102" s="118">
        <f ca="1" t="shared" si="53"/>
        <v>27674</v>
      </c>
      <c r="H102" s="118">
        <f ca="1" t="shared" si="53"/>
        <v>113316</v>
      </c>
      <c r="I102" s="118">
        <f ca="1" t="shared" si="53"/>
        <v>538761</v>
      </c>
      <c r="J102" s="118">
        <f ca="1" t="shared" si="53"/>
        <v>12672</v>
      </c>
      <c r="K102" s="118">
        <f ca="1" t="shared" si="53"/>
        <v>15557666</v>
      </c>
      <c r="L102" s="118">
        <f ca="1" t="shared" si="53"/>
        <v>227506</v>
      </c>
      <c r="M102" s="118">
        <f ca="1" t="shared" si="53"/>
        <v>9983910</v>
      </c>
      <c r="N102" s="118">
        <f ca="1" t="shared" si="53"/>
        <v>479336</v>
      </c>
      <c r="O102" s="118">
        <f ca="1" t="shared" si="53"/>
        <v>742381</v>
      </c>
      <c r="P102" s="118">
        <f ca="1" t="shared" si="53"/>
        <v>0</v>
      </c>
      <c r="Q102" s="118">
        <f ca="1" t="shared" si="53"/>
        <v>4408406</v>
      </c>
      <c r="R102" s="118">
        <f ca="1" t="shared" si="53"/>
        <v>255617</v>
      </c>
      <c r="S102" s="118">
        <f ca="1" t="shared" si="53"/>
        <v>656301</v>
      </c>
      <c r="T102" s="118">
        <f ca="1" t="shared" si="53"/>
        <v>0</v>
      </c>
      <c r="U102" s="118">
        <f ca="1">ROUND($D102*VLOOKUP($C102,IF(LEFT($C102,1)="K",INDIRECT("TABLE"),INDIRECT("TABLE2")),U$9+1),0)</f>
        <v>20682</v>
      </c>
      <c r="V102" s="118">
        <f ca="1">ROUND($D102*VLOOKUP($C102,IF(LEFT($C102,1)="K",INDIRECT("TABLE"),INDIRECT("TABLE2")),V$9+1),0)</f>
        <v>126716000</v>
      </c>
      <c r="W102" s="118">
        <f>D102-V102</f>
        <v>0</v>
      </c>
      <c r="X102" s="150"/>
      <c r="Y102" s="140"/>
      <c r="Z102" s="140" t="str">
        <f>IF($C102="B","",VLOOKUP($C102,orig_alloc!$A$13:$B$227,2,FALSE))</f>
        <v>TOTAL KW (AVERAGE  &amp;  EXCESS)</v>
      </c>
      <c r="AA102" s="141"/>
      <c r="AD102" s="141"/>
      <c r="AE102" s="141"/>
      <c r="AF102" s="141"/>
    </row>
    <row r="103" spans="1:32" ht="20.25">
      <c r="A103" s="240" t="s">
        <v>384</v>
      </c>
      <c r="B103" s="149" t="s">
        <v>387</v>
      </c>
      <c r="C103" s="132"/>
      <c r="D103" s="202">
        <f aca="true" t="shared" si="54" ref="D103:W103">SUM(D100:D102)</f>
        <v>402107000</v>
      </c>
      <c r="E103" s="202">
        <f t="shared" si="54"/>
        <v>207913816</v>
      </c>
      <c r="F103" s="202">
        <f t="shared" si="54"/>
        <v>89397630</v>
      </c>
      <c r="G103" s="202">
        <f t="shared" si="54"/>
        <v>87817</v>
      </c>
      <c r="H103" s="202">
        <f t="shared" si="54"/>
        <v>359585</v>
      </c>
      <c r="I103" s="202">
        <f t="shared" si="54"/>
        <v>1709648</v>
      </c>
      <c r="J103" s="202">
        <f t="shared" si="54"/>
        <v>40211</v>
      </c>
      <c r="K103" s="202">
        <f t="shared" si="54"/>
        <v>49369033</v>
      </c>
      <c r="L103" s="202">
        <f t="shared" si="54"/>
        <v>721944</v>
      </c>
      <c r="M103" s="202">
        <f t="shared" si="54"/>
        <v>31681872</v>
      </c>
      <c r="N103" s="202">
        <f t="shared" si="54"/>
        <v>1521074</v>
      </c>
      <c r="O103" s="202">
        <f t="shared" si="54"/>
        <v>2355792</v>
      </c>
      <c r="P103" s="202">
        <f t="shared" si="54"/>
        <v>0</v>
      </c>
      <c r="Q103" s="202">
        <f t="shared" si="54"/>
        <v>13989164</v>
      </c>
      <c r="R103" s="202">
        <f t="shared" si="54"/>
        <v>811147</v>
      </c>
      <c r="S103" s="202">
        <f t="shared" si="54"/>
        <v>2082636</v>
      </c>
      <c r="T103" s="202">
        <f t="shared" si="54"/>
        <v>0</v>
      </c>
      <c r="U103" s="202">
        <f t="shared" si="54"/>
        <v>65631</v>
      </c>
      <c r="V103" s="202">
        <f t="shared" si="54"/>
        <v>402107000</v>
      </c>
      <c r="W103" s="202">
        <f t="shared" si="54"/>
        <v>0</v>
      </c>
      <c r="X103" s="150"/>
      <c r="Y103" s="140"/>
      <c r="Z103" s="140">
        <f>IF($C103="B","",VLOOKUP($C103,orig_alloc!$A$13:$B$227,2,FALSE))</f>
      </c>
      <c r="AA103" s="141"/>
      <c r="AD103" s="141"/>
      <c r="AE103" s="141"/>
      <c r="AF103" s="141"/>
    </row>
    <row r="104" spans="1:32" ht="20.25">
      <c r="A104" s="132"/>
      <c r="B104" s="149"/>
      <c r="C104" s="132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50"/>
      <c r="Y104" s="140"/>
      <c r="Z104" s="140">
        <f>IF($C104="B","",VLOOKUP($C104,orig_alloc!$A$13:$B$227,2,FALSE))</f>
      </c>
      <c r="AA104" s="141"/>
      <c r="AD104" s="141"/>
      <c r="AE104" s="141"/>
      <c r="AF104" s="141"/>
    </row>
    <row r="105" spans="1:32" ht="20.25">
      <c r="A105" s="281" t="s">
        <v>340</v>
      </c>
      <c r="B105" s="149"/>
      <c r="C105" s="132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50"/>
      <c r="Y105" s="140"/>
      <c r="Z105" s="140">
        <f>IF($C105="B","",VLOOKUP($C105,orig_alloc!$A$13:$B$227,2,FALSE))</f>
      </c>
      <c r="AA105" s="141"/>
      <c r="AD105" s="141"/>
      <c r="AE105" s="141"/>
      <c r="AF105" s="141"/>
    </row>
    <row r="106" spans="1:32" ht="20.25">
      <c r="A106" s="132" t="s">
        <v>341</v>
      </c>
      <c r="B106" s="149"/>
      <c r="C106" s="148" t="s">
        <v>318</v>
      </c>
      <c r="D106" s="118">
        <v>0</v>
      </c>
      <c r="E106" s="219">
        <f>V106-SUM(F106:U106)</f>
        <v>0</v>
      </c>
      <c r="F106" s="118">
        <f aca="true" ca="1" t="shared" si="55" ref="F106:O107">ROUND($D106*VLOOKUP($C106,IF(LEFT($C106,1)="K",INDIRECT("TABLE"),INDIRECT("TABLE2")),F$9+1),0)</f>
        <v>0</v>
      </c>
      <c r="G106" s="118">
        <f ca="1" t="shared" si="55"/>
        <v>0</v>
      </c>
      <c r="H106" s="118">
        <f ca="1" t="shared" si="55"/>
        <v>0</v>
      </c>
      <c r="I106" s="118">
        <f ca="1" t="shared" si="55"/>
        <v>0</v>
      </c>
      <c r="J106" s="118">
        <f ca="1" t="shared" si="55"/>
        <v>0</v>
      </c>
      <c r="K106" s="118">
        <f ca="1" t="shared" si="55"/>
        <v>0</v>
      </c>
      <c r="L106" s="118">
        <f ca="1" t="shared" si="55"/>
        <v>0</v>
      </c>
      <c r="M106" s="118">
        <f ca="1" t="shared" si="55"/>
        <v>0</v>
      </c>
      <c r="N106" s="118">
        <f ca="1" t="shared" si="55"/>
        <v>0</v>
      </c>
      <c r="O106" s="118">
        <f ca="1" t="shared" si="55"/>
        <v>0</v>
      </c>
      <c r="P106" s="118">
        <f aca="true" ca="1" t="shared" si="56" ref="P106:V107">ROUND($D106*VLOOKUP($C106,IF(LEFT($C106,1)="K",INDIRECT("TABLE"),INDIRECT("TABLE2")),P$9+1),0)</f>
        <v>0</v>
      </c>
      <c r="Q106" s="118">
        <f ca="1" t="shared" si="56"/>
        <v>0</v>
      </c>
      <c r="R106" s="118">
        <f ca="1" t="shared" si="56"/>
        <v>0</v>
      </c>
      <c r="S106" s="118">
        <f ca="1" t="shared" si="56"/>
        <v>0</v>
      </c>
      <c r="T106" s="118">
        <f ca="1" t="shared" si="56"/>
        <v>0</v>
      </c>
      <c r="U106" s="118">
        <f ca="1" t="shared" si="56"/>
        <v>0</v>
      </c>
      <c r="V106" s="118">
        <f ca="1" t="shared" si="56"/>
        <v>0</v>
      </c>
      <c r="W106" s="118">
        <f>D106-V106</f>
        <v>0</v>
      </c>
      <c r="X106" s="150"/>
      <c r="Y106" s="140"/>
      <c r="Z106" s="140" t="str">
        <f>IF($C106="B","",VLOOKUP($C106,orig_alloc!$A$13:$B$227,2,FALSE))</f>
        <v>TOTAL KW (AVERAGE  &amp;  EXCESS)</v>
      </c>
      <c r="AA106" s="141"/>
      <c r="AD106" s="141"/>
      <c r="AE106" s="141"/>
      <c r="AF106" s="141"/>
    </row>
    <row r="107" spans="1:32" ht="20.25">
      <c r="A107" s="132" t="s">
        <v>342</v>
      </c>
      <c r="B107" s="149" t="s">
        <v>388</v>
      </c>
      <c r="C107" s="148" t="s">
        <v>318</v>
      </c>
      <c r="D107" s="118">
        <f>10203000-D106</f>
        <v>10203000</v>
      </c>
      <c r="E107" s="219">
        <f>V107-SUM(F107:U107)</f>
        <v>5275575</v>
      </c>
      <c r="F107" s="118">
        <f ca="1" t="shared" si="55"/>
        <v>2268361</v>
      </c>
      <c r="G107" s="118">
        <f ca="1" t="shared" si="55"/>
        <v>2228</v>
      </c>
      <c r="H107" s="118">
        <f ca="1" t="shared" si="55"/>
        <v>9124</v>
      </c>
      <c r="I107" s="118">
        <f ca="1" t="shared" si="55"/>
        <v>43380</v>
      </c>
      <c r="J107" s="118">
        <f ca="1" t="shared" si="55"/>
        <v>1020</v>
      </c>
      <c r="K107" s="118">
        <f ca="1" t="shared" si="55"/>
        <v>1252682</v>
      </c>
      <c r="L107" s="118">
        <f ca="1" t="shared" si="55"/>
        <v>18318</v>
      </c>
      <c r="M107" s="118">
        <f ca="1" t="shared" si="55"/>
        <v>803891</v>
      </c>
      <c r="N107" s="118">
        <f ca="1" t="shared" si="55"/>
        <v>38595</v>
      </c>
      <c r="O107" s="118">
        <f ca="1" t="shared" si="55"/>
        <v>59776</v>
      </c>
      <c r="P107" s="118">
        <f ca="1" t="shared" si="56"/>
        <v>0</v>
      </c>
      <c r="Q107" s="118">
        <f ca="1" t="shared" si="56"/>
        <v>354959</v>
      </c>
      <c r="R107" s="118">
        <f ca="1" t="shared" si="56"/>
        <v>20582</v>
      </c>
      <c r="S107" s="118">
        <f ca="1" t="shared" si="56"/>
        <v>52844</v>
      </c>
      <c r="T107" s="118">
        <f ca="1" t="shared" si="56"/>
        <v>0</v>
      </c>
      <c r="U107" s="118">
        <f ca="1" t="shared" si="56"/>
        <v>1665</v>
      </c>
      <c r="V107" s="118">
        <f ca="1" t="shared" si="56"/>
        <v>10203000</v>
      </c>
      <c r="W107" s="118">
        <f>D107-V107</f>
        <v>0</v>
      </c>
      <c r="X107" s="150"/>
      <c r="Y107" s="140"/>
      <c r="Z107" s="140" t="str">
        <f>IF($C107="B","",VLOOKUP($C107,orig_alloc!$A$13:$B$227,2,FALSE))</f>
        <v>TOTAL KW (AVERAGE  &amp;  EXCESS)</v>
      </c>
      <c r="AA107" s="141"/>
      <c r="AD107" s="141"/>
      <c r="AE107" s="141"/>
      <c r="AF107" s="141"/>
    </row>
    <row r="108" spans="1:32" ht="20.25">
      <c r="A108" s="240" t="s">
        <v>389</v>
      </c>
      <c r="B108" s="149" t="s">
        <v>390</v>
      </c>
      <c r="C108" s="148"/>
      <c r="D108" s="202">
        <f aca="true" t="shared" si="57" ref="D108:W108">SUM(D106:D107)</f>
        <v>10203000</v>
      </c>
      <c r="E108" s="202">
        <f t="shared" si="57"/>
        <v>5275575</v>
      </c>
      <c r="F108" s="202">
        <f t="shared" si="57"/>
        <v>2268361</v>
      </c>
      <c r="G108" s="202">
        <f t="shared" si="57"/>
        <v>2228</v>
      </c>
      <c r="H108" s="202">
        <f t="shared" si="57"/>
        <v>9124</v>
      </c>
      <c r="I108" s="202">
        <f t="shared" si="57"/>
        <v>43380</v>
      </c>
      <c r="J108" s="202">
        <f t="shared" si="57"/>
        <v>1020</v>
      </c>
      <c r="K108" s="202">
        <f t="shared" si="57"/>
        <v>1252682</v>
      </c>
      <c r="L108" s="202">
        <f t="shared" si="57"/>
        <v>18318</v>
      </c>
      <c r="M108" s="202">
        <f t="shared" si="57"/>
        <v>803891</v>
      </c>
      <c r="N108" s="202">
        <f t="shared" si="57"/>
        <v>38595</v>
      </c>
      <c r="O108" s="202">
        <f t="shared" si="57"/>
        <v>59776</v>
      </c>
      <c r="P108" s="202">
        <f t="shared" si="57"/>
        <v>0</v>
      </c>
      <c r="Q108" s="202">
        <f t="shared" si="57"/>
        <v>354959</v>
      </c>
      <c r="R108" s="202">
        <f t="shared" si="57"/>
        <v>20582</v>
      </c>
      <c r="S108" s="202">
        <f t="shared" si="57"/>
        <v>52844</v>
      </c>
      <c r="T108" s="202">
        <f t="shared" si="57"/>
        <v>0</v>
      </c>
      <c r="U108" s="202">
        <f t="shared" si="57"/>
        <v>1665</v>
      </c>
      <c r="V108" s="202">
        <f t="shared" si="57"/>
        <v>10203000</v>
      </c>
      <c r="W108" s="202">
        <f t="shared" si="57"/>
        <v>0</v>
      </c>
      <c r="X108" s="150"/>
      <c r="Y108" s="140"/>
      <c r="Z108" s="140">
        <f>IF($C108="B","",VLOOKUP($C108,orig_alloc!$A$13:$B$227,2,FALSE))</f>
      </c>
      <c r="AA108" s="141"/>
      <c r="AD108" s="141"/>
      <c r="AE108" s="141"/>
      <c r="AF108" s="141"/>
    </row>
    <row r="109" spans="1:32" ht="20.25">
      <c r="A109" s="231"/>
      <c r="B109" s="149"/>
      <c r="C109" s="148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150"/>
      <c r="Y109" s="140"/>
      <c r="Z109" s="140">
        <f>IF($C109="B","",VLOOKUP($C109,orig_alloc!$A$13:$B$227,2,FALSE))</f>
      </c>
      <c r="AA109" s="141"/>
      <c r="AD109" s="141"/>
      <c r="AE109" s="141"/>
      <c r="AF109" s="141"/>
    </row>
    <row r="110" spans="1:32" ht="20.25">
      <c r="A110" s="132" t="s">
        <v>186</v>
      </c>
      <c r="B110" s="149"/>
      <c r="C110" s="148"/>
      <c r="D110" s="216">
        <f aca="true" t="shared" si="58" ref="D110:W110">D108+D103</f>
        <v>412310000</v>
      </c>
      <c r="E110" s="216">
        <f t="shared" si="58"/>
        <v>213189391</v>
      </c>
      <c r="F110" s="216">
        <f t="shared" si="58"/>
        <v>91665991</v>
      </c>
      <c r="G110" s="216">
        <f t="shared" si="58"/>
        <v>90045</v>
      </c>
      <c r="H110" s="216">
        <f t="shared" si="58"/>
        <v>368709</v>
      </c>
      <c r="I110" s="216">
        <f t="shared" si="58"/>
        <v>1753028</v>
      </c>
      <c r="J110" s="216">
        <f t="shared" si="58"/>
        <v>41231</v>
      </c>
      <c r="K110" s="216">
        <f t="shared" si="58"/>
        <v>50621715</v>
      </c>
      <c r="L110" s="216">
        <f t="shared" si="58"/>
        <v>740262</v>
      </c>
      <c r="M110" s="216">
        <f t="shared" si="58"/>
        <v>32485763</v>
      </c>
      <c r="N110" s="216">
        <f t="shared" si="58"/>
        <v>1559669</v>
      </c>
      <c r="O110" s="216">
        <f t="shared" si="58"/>
        <v>2415568</v>
      </c>
      <c r="P110" s="216">
        <f t="shared" si="58"/>
        <v>0</v>
      </c>
      <c r="Q110" s="216">
        <f t="shared" si="58"/>
        <v>14344123</v>
      </c>
      <c r="R110" s="216">
        <f t="shared" si="58"/>
        <v>831729</v>
      </c>
      <c r="S110" s="216">
        <f t="shared" si="58"/>
        <v>2135480</v>
      </c>
      <c r="T110" s="216">
        <f t="shared" si="58"/>
        <v>0</v>
      </c>
      <c r="U110" s="216">
        <f t="shared" si="58"/>
        <v>67296</v>
      </c>
      <c r="V110" s="216">
        <f t="shared" si="58"/>
        <v>412310000</v>
      </c>
      <c r="W110" s="216">
        <f t="shared" si="58"/>
        <v>0</v>
      </c>
      <c r="X110" s="150"/>
      <c r="Y110" s="140"/>
      <c r="Z110" s="140">
        <f>IF($C110="B","",VLOOKUP($C110,orig_alloc!$A$13:$B$227,2,FALSE))</f>
      </c>
      <c r="AA110" s="141"/>
      <c r="AD110" s="141"/>
      <c r="AE110" s="141"/>
      <c r="AF110" s="141"/>
    </row>
    <row r="111" spans="1:32" ht="20.25">
      <c r="A111" s="132"/>
      <c r="B111" s="149"/>
      <c r="C111" s="132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50"/>
      <c r="Y111" s="140"/>
      <c r="Z111" s="140">
        <f>IF($C111="B","",VLOOKUP($C111,orig_alloc!$A$13:$B$227,2,FALSE))</f>
      </c>
      <c r="AA111" s="141"/>
      <c r="AD111" s="141"/>
      <c r="AE111" s="141"/>
      <c r="AF111" s="141"/>
    </row>
    <row r="112" spans="1:32" ht="20.25">
      <c r="A112" s="282" t="s">
        <v>346</v>
      </c>
      <c r="B112" s="149"/>
      <c r="C112" s="132"/>
      <c r="D112" s="118"/>
      <c r="E112" s="219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50"/>
      <c r="Y112" s="140"/>
      <c r="Z112" s="140">
        <f>IF($C112="B","",VLOOKUP($C112,orig_alloc!$A$13:$B$227,2,FALSE))</f>
      </c>
      <c r="AA112" s="141"/>
      <c r="AD112" s="141"/>
      <c r="AE112" s="141"/>
      <c r="AF112" s="141"/>
    </row>
    <row r="113" spans="1:32" ht="20.25">
      <c r="A113" s="148" t="s">
        <v>347</v>
      </c>
      <c r="B113" s="149" t="s">
        <v>391</v>
      </c>
      <c r="C113" s="148" t="s">
        <v>811</v>
      </c>
      <c r="D113" s="201">
        <v>8437000</v>
      </c>
      <c r="E113" s="219">
        <f aca="true" t="shared" si="59" ref="E113:E122">V113-SUM(F113:U113)</f>
        <v>3806870</v>
      </c>
      <c r="F113" s="118">
        <f aca="true" ca="1" t="shared" si="60" ref="F113:O122">ROUND($D113*VLOOKUP($C113,IF(LEFT($C113,1)="K",INDIRECT("TABLE"),INDIRECT("TABLE2")),F$9+1),0)</f>
        <v>2269029</v>
      </c>
      <c r="G113" s="118">
        <f ca="1" t="shared" si="60"/>
        <v>2150</v>
      </c>
      <c r="H113" s="118">
        <f ca="1" t="shared" si="60"/>
        <v>8862</v>
      </c>
      <c r="I113" s="118">
        <f ca="1" t="shared" si="60"/>
        <v>29950</v>
      </c>
      <c r="J113" s="118">
        <f ca="1" t="shared" si="60"/>
        <v>889</v>
      </c>
      <c r="K113" s="118">
        <f ca="1" t="shared" si="60"/>
        <v>1355488</v>
      </c>
      <c r="L113" s="118">
        <f ca="1" t="shared" si="60"/>
        <v>14987</v>
      </c>
      <c r="M113" s="118">
        <f ca="1" t="shared" si="60"/>
        <v>770349</v>
      </c>
      <c r="N113" s="118">
        <f ca="1" t="shared" si="60"/>
        <v>35474</v>
      </c>
      <c r="O113" s="118">
        <f ca="1" t="shared" si="60"/>
        <v>66565</v>
      </c>
      <c r="P113" s="118">
        <f aca="true" ca="1" t="shared" si="61" ref="P113:V122">ROUND($D113*VLOOKUP($C113,IF(LEFT($C113,1)="K",INDIRECT("TABLE"),INDIRECT("TABLE2")),P$9+1),0)</f>
        <v>0</v>
      </c>
      <c r="Q113" s="118">
        <f ca="1" t="shared" si="61"/>
        <v>0</v>
      </c>
      <c r="R113" s="118">
        <f ca="1" t="shared" si="61"/>
        <v>0</v>
      </c>
      <c r="S113" s="118">
        <f ca="1" t="shared" si="61"/>
        <v>75703</v>
      </c>
      <c r="T113" s="118">
        <f ca="1" t="shared" si="61"/>
        <v>0</v>
      </c>
      <c r="U113" s="118">
        <f ca="1" t="shared" si="61"/>
        <v>684</v>
      </c>
      <c r="V113" s="118">
        <f ca="1" t="shared" si="61"/>
        <v>8437000</v>
      </c>
      <c r="W113" s="118">
        <f aca="true" t="shared" si="62" ref="W113:W122">D113-V113</f>
        <v>0</v>
      </c>
      <c r="X113" s="150"/>
      <c r="Y113" s="140"/>
      <c r="Z113" s="140" t="str">
        <f>IF($C113="B","",VLOOKUP($C113,orig_alloc!$A$13:$B$227,2,FALSE))</f>
        <v>TOTAL DIVERSIFIED CLASS DEMANDS</v>
      </c>
      <c r="AA113" s="141"/>
      <c r="AD113" s="141"/>
      <c r="AE113" s="141"/>
      <c r="AF113" s="141"/>
    </row>
    <row r="114" spans="1:32" ht="20.25">
      <c r="A114" s="148" t="s">
        <v>205</v>
      </c>
      <c r="B114" s="149" t="s">
        <v>392</v>
      </c>
      <c r="C114" s="114" t="s">
        <v>1043</v>
      </c>
      <c r="D114" s="201">
        <f>16672000+2322000</f>
        <v>18994000</v>
      </c>
      <c r="E114" s="219">
        <f t="shared" si="59"/>
        <v>8714489</v>
      </c>
      <c r="F114" s="118">
        <f ca="1" t="shared" si="60"/>
        <v>5194144</v>
      </c>
      <c r="G114" s="118">
        <f ca="1" t="shared" si="60"/>
        <v>4921</v>
      </c>
      <c r="H114" s="118">
        <f ca="1" t="shared" si="60"/>
        <v>20287</v>
      </c>
      <c r="I114" s="118">
        <f ca="1" t="shared" si="60"/>
        <v>68560</v>
      </c>
      <c r="J114" s="118">
        <f ca="1" t="shared" si="60"/>
        <v>2034</v>
      </c>
      <c r="K114" s="118">
        <f ca="1" t="shared" si="60"/>
        <v>3102912</v>
      </c>
      <c r="L114" s="118">
        <f ca="1" t="shared" si="60"/>
        <v>34307</v>
      </c>
      <c r="M114" s="118">
        <f ca="1" t="shared" si="60"/>
        <v>1481288</v>
      </c>
      <c r="N114" s="118">
        <f ca="1" t="shared" si="60"/>
        <v>68202</v>
      </c>
      <c r="O114" s="118">
        <f ca="1" t="shared" si="60"/>
        <v>127993</v>
      </c>
      <c r="P114" s="118">
        <f ca="1" t="shared" si="61"/>
        <v>0</v>
      </c>
      <c r="Q114" s="118">
        <f ca="1" t="shared" si="61"/>
        <v>0</v>
      </c>
      <c r="R114" s="118">
        <f ca="1" t="shared" si="61"/>
        <v>0</v>
      </c>
      <c r="S114" s="118">
        <f ca="1" t="shared" si="61"/>
        <v>173296</v>
      </c>
      <c r="T114" s="118">
        <f ca="1" t="shared" si="61"/>
        <v>0</v>
      </c>
      <c r="U114" s="118">
        <f ca="1" t="shared" si="61"/>
        <v>1567</v>
      </c>
      <c r="V114" s="118">
        <f ca="1" t="shared" si="61"/>
        <v>18994000</v>
      </c>
      <c r="W114" s="118">
        <f t="shared" si="62"/>
        <v>0</v>
      </c>
      <c r="X114" s="150"/>
      <c r="Y114" s="140"/>
      <c r="Z114" s="140" t="str">
        <f>IF($C114="B","",VLOOKUP($C114,orig_alloc!$A$13:$B$227,2,FALSE))</f>
        <v>DISTRIBUTION LINE - WTD. DIVERSIFIED CLASS</v>
      </c>
      <c r="AA114" s="141"/>
      <c r="AD114" s="141"/>
      <c r="AE114" s="141"/>
      <c r="AF114" s="141"/>
    </row>
    <row r="115" spans="1:32" ht="20.25">
      <c r="A115" s="148" t="s">
        <v>351</v>
      </c>
      <c r="B115" s="149" t="s">
        <v>393</v>
      </c>
      <c r="C115" s="114" t="s">
        <v>1043</v>
      </c>
      <c r="D115" s="201">
        <v>41040000</v>
      </c>
      <c r="E115" s="219">
        <f t="shared" si="59"/>
        <v>18829244</v>
      </c>
      <c r="F115" s="118">
        <f ca="1" t="shared" si="60"/>
        <v>11222895</v>
      </c>
      <c r="G115" s="118">
        <f ca="1" t="shared" si="60"/>
        <v>10632</v>
      </c>
      <c r="H115" s="118">
        <f ca="1" t="shared" si="60"/>
        <v>43835</v>
      </c>
      <c r="I115" s="118">
        <f ca="1" t="shared" si="60"/>
        <v>148135</v>
      </c>
      <c r="J115" s="118">
        <f ca="1" t="shared" si="60"/>
        <v>4395</v>
      </c>
      <c r="K115" s="118">
        <f ca="1" t="shared" si="60"/>
        <v>6704407</v>
      </c>
      <c r="L115" s="118">
        <f ca="1" t="shared" si="60"/>
        <v>74127</v>
      </c>
      <c r="M115" s="118">
        <f ca="1" t="shared" si="60"/>
        <v>3200593</v>
      </c>
      <c r="N115" s="118">
        <f ca="1" t="shared" si="60"/>
        <v>147363</v>
      </c>
      <c r="O115" s="118">
        <f ca="1" t="shared" si="60"/>
        <v>276551</v>
      </c>
      <c r="P115" s="118">
        <f ca="1" t="shared" si="61"/>
        <v>0</v>
      </c>
      <c r="Q115" s="118">
        <f ca="1" t="shared" si="61"/>
        <v>0</v>
      </c>
      <c r="R115" s="118">
        <f ca="1" t="shared" si="61"/>
        <v>0</v>
      </c>
      <c r="S115" s="118">
        <f ca="1" t="shared" si="61"/>
        <v>374437</v>
      </c>
      <c r="T115" s="118">
        <f ca="1" t="shared" si="61"/>
        <v>0</v>
      </c>
      <c r="U115" s="118">
        <f ca="1" t="shared" si="61"/>
        <v>3386</v>
      </c>
      <c r="V115" s="118">
        <f ca="1" t="shared" si="61"/>
        <v>41040000</v>
      </c>
      <c r="W115" s="118">
        <f t="shared" si="62"/>
        <v>0</v>
      </c>
      <c r="X115" s="150"/>
      <c r="Y115" s="140"/>
      <c r="Z115" s="140" t="str">
        <f>IF($C115="B","",VLOOKUP($C115,orig_alloc!$A$13:$B$227,2,FALSE))</f>
        <v>DISTRIBUTION LINE - WTD. DIVERSIFIED CLASS</v>
      </c>
      <c r="AA115" s="141"/>
      <c r="AD115" s="141"/>
      <c r="AE115" s="141"/>
      <c r="AF115" s="141"/>
    </row>
    <row r="116" spans="1:32" ht="20.25">
      <c r="A116" s="148" t="s">
        <v>353</v>
      </c>
      <c r="B116" s="149" t="s">
        <v>394</v>
      </c>
      <c r="C116" s="148" t="s">
        <v>326</v>
      </c>
      <c r="D116" s="201">
        <f>23055000+274000</f>
        <v>23329000</v>
      </c>
      <c r="E116" s="219">
        <f t="shared" si="59"/>
        <v>15421251</v>
      </c>
      <c r="F116" s="118">
        <f ca="1" t="shared" si="60"/>
        <v>5248106</v>
      </c>
      <c r="G116" s="118">
        <f ca="1" t="shared" si="60"/>
        <v>5188</v>
      </c>
      <c r="H116" s="118">
        <f ca="1" t="shared" si="60"/>
        <v>13719</v>
      </c>
      <c r="I116" s="118">
        <f ca="1" t="shared" si="60"/>
        <v>121110</v>
      </c>
      <c r="J116" s="118">
        <f ca="1" t="shared" si="60"/>
        <v>2585</v>
      </c>
      <c r="K116" s="118">
        <f ca="1" t="shared" si="60"/>
        <v>2348725</v>
      </c>
      <c r="L116" s="118">
        <f ca="1" t="shared" si="60"/>
        <v>43501</v>
      </c>
      <c r="M116" s="118">
        <f ca="1" t="shared" si="60"/>
        <v>0</v>
      </c>
      <c r="N116" s="118">
        <f ca="1" t="shared" si="60"/>
        <v>0</v>
      </c>
      <c r="O116" s="118">
        <f ca="1" t="shared" si="60"/>
        <v>0</v>
      </c>
      <c r="P116" s="118">
        <f ca="1" t="shared" si="61"/>
        <v>0</v>
      </c>
      <c r="Q116" s="118">
        <f ca="1" t="shared" si="61"/>
        <v>0</v>
      </c>
      <c r="R116" s="118">
        <f ca="1" t="shared" si="61"/>
        <v>0</v>
      </c>
      <c r="S116" s="118">
        <f ca="1" t="shared" si="61"/>
        <v>119386</v>
      </c>
      <c r="T116" s="118">
        <f ca="1" t="shared" si="61"/>
        <v>0</v>
      </c>
      <c r="U116" s="118">
        <f ca="1" t="shared" si="61"/>
        <v>5429</v>
      </c>
      <c r="V116" s="118">
        <f ca="1" t="shared" si="61"/>
        <v>23329000</v>
      </c>
      <c r="W116" s="118">
        <f t="shared" si="62"/>
        <v>0</v>
      </c>
      <c r="X116" s="150"/>
      <c r="Y116" s="140"/>
      <c r="Z116" s="140" t="str">
        <f>IF($C116="B","",VLOOKUP($C116,orig_alloc!$A$13:$B$227,2,FALSE))</f>
        <v>SECONDARY NON-COIN PEAK (KW)</v>
      </c>
      <c r="AA116" s="141"/>
      <c r="AD116" s="141"/>
      <c r="AE116" s="141"/>
      <c r="AF116" s="141"/>
    </row>
    <row r="117" spans="1:32" ht="20.25">
      <c r="A117" s="148" t="s">
        <v>355</v>
      </c>
      <c r="B117" s="149" t="s">
        <v>395</v>
      </c>
      <c r="C117" s="148" t="s">
        <v>1248</v>
      </c>
      <c r="D117" s="201">
        <v>8196000</v>
      </c>
      <c r="E117" s="219">
        <f t="shared" si="59"/>
        <v>7310616</v>
      </c>
      <c r="F117" s="118">
        <f ca="1" t="shared" si="60"/>
        <v>739958</v>
      </c>
      <c r="G117" s="118">
        <f ca="1" t="shared" si="60"/>
        <v>0</v>
      </c>
      <c r="H117" s="118">
        <f ca="1" t="shared" si="60"/>
        <v>8848</v>
      </c>
      <c r="I117" s="118">
        <f ca="1" t="shared" si="60"/>
        <v>21489</v>
      </c>
      <c r="J117" s="118">
        <f ca="1" t="shared" si="60"/>
        <v>1625</v>
      </c>
      <c r="K117" s="118">
        <f ca="1" t="shared" si="60"/>
        <v>91494</v>
      </c>
      <c r="L117" s="118">
        <f ca="1" t="shared" si="60"/>
        <v>0</v>
      </c>
      <c r="M117" s="118">
        <f ca="1" t="shared" si="60"/>
        <v>0</v>
      </c>
      <c r="N117" s="118">
        <f ca="1" t="shared" si="60"/>
        <v>0</v>
      </c>
      <c r="O117" s="118">
        <f ca="1" t="shared" si="60"/>
        <v>0</v>
      </c>
      <c r="P117" s="118">
        <f ca="1" t="shared" si="61"/>
        <v>0</v>
      </c>
      <c r="Q117" s="118">
        <f ca="1" t="shared" si="61"/>
        <v>0</v>
      </c>
      <c r="R117" s="118">
        <f ca="1" t="shared" si="61"/>
        <v>0</v>
      </c>
      <c r="S117" s="118">
        <f ca="1" t="shared" si="61"/>
        <v>20646</v>
      </c>
      <c r="T117" s="118">
        <f ca="1" t="shared" si="61"/>
        <v>0</v>
      </c>
      <c r="U117" s="118">
        <f ca="1" t="shared" si="61"/>
        <v>1324</v>
      </c>
      <c r="V117" s="118">
        <f ca="1" t="shared" si="61"/>
        <v>8196000</v>
      </c>
      <c r="W117" s="118">
        <f t="shared" si="62"/>
        <v>0</v>
      </c>
      <c r="X117" s="150"/>
      <c r="Y117" s="140"/>
      <c r="Z117" s="140" t="str">
        <f>IF($C117="B","",VLOOKUP($C117,orig_alloc!$A$13:$B$227,2,FALSE))</f>
        <v>WEIGHTED CUSTOMER SERVICE</v>
      </c>
      <c r="AA117" s="141"/>
      <c r="AD117" s="141"/>
      <c r="AE117" s="141"/>
      <c r="AF117" s="141"/>
    </row>
    <row r="118" spans="1:32" ht="20.25">
      <c r="A118" s="148" t="s">
        <v>357</v>
      </c>
      <c r="B118" s="149" t="s">
        <v>396</v>
      </c>
      <c r="C118" s="148" t="s">
        <v>359</v>
      </c>
      <c r="D118" s="201">
        <f>2781000+10000</f>
        <v>2791000</v>
      </c>
      <c r="E118" s="219">
        <f t="shared" si="59"/>
        <v>2412174</v>
      </c>
      <c r="F118" s="118">
        <f ca="1" t="shared" si="60"/>
        <v>330341</v>
      </c>
      <c r="G118" s="118">
        <f ca="1" t="shared" si="60"/>
        <v>0</v>
      </c>
      <c r="H118" s="118">
        <f ca="1" t="shared" si="60"/>
        <v>0</v>
      </c>
      <c r="I118" s="118">
        <f ca="1" t="shared" si="60"/>
        <v>9740</v>
      </c>
      <c r="J118" s="118">
        <f ca="1" t="shared" si="60"/>
        <v>816</v>
      </c>
      <c r="K118" s="118">
        <f ca="1" t="shared" si="60"/>
        <v>25281</v>
      </c>
      <c r="L118" s="118">
        <f ca="1" t="shared" si="60"/>
        <v>0</v>
      </c>
      <c r="M118" s="118">
        <f ca="1" t="shared" si="60"/>
        <v>8544</v>
      </c>
      <c r="N118" s="118">
        <f ca="1" t="shared" si="60"/>
        <v>0</v>
      </c>
      <c r="O118" s="118">
        <f ca="1" t="shared" si="60"/>
        <v>964</v>
      </c>
      <c r="P118" s="118">
        <f ca="1" t="shared" si="61"/>
        <v>0</v>
      </c>
      <c r="Q118" s="118">
        <f ca="1" t="shared" si="61"/>
        <v>2970</v>
      </c>
      <c r="R118" s="118">
        <f ca="1" t="shared" si="61"/>
        <v>0</v>
      </c>
      <c r="S118" s="118">
        <f ca="1" t="shared" si="61"/>
        <v>170</v>
      </c>
      <c r="T118" s="118">
        <f ca="1" t="shared" si="61"/>
        <v>0</v>
      </c>
      <c r="U118" s="118">
        <f ca="1" t="shared" si="61"/>
        <v>0</v>
      </c>
      <c r="V118" s="118">
        <f ca="1" t="shared" si="61"/>
        <v>2791000</v>
      </c>
      <c r="W118" s="118">
        <f t="shared" si="62"/>
        <v>0</v>
      </c>
      <c r="X118" s="150"/>
      <c r="Y118" s="140"/>
      <c r="Z118" s="140" t="str">
        <f>IF($C118="B","",VLOOKUP($C118,orig_alloc!$A$13:$B$227,2,FALSE))</f>
        <v>METERS</v>
      </c>
      <c r="AA118" s="141"/>
      <c r="AD118" s="141"/>
      <c r="AE118" s="141"/>
      <c r="AF118" s="141"/>
    </row>
    <row r="119" spans="1:32" ht="20.25">
      <c r="A119" s="148" t="s">
        <v>1331</v>
      </c>
      <c r="B119" s="149" t="s">
        <v>397</v>
      </c>
      <c r="C119" s="148" t="s">
        <v>742</v>
      </c>
      <c r="D119" s="201">
        <v>227766</v>
      </c>
      <c r="E119" s="219">
        <f t="shared" si="59"/>
        <v>118506</v>
      </c>
      <c r="F119" s="118">
        <f ca="1" t="shared" si="60"/>
        <v>54951</v>
      </c>
      <c r="G119" s="118">
        <f ca="1" t="shared" si="60"/>
        <v>50</v>
      </c>
      <c r="H119" s="118">
        <f ca="1" t="shared" si="60"/>
        <v>205</v>
      </c>
      <c r="I119" s="118">
        <f ca="1" t="shared" si="60"/>
        <v>849</v>
      </c>
      <c r="J119" s="118">
        <f ca="1" t="shared" si="60"/>
        <v>27</v>
      </c>
      <c r="K119" s="118">
        <f ca="1" t="shared" si="60"/>
        <v>30364</v>
      </c>
      <c r="L119" s="118">
        <f ca="1" t="shared" si="60"/>
        <v>363</v>
      </c>
      <c r="M119" s="118">
        <f ca="1" t="shared" si="60"/>
        <v>12996</v>
      </c>
      <c r="N119" s="118">
        <f ca="1" t="shared" si="60"/>
        <v>597</v>
      </c>
      <c r="O119" s="118">
        <f ca="1" t="shared" si="60"/>
        <v>1124</v>
      </c>
      <c r="P119" s="118">
        <f ca="1" t="shared" si="61"/>
        <v>0</v>
      </c>
      <c r="Q119" s="118">
        <f ca="1" t="shared" si="61"/>
        <v>12</v>
      </c>
      <c r="R119" s="118">
        <f ca="1" t="shared" si="61"/>
        <v>0</v>
      </c>
      <c r="S119" s="118">
        <f ca="1" t="shared" si="61"/>
        <v>7698</v>
      </c>
      <c r="T119" s="118">
        <f ca="1" t="shared" si="61"/>
        <v>0</v>
      </c>
      <c r="U119" s="118">
        <f ca="1" t="shared" si="61"/>
        <v>24</v>
      </c>
      <c r="V119" s="118">
        <f ca="1" t="shared" si="61"/>
        <v>227766</v>
      </c>
      <c r="W119" s="118">
        <f t="shared" si="62"/>
        <v>0</v>
      </c>
      <c r="X119" s="150"/>
      <c r="Y119" s="140"/>
      <c r="Z119" s="140" t="str">
        <f>IF($C119="B","",VLOOKUP($C119,orig_alloc!$A$13:$B$227,2,FALSE))</f>
        <v>GROSS DISTRIBUTION PLANT EXCL. CCNC</v>
      </c>
      <c r="AA119" s="141"/>
      <c r="AD119" s="141"/>
      <c r="AE119" s="141"/>
      <c r="AF119" s="141"/>
    </row>
    <row r="120" spans="1:32" ht="20.25">
      <c r="A120" s="148" t="s">
        <v>361</v>
      </c>
      <c r="B120" s="149" t="s">
        <v>398</v>
      </c>
      <c r="C120" s="148" t="s">
        <v>363</v>
      </c>
      <c r="D120" s="201">
        <f>2467000+1280000+1386000</f>
        <v>5133000</v>
      </c>
      <c r="E120" s="219">
        <f t="shared" si="59"/>
        <v>0</v>
      </c>
      <c r="F120" s="118">
        <f ca="1" t="shared" si="60"/>
        <v>0</v>
      </c>
      <c r="G120" s="118">
        <f ca="1" t="shared" si="60"/>
        <v>0</v>
      </c>
      <c r="H120" s="118">
        <f ca="1" t="shared" si="60"/>
        <v>0</v>
      </c>
      <c r="I120" s="118">
        <f ca="1" t="shared" si="60"/>
        <v>0</v>
      </c>
      <c r="J120" s="118">
        <f ca="1" t="shared" si="60"/>
        <v>0</v>
      </c>
      <c r="K120" s="118">
        <f ca="1" t="shared" si="60"/>
        <v>0</v>
      </c>
      <c r="L120" s="118">
        <f ca="1" t="shared" si="60"/>
        <v>0</v>
      </c>
      <c r="M120" s="118">
        <f ca="1" t="shared" si="60"/>
        <v>0</v>
      </c>
      <c r="N120" s="118">
        <f ca="1" t="shared" si="60"/>
        <v>0</v>
      </c>
      <c r="O120" s="118">
        <f ca="1" t="shared" si="60"/>
        <v>0</v>
      </c>
      <c r="P120" s="118">
        <f ca="1" t="shared" si="61"/>
        <v>0</v>
      </c>
      <c r="Q120" s="118">
        <f ca="1" t="shared" si="61"/>
        <v>0</v>
      </c>
      <c r="R120" s="118">
        <f ca="1" t="shared" si="61"/>
        <v>0</v>
      </c>
      <c r="S120" s="118">
        <f ca="1" t="shared" si="61"/>
        <v>5133000</v>
      </c>
      <c r="T120" s="118">
        <f ca="1" t="shared" si="61"/>
        <v>0</v>
      </c>
      <c r="U120" s="118">
        <f ca="1" t="shared" si="61"/>
        <v>0</v>
      </c>
      <c r="V120" s="118">
        <f ca="1" t="shared" si="61"/>
        <v>5133000</v>
      </c>
      <c r="W120" s="118">
        <f t="shared" si="62"/>
        <v>0</v>
      </c>
      <c r="X120" s="150"/>
      <c r="Y120" s="140"/>
      <c r="Z120" s="140" t="str">
        <f>IF($C120="B","",VLOOKUP($C120,orig_alloc!$A$13:$B$227,2,FALSE))</f>
        <v>ASSIGN 100% TO LIGHTING</v>
      </c>
      <c r="AA120" s="141"/>
      <c r="AD120" s="141"/>
      <c r="AE120" s="141"/>
      <c r="AF120" s="141"/>
    </row>
    <row r="121" spans="1:32" ht="20.25">
      <c r="A121" s="148" t="s">
        <v>1259</v>
      </c>
      <c r="B121" s="149" t="s">
        <v>397</v>
      </c>
      <c r="C121" s="148" t="s">
        <v>742</v>
      </c>
      <c r="D121" s="201">
        <f>9164000</f>
        <v>9164000</v>
      </c>
      <c r="E121" s="219">
        <f t="shared" si="59"/>
        <v>4768019</v>
      </c>
      <c r="F121" s="118">
        <f ca="1" t="shared" si="60"/>
        <v>2210899</v>
      </c>
      <c r="G121" s="118">
        <f ca="1" t="shared" si="60"/>
        <v>2022</v>
      </c>
      <c r="H121" s="118">
        <f ca="1" t="shared" si="60"/>
        <v>8266</v>
      </c>
      <c r="I121" s="118">
        <f ca="1" t="shared" si="60"/>
        <v>34160</v>
      </c>
      <c r="J121" s="118">
        <f ca="1" t="shared" si="60"/>
        <v>1082</v>
      </c>
      <c r="K121" s="118">
        <f ca="1" t="shared" si="60"/>
        <v>1221663</v>
      </c>
      <c r="L121" s="118">
        <f ca="1" t="shared" si="60"/>
        <v>14594</v>
      </c>
      <c r="M121" s="118">
        <f ca="1" t="shared" si="60"/>
        <v>522904</v>
      </c>
      <c r="N121" s="118">
        <f ca="1" t="shared" si="60"/>
        <v>24012</v>
      </c>
      <c r="O121" s="118">
        <f ca="1" t="shared" si="60"/>
        <v>45220</v>
      </c>
      <c r="P121" s="118">
        <f ca="1" t="shared" si="61"/>
        <v>0</v>
      </c>
      <c r="Q121" s="118">
        <f ca="1" t="shared" si="61"/>
        <v>489</v>
      </c>
      <c r="R121" s="118">
        <f ca="1" t="shared" si="61"/>
        <v>0</v>
      </c>
      <c r="S121" s="118">
        <f ca="1" t="shared" si="61"/>
        <v>309704</v>
      </c>
      <c r="T121" s="118">
        <f ca="1" t="shared" si="61"/>
        <v>0</v>
      </c>
      <c r="U121" s="118">
        <f ca="1" t="shared" si="61"/>
        <v>966</v>
      </c>
      <c r="V121" s="118">
        <f ca="1" t="shared" si="61"/>
        <v>9164000</v>
      </c>
      <c r="W121" s="118">
        <f t="shared" si="62"/>
        <v>0</v>
      </c>
      <c r="X121" s="150"/>
      <c r="Y121" s="140"/>
      <c r="Z121" s="140" t="str">
        <f>IF($C121="B","",VLOOKUP($C121,orig_alloc!$A$13:$B$227,2,FALSE))</f>
        <v>GROSS DISTRIBUTION PLANT EXCL. CCNC</v>
      </c>
      <c r="AA121" s="141"/>
      <c r="AD121" s="141"/>
      <c r="AE121" s="141"/>
      <c r="AF121" s="141"/>
    </row>
    <row r="122" spans="1:32" ht="20.25">
      <c r="A122" s="148" t="s">
        <v>850</v>
      </c>
      <c r="B122" s="149" t="s">
        <v>399</v>
      </c>
      <c r="C122" s="148" t="s">
        <v>742</v>
      </c>
      <c r="D122" s="201">
        <v>-1581000</v>
      </c>
      <c r="E122" s="219">
        <f t="shared" si="59"/>
        <v>-822592</v>
      </c>
      <c r="F122" s="118">
        <f ca="1" t="shared" si="60"/>
        <v>-381431</v>
      </c>
      <c r="G122" s="118">
        <f ca="1" t="shared" si="60"/>
        <v>-349</v>
      </c>
      <c r="H122" s="118">
        <f ca="1" t="shared" si="60"/>
        <v>-1426</v>
      </c>
      <c r="I122" s="118">
        <f ca="1" t="shared" si="60"/>
        <v>-5893</v>
      </c>
      <c r="J122" s="118">
        <f ca="1" t="shared" si="60"/>
        <v>-187</v>
      </c>
      <c r="K122" s="118">
        <f ca="1" t="shared" si="60"/>
        <v>-210765</v>
      </c>
      <c r="L122" s="118">
        <f ca="1" t="shared" si="60"/>
        <v>-2518</v>
      </c>
      <c r="M122" s="118">
        <f ca="1" t="shared" si="60"/>
        <v>-90213</v>
      </c>
      <c r="N122" s="118">
        <f ca="1" t="shared" si="60"/>
        <v>-4143</v>
      </c>
      <c r="O122" s="118">
        <f ca="1" t="shared" si="60"/>
        <v>-7801</v>
      </c>
      <c r="P122" s="118">
        <f ca="1" t="shared" si="61"/>
        <v>0</v>
      </c>
      <c r="Q122" s="118">
        <f ca="1" t="shared" si="61"/>
        <v>-84</v>
      </c>
      <c r="R122" s="118">
        <f ca="1" t="shared" si="61"/>
        <v>0</v>
      </c>
      <c r="S122" s="118">
        <f ca="1" t="shared" si="61"/>
        <v>-53431</v>
      </c>
      <c r="T122" s="118">
        <f ca="1" t="shared" si="61"/>
        <v>0</v>
      </c>
      <c r="U122" s="118">
        <f ca="1" t="shared" si="61"/>
        <v>-167</v>
      </c>
      <c r="V122" s="118">
        <f ca="1" t="shared" si="61"/>
        <v>-1581000</v>
      </c>
      <c r="W122" s="118">
        <f t="shared" si="62"/>
        <v>0</v>
      </c>
      <c r="X122" s="150"/>
      <c r="Y122" s="140"/>
      <c r="Z122" s="140" t="str">
        <f>IF($C122="B","",VLOOKUP($C122,orig_alloc!$A$13:$B$227,2,FALSE))</f>
        <v>GROSS DISTRIBUTION PLANT EXCL. CCNC</v>
      </c>
      <c r="AA122" s="141"/>
      <c r="AD122" s="141"/>
      <c r="AE122" s="141"/>
      <c r="AF122" s="141"/>
    </row>
    <row r="123" spans="1:32" ht="20.25">
      <c r="A123" s="240" t="s">
        <v>401</v>
      </c>
      <c r="B123" s="149" t="s">
        <v>402</v>
      </c>
      <c r="C123" s="132"/>
      <c r="D123" s="202">
        <f aca="true" t="shared" si="63" ref="D123:W123">SUM(D112:D122)</f>
        <v>115730766</v>
      </c>
      <c r="E123" s="202">
        <f t="shared" si="63"/>
        <v>60558577</v>
      </c>
      <c r="F123" s="202">
        <f t="shared" si="63"/>
        <v>26888892</v>
      </c>
      <c r="G123" s="202">
        <f t="shared" si="63"/>
        <v>24614</v>
      </c>
      <c r="H123" s="202">
        <f t="shared" si="63"/>
        <v>102596</v>
      </c>
      <c r="I123" s="202">
        <f t="shared" si="63"/>
        <v>428100</v>
      </c>
      <c r="J123" s="202">
        <f t="shared" si="63"/>
        <v>13266</v>
      </c>
      <c r="K123" s="202">
        <f t="shared" si="63"/>
        <v>14669569</v>
      </c>
      <c r="L123" s="202">
        <f t="shared" si="63"/>
        <v>179361</v>
      </c>
      <c r="M123" s="202">
        <f t="shared" si="63"/>
        <v>5906461</v>
      </c>
      <c r="N123" s="202">
        <f t="shared" si="63"/>
        <v>271505</v>
      </c>
      <c r="O123" s="202">
        <f t="shared" si="63"/>
        <v>510616</v>
      </c>
      <c r="P123" s="202">
        <f t="shared" si="63"/>
        <v>0</v>
      </c>
      <c r="Q123" s="202">
        <f t="shared" si="63"/>
        <v>3387</v>
      </c>
      <c r="R123" s="202">
        <f t="shared" si="63"/>
        <v>0</v>
      </c>
      <c r="S123" s="202">
        <f t="shared" si="63"/>
        <v>6160609</v>
      </c>
      <c r="T123" s="202">
        <f t="shared" si="63"/>
        <v>0</v>
      </c>
      <c r="U123" s="202">
        <f t="shared" si="63"/>
        <v>13213</v>
      </c>
      <c r="V123" s="202">
        <f t="shared" si="63"/>
        <v>115730766</v>
      </c>
      <c r="W123" s="202">
        <f t="shared" si="63"/>
        <v>0</v>
      </c>
      <c r="X123" s="150"/>
      <c r="Y123" s="140"/>
      <c r="Z123" s="140">
        <f>IF($C123="B","",VLOOKUP($C123,orig_alloc!$A$13:$B$227,2,FALSE))</f>
      </c>
      <c r="AA123" s="141"/>
      <c r="AD123" s="141"/>
      <c r="AE123" s="141"/>
      <c r="AF123" s="141"/>
    </row>
    <row r="124" spans="1:32" ht="20.25">
      <c r="A124" s="132"/>
      <c r="B124" s="149"/>
      <c r="C124" s="132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50"/>
      <c r="Y124" s="140"/>
      <c r="Z124" s="140">
        <f>IF($C124="B","",VLOOKUP($C124,orig_alloc!$A$13:$B$227,2,FALSE))</f>
      </c>
      <c r="AA124" s="141"/>
      <c r="AD124" s="141"/>
      <c r="AE124" s="141"/>
      <c r="AF124" s="141"/>
    </row>
    <row r="125" spans="1:32" ht="20.25">
      <c r="A125" s="132" t="s">
        <v>184</v>
      </c>
      <c r="B125" s="149"/>
      <c r="C125" s="132"/>
      <c r="D125" s="118">
        <f aca="true" t="shared" si="64" ref="D125:W125">D123+D108</f>
        <v>125933766</v>
      </c>
      <c r="E125" s="118">
        <f t="shared" si="64"/>
        <v>65834152</v>
      </c>
      <c r="F125" s="118">
        <f t="shared" si="64"/>
        <v>29157253</v>
      </c>
      <c r="G125" s="118">
        <f t="shared" si="64"/>
        <v>26842</v>
      </c>
      <c r="H125" s="118">
        <f t="shared" si="64"/>
        <v>111720</v>
      </c>
      <c r="I125" s="118">
        <f t="shared" si="64"/>
        <v>471480</v>
      </c>
      <c r="J125" s="118">
        <f t="shared" si="64"/>
        <v>14286</v>
      </c>
      <c r="K125" s="118">
        <f t="shared" si="64"/>
        <v>15922251</v>
      </c>
      <c r="L125" s="118">
        <f t="shared" si="64"/>
        <v>197679</v>
      </c>
      <c r="M125" s="118">
        <f t="shared" si="64"/>
        <v>6710352</v>
      </c>
      <c r="N125" s="118">
        <f t="shared" si="64"/>
        <v>310100</v>
      </c>
      <c r="O125" s="118">
        <f t="shared" si="64"/>
        <v>570392</v>
      </c>
      <c r="P125" s="118">
        <f t="shared" si="64"/>
        <v>0</v>
      </c>
      <c r="Q125" s="118">
        <f t="shared" si="64"/>
        <v>358346</v>
      </c>
      <c r="R125" s="118">
        <f t="shared" si="64"/>
        <v>20582</v>
      </c>
      <c r="S125" s="118">
        <f t="shared" si="64"/>
        <v>6213453</v>
      </c>
      <c r="T125" s="118">
        <f t="shared" si="64"/>
        <v>0</v>
      </c>
      <c r="U125" s="118">
        <f t="shared" si="64"/>
        <v>14878</v>
      </c>
      <c r="V125" s="118">
        <f t="shared" si="64"/>
        <v>125933766</v>
      </c>
      <c r="W125" s="118">
        <f t="shared" si="64"/>
        <v>0</v>
      </c>
      <c r="X125" s="150"/>
      <c r="Y125" s="140"/>
      <c r="Z125" s="140">
        <f>IF($C125="B","",VLOOKUP($C125,orig_alloc!$A$13:$B$227,2,FALSE))</f>
      </c>
      <c r="AA125" s="141"/>
      <c r="AD125" s="141"/>
      <c r="AE125" s="141"/>
      <c r="AF125" s="141"/>
    </row>
    <row r="126" spans="1:32" ht="20.25">
      <c r="A126" s="132" t="s">
        <v>185</v>
      </c>
      <c r="B126" s="149"/>
      <c r="C126" s="132"/>
      <c r="D126" s="118">
        <f aca="true" t="shared" si="65" ref="D126:W126">D123+D110</f>
        <v>528040766</v>
      </c>
      <c r="E126" s="118">
        <f t="shared" si="65"/>
        <v>273747968</v>
      </c>
      <c r="F126" s="118">
        <f t="shared" si="65"/>
        <v>118554883</v>
      </c>
      <c r="G126" s="118">
        <f t="shared" si="65"/>
        <v>114659</v>
      </c>
      <c r="H126" s="118">
        <f t="shared" si="65"/>
        <v>471305</v>
      </c>
      <c r="I126" s="118">
        <f t="shared" si="65"/>
        <v>2181128</v>
      </c>
      <c r="J126" s="118">
        <f t="shared" si="65"/>
        <v>54497</v>
      </c>
      <c r="K126" s="118">
        <f t="shared" si="65"/>
        <v>65291284</v>
      </c>
      <c r="L126" s="118">
        <f t="shared" si="65"/>
        <v>919623</v>
      </c>
      <c r="M126" s="118">
        <f t="shared" si="65"/>
        <v>38392224</v>
      </c>
      <c r="N126" s="118">
        <f t="shared" si="65"/>
        <v>1831174</v>
      </c>
      <c r="O126" s="118">
        <f t="shared" si="65"/>
        <v>2926184</v>
      </c>
      <c r="P126" s="118">
        <f t="shared" si="65"/>
        <v>0</v>
      </c>
      <c r="Q126" s="118">
        <f t="shared" si="65"/>
        <v>14347510</v>
      </c>
      <c r="R126" s="118">
        <f t="shared" si="65"/>
        <v>831729</v>
      </c>
      <c r="S126" s="118">
        <f t="shared" si="65"/>
        <v>8296089</v>
      </c>
      <c r="T126" s="118">
        <f t="shared" si="65"/>
        <v>0</v>
      </c>
      <c r="U126" s="118">
        <f t="shared" si="65"/>
        <v>80509</v>
      </c>
      <c r="V126" s="118">
        <f t="shared" si="65"/>
        <v>528040766</v>
      </c>
      <c r="W126" s="118">
        <f t="shared" si="65"/>
        <v>0</v>
      </c>
      <c r="X126" s="150"/>
      <c r="Y126" s="140"/>
      <c r="Z126" s="140">
        <f>IF($C126="B","",VLOOKUP($C126,orig_alloc!$A$13:$B$227,2,FALSE))</f>
      </c>
      <c r="AA126" s="141"/>
      <c r="AD126" s="141"/>
      <c r="AE126" s="141"/>
      <c r="AF126" s="141"/>
    </row>
    <row r="127" spans="1:32" ht="20.25">
      <c r="A127" s="132"/>
      <c r="B127" s="149"/>
      <c r="C127" s="132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50"/>
      <c r="Y127" s="140"/>
      <c r="Z127" s="140">
        <f>IF($C127="B","",VLOOKUP($C127,orig_alloc!$A$13:$B$227,2,FALSE))</f>
      </c>
      <c r="AA127" s="141"/>
      <c r="AD127" s="141"/>
      <c r="AE127" s="141"/>
      <c r="AF127" s="141"/>
    </row>
    <row r="128" spans="1:32" ht="20.25">
      <c r="A128" s="281" t="s">
        <v>368</v>
      </c>
      <c r="B128" s="149"/>
      <c r="C128" s="132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50"/>
      <c r="Y128" s="140"/>
      <c r="Z128" s="140">
        <f>IF($C128="B","",VLOOKUP($C128,orig_alloc!$A$13:$B$227,2,FALSE))</f>
      </c>
      <c r="AA128" s="141"/>
      <c r="AD128" s="141"/>
      <c r="AE128" s="141"/>
      <c r="AF128" s="141"/>
    </row>
    <row r="129" spans="1:32" ht="20.25">
      <c r="A129" s="132" t="s">
        <v>369</v>
      </c>
      <c r="B129" s="149" t="s">
        <v>403</v>
      </c>
      <c r="C129" s="114" t="s">
        <v>588</v>
      </c>
      <c r="D129" s="118">
        <f>backup!E13</f>
        <v>768000</v>
      </c>
      <c r="E129" s="219">
        <f aca="true" t="shared" si="66" ref="E129:E135">V129-SUM(F129:U129)</f>
        <v>397104</v>
      </c>
      <c r="F129" s="118">
        <f aca="true" ca="1" t="shared" si="67" ref="F129:O135">ROUND($D129*VLOOKUP($C129,IF(LEFT($C129,1)="K",INDIRECT("TABLE"),INDIRECT("TABLE2")),F$9+1),0)</f>
        <v>170744</v>
      </c>
      <c r="G129" s="118">
        <f ca="1" t="shared" si="67"/>
        <v>168</v>
      </c>
      <c r="H129" s="118">
        <f ca="1" t="shared" si="67"/>
        <v>687</v>
      </c>
      <c r="I129" s="118">
        <f ca="1" t="shared" si="67"/>
        <v>3265</v>
      </c>
      <c r="J129" s="118">
        <f ca="1" t="shared" si="67"/>
        <v>77</v>
      </c>
      <c r="K129" s="118">
        <f ca="1" t="shared" si="67"/>
        <v>94292</v>
      </c>
      <c r="L129" s="118">
        <f ca="1" t="shared" si="67"/>
        <v>1379</v>
      </c>
      <c r="M129" s="118">
        <f ca="1" t="shared" si="67"/>
        <v>60510</v>
      </c>
      <c r="N129" s="118">
        <f ca="1" t="shared" si="67"/>
        <v>2905</v>
      </c>
      <c r="O129" s="118">
        <f ca="1" t="shared" si="67"/>
        <v>4499</v>
      </c>
      <c r="P129" s="118">
        <f aca="true" ca="1" t="shared" si="68" ref="P129:V135">ROUND($D129*VLOOKUP($C129,IF(LEFT($C129,1)="K",INDIRECT("TABLE"),INDIRECT("TABLE2")),P$9+1),0)</f>
        <v>0</v>
      </c>
      <c r="Q129" s="118">
        <f ca="1" t="shared" si="68"/>
        <v>26718</v>
      </c>
      <c r="R129" s="118">
        <f ca="1" t="shared" si="68"/>
        <v>1549</v>
      </c>
      <c r="S129" s="118">
        <f ca="1" t="shared" si="68"/>
        <v>3978</v>
      </c>
      <c r="T129" s="118">
        <f ca="1" t="shared" si="68"/>
        <v>0</v>
      </c>
      <c r="U129" s="118">
        <f ca="1" t="shared" si="68"/>
        <v>125</v>
      </c>
      <c r="V129" s="118">
        <f ca="1" t="shared" si="68"/>
        <v>768000</v>
      </c>
      <c r="W129" s="118">
        <f aca="true" t="shared" si="69" ref="W129:W135">D129-V129</f>
        <v>0</v>
      </c>
      <c r="X129" s="150"/>
      <c r="Y129" s="140"/>
      <c r="Z129" s="140" t="str">
        <f>IF($C129="B","",VLOOKUP($C129,orig_alloc!$A$13:$B$227,2,FALSE))</f>
        <v>WTD PROD DEMAND A&amp;G EXP RATIOS</v>
      </c>
      <c r="AA129" s="141"/>
      <c r="AD129" s="141"/>
      <c r="AE129" s="141"/>
      <c r="AF129" s="141"/>
    </row>
    <row r="130" spans="1:32" ht="20.25">
      <c r="A130" s="132" t="s">
        <v>370</v>
      </c>
      <c r="B130" s="149" t="s">
        <v>404</v>
      </c>
      <c r="C130" s="114" t="s">
        <v>544</v>
      </c>
      <c r="D130" s="118">
        <f>backup!E14</f>
        <v>334000</v>
      </c>
      <c r="E130" s="219">
        <f t="shared" si="66"/>
        <v>127241</v>
      </c>
      <c r="F130" s="118">
        <f ca="1" t="shared" si="67"/>
        <v>87109</v>
      </c>
      <c r="G130" s="118">
        <f ca="1" t="shared" si="67"/>
        <v>26</v>
      </c>
      <c r="H130" s="118">
        <f ca="1" t="shared" si="67"/>
        <v>523</v>
      </c>
      <c r="I130" s="118">
        <f ca="1" t="shared" si="67"/>
        <v>1180</v>
      </c>
      <c r="J130" s="118">
        <f ca="1" t="shared" si="67"/>
        <v>34</v>
      </c>
      <c r="K130" s="118">
        <f ca="1" t="shared" si="67"/>
        <v>60981</v>
      </c>
      <c r="L130" s="118">
        <f ca="1" t="shared" si="67"/>
        <v>209</v>
      </c>
      <c r="M130" s="118">
        <f ca="1" t="shared" si="67"/>
        <v>36377</v>
      </c>
      <c r="N130" s="118">
        <f ca="1" t="shared" si="67"/>
        <v>517</v>
      </c>
      <c r="O130" s="118">
        <f ca="1" t="shared" si="67"/>
        <v>2863</v>
      </c>
      <c r="P130" s="118">
        <f ca="1" t="shared" si="68"/>
        <v>0</v>
      </c>
      <c r="Q130" s="118">
        <f ca="1" t="shared" si="68"/>
        <v>14530</v>
      </c>
      <c r="R130" s="118">
        <f ca="1" t="shared" si="68"/>
        <v>286</v>
      </c>
      <c r="S130" s="118">
        <f ca="1" t="shared" si="68"/>
        <v>2097</v>
      </c>
      <c r="T130" s="118">
        <f ca="1" t="shared" si="68"/>
        <v>0</v>
      </c>
      <c r="U130" s="118">
        <f ca="1" t="shared" si="68"/>
        <v>27</v>
      </c>
      <c r="V130" s="118">
        <f ca="1" t="shared" si="68"/>
        <v>334000</v>
      </c>
      <c r="W130" s="118">
        <f t="shared" si="69"/>
        <v>0</v>
      </c>
      <c r="X130" s="150"/>
      <c r="Y130" s="140"/>
      <c r="Z130" s="140" t="str">
        <f>IF($C130="B","",VLOOKUP($C130,orig_alloc!$A$13:$B$227,2,FALSE))</f>
        <v>WTD PROD ENERGY A&amp;G EXP RATIOS</v>
      </c>
      <c r="AA130" s="141"/>
      <c r="AD130" s="141"/>
      <c r="AE130" s="141"/>
      <c r="AF130" s="141"/>
    </row>
    <row r="131" spans="1:32" ht="20.25">
      <c r="A131" s="132" t="s">
        <v>314</v>
      </c>
      <c r="B131" s="149" t="s">
        <v>533</v>
      </c>
      <c r="C131" s="114" t="s">
        <v>545</v>
      </c>
      <c r="D131" s="118">
        <f>backup!E15</f>
        <v>49000</v>
      </c>
      <c r="E131" s="219">
        <f t="shared" si="66"/>
        <v>25335</v>
      </c>
      <c r="F131" s="118">
        <f ca="1" t="shared" si="67"/>
        <v>10894</v>
      </c>
      <c r="G131" s="118">
        <f ca="1" t="shared" si="67"/>
        <v>11</v>
      </c>
      <c r="H131" s="118">
        <f ca="1" t="shared" si="67"/>
        <v>44</v>
      </c>
      <c r="I131" s="118">
        <f ca="1" t="shared" si="67"/>
        <v>208</v>
      </c>
      <c r="J131" s="118">
        <f ca="1" t="shared" si="67"/>
        <v>5</v>
      </c>
      <c r="K131" s="118">
        <f ca="1" t="shared" si="67"/>
        <v>6016</v>
      </c>
      <c r="L131" s="118">
        <f ca="1" t="shared" si="67"/>
        <v>88</v>
      </c>
      <c r="M131" s="118">
        <f ca="1" t="shared" si="67"/>
        <v>3861</v>
      </c>
      <c r="N131" s="118">
        <f ca="1" t="shared" si="67"/>
        <v>185</v>
      </c>
      <c r="O131" s="118">
        <f ca="1" t="shared" si="67"/>
        <v>287</v>
      </c>
      <c r="P131" s="118">
        <f ca="1" t="shared" si="68"/>
        <v>0</v>
      </c>
      <c r="Q131" s="118">
        <f ca="1" t="shared" si="68"/>
        <v>1705</v>
      </c>
      <c r="R131" s="118">
        <f ca="1" t="shared" si="68"/>
        <v>99</v>
      </c>
      <c r="S131" s="118">
        <f ca="1" t="shared" si="68"/>
        <v>254</v>
      </c>
      <c r="T131" s="118">
        <f ca="1" t="shared" si="68"/>
        <v>0</v>
      </c>
      <c r="U131" s="118">
        <f ca="1" t="shared" si="68"/>
        <v>8</v>
      </c>
      <c r="V131" s="118">
        <f ca="1" t="shared" si="68"/>
        <v>49000</v>
      </c>
      <c r="W131" s="118">
        <f t="shared" si="69"/>
        <v>0</v>
      </c>
      <c r="X131" s="150"/>
      <c r="Y131" s="140"/>
      <c r="Z131" s="140" t="str">
        <f>IF($C131="B","",VLOOKUP($C131,orig_alloc!$A$13:$B$227,2,FALSE))</f>
        <v>WTD TRANS A&amp;G EXP RATIOS</v>
      </c>
      <c r="AA131" s="141"/>
      <c r="AD131" s="141"/>
      <c r="AE131" s="141"/>
      <c r="AF131" s="141"/>
    </row>
    <row r="132" spans="1:32" ht="20.25">
      <c r="A132" s="132" t="s">
        <v>313</v>
      </c>
      <c r="B132" s="149" t="s">
        <v>534</v>
      </c>
      <c r="C132" s="114" t="s">
        <v>589</v>
      </c>
      <c r="D132" s="118">
        <f>backup!E16</f>
        <v>321000</v>
      </c>
      <c r="E132" s="219">
        <f t="shared" si="66"/>
        <v>158182</v>
      </c>
      <c r="F132" s="118">
        <f ca="1" t="shared" si="67"/>
        <v>81945</v>
      </c>
      <c r="G132" s="118">
        <f ca="1" t="shared" si="67"/>
        <v>76</v>
      </c>
      <c r="H132" s="118">
        <f ca="1" t="shared" si="67"/>
        <v>320</v>
      </c>
      <c r="I132" s="118">
        <f ca="1" t="shared" si="67"/>
        <v>1192</v>
      </c>
      <c r="J132" s="118">
        <f ca="1" t="shared" si="67"/>
        <v>38</v>
      </c>
      <c r="K132" s="118">
        <f ca="1" t="shared" si="67"/>
        <v>47521</v>
      </c>
      <c r="L132" s="118">
        <f ca="1" t="shared" si="67"/>
        <v>546</v>
      </c>
      <c r="M132" s="118">
        <f ca="1" t="shared" si="67"/>
        <v>23826</v>
      </c>
      <c r="N132" s="118">
        <f ca="1" t="shared" si="67"/>
        <v>1101</v>
      </c>
      <c r="O132" s="118">
        <f ca="1" t="shared" si="67"/>
        <v>2003</v>
      </c>
      <c r="P132" s="118">
        <f ca="1" t="shared" si="68"/>
        <v>0</v>
      </c>
      <c r="Q132" s="118">
        <f ca="1" t="shared" si="68"/>
        <v>1604</v>
      </c>
      <c r="R132" s="118">
        <f ca="1" t="shared" si="68"/>
        <v>92</v>
      </c>
      <c r="S132" s="118">
        <f ca="1" t="shared" si="68"/>
        <v>2525</v>
      </c>
      <c r="T132" s="118">
        <f ca="1" t="shared" si="68"/>
        <v>0</v>
      </c>
      <c r="U132" s="118">
        <f ca="1" t="shared" si="68"/>
        <v>29</v>
      </c>
      <c r="V132" s="118">
        <f ca="1" t="shared" si="68"/>
        <v>321000</v>
      </c>
      <c r="W132" s="118">
        <f t="shared" si="69"/>
        <v>0</v>
      </c>
      <c r="X132" s="150"/>
      <c r="Y132" s="140"/>
      <c r="Z132" s="140" t="str">
        <f>IF($C132="B","",VLOOKUP($C132,orig_alloc!$A$13:$B$227,2,FALSE))</f>
        <v>WTD DIST A&amp;G EXP RATIOS</v>
      </c>
      <c r="AA132" s="141"/>
      <c r="AD132" s="141"/>
      <c r="AE132" s="141"/>
      <c r="AF132" s="141"/>
    </row>
    <row r="133" spans="1:32" ht="20.25">
      <c r="A133" s="132" t="s">
        <v>571</v>
      </c>
      <c r="B133" s="149" t="s">
        <v>535</v>
      </c>
      <c r="C133" s="114" t="s">
        <v>590</v>
      </c>
      <c r="D133" s="118">
        <f>backup!E17</f>
        <v>318000</v>
      </c>
      <c r="E133" s="219">
        <f t="shared" si="66"/>
        <v>281481</v>
      </c>
      <c r="F133" s="118">
        <f ca="1" t="shared" si="67"/>
        <v>34055</v>
      </c>
      <c r="G133" s="118">
        <f ca="1" t="shared" si="67"/>
        <v>28</v>
      </c>
      <c r="H133" s="118">
        <f ca="1" t="shared" si="67"/>
        <v>177</v>
      </c>
      <c r="I133" s="118">
        <f ca="1" t="shared" si="67"/>
        <v>279</v>
      </c>
      <c r="J133" s="118">
        <f ca="1" t="shared" si="67"/>
        <v>44</v>
      </c>
      <c r="K133" s="118">
        <f ca="1" t="shared" si="67"/>
        <v>1147</v>
      </c>
      <c r="L133" s="118">
        <f ca="1" t="shared" si="67"/>
        <v>15</v>
      </c>
      <c r="M133" s="118">
        <f ca="1" t="shared" si="67"/>
        <v>85</v>
      </c>
      <c r="N133" s="118">
        <f ca="1" t="shared" si="67"/>
        <v>12</v>
      </c>
      <c r="O133" s="118">
        <f ca="1" t="shared" si="67"/>
        <v>32</v>
      </c>
      <c r="P133" s="118">
        <f ca="1" t="shared" si="68"/>
        <v>0</v>
      </c>
      <c r="Q133" s="118">
        <f ca="1" t="shared" si="68"/>
        <v>31</v>
      </c>
      <c r="R133" s="118">
        <f ca="1" t="shared" si="68"/>
        <v>10</v>
      </c>
      <c r="S133" s="118">
        <f ca="1" t="shared" si="68"/>
        <v>577</v>
      </c>
      <c r="T133" s="118">
        <f ca="1" t="shared" si="68"/>
        <v>0</v>
      </c>
      <c r="U133" s="118">
        <f ca="1" t="shared" si="68"/>
        <v>27</v>
      </c>
      <c r="V133" s="118">
        <f ca="1" t="shared" si="68"/>
        <v>318000</v>
      </c>
      <c r="W133" s="118">
        <f t="shared" si="69"/>
        <v>0</v>
      </c>
      <c r="X133" s="150"/>
      <c r="Y133" s="140"/>
      <c r="Z133" s="140" t="str">
        <f>IF($C133="B","",VLOOKUP($C133,orig_alloc!$A$13:$B$227,2,FALSE))</f>
        <v>WTD CUST ACCT A&amp;G EXP RATIOS</v>
      </c>
      <c r="AA133" s="141"/>
      <c r="AD133" s="141"/>
      <c r="AE133" s="141"/>
      <c r="AF133" s="141"/>
    </row>
    <row r="134" spans="1:32" ht="20.25">
      <c r="A134" s="132" t="s">
        <v>577</v>
      </c>
      <c r="B134" s="149" t="s">
        <v>536</v>
      </c>
      <c r="C134" s="114" t="s">
        <v>592</v>
      </c>
      <c r="D134" s="118">
        <f>backup!E18</f>
        <v>37000</v>
      </c>
      <c r="E134" s="219">
        <f t="shared" si="66"/>
        <v>24471</v>
      </c>
      <c r="F134" s="118">
        <f ca="1" t="shared" si="67"/>
        <v>11541</v>
      </c>
      <c r="G134" s="118">
        <f ca="1" t="shared" si="67"/>
        <v>9</v>
      </c>
      <c r="H134" s="118">
        <f ca="1" t="shared" si="67"/>
        <v>140</v>
      </c>
      <c r="I134" s="118">
        <f ca="1" t="shared" si="67"/>
        <v>113</v>
      </c>
      <c r="J134" s="118">
        <f ca="1" t="shared" si="67"/>
        <v>26</v>
      </c>
      <c r="K134" s="118">
        <f ca="1" t="shared" si="67"/>
        <v>167</v>
      </c>
      <c r="L134" s="118">
        <f ca="1" t="shared" si="67"/>
        <v>6</v>
      </c>
      <c r="M134" s="118">
        <f ca="1" t="shared" si="67"/>
        <v>31</v>
      </c>
      <c r="N134" s="118">
        <f ca="1" t="shared" si="67"/>
        <v>5</v>
      </c>
      <c r="O134" s="118">
        <f ca="1" t="shared" si="67"/>
        <v>11</v>
      </c>
      <c r="P134" s="118">
        <f ca="1" t="shared" si="68"/>
        <v>0</v>
      </c>
      <c r="Q134" s="118">
        <f ca="1" t="shared" si="68"/>
        <v>10</v>
      </c>
      <c r="R134" s="118">
        <f ca="1" t="shared" si="68"/>
        <v>3</v>
      </c>
      <c r="S134" s="118">
        <f ca="1" t="shared" si="68"/>
        <v>457</v>
      </c>
      <c r="T134" s="118">
        <f ca="1" t="shared" si="68"/>
        <v>0</v>
      </c>
      <c r="U134" s="118">
        <f ca="1" t="shared" si="68"/>
        <v>10</v>
      </c>
      <c r="V134" s="118">
        <f ca="1" t="shared" si="68"/>
        <v>37000</v>
      </c>
      <c r="W134" s="118">
        <f t="shared" si="69"/>
        <v>0</v>
      </c>
      <c r="X134" s="150"/>
      <c r="Y134" s="140"/>
      <c r="Z134" s="140" t="str">
        <f>IF($C134="B","",VLOOKUP($C134,orig_alloc!$A$13:$B$227,2,FALSE))</f>
        <v>WTD CUST SERV &amp; INFO A&amp;G  EXP RATIOS</v>
      </c>
      <c r="AA134" s="141"/>
      <c r="AD134" s="141"/>
      <c r="AE134" s="141"/>
      <c r="AF134" s="141"/>
    </row>
    <row r="135" spans="1:32" ht="20.25">
      <c r="A135" s="132" t="s">
        <v>371</v>
      </c>
      <c r="B135" s="149" t="s">
        <v>537</v>
      </c>
      <c r="C135" s="114" t="s">
        <v>594</v>
      </c>
      <c r="D135" s="291">
        <f>backup!E19</f>
        <v>0</v>
      </c>
      <c r="E135" s="292">
        <f t="shared" si="66"/>
        <v>0</v>
      </c>
      <c r="F135" s="291">
        <f ca="1" t="shared" si="67"/>
        <v>0</v>
      </c>
      <c r="G135" s="291">
        <f ca="1" t="shared" si="67"/>
        <v>0</v>
      </c>
      <c r="H135" s="291">
        <f ca="1" t="shared" si="67"/>
        <v>0</v>
      </c>
      <c r="I135" s="291">
        <f ca="1" t="shared" si="67"/>
        <v>0</v>
      </c>
      <c r="J135" s="291">
        <f ca="1" t="shared" si="67"/>
        <v>0</v>
      </c>
      <c r="K135" s="291">
        <f ca="1" t="shared" si="67"/>
        <v>0</v>
      </c>
      <c r="L135" s="291">
        <f ca="1" t="shared" si="67"/>
        <v>0</v>
      </c>
      <c r="M135" s="291">
        <f ca="1" t="shared" si="67"/>
        <v>0</v>
      </c>
      <c r="N135" s="291">
        <f ca="1" t="shared" si="67"/>
        <v>0</v>
      </c>
      <c r="O135" s="291">
        <f ca="1" t="shared" si="67"/>
        <v>0</v>
      </c>
      <c r="P135" s="291">
        <f ca="1" t="shared" si="68"/>
        <v>0</v>
      </c>
      <c r="Q135" s="291">
        <f ca="1" t="shared" si="68"/>
        <v>0</v>
      </c>
      <c r="R135" s="291">
        <f ca="1" t="shared" si="68"/>
        <v>0</v>
      </c>
      <c r="S135" s="291">
        <f ca="1" t="shared" si="68"/>
        <v>0</v>
      </c>
      <c r="T135" s="291">
        <f ca="1" t="shared" si="68"/>
        <v>0</v>
      </c>
      <c r="U135" s="291">
        <f ca="1" t="shared" si="68"/>
        <v>0</v>
      </c>
      <c r="V135" s="291">
        <f ca="1" t="shared" si="68"/>
        <v>0</v>
      </c>
      <c r="W135" s="291">
        <f t="shared" si="69"/>
        <v>0</v>
      </c>
      <c r="X135" s="150"/>
      <c r="Y135" s="140"/>
      <c r="Z135" s="140" t="str">
        <f>IF($C135="B","",VLOOKUP($C135,orig_alloc!$A$13:$B$227,2,FALSE))</f>
        <v>WTD SALES A&amp;G EXP RATIOS</v>
      </c>
      <c r="AA135" s="141"/>
      <c r="AD135" s="141"/>
      <c r="AE135" s="141"/>
      <c r="AF135" s="141"/>
    </row>
    <row r="136" spans="1:32" ht="20.25">
      <c r="A136" s="240" t="s">
        <v>849</v>
      </c>
      <c r="B136" s="149" t="s">
        <v>405</v>
      </c>
      <c r="C136" s="132"/>
      <c r="D136" s="118">
        <f aca="true" t="shared" si="70" ref="D136:W136">SUM(D129:D135)</f>
        <v>1827000</v>
      </c>
      <c r="E136" s="118">
        <f t="shared" si="70"/>
        <v>1013814</v>
      </c>
      <c r="F136" s="118">
        <f t="shared" si="70"/>
        <v>396288</v>
      </c>
      <c r="G136" s="118">
        <f t="shared" si="70"/>
        <v>318</v>
      </c>
      <c r="H136" s="118">
        <f t="shared" si="70"/>
        <v>1891</v>
      </c>
      <c r="I136" s="118">
        <f t="shared" si="70"/>
        <v>6237</v>
      </c>
      <c r="J136" s="118">
        <f t="shared" si="70"/>
        <v>224</v>
      </c>
      <c r="K136" s="118">
        <f t="shared" si="70"/>
        <v>210124</v>
      </c>
      <c r="L136" s="118">
        <f t="shared" si="70"/>
        <v>2243</v>
      </c>
      <c r="M136" s="118">
        <f t="shared" si="70"/>
        <v>124690</v>
      </c>
      <c r="N136" s="118">
        <f t="shared" si="70"/>
        <v>4725</v>
      </c>
      <c r="O136" s="118">
        <f t="shared" si="70"/>
        <v>9695</v>
      </c>
      <c r="P136" s="118">
        <f t="shared" si="70"/>
        <v>0</v>
      </c>
      <c r="Q136" s="118">
        <f t="shared" si="70"/>
        <v>44598</v>
      </c>
      <c r="R136" s="118">
        <f t="shared" si="70"/>
        <v>2039</v>
      </c>
      <c r="S136" s="118">
        <f t="shared" si="70"/>
        <v>9888</v>
      </c>
      <c r="T136" s="118">
        <f t="shared" si="70"/>
        <v>0</v>
      </c>
      <c r="U136" s="118">
        <f t="shared" si="70"/>
        <v>226</v>
      </c>
      <c r="V136" s="118">
        <f t="shared" si="70"/>
        <v>1827000</v>
      </c>
      <c r="W136" s="118">
        <f t="shared" si="70"/>
        <v>0</v>
      </c>
      <c r="X136" s="150"/>
      <c r="Y136" s="140"/>
      <c r="Z136" s="140">
        <f>IF($C136="B","",VLOOKUP($C136,orig_alloc!$A$13:$B$227,2,FALSE))</f>
      </c>
      <c r="AA136" s="141"/>
      <c r="AD136" s="141"/>
      <c r="AE136" s="141"/>
      <c r="AF136" s="141"/>
    </row>
    <row r="137" spans="1:32" ht="20.25">
      <c r="A137" s="132"/>
      <c r="B137" s="149"/>
      <c r="C137" s="132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50"/>
      <c r="Y137" s="140"/>
      <c r="Z137" s="140">
        <f>IF($C137="B","",VLOOKUP($C137,orig_alloc!$A$13:$B$227,2,FALSE))</f>
      </c>
      <c r="AA137" s="141"/>
      <c r="AD137" s="141"/>
      <c r="AE137" s="141"/>
      <c r="AF137" s="141"/>
    </row>
    <row r="138" spans="1:32" ht="20.25">
      <c r="A138" s="281" t="s">
        <v>375</v>
      </c>
      <c r="B138" s="149"/>
      <c r="C138" s="132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50"/>
      <c r="Y138" s="140"/>
      <c r="Z138" s="140">
        <f>IF($C138="B","",VLOOKUP($C138,orig_alloc!$A$13:$B$227,2,FALSE))</f>
      </c>
      <c r="AA138" s="141"/>
      <c r="AD138" s="141"/>
      <c r="AE138" s="141"/>
      <c r="AF138" s="141"/>
    </row>
    <row r="139" spans="1:32" ht="20.25">
      <c r="A139" s="132" t="s">
        <v>369</v>
      </c>
      <c r="B139" s="149" t="s">
        <v>406</v>
      </c>
      <c r="C139" s="114" t="s">
        <v>588</v>
      </c>
      <c r="D139" s="118">
        <f>backup!G13</f>
        <v>4301000</v>
      </c>
      <c r="E139" s="219">
        <f aca="true" t="shared" si="71" ref="E139:E145">V139-SUM(F139:U139)</f>
        <v>2223880</v>
      </c>
      <c r="F139" s="118">
        <f aca="true" ca="1" t="shared" si="72" ref="F139:O145">ROUND($D139*VLOOKUP($C139,IF(LEFT($C139,1)="K",INDIRECT("TABLE"),INDIRECT("TABLE2")),F$9+1),0)</f>
        <v>956211</v>
      </c>
      <c r="G139" s="118">
        <f ca="1" t="shared" si="72"/>
        <v>939</v>
      </c>
      <c r="H139" s="118">
        <f ca="1" t="shared" si="72"/>
        <v>3846</v>
      </c>
      <c r="I139" s="118">
        <f ca="1" t="shared" si="72"/>
        <v>18287</v>
      </c>
      <c r="J139" s="118">
        <f ca="1" t="shared" si="72"/>
        <v>430</v>
      </c>
      <c r="K139" s="118">
        <f ca="1" t="shared" si="72"/>
        <v>528059</v>
      </c>
      <c r="L139" s="118">
        <f ca="1" t="shared" si="72"/>
        <v>7722</v>
      </c>
      <c r="M139" s="118">
        <f ca="1" t="shared" si="72"/>
        <v>338874</v>
      </c>
      <c r="N139" s="118">
        <f ca="1" t="shared" si="72"/>
        <v>16270</v>
      </c>
      <c r="O139" s="118">
        <f ca="1" t="shared" si="72"/>
        <v>25198</v>
      </c>
      <c r="P139" s="118">
        <f aca="true" ca="1" t="shared" si="73" ref="P139:V145">ROUND($D139*VLOOKUP($C139,IF(LEFT($C139,1)="K",INDIRECT("TABLE"),INDIRECT("TABLE2")),P$9+1),0)</f>
        <v>0</v>
      </c>
      <c r="Q139" s="118">
        <f ca="1" t="shared" si="73"/>
        <v>149630</v>
      </c>
      <c r="R139" s="118">
        <f ca="1" t="shared" si="73"/>
        <v>8676</v>
      </c>
      <c r="S139" s="118">
        <f ca="1" t="shared" si="73"/>
        <v>22276</v>
      </c>
      <c r="T139" s="118">
        <f ca="1" t="shared" si="73"/>
        <v>0</v>
      </c>
      <c r="U139" s="118">
        <f ca="1" t="shared" si="73"/>
        <v>702</v>
      </c>
      <c r="V139" s="118">
        <f ca="1" t="shared" si="73"/>
        <v>4301000</v>
      </c>
      <c r="W139" s="118">
        <f aca="true" t="shared" si="74" ref="W139:W145">D139-V139</f>
        <v>0</v>
      </c>
      <c r="X139" s="150"/>
      <c r="Y139" s="140"/>
      <c r="Z139" s="140" t="str">
        <f>IF($C139="B","",VLOOKUP($C139,orig_alloc!$A$13:$B$227,2,FALSE))</f>
        <v>WTD PROD DEMAND A&amp;G EXP RATIOS</v>
      </c>
      <c r="AA139" s="141"/>
      <c r="AD139" s="141"/>
      <c r="AE139" s="141"/>
      <c r="AF139" s="141"/>
    </row>
    <row r="140" spans="1:32" ht="20.25">
      <c r="A140" s="132" t="s">
        <v>370</v>
      </c>
      <c r="B140" s="149" t="s">
        <v>538</v>
      </c>
      <c r="C140" s="114" t="s">
        <v>544</v>
      </c>
      <c r="D140" s="118">
        <f>backup!G14</f>
        <v>1868000</v>
      </c>
      <c r="E140" s="219">
        <f t="shared" si="71"/>
        <v>711634</v>
      </c>
      <c r="F140" s="118">
        <f ca="1" t="shared" si="72"/>
        <v>487186</v>
      </c>
      <c r="G140" s="118">
        <f ca="1" t="shared" si="72"/>
        <v>146</v>
      </c>
      <c r="H140" s="118">
        <f ca="1" t="shared" si="72"/>
        <v>2925</v>
      </c>
      <c r="I140" s="118">
        <f ca="1" t="shared" si="72"/>
        <v>6599</v>
      </c>
      <c r="J140" s="118">
        <f ca="1" t="shared" si="72"/>
        <v>189</v>
      </c>
      <c r="K140" s="118">
        <f ca="1" t="shared" si="72"/>
        <v>341057</v>
      </c>
      <c r="L140" s="118">
        <f ca="1" t="shared" si="72"/>
        <v>1171</v>
      </c>
      <c r="M140" s="118">
        <f ca="1" t="shared" si="72"/>
        <v>203448</v>
      </c>
      <c r="N140" s="118">
        <f ca="1" t="shared" si="72"/>
        <v>2892</v>
      </c>
      <c r="O140" s="118">
        <f ca="1" t="shared" si="72"/>
        <v>16012</v>
      </c>
      <c r="P140" s="118">
        <f ca="1" t="shared" si="73"/>
        <v>0</v>
      </c>
      <c r="Q140" s="118">
        <f ca="1" t="shared" si="73"/>
        <v>81261</v>
      </c>
      <c r="R140" s="118">
        <f ca="1" t="shared" si="73"/>
        <v>1602</v>
      </c>
      <c r="S140" s="118">
        <f ca="1" t="shared" si="73"/>
        <v>11726</v>
      </c>
      <c r="T140" s="118">
        <f ca="1" t="shared" si="73"/>
        <v>0</v>
      </c>
      <c r="U140" s="118">
        <f ca="1" t="shared" si="73"/>
        <v>152</v>
      </c>
      <c r="V140" s="118">
        <f ca="1" t="shared" si="73"/>
        <v>1868000</v>
      </c>
      <c r="W140" s="118">
        <f t="shared" si="74"/>
        <v>0</v>
      </c>
      <c r="X140" s="150"/>
      <c r="Y140" s="140"/>
      <c r="Z140" s="140" t="str">
        <f>IF($C140="B","",VLOOKUP($C140,orig_alloc!$A$13:$B$227,2,FALSE))</f>
        <v>WTD PROD ENERGY A&amp;G EXP RATIOS</v>
      </c>
      <c r="AA140" s="141"/>
      <c r="AD140" s="141"/>
      <c r="AE140" s="141"/>
      <c r="AF140" s="141"/>
    </row>
    <row r="141" spans="1:32" ht="20.25">
      <c r="A141" s="132" t="s">
        <v>314</v>
      </c>
      <c r="B141" s="149" t="s">
        <v>539</v>
      </c>
      <c r="C141" s="114" t="s">
        <v>545</v>
      </c>
      <c r="D141" s="118">
        <f>backup!G15</f>
        <v>276000</v>
      </c>
      <c r="E141" s="219">
        <f t="shared" si="71"/>
        <v>142708</v>
      </c>
      <c r="F141" s="118">
        <f ca="1" t="shared" si="72"/>
        <v>61361</v>
      </c>
      <c r="G141" s="118">
        <f ca="1" t="shared" si="72"/>
        <v>60</v>
      </c>
      <c r="H141" s="118">
        <f ca="1" t="shared" si="72"/>
        <v>247</v>
      </c>
      <c r="I141" s="118">
        <f ca="1" t="shared" si="72"/>
        <v>1174</v>
      </c>
      <c r="J141" s="118">
        <f ca="1" t="shared" si="72"/>
        <v>28</v>
      </c>
      <c r="K141" s="118">
        <f ca="1" t="shared" si="72"/>
        <v>33886</v>
      </c>
      <c r="L141" s="118">
        <f ca="1" t="shared" si="72"/>
        <v>496</v>
      </c>
      <c r="M141" s="118">
        <f ca="1" t="shared" si="72"/>
        <v>21746</v>
      </c>
      <c r="N141" s="118">
        <f ca="1" t="shared" si="72"/>
        <v>1044</v>
      </c>
      <c r="O141" s="118">
        <f ca="1" t="shared" si="72"/>
        <v>1617</v>
      </c>
      <c r="P141" s="118">
        <f ca="1" t="shared" si="73"/>
        <v>0</v>
      </c>
      <c r="Q141" s="118">
        <f ca="1" t="shared" si="73"/>
        <v>9602</v>
      </c>
      <c r="R141" s="118">
        <f ca="1" t="shared" si="73"/>
        <v>557</v>
      </c>
      <c r="S141" s="118">
        <f ca="1" t="shared" si="73"/>
        <v>1429</v>
      </c>
      <c r="T141" s="118">
        <f ca="1" t="shared" si="73"/>
        <v>0</v>
      </c>
      <c r="U141" s="118">
        <f ca="1" t="shared" si="73"/>
        <v>45</v>
      </c>
      <c r="V141" s="118">
        <f ca="1" t="shared" si="73"/>
        <v>276000</v>
      </c>
      <c r="W141" s="118">
        <f t="shared" si="74"/>
        <v>0</v>
      </c>
      <c r="X141" s="150"/>
      <c r="Y141" s="140"/>
      <c r="Z141" s="140" t="str">
        <f>IF($C141="B","",VLOOKUP($C141,orig_alloc!$A$13:$B$227,2,FALSE))</f>
        <v>WTD TRANS A&amp;G EXP RATIOS</v>
      </c>
      <c r="AA141" s="141"/>
      <c r="AD141" s="141"/>
      <c r="AE141" s="141"/>
      <c r="AF141" s="141"/>
    </row>
    <row r="142" spans="1:32" ht="20.25">
      <c r="A142" s="132" t="s">
        <v>378</v>
      </c>
      <c r="B142" s="149" t="s">
        <v>540</v>
      </c>
      <c r="C142" s="114" t="s">
        <v>589</v>
      </c>
      <c r="D142" s="118">
        <f>backup!G16</f>
        <v>1796000</v>
      </c>
      <c r="E142" s="219">
        <f t="shared" si="71"/>
        <v>885031</v>
      </c>
      <c r="F142" s="118">
        <f ca="1" t="shared" si="72"/>
        <v>458481</v>
      </c>
      <c r="G142" s="118">
        <f ca="1" t="shared" si="72"/>
        <v>424</v>
      </c>
      <c r="H142" s="118">
        <f ca="1" t="shared" si="72"/>
        <v>1789</v>
      </c>
      <c r="I142" s="118">
        <f ca="1" t="shared" si="72"/>
        <v>6672</v>
      </c>
      <c r="J142" s="118">
        <f ca="1" t="shared" si="72"/>
        <v>212</v>
      </c>
      <c r="K142" s="118">
        <f ca="1" t="shared" si="72"/>
        <v>265878</v>
      </c>
      <c r="L142" s="118">
        <f ca="1" t="shared" si="72"/>
        <v>3057</v>
      </c>
      <c r="M142" s="118">
        <f ca="1" t="shared" si="72"/>
        <v>133307</v>
      </c>
      <c r="N142" s="118">
        <f ca="1" t="shared" si="72"/>
        <v>6160</v>
      </c>
      <c r="O142" s="118">
        <f ca="1" t="shared" si="72"/>
        <v>11207</v>
      </c>
      <c r="P142" s="118">
        <f ca="1" t="shared" si="73"/>
        <v>0</v>
      </c>
      <c r="Q142" s="118">
        <f ca="1" t="shared" si="73"/>
        <v>8976</v>
      </c>
      <c r="R142" s="118">
        <f ca="1" t="shared" si="73"/>
        <v>513</v>
      </c>
      <c r="S142" s="118">
        <f ca="1" t="shared" si="73"/>
        <v>14130</v>
      </c>
      <c r="T142" s="118">
        <f ca="1" t="shared" si="73"/>
        <v>0</v>
      </c>
      <c r="U142" s="118">
        <f ca="1" t="shared" si="73"/>
        <v>163</v>
      </c>
      <c r="V142" s="118">
        <f ca="1" t="shared" si="73"/>
        <v>1796000</v>
      </c>
      <c r="W142" s="118">
        <f t="shared" si="74"/>
        <v>0</v>
      </c>
      <c r="X142" s="150"/>
      <c r="Y142" s="140"/>
      <c r="Z142" s="140" t="str">
        <f>IF($C142="B","",VLOOKUP($C142,orig_alloc!$A$13:$B$227,2,FALSE))</f>
        <v>WTD DIST A&amp;G EXP RATIOS</v>
      </c>
      <c r="AA142" s="141"/>
      <c r="AD142" s="141"/>
      <c r="AE142" s="141"/>
      <c r="AF142" s="141"/>
    </row>
    <row r="143" spans="1:32" ht="20.25">
      <c r="A143" s="132" t="s">
        <v>571</v>
      </c>
      <c r="B143" s="149" t="s">
        <v>541</v>
      </c>
      <c r="C143" s="114" t="s">
        <v>590</v>
      </c>
      <c r="D143" s="118">
        <f>backup!G17</f>
        <v>1780000</v>
      </c>
      <c r="E143" s="219">
        <f t="shared" si="71"/>
        <v>1575583</v>
      </c>
      <c r="F143" s="118">
        <f ca="1" t="shared" si="72"/>
        <v>190620</v>
      </c>
      <c r="G143" s="118">
        <f ca="1" t="shared" si="72"/>
        <v>159</v>
      </c>
      <c r="H143" s="118">
        <f ca="1" t="shared" si="72"/>
        <v>988</v>
      </c>
      <c r="I143" s="118">
        <f ca="1" t="shared" si="72"/>
        <v>1563</v>
      </c>
      <c r="J143" s="118">
        <f ca="1" t="shared" si="72"/>
        <v>249</v>
      </c>
      <c r="K143" s="118">
        <f ca="1" t="shared" si="72"/>
        <v>6420</v>
      </c>
      <c r="L143" s="118">
        <f ca="1" t="shared" si="72"/>
        <v>84</v>
      </c>
      <c r="M143" s="118">
        <f ca="1" t="shared" si="72"/>
        <v>474</v>
      </c>
      <c r="N143" s="118">
        <f ca="1" t="shared" si="72"/>
        <v>69</v>
      </c>
      <c r="O143" s="118">
        <f ca="1" t="shared" si="72"/>
        <v>181</v>
      </c>
      <c r="P143" s="118">
        <f ca="1" t="shared" si="73"/>
        <v>0</v>
      </c>
      <c r="Q143" s="118">
        <f ca="1" t="shared" si="73"/>
        <v>175</v>
      </c>
      <c r="R143" s="118">
        <f ca="1" t="shared" si="73"/>
        <v>54</v>
      </c>
      <c r="S143" s="118">
        <f ca="1" t="shared" si="73"/>
        <v>3231</v>
      </c>
      <c r="T143" s="118">
        <f ca="1" t="shared" si="73"/>
        <v>0</v>
      </c>
      <c r="U143" s="118">
        <f ca="1" t="shared" si="73"/>
        <v>150</v>
      </c>
      <c r="V143" s="118">
        <f ca="1" t="shared" si="73"/>
        <v>1780000</v>
      </c>
      <c r="W143" s="118">
        <f t="shared" si="74"/>
        <v>0</v>
      </c>
      <c r="X143" s="150"/>
      <c r="Y143" s="140"/>
      <c r="Z143" s="140" t="str">
        <f>IF($C143="B","",VLOOKUP($C143,orig_alloc!$A$13:$B$227,2,FALSE))</f>
        <v>WTD CUST ACCT A&amp;G EXP RATIOS</v>
      </c>
      <c r="AA143" s="141"/>
      <c r="AD143" s="141"/>
      <c r="AE143" s="141"/>
      <c r="AF143" s="141"/>
    </row>
    <row r="144" spans="1:32" ht="20.25">
      <c r="A144" s="132" t="s">
        <v>577</v>
      </c>
      <c r="B144" s="149" t="s">
        <v>542</v>
      </c>
      <c r="C144" s="114" t="s">
        <v>592</v>
      </c>
      <c r="D144" s="118">
        <f>backup!G18</f>
        <v>205000</v>
      </c>
      <c r="E144" s="219">
        <f t="shared" si="71"/>
        <v>135578</v>
      </c>
      <c r="F144" s="118">
        <f ca="1" t="shared" si="72"/>
        <v>63944</v>
      </c>
      <c r="G144" s="118">
        <f ca="1" t="shared" si="72"/>
        <v>51</v>
      </c>
      <c r="H144" s="118">
        <f ca="1" t="shared" si="72"/>
        <v>777</v>
      </c>
      <c r="I144" s="118">
        <f ca="1" t="shared" si="72"/>
        <v>626</v>
      </c>
      <c r="J144" s="118">
        <f ca="1" t="shared" si="72"/>
        <v>146</v>
      </c>
      <c r="K144" s="118">
        <f ca="1" t="shared" si="72"/>
        <v>923</v>
      </c>
      <c r="L144" s="118">
        <f ca="1" t="shared" si="72"/>
        <v>31</v>
      </c>
      <c r="M144" s="118">
        <f ca="1" t="shared" si="72"/>
        <v>170</v>
      </c>
      <c r="N144" s="118">
        <f ca="1" t="shared" si="72"/>
        <v>26</v>
      </c>
      <c r="O144" s="118">
        <f ca="1" t="shared" si="72"/>
        <v>63</v>
      </c>
      <c r="P144" s="118">
        <f ca="1" t="shared" si="73"/>
        <v>0</v>
      </c>
      <c r="Q144" s="118">
        <f ca="1" t="shared" si="73"/>
        <v>57</v>
      </c>
      <c r="R144" s="118">
        <f ca="1" t="shared" si="73"/>
        <v>18</v>
      </c>
      <c r="S144" s="118">
        <f ca="1" t="shared" si="73"/>
        <v>2533</v>
      </c>
      <c r="T144" s="118">
        <f ca="1" t="shared" si="73"/>
        <v>0</v>
      </c>
      <c r="U144" s="118">
        <f ca="1" t="shared" si="73"/>
        <v>57</v>
      </c>
      <c r="V144" s="118">
        <f ca="1" t="shared" si="73"/>
        <v>205000</v>
      </c>
      <c r="W144" s="118">
        <f t="shared" si="74"/>
        <v>0</v>
      </c>
      <c r="X144" s="150"/>
      <c r="Y144" s="140"/>
      <c r="Z144" s="140" t="str">
        <f>IF($C144="B","",VLOOKUP($C144,orig_alloc!$A$13:$B$227,2,FALSE))</f>
        <v>WTD CUST SERV &amp; INFO A&amp;G  EXP RATIOS</v>
      </c>
      <c r="AA144" s="141"/>
      <c r="AD144" s="141"/>
      <c r="AE144" s="141"/>
      <c r="AF144" s="141"/>
    </row>
    <row r="145" spans="1:32" ht="20.25">
      <c r="A145" s="132" t="s">
        <v>371</v>
      </c>
      <c r="B145" s="149" t="s">
        <v>543</v>
      </c>
      <c r="C145" s="114" t="s">
        <v>594</v>
      </c>
      <c r="D145" s="118">
        <f>backup!G19</f>
        <v>0</v>
      </c>
      <c r="E145" s="219">
        <f t="shared" si="71"/>
        <v>0</v>
      </c>
      <c r="F145" s="118">
        <f ca="1" t="shared" si="72"/>
        <v>0</v>
      </c>
      <c r="G145" s="118">
        <f ca="1" t="shared" si="72"/>
        <v>0</v>
      </c>
      <c r="H145" s="118">
        <f ca="1" t="shared" si="72"/>
        <v>0</v>
      </c>
      <c r="I145" s="118">
        <f ca="1" t="shared" si="72"/>
        <v>0</v>
      </c>
      <c r="J145" s="118">
        <f ca="1" t="shared" si="72"/>
        <v>0</v>
      </c>
      <c r="K145" s="118">
        <f ca="1" t="shared" si="72"/>
        <v>0</v>
      </c>
      <c r="L145" s="118">
        <f ca="1" t="shared" si="72"/>
        <v>0</v>
      </c>
      <c r="M145" s="118">
        <f ca="1" t="shared" si="72"/>
        <v>0</v>
      </c>
      <c r="N145" s="118">
        <f ca="1" t="shared" si="72"/>
        <v>0</v>
      </c>
      <c r="O145" s="118">
        <f ca="1" t="shared" si="72"/>
        <v>0</v>
      </c>
      <c r="P145" s="118">
        <f ca="1" t="shared" si="73"/>
        <v>0</v>
      </c>
      <c r="Q145" s="118">
        <f ca="1" t="shared" si="73"/>
        <v>0</v>
      </c>
      <c r="R145" s="118">
        <f ca="1" t="shared" si="73"/>
        <v>0</v>
      </c>
      <c r="S145" s="118">
        <f ca="1" t="shared" si="73"/>
        <v>0</v>
      </c>
      <c r="T145" s="118">
        <f ca="1" t="shared" si="73"/>
        <v>0</v>
      </c>
      <c r="U145" s="118">
        <f ca="1" t="shared" si="73"/>
        <v>0</v>
      </c>
      <c r="V145" s="118">
        <f ca="1" t="shared" si="73"/>
        <v>0</v>
      </c>
      <c r="W145" s="118">
        <f t="shared" si="74"/>
        <v>0</v>
      </c>
      <c r="X145" s="150"/>
      <c r="Y145" s="140"/>
      <c r="Z145" s="140" t="str">
        <f>IF($C145="B","",VLOOKUP($C145,orig_alloc!$A$13:$B$227,2,FALSE))</f>
        <v>WTD SALES A&amp;G EXP RATIOS</v>
      </c>
      <c r="AA145" s="141"/>
      <c r="AD145" s="141"/>
      <c r="AE145" s="141"/>
      <c r="AF145" s="141"/>
    </row>
    <row r="146" spans="1:32" ht="20.25">
      <c r="A146" s="240" t="s">
        <v>407</v>
      </c>
      <c r="B146" s="149" t="s">
        <v>408</v>
      </c>
      <c r="C146" s="148"/>
      <c r="D146" s="202">
        <f aca="true" t="shared" si="75" ref="D146:W146">SUM(D139:D145)</f>
        <v>10226000</v>
      </c>
      <c r="E146" s="202">
        <f t="shared" si="75"/>
        <v>5674414</v>
      </c>
      <c r="F146" s="202">
        <f t="shared" si="75"/>
        <v>2217803</v>
      </c>
      <c r="G146" s="202">
        <f t="shared" si="75"/>
        <v>1779</v>
      </c>
      <c r="H146" s="202">
        <f t="shared" si="75"/>
        <v>10572</v>
      </c>
      <c r="I146" s="202">
        <f t="shared" si="75"/>
        <v>34921</v>
      </c>
      <c r="J146" s="202">
        <f t="shared" si="75"/>
        <v>1254</v>
      </c>
      <c r="K146" s="202">
        <f t="shared" si="75"/>
        <v>1176223</v>
      </c>
      <c r="L146" s="202">
        <f t="shared" si="75"/>
        <v>12561</v>
      </c>
      <c r="M146" s="202">
        <f t="shared" si="75"/>
        <v>698019</v>
      </c>
      <c r="N146" s="202">
        <f t="shared" si="75"/>
        <v>26461</v>
      </c>
      <c r="O146" s="202">
        <f t="shared" si="75"/>
        <v>54278</v>
      </c>
      <c r="P146" s="202">
        <f t="shared" si="75"/>
        <v>0</v>
      </c>
      <c r="Q146" s="202">
        <f t="shared" si="75"/>
        <v>249701</v>
      </c>
      <c r="R146" s="202">
        <f t="shared" si="75"/>
        <v>11420</v>
      </c>
      <c r="S146" s="202">
        <f t="shared" si="75"/>
        <v>55325</v>
      </c>
      <c r="T146" s="202">
        <f t="shared" si="75"/>
        <v>0</v>
      </c>
      <c r="U146" s="202">
        <f t="shared" si="75"/>
        <v>1269</v>
      </c>
      <c r="V146" s="202">
        <f t="shared" si="75"/>
        <v>10226000</v>
      </c>
      <c r="W146" s="202">
        <f t="shared" si="75"/>
        <v>0</v>
      </c>
      <c r="X146" s="150"/>
      <c r="Y146" s="140"/>
      <c r="Z146" s="140">
        <f>IF($C146="B","",VLOOKUP($C146,orig_alloc!$A$13:$B$227,2,FALSE))</f>
      </c>
      <c r="AA146" s="141"/>
      <c r="AD146" s="141"/>
      <c r="AE146" s="141"/>
      <c r="AF146" s="141"/>
    </row>
    <row r="147" spans="1:32" ht="20.25">
      <c r="A147" s="132"/>
      <c r="B147" s="149"/>
      <c r="C147" s="132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50"/>
      <c r="Y147" s="140"/>
      <c r="Z147" s="140">
        <f>IF($C147="B","",VLOOKUP($C147,orig_alloc!$A$13:$B$227,2,FALSE))</f>
      </c>
      <c r="AA147" s="141"/>
      <c r="AD147" s="141"/>
      <c r="AE147" s="141"/>
      <c r="AF147" s="141"/>
    </row>
    <row r="148" spans="1:32" ht="20.25">
      <c r="A148" s="132" t="s">
        <v>409</v>
      </c>
      <c r="B148" s="149" t="s">
        <v>225</v>
      </c>
      <c r="C148" s="132"/>
      <c r="D148" s="118">
        <f aca="true" t="shared" si="76" ref="D148:W148">D146+D136+D123+D108+D103</f>
        <v>540093766</v>
      </c>
      <c r="E148" s="118">
        <f t="shared" si="76"/>
        <v>280436196</v>
      </c>
      <c r="F148" s="118">
        <f t="shared" si="76"/>
        <v>121168974</v>
      </c>
      <c r="G148" s="118">
        <f t="shared" si="76"/>
        <v>116756</v>
      </c>
      <c r="H148" s="118">
        <f t="shared" si="76"/>
        <v>483768</v>
      </c>
      <c r="I148" s="118">
        <f t="shared" si="76"/>
        <v>2222286</v>
      </c>
      <c r="J148" s="118">
        <f t="shared" si="76"/>
        <v>55975</v>
      </c>
      <c r="K148" s="118">
        <f t="shared" si="76"/>
        <v>66677631</v>
      </c>
      <c r="L148" s="118">
        <f t="shared" si="76"/>
        <v>934427</v>
      </c>
      <c r="M148" s="118">
        <f t="shared" si="76"/>
        <v>39214933</v>
      </c>
      <c r="N148" s="118">
        <f t="shared" si="76"/>
        <v>1862360</v>
      </c>
      <c r="O148" s="118">
        <f t="shared" si="76"/>
        <v>2990157</v>
      </c>
      <c r="P148" s="118">
        <f t="shared" si="76"/>
        <v>0</v>
      </c>
      <c r="Q148" s="118">
        <f t="shared" si="76"/>
        <v>14641809</v>
      </c>
      <c r="R148" s="118">
        <f t="shared" si="76"/>
        <v>845188</v>
      </c>
      <c r="S148" s="118">
        <f t="shared" si="76"/>
        <v>8361302</v>
      </c>
      <c r="T148" s="118">
        <f t="shared" si="76"/>
        <v>0</v>
      </c>
      <c r="U148" s="118">
        <f t="shared" si="76"/>
        <v>82004</v>
      </c>
      <c r="V148" s="118">
        <f t="shared" si="76"/>
        <v>540093766</v>
      </c>
      <c r="W148" s="118">
        <f t="shared" si="76"/>
        <v>0</v>
      </c>
      <c r="X148" s="150"/>
      <c r="Y148" s="140"/>
      <c r="Z148" s="140">
        <f>IF($C148="B","",VLOOKUP($C148,orig_alloc!$A$13:$B$227,2,FALSE))</f>
      </c>
      <c r="AA148" s="141"/>
      <c r="AD148" s="141"/>
      <c r="AE148" s="141"/>
      <c r="AF148" s="141"/>
    </row>
    <row r="149" spans="1:32" ht="20.25">
      <c r="A149" s="132"/>
      <c r="B149" s="149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50"/>
      <c r="Y149" s="140"/>
      <c r="Z149" s="140">
        <f>IF($C149="B","",VLOOKUP($C149,orig_alloc!$A$13:$B$227,2,FALSE))</f>
      </c>
      <c r="AA149" s="141"/>
      <c r="AD149" s="141"/>
      <c r="AE149" s="141"/>
      <c r="AF149" s="141"/>
    </row>
    <row r="150" spans="1:32" ht="20.25">
      <c r="A150" s="289" t="s">
        <v>410</v>
      </c>
      <c r="B150" s="290" t="s">
        <v>411</v>
      </c>
      <c r="C150" s="148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50"/>
      <c r="Y150" s="140"/>
      <c r="Z150" s="140">
        <f>IF($C150="B","",VLOOKUP($C150,orig_alloc!$A$13:$B$227,2,FALSE))</f>
      </c>
      <c r="AA150" s="141"/>
      <c r="AD150" s="141"/>
      <c r="AE150" s="141"/>
      <c r="AF150" s="141"/>
    </row>
    <row r="151" spans="1:32" ht="20.25">
      <c r="A151" s="281" t="s">
        <v>335</v>
      </c>
      <c r="B151" s="149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50"/>
      <c r="Y151" s="140"/>
      <c r="Z151" s="140">
        <f>IF($C151="B","",VLOOKUP($C151,orig_alloc!$A$13:$B$227,2,FALSE))</f>
      </c>
      <c r="AA151" s="141"/>
      <c r="AD151" s="141"/>
      <c r="AE151" s="141"/>
      <c r="AF151" s="141"/>
    </row>
    <row r="152" spans="1:32" ht="20.25">
      <c r="A152" s="148" t="s">
        <v>336</v>
      </c>
      <c r="B152" s="149"/>
      <c r="C152" s="148"/>
      <c r="D152" s="201">
        <f aca="true" t="shared" si="77" ref="D152:U152">D51-D101</f>
        <v>225785000</v>
      </c>
      <c r="E152" s="201">
        <f t="shared" si="77"/>
        <v>116744601</v>
      </c>
      <c r="F152" s="201">
        <f t="shared" si="77"/>
        <v>50197196</v>
      </c>
      <c r="G152" s="201">
        <f t="shared" si="77"/>
        <v>49309</v>
      </c>
      <c r="H152" s="201">
        <f t="shared" si="77"/>
        <v>201909</v>
      </c>
      <c r="I152" s="201">
        <f t="shared" si="77"/>
        <v>959975</v>
      </c>
      <c r="J152" s="201">
        <f t="shared" si="77"/>
        <v>22579</v>
      </c>
      <c r="K152" s="201">
        <f t="shared" si="77"/>
        <v>27720948</v>
      </c>
      <c r="L152" s="201">
        <f t="shared" si="77"/>
        <v>405374</v>
      </c>
      <c r="M152" s="201">
        <f t="shared" si="77"/>
        <v>17789522</v>
      </c>
      <c r="N152" s="201">
        <f t="shared" si="77"/>
        <v>854090</v>
      </c>
      <c r="O152" s="201">
        <f t="shared" si="77"/>
        <v>1322789</v>
      </c>
      <c r="P152" s="201">
        <f t="shared" si="77"/>
        <v>0</v>
      </c>
      <c r="Q152" s="201">
        <f t="shared" si="77"/>
        <v>7854982</v>
      </c>
      <c r="R152" s="201">
        <f t="shared" si="77"/>
        <v>455463</v>
      </c>
      <c r="S152" s="201">
        <f t="shared" si="77"/>
        <v>1169411</v>
      </c>
      <c r="T152" s="201">
        <f t="shared" si="77"/>
        <v>0</v>
      </c>
      <c r="U152" s="201">
        <f t="shared" si="77"/>
        <v>36852</v>
      </c>
      <c r="V152" s="118">
        <f>SUM(E152:U152)</f>
        <v>225785000</v>
      </c>
      <c r="W152" s="118">
        <f>D152-V152</f>
        <v>0</v>
      </c>
      <c r="X152" s="150"/>
      <c r="Y152" s="140"/>
      <c r="Z152" s="140">
        <f>IF($C152="B","",VLOOKUP($C152,orig_alloc!$A$13:$B$227,2,FALSE))</f>
      </c>
      <c r="AA152" s="141"/>
      <c r="AD152" s="141"/>
      <c r="AE152" s="141"/>
      <c r="AF152" s="141"/>
    </row>
    <row r="153" spans="1:32" ht="20.25">
      <c r="A153" s="148" t="s">
        <v>851</v>
      </c>
      <c r="B153" s="149"/>
      <c r="C153" s="148"/>
      <c r="D153" s="201">
        <f aca="true" t="shared" si="78" ref="D153:U153">D52-D102</f>
        <v>151118000</v>
      </c>
      <c r="E153" s="201">
        <f t="shared" si="78"/>
        <v>78137213</v>
      </c>
      <c r="F153" s="201">
        <f t="shared" si="78"/>
        <v>33597005</v>
      </c>
      <c r="G153" s="201">
        <f t="shared" si="78"/>
        <v>33002</v>
      </c>
      <c r="H153" s="201">
        <f t="shared" si="78"/>
        <v>135138</v>
      </c>
      <c r="I153" s="201">
        <f t="shared" si="78"/>
        <v>642512</v>
      </c>
      <c r="J153" s="201">
        <f t="shared" si="78"/>
        <v>15111</v>
      </c>
      <c r="K153" s="201">
        <f t="shared" si="78"/>
        <v>18553643</v>
      </c>
      <c r="L153" s="201">
        <f t="shared" si="78"/>
        <v>271318</v>
      </c>
      <c r="M153" s="201">
        <f t="shared" si="78"/>
        <v>11906535</v>
      </c>
      <c r="N153" s="201">
        <f t="shared" si="78"/>
        <v>571643</v>
      </c>
      <c r="O153" s="201">
        <f t="shared" si="78"/>
        <v>885343</v>
      </c>
      <c r="P153" s="201">
        <f t="shared" si="78"/>
        <v>0</v>
      </c>
      <c r="Q153" s="201">
        <f t="shared" si="78"/>
        <v>5257343</v>
      </c>
      <c r="R153" s="201">
        <f t="shared" si="78"/>
        <v>304841</v>
      </c>
      <c r="S153" s="201">
        <f t="shared" si="78"/>
        <v>782687</v>
      </c>
      <c r="T153" s="201">
        <f t="shared" si="78"/>
        <v>0</v>
      </c>
      <c r="U153" s="201">
        <f t="shared" si="78"/>
        <v>24666</v>
      </c>
      <c r="V153" s="118">
        <f>SUM(E153:U153)</f>
        <v>151118000</v>
      </c>
      <c r="W153" s="118">
        <f>W52-W102</f>
        <v>0</v>
      </c>
      <c r="X153" s="150"/>
      <c r="Y153" s="140"/>
      <c r="Z153" s="140">
        <f>IF($C153="B","",VLOOKUP($C153,orig_alloc!$A$13:$B$227,2,FALSE))</f>
      </c>
      <c r="AA153" s="141"/>
      <c r="AD153" s="141"/>
      <c r="AE153" s="141"/>
      <c r="AF153" s="141"/>
    </row>
    <row r="154" spans="1:32" ht="20.25">
      <c r="A154" s="240" t="s">
        <v>412</v>
      </c>
      <c r="B154" s="149" t="s">
        <v>329</v>
      </c>
      <c r="C154" s="132"/>
      <c r="D154" s="202">
        <f aca="true" t="shared" si="79" ref="D154:W154">SUM(D152:D153)</f>
        <v>376903000</v>
      </c>
      <c r="E154" s="202">
        <f t="shared" si="79"/>
        <v>194881814</v>
      </c>
      <c r="F154" s="202">
        <f t="shared" si="79"/>
        <v>83794201</v>
      </c>
      <c r="G154" s="202">
        <f t="shared" si="79"/>
        <v>82311</v>
      </c>
      <c r="H154" s="202">
        <f t="shared" si="79"/>
        <v>337047</v>
      </c>
      <c r="I154" s="202">
        <f t="shared" si="79"/>
        <v>1602487</v>
      </c>
      <c r="J154" s="202">
        <f t="shared" si="79"/>
        <v>37690</v>
      </c>
      <c r="K154" s="202">
        <f t="shared" si="79"/>
        <v>46274591</v>
      </c>
      <c r="L154" s="202">
        <f t="shared" si="79"/>
        <v>676692</v>
      </c>
      <c r="M154" s="202">
        <f t="shared" si="79"/>
        <v>29696057</v>
      </c>
      <c r="N154" s="202">
        <f t="shared" si="79"/>
        <v>1425733</v>
      </c>
      <c r="O154" s="202">
        <f t="shared" si="79"/>
        <v>2208132</v>
      </c>
      <c r="P154" s="202">
        <f t="shared" si="79"/>
        <v>0</v>
      </c>
      <c r="Q154" s="202">
        <f t="shared" si="79"/>
        <v>13112325</v>
      </c>
      <c r="R154" s="202">
        <f t="shared" si="79"/>
        <v>760304</v>
      </c>
      <c r="S154" s="202">
        <f t="shared" si="79"/>
        <v>1952098</v>
      </c>
      <c r="T154" s="202">
        <f t="shared" si="79"/>
        <v>0</v>
      </c>
      <c r="U154" s="202">
        <f t="shared" si="79"/>
        <v>61518</v>
      </c>
      <c r="V154" s="202">
        <f t="shared" si="79"/>
        <v>376903000</v>
      </c>
      <c r="W154" s="202">
        <f t="shared" si="79"/>
        <v>0</v>
      </c>
      <c r="X154" s="150"/>
      <c r="Y154" s="140"/>
      <c r="Z154" s="140">
        <f>IF($C154="B","",VLOOKUP($C154,orig_alloc!$A$13:$B$227,2,FALSE))</f>
      </c>
      <c r="AA154" s="141"/>
      <c r="AD154" s="141"/>
      <c r="AE154" s="141"/>
      <c r="AF154" s="141"/>
    </row>
    <row r="155" spans="1:32" ht="20.25">
      <c r="A155" s="132"/>
      <c r="B155" s="149"/>
      <c r="C155" s="132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50"/>
      <c r="Y155" s="140"/>
      <c r="Z155" s="140">
        <f>IF($C155="B","",VLOOKUP($C155,orig_alloc!$A$13:$B$227,2,FALSE))</f>
      </c>
      <c r="AA155" s="141"/>
      <c r="AD155" s="141"/>
      <c r="AE155" s="141"/>
      <c r="AF155" s="141"/>
    </row>
    <row r="156" spans="1:32" ht="20.25">
      <c r="A156" s="281" t="s">
        <v>340</v>
      </c>
      <c r="B156" s="149"/>
      <c r="C156" s="132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50"/>
      <c r="Y156" s="140"/>
      <c r="Z156" s="140">
        <f>IF($C156="B","",VLOOKUP($C156,orig_alloc!$A$13:$B$227,2,FALSE))</f>
      </c>
      <c r="AA156" s="141"/>
      <c r="AD156" s="141"/>
      <c r="AE156" s="141"/>
      <c r="AF156" s="141"/>
    </row>
    <row r="157" spans="1:32" ht="20.25">
      <c r="A157" s="132" t="s">
        <v>341</v>
      </c>
      <c r="B157" s="149"/>
      <c r="C157" s="148"/>
      <c r="D157" s="118">
        <f aca="true" t="shared" si="80" ref="D157:U157">D56-D106</f>
        <v>0</v>
      </c>
      <c r="E157" s="118">
        <f t="shared" si="80"/>
        <v>0</v>
      </c>
      <c r="F157" s="118">
        <f t="shared" si="80"/>
        <v>0</v>
      </c>
      <c r="G157" s="118">
        <f t="shared" si="80"/>
        <v>0</v>
      </c>
      <c r="H157" s="118">
        <f t="shared" si="80"/>
        <v>0</v>
      </c>
      <c r="I157" s="118">
        <f t="shared" si="80"/>
        <v>0</v>
      </c>
      <c r="J157" s="118">
        <f t="shared" si="80"/>
        <v>0</v>
      </c>
      <c r="K157" s="118">
        <f t="shared" si="80"/>
        <v>0</v>
      </c>
      <c r="L157" s="118">
        <f t="shared" si="80"/>
        <v>0</v>
      </c>
      <c r="M157" s="118">
        <f t="shared" si="80"/>
        <v>0</v>
      </c>
      <c r="N157" s="118">
        <f t="shared" si="80"/>
        <v>0</v>
      </c>
      <c r="O157" s="118">
        <f t="shared" si="80"/>
        <v>0</v>
      </c>
      <c r="P157" s="118">
        <f t="shared" si="80"/>
        <v>0</v>
      </c>
      <c r="Q157" s="118">
        <f t="shared" si="80"/>
        <v>0</v>
      </c>
      <c r="R157" s="118">
        <f t="shared" si="80"/>
        <v>0</v>
      </c>
      <c r="S157" s="118">
        <f t="shared" si="80"/>
        <v>0</v>
      </c>
      <c r="T157" s="118">
        <f t="shared" si="80"/>
        <v>0</v>
      </c>
      <c r="U157" s="118">
        <f t="shared" si="80"/>
        <v>0</v>
      </c>
      <c r="V157" s="118">
        <f>SUM(E157:U157)</f>
        <v>0</v>
      </c>
      <c r="W157" s="118">
        <f>D157-V157</f>
        <v>0</v>
      </c>
      <c r="X157" s="150"/>
      <c r="Y157" s="140"/>
      <c r="Z157" s="140">
        <f>IF($C157="B","",VLOOKUP($C157,orig_alloc!$A$13:$B$227,2,FALSE))</f>
      </c>
      <c r="AA157" s="141"/>
      <c r="AD157" s="141"/>
      <c r="AE157" s="141"/>
      <c r="AF157" s="141"/>
    </row>
    <row r="158" spans="1:32" ht="20.25">
      <c r="A158" s="132" t="s">
        <v>342</v>
      </c>
      <c r="B158" s="149"/>
      <c r="C158" s="148"/>
      <c r="D158" s="118">
        <f aca="true" t="shared" si="81" ref="D158:U158">D57-D107</f>
        <v>13563000</v>
      </c>
      <c r="E158" s="118">
        <f t="shared" si="81"/>
        <v>7012895</v>
      </c>
      <c r="F158" s="118">
        <f t="shared" si="81"/>
        <v>3015367</v>
      </c>
      <c r="G158" s="118">
        <f t="shared" si="81"/>
        <v>2962</v>
      </c>
      <c r="H158" s="118">
        <f t="shared" si="81"/>
        <v>12129</v>
      </c>
      <c r="I158" s="118">
        <f t="shared" si="81"/>
        <v>57666</v>
      </c>
      <c r="J158" s="118">
        <f t="shared" si="81"/>
        <v>1357</v>
      </c>
      <c r="K158" s="118">
        <f t="shared" si="81"/>
        <v>1665209</v>
      </c>
      <c r="L158" s="118">
        <f t="shared" si="81"/>
        <v>24352</v>
      </c>
      <c r="M158" s="118">
        <f t="shared" si="81"/>
        <v>1068624</v>
      </c>
      <c r="N158" s="118">
        <f t="shared" si="81"/>
        <v>51306</v>
      </c>
      <c r="O158" s="118">
        <f t="shared" si="81"/>
        <v>79460</v>
      </c>
      <c r="P158" s="118">
        <f t="shared" si="81"/>
        <v>0</v>
      </c>
      <c r="Q158" s="118">
        <f t="shared" si="81"/>
        <v>471852</v>
      </c>
      <c r="R158" s="118">
        <f t="shared" si="81"/>
        <v>27360</v>
      </c>
      <c r="S158" s="118">
        <f t="shared" si="81"/>
        <v>70247</v>
      </c>
      <c r="T158" s="118">
        <f t="shared" si="81"/>
        <v>0</v>
      </c>
      <c r="U158" s="118">
        <f t="shared" si="81"/>
        <v>2214</v>
      </c>
      <c r="V158" s="118">
        <f>SUM(E158:U158)</f>
        <v>13563000</v>
      </c>
      <c r="W158" s="118">
        <f>D158-V158</f>
        <v>0</v>
      </c>
      <c r="X158" s="150"/>
      <c r="Y158" s="140"/>
      <c r="Z158" s="140">
        <f>IF($C158="B","",VLOOKUP($C158,orig_alloc!$A$13:$B$227,2,FALSE))</f>
      </c>
      <c r="AA158" s="141"/>
      <c r="AD158" s="141"/>
      <c r="AE158" s="141"/>
      <c r="AF158" s="141"/>
    </row>
    <row r="159" spans="1:32" ht="20.25">
      <c r="A159" s="240" t="s">
        <v>413</v>
      </c>
      <c r="B159" s="149" t="s">
        <v>330</v>
      </c>
      <c r="C159" s="148"/>
      <c r="D159" s="202">
        <f aca="true" t="shared" si="82" ref="D159:W159">SUM(D157:D158)</f>
        <v>13563000</v>
      </c>
      <c r="E159" s="202">
        <f t="shared" si="82"/>
        <v>7012895</v>
      </c>
      <c r="F159" s="202">
        <f t="shared" si="82"/>
        <v>3015367</v>
      </c>
      <c r="G159" s="202">
        <f t="shared" si="82"/>
        <v>2962</v>
      </c>
      <c r="H159" s="202">
        <f t="shared" si="82"/>
        <v>12129</v>
      </c>
      <c r="I159" s="202">
        <f t="shared" si="82"/>
        <v>57666</v>
      </c>
      <c r="J159" s="202">
        <f t="shared" si="82"/>
        <v>1357</v>
      </c>
      <c r="K159" s="202">
        <f t="shared" si="82"/>
        <v>1665209</v>
      </c>
      <c r="L159" s="202">
        <f t="shared" si="82"/>
        <v>24352</v>
      </c>
      <c r="M159" s="202">
        <f t="shared" si="82"/>
        <v>1068624</v>
      </c>
      <c r="N159" s="202">
        <f t="shared" si="82"/>
        <v>51306</v>
      </c>
      <c r="O159" s="202">
        <f t="shared" si="82"/>
        <v>79460</v>
      </c>
      <c r="P159" s="202">
        <f t="shared" si="82"/>
        <v>0</v>
      </c>
      <c r="Q159" s="202">
        <f t="shared" si="82"/>
        <v>471852</v>
      </c>
      <c r="R159" s="202">
        <f t="shared" si="82"/>
        <v>27360</v>
      </c>
      <c r="S159" s="202">
        <f t="shared" si="82"/>
        <v>70247</v>
      </c>
      <c r="T159" s="202">
        <f t="shared" si="82"/>
        <v>0</v>
      </c>
      <c r="U159" s="202">
        <f t="shared" si="82"/>
        <v>2214</v>
      </c>
      <c r="V159" s="202">
        <f t="shared" si="82"/>
        <v>13563000</v>
      </c>
      <c r="W159" s="202">
        <f t="shared" si="82"/>
        <v>0</v>
      </c>
      <c r="X159" s="150"/>
      <c r="Y159" s="140"/>
      <c r="Z159" s="140">
        <f>IF($C159="B","",VLOOKUP($C159,orig_alloc!$A$13:$B$227,2,FALSE))</f>
      </c>
      <c r="AA159" s="141"/>
      <c r="AD159" s="141"/>
      <c r="AE159" s="141"/>
      <c r="AF159" s="141"/>
    </row>
    <row r="160" spans="1:32" ht="20.25">
      <c r="A160" s="231"/>
      <c r="B160" s="149"/>
      <c r="C160" s="148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150"/>
      <c r="Y160" s="140"/>
      <c r="Z160" s="140">
        <f>IF($C160="B","",VLOOKUP($C160,orig_alloc!$A$13:$B$227,2,FALSE))</f>
      </c>
      <c r="AA160" s="141"/>
      <c r="AD160" s="141"/>
      <c r="AE160" s="141"/>
      <c r="AF160" s="141"/>
    </row>
    <row r="161" spans="1:32" ht="20.25">
      <c r="A161" s="132" t="s">
        <v>183</v>
      </c>
      <c r="B161" s="149"/>
      <c r="C161" s="148"/>
      <c r="D161" s="216">
        <f aca="true" t="shared" si="83" ref="D161:W161">D159+D154</f>
        <v>390466000</v>
      </c>
      <c r="E161" s="216">
        <f t="shared" si="83"/>
        <v>201894709</v>
      </c>
      <c r="F161" s="216">
        <f t="shared" si="83"/>
        <v>86809568</v>
      </c>
      <c r="G161" s="216">
        <f t="shared" si="83"/>
        <v>85273</v>
      </c>
      <c r="H161" s="216">
        <f t="shared" si="83"/>
        <v>349176</v>
      </c>
      <c r="I161" s="216">
        <f t="shared" si="83"/>
        <v>1660153</v>
      </c>
      <c r="J161" s="216">
        <f t="shared" si="83"/>
        <v>39047</v>
      </c>
      <c r="K161" s="216">
        <f t="shared" si="83"/>
        <v>47939800</v>
      </c>
      <c r="L161" s="216">
        <f t="shared" si="83"/>
        <v>701044</v>
      </c>
      <c r="M161" s="216">
        <f t="shared" si="83"/>
        <v>30764681</v>
      </c>
      <c r="N161" s="216">
        <f t="shared" si="83"/>
        <v>1477039</v>
      </c>
      <c r="O161" s="216">
        <f t="shared" si="83"/>
        <v>2287592</v>
      </c>
      <c r="P161" s="216">
        <f t="shared" si="83"/>
        <v>0</v>
      </c>
      <c r="Q161" s="216">
        <f t="shared" si="83"/>
        <v>13584177</v>
      </c>
      <c r="R161" s="216">
        <f t="shared" si="83"/>
        <v>787664</v>
      </c>
      <c r="S161" s="216">
        <f t="shared" si="83"/>
        <v>2022345</v>
      </c>
      <c r="T161" s="216">
        <f t="shared" si="83"/>
        <v>0</v>
      </c>
      <c r="U161" s="216">
        <f t="shared" si="83"/>
        <v>63732</v>
      </c>
      <c r="V161" s="216">
        <f t="shared" si="83"/>
        <v>390466000</v>
      </c>
      <c r="W161" s="216">
        <f t="shared" si="83"/>
        <v>0</v>
      </c>
      <c r="X161" s="150"/>
      <c r="Y161" s="140"/>
      <c r="Z161" s="140">
        <f>IF($C161="B","",VLOOKUP($C161,orig_alloc!$A$13:$B$227,2,FALSE))</f>
      </c>
      <c r="AA161" s="141"/>
      <c r="AD161" s="141"/>
      <c r="AE161" s="141"/>
      <c r="AF161" s="141"/>
    </row>
    <row r="162" spans="1:32" ht="20.25">
      <c r="A162" s="132"/>
      <c r="B162" s="149"/>
      <c r="C162" s="132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50"/>
      <c r="Y162" s="140"/>
      <c r="Z162" s="140">
        <f>IF($C162="B","",VLOOKUP($C162,orig_alloc!$A$13:$B$227,2,FALSE))</f>
      </c>
      <c r="AA162" s="141"/>
      <c r="AD162" s="141"/>
      <c r="AE162" s="141"/>
      <c r="AF162" s="141"/>
    </row>
    <row r="163" spans="1:32" ht="20.25">
      <c r="A163" s="281" t="s">
        <v>346</v>
      </c>
      <c r="B163" s="149"/>
      <c r="C163" s="132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50"/>
      <c r="Y163" s="140"/>
      <c r="Z163" s="140">
        <f>IF($C163="B","",VLOOKUP($C163,orig_alloc!$A$13:$B$227,2,FALSE))</f>
      </c>
      <c r="AA163" s="141"/>
      <c r="AD163" s="141"/>
      <c r="AE163" s="141"/>
      <c r="AF163" s="141"/>
    </row>
    <row r="164" spans="1:32" ht="20.25">
      <c r="A164" s="148" t="s">
        <v>347</v>
      </c>
      <c r="B164" s="149" t="s">
        <v>769</v>
      </c>
      <c r="C164" s="148"/>
      <c r="D164" s="118">
        <f aca="true" t="shared" si="84" ref="D164:U164">D63-D113</f>
        <v>29168000</v>
      </c>
      <c r="E164" s="118">
        <f t="shared" si="84"/>
        <v>13160933</v>
      </c>
      <c r="F164" s="118">
        <f t="shared" si="84"/>
        <v>7844382</v>
      </c>
      <c r="G164" s="118">
        <f t="shared" si="84"/>
        <v>7431</v>
      </c>
      <c r="H164" s="118">
        <f t="shared" si="84"/>
        <v>30639</v>
      </c>
      <c r="I164" s="118">
        <f t="shared" si="84"/>
        <v>103541</v>
      </c>
      <c r="J164" s="118">
        <f t="shared" si="84"/>
        <v>3072</v>
      </c>
      <c r="K164" s="118">
        <f t="shared" si="84"/>
        <v>4686128</v>
      </c>
      <c r="L164" s="118">
        <f t="shared" si="84"/>
        <v>51812</v>
      </c>
      <c r="M164" s="118">
        <f t="shared" si="84"/>
        <v>2663216</v>
      </c>
      <c r="N164" s="118">
        <f t="shared" si="84"/>
        <v>122638</v>
      </c>
      <c r="O164" s="118">
        <f t="shared" si="84"/>
        <v>230123</v>
      </c>
      <c r="P164" s="118">
        <f t="shared" si="84"/>
        <v>0</v>
      </c>
      <c r="Q164" s="118">
        <f t="shared" si="84"/>
        <v>0</v>
      </c>
      <c r="R164" s="118">
        <f t="shared" si="84"/>
        <v>0</v>
      </c>
      <c r="S164" s="118">
        <f t="shared" si="84"/>
        <v>261718</v>
      </c>
      <c r="T164" s="118">
        <f t="shared" si="84"/>
        <v>0</v>
      </c>
      <c r="U164" s="118">
        <f t="shared" si="84"/>
        <v>2367</v>
      </c>
      <c r="V164" s="118">
        <f aca="true" t="shared" si="85" ref="V164:V173">SUM(E164:U164)</f>
        <v>29168000</v>
      </c>
      <c r="W164" s="118">
        <f aca="true" t="shared" si="86" ref="W164:W173">D164-V164</f>
        <v>0</v>
      </c>
      <c r="X164" s="150"/>
      <c r="Y164" s="140"/>
      <c r="Z164" s="140">
        <f>IF($C164="B","",VLOOKUP($C164,orig_alloc!$A$13:$B$227,2,FALSE))</f>
      </c>
      <c r="AA164" s="141"/>
      <c r="AD164" s="141"/>
      <c r="AE164" s="141"/>
      <c r="AF164" s="141"/>
    </row>
    <row r="165" spans="1:32" ht="20.25">
      <c r="A165" s="148" t="s">
        <v>205</v>
      </c>
      <c r="B165" s="149" t="s">
        <v>863</v>
      </c>
      <c r="C165" s="148"/>
      <c r="D165" s="118">
        <f aca="true" t="shared" si="87" ref="D165:U165">D64-D114</f>
        <v>29826000</v>
      </c>
      <c r="E165" s="118">
        <f t="shared" si="87"/>
        <v>13684232</v>
      </c>
      <c r="F165" s="118">
        <f t="shared" si="87"/>
        <v>8156289</v>
      </c>
      <c r="G165" s="118">
        <f t="shared" si="87"/>
        <v>7727</v>
      </c>
      <c r="H165" s="118">
        <f t="shared" si="87"/>
        <v>31858</v>
      </c>
      <c r="I165" s="118">
        <f t="shared" si="87"/>
        <v>107658</v>
      </c>
      <c r="J165" s="118">
        <f t="shared" si="87"/>
        <v>3195</v>
      </c>
      <c r="K165" s="118">
        <f t="shared" si="87"/>
        <v>4872457</v>
      </c>
      <c r="L165" s="118">
        <f t="shared" si="87"/>
        <v>53873</v>
      </c>
      <c r="M165" s="118">
        <f t="shared" si="87"/>
        <v>2326046</v>
      </c>
      <c r="N165" s="118">
        <f t="shared" si="87"/>
        <v>107097</v>
      </c>
      <c r="O165" s="118">
        <f t="shared" si="87"/>
        <v>200984</v>
      </c>
      <c r="P165" s="118">
        <f t="shared" si="87"/>
        <v>0</v>
      </c>
      <c r="Q165" s="118">
        <f t="shared" si="87"/>
        <v>0</v>
      </c>
      <c r="R165" s="118">
        <f t="shared" si="87"/>
        <v>0</v>
      </c>
      <c r="S165" s="118">
        <f t="shared" si="87"/>
        <v>272124</v>
      </c>
      <c r="T165" s="118">
        <f t="shared" si="87"/>
        <v>0</v>
      </c>
      <c r="U165" s="118">
        <f t="shared" si="87"/>
        <v>2460</v>
      </c>
      <c r="V165" s="118">
        <f t="shared" si="85"/>
        <v>29826000</v>
      </c>
      <c r="W165" s="118">
        <f t="shared" si="86"/>
        <v>0</v>
      </c>
      <c r="X165" s="150"/>
      <c r="Y165" s="140"/>
      <c r="Z165" s="140">
        <f>IF($C165="B","",VLOOKUP($C165,orig_alloc!$A$13:$B$227,2,FALSE))</f>
      </c>
      <c r="AA165" s="141"/>
      <c r="AD165" s="141"/>
      <c r="AE165" s="141"/>
      <c r="AF165" s="141"/>
    </row>
    <row r="166" spans="1:32" ht="20.25">
      <c r="A166" s="148" t="s">
        <v>351</v>
      </c>
      <c r="B166" s="149" t="s">
        <v>864</v>
      </c>
      <c r="C166" s="148"/>
      <c r="D166" s="118">
        <f aca="true" t="shared" si="88" ref="D166:U166">D65-D115</f>
        <v>68002000</v>
      </c>
      <c r="E166" s="118">
        <f t="shared" si="88"/>
        <v>31199464</v>
      </c>
      <c r="F166" s="118">
        <f t="shared" si="88"/>
        <v>18595988</v>
      </c>
      <c r="G166" s="118">
        <f t="shared" si="88"/>
        <v>17617</v>
      </c>
      <c r="H166" s="118">
        <f t="shared" si="88"/>
        <v>72633</v>
      </c>
      <c r="I166" s="118">
        <f t="shared" si="88"/>
        <v>245456</v>
      </c>
      <c r="J166" s="118">
        <f t="shared" si="88"/>
        <v>7283</v>
      </c>
      <c r="K166" s="118">
        <f t="shared" si="88"/>
        <v>11108994</v>
      </c>
      <c r="L166" s="118">
        <f t="shared" si="88"/>
        <v>122827</v>
      </c>
      <c r="M166" s="118">
        <f t="shared" si="88"/>
        <v>5303284</v>
      </c>
      <c r="N166" s="118">
        <f t="shared" si="88"/>
        <v>244177</v>
      </c>
      <c r="O166" s="118">
        <f t="shared" si="88"/>
        <v>458237</v>
      </c>
      <c r="P166" s="118">
        <f t="shared" si="88"/>
        <v>0</v>
      </c>
      <c r="Q166" s="118">
        <f t="shared" si="88"/>
        <v>0</v>
      </c>
      <c r="R166" s="118">
        <f t="shared" si="88"/>
        <v>0</v>
      </c>
      <c r="S166" s="118">
        <f t="shared" si="88"/>
        <v>620431</v>
      </c>
      <c r="T166" s="118">
        <f t="shared" si="88"/>
        <v>0</v>
      </c>
      <c r="U166" s="118">
        <f t="shared" si="88"/>
        <v>5609</v>
      </c>
      <c r="V166" s="118">
        <f t="shared" si="85"/>
        <v>68002000</v>
      </c>
      <c r="W166" s="118">
        <f t="shared" si="86"/>
        <v>0</v>
      </c>
      <c r="X166" s="150"/>
      <c r="Y166" s="140"/>
      <c r="Z166" s="140">
        <f>IF($C166="B","",VLOOKUP($C166,orig_alloc!$A$13:$B$227,2,FALSE))</f>
      </c>
      <c r="AA166" s="141"/>
      <c r="AD166" s="141"/>
      <c r="AE166" s="141"/>
      <c r="AF166" s="141"/>
    </row>
    <row r="167" spans="1:32" ht="20.25">
      <c r="A167" s="148" t="s">
        <v>353</v>
      </c>
      <c r="B167" s="149" t="s">
        <v>770</v>
      </c>
      <c r="C167" s="148"/>
      <c r="D167" s="118">
        <f aca="true" t="shared" si="89" ref="D167:U167">D66-D116</f>
        <v>24232000</v>
      </c>
      <c r="E167" s="118">
        <f t="shared" si="89"/>
        <v>16018162</v>
      </c>
      <c r="F167" s="118">
        <f t="shared" si="89"/>
        <v>5451246</v>
      </c>
      <c r="G167" s="118">
        <f t="shared" si="89"/>
        <v>5388</v>
      </c>
      <c r="H167" s="118">
        <f t="shared" si="89"/>
        <v>14250</v>
      </c>
      <c r="I167" s="118">
        <f t="shared" si="89"/>
        <v>125798</v>
      </c>
      <c r="J167" s="118">
        <f t="shared" si="89"/>
        <v>2686</v>
      </c>
      <c r="K167" s="118">
        <f t="shared" si="89"/>
        <v>2439638</v>
      </c>
      <c r="L167" s="118">
        <f t="shared" si="89"/>
        <v>45185</v>
      </c>
      <c r="M167" s="118">
        <f t="shared" si="89"/>
        <v>0</v>
      </c>
      <c r="N167" s="118">
        <f t="shared" si="89"/>
        <v>0</v>
      </c>
      <c r="O167" s="118">
        <f t="shared" si="89"/>
        <v>0</v>
      </c>
      <c r="P167" s="118">
        <f t="shared" si="89"/>
        <v>0</v>
      </c>
      <c r="Q167" s="118">
        <f t="shared" si="89"/>
        <v>0</v>
      </c>
      <c r="R167" s="118">
        <f t="shared" si="89"/>
        <v>0</v>
      </c>
      <c r="S167" s="118">
        <f t="shared" si="89"/>
        <v>124008</v>
      </c>
      <c r="T167" s="118">
        <f t="shared" si="89"/>
        <v>0</v>
      </c>
      <c r="U167" s="118">
        <f t="shared" si="89"/>
        <v>5639</v>
      </c>
      <c r="V167" s="118">
        <f t="shared" si="85"/>
        <v>24232000</v>
      </c>
      <c r="W167" s="118">
        <f t="shared" si="86"/>
        <v>0</v>
      </c>
      <c r="X167" s="150"/>
      <c r="Y167" s="140"/>
      <c r="Z167" s="140">
        <f>IF($C167="B","",VLOOKUP($C167,orig_alloc!$A$13:$B$227,2,FALSE))</f>
      </c>
      <c r="AA167" s="141"/>
      <c r="AD167" s="141"/>
      <c r="AE167" s="141"/>
      <c r="AF167" s="141"/>
    </row>
    <row r="168" spans="1:32" ht="20.25">
      <c r="A168" s="148" t="s">
        <v>355</v>
      </c>
      <c r="B168" s="149" t="s">
        <v>771</v>
      </c>
      <c r="C168" s="148"/>
      <c r="D168" s="118">
        <f aca="true" t="shared" si="90" ref="D168:U168">D67-D117</f>
        <v>4291000</v>
      </c>
      <c r="E168" s="118">
        <f t="shared" si="90"/>
        <v>3827455</v>
      </c>
      <c r="F168" s="118">
        <f t="shared" si="90"/>
        <v>387404</v>
      </c>
      <c r="G168" s="118">
        <f t="shared" si="90"/>
        <v>0</v>
      </c>
      <c r="H168" s="118">
        <f t="shared" si="90"/>
        <v>4633</v>
      </c>
      <c r="I168" s="118">
        <f t="shared" si="90"/>
        <v>11251</v>
      </c>
      <c r="J168" s="118">
        <f t="shared" si="90"/>
        <v>851</v>
      </c>
      <c r="K168" s="118">
        <f t="shared" si="90"/>
        <v>47902</v>
      </c>
      <c r="L168" s="118">
        <f t="shared" si="90"/>
        <v>0</v>
      </c>
      <c r="M168" s="118">
        <f t="shared" si="90"/>
        <v>0</v>
      </c>
      <c r="N168" s="118">
        <f t="shared" si="90"/>
        <v>0</v>
      </c>
      <c r="O168" s="118">
        <f t="shared" si="90"/>
        <v>0</v>
      </c>
      <c r="P168" s="118">
        <f t="shared" si="90"/>
        <v>0</v>
      </c>
      <c r="Q168" s="118">
        <f t="shared" si="90"/>
        <v>0</v>
      </c>
      <c r="R168" s="118">
        <f t="shared" si="90"/>
        <v>0</v>
      </c>
      <c r="S168" s="118">
        <f t="shared" si="90"/>
        <v>10810</v>
      </c>
      <c r="T168" s="118">
        <f t="shared" si="90"/>
        <v>0</v>
      </c>
      <c r="U168" s="118">
        <f t="shared" si="90"/>
        <v>694</v>
      </c>
      <c r="V168" s="118">
        <f t="shared" si="85"/>
        <v>4291000</v>
      </c>
      <c r="W168" s="118">
        <f t="shared" si="86"/>
        <v>0</v>
      </c>
      <c r="X168" s="150"/>
      <c r="Y168" s="140"/>
      <c r="Z168" s="140">
        <f>IF($C168="B","",VLOOKUP($C168,orig_alloc!$A$13:$B$227,2,FALSE))</f>
      </c>
      <c r="AA168" s="141"/>
      <c r="AD168" s="141"/>
      <c r="AE168" s="141"/>
      <c r="AF168" s="141"/>
    </row>
    <row r="169" spans="1:32" ht="20.25">
      <c r="A169" s="148" t="s">
        <v>357</v>
      </c>
      <c r="B169" s="149" t="s">
        <v>772</v>
      </c>
      <c r="C169" s="148"/>
      <c r="D169" s="118">
        <f aca="true" t="shared" si="91" ref="D169:U169">D68-D118</f>
        <v>11071000</v>
      </c>
      <c r="E169" s="118">
        <f t="shared" si="91"/>
        <v>9568316</v>
      </c>
      <c r="F169" s="118">
        <f t="shared" si="91"/>
        <v>1310359</v>
      </c>
      <c r="G169" s="118">
        <f t="shared" si="91"/>
        <v>0</v>
      </c>
      <c r="H169" s="118">
        <f t="shared" si="91"/>
        <v>0</v>
      </c>
      <c r="I169" s="118">
        <f t="shared" si="91"/>
        <v>38637</v>
      </c>
      <c r="J169" s="118">
        <f t="shared" si="91"/>
        <v>3234</v>
      </c>
      <c r="K169" s="118">
        <f t="shared" si="91"/>
        <v>100282</v>
      </c>
      <c r="L169" s="118">
        <f t="shared" si="91"/>
        <v>0</v>
      </c>
      <c r="M169" s="118">
        <f t="shared" si="91"/>
        <v>33891</v>
      </c>
      <c r="N169" s="118">
        <f t="shared" si="91"/>
        <v>0</v>
      </c>
      <c r="O169" s="118">
        <f t="shared" si="91"/>
        <v>3825</v>
      </c>
      <c r="P169" s="118">
        <f t="shared" si="91"/>
        <v>0</v>
      </c>
      <c r="Q169" s="118">
        <f t="shared" si="91"/>
        <v>11781</v>
      </c>
      <c r="R169" s="118">
        <f t="shared" si="91"/>
        <v>0</v>
      </c>
      <c r="S169" s="118">
        <f t="shared" si="91"/>
        <v>675</v>
      </c>
      <c r="T169" s="118">
        <f t="shared" si="91"/>
        <v>0</v>
      </c>
      <c r="U169" s="118">
        <f t="shared" si="91"/>
        <v>0</v>
      </c>
      <c r="V169" s="118">
        <f t="shared" si="85"/>
        <v>11071000</v>
      </c>
      <c r="W169" s="118">
        <f t="shared" si="86"/>
        <v>0</v>
      </c>
      <c r="X169" s="150"/>
      <c r="Y169" s="140"/>
      <c r="Z169" s="140">
        <f>IF($C169="B","",VLOOKUP($C169,orig_alloc!$A$13:$B$227,2,FALSE))</f>
      </c>
      <c r="AA169" s="141"/>
      <c r="AD169" s="141"/>
      <c r="AE169" s="141"/>
      <c r="AF169" s="141"/>
    </row>
    <row r="170" spans="1:32" ht="20.25">
      <c r="A170" s="148" t="s">
        <v>316</v>
      </c>
      <c r="B170" s="149" t="s">
        <v>808</v>
      </c>
      <c r="C170" s="148"/>
      <c r="D170" s="118">
        <f>D69-D119</f>
        <v>-227766</v>
      </c>
      <c r="E170" s="118">
        <f aca="true" t="shared" si="92" ref="E170:U170">E69-E119</f>
        <v>-118506</v>
      </c>
      <c r="F170" s="118">
        <f t="shared" si="92"/>
        <v>-54951</v>
      </c>
      <c r="G170" s="118">
        <f t="shared" si="92"/>
        <v>-50</v>
      </c>
      <c r="H170" s="118">
        <f t="shared" si="92"/>
        <v>-205</v>
      </c>
      <c r="I170" s="118">
        <f t="shared" si="92"/>
        <v>-849</v>
      </c>
      <c r="J170" s="118">
        <f t="shared" si="92"/>
        <v>-27</v>
      </c>
      <c r="K170" s="118">
        <f t="shared" si="92"/>
        <v>-30364</v>
      </c>
      <c r="L170" s="118">
        <f t="shared" si="92"/>
        <v>-363</v>
      </c>
      <c r="M170" s="118">
        <f t="shared" si="92"/>
        <v>-12996</v>
      </c>
      <c r="N170" s="118">
        <f t="shared" si="92"/>
        <v>-597</v>
      </c>
      <c r="O170" s="118">
        <f t="shared" si="92"/>
        <v>-1124</v>
      </c>
      <c r="P170" s="118">
        <f t="shared" si="92"/>
        <v>0</v>
      </c>
      <c r="Q170" s="118">
        <f t="shared" si="92"/>
        <v>-12</v>
      </c>
      <c r="R170" s="118">
        <f t="shared" si="92"/>
        <v>0</v>
      </c>
      <c r="S170" s="118">
        <f t="shared" si="92"/>
        <v>-7698</v>
      </c>
      <c r="T170" s="118">
        <f t="shared" si="92"/>
        <v>0</v>
      </c>
      <c r="U170" s="118">
        <f t="shared" si="92"/>
        <v>-24</v>
      </c>
      <c r="V170" s="118">
        <f t="shared" si="85"/>
        <v>-227766</v>
      </c>
      <c r="W170" s="118">
        <f t="shared" si="86"/>
        <v>0</v>
      </c>
      <c r="X170" s="150"/>
      <c r="Y170" s="140"/>
      <c r="Z170" s="140">
        <f>IF($C170="B","",VLOOKUP($C170,orig_alloc!$A$13:$B$227,2,FALSE))</f>
      </c>
      <c r="AA170" s="141"/>
      <c r="AD170" s="141"/>
      <c r="AE170" s="141"/>
      <c r="AF170" s="141"/>
    </row>
    <row r="171" spans="1:32" ht="20.25">
      <c r="A171" s="148" t="s">
        <v>361</v>
      </c>
      <c r="B171" s="149" t="s">
        <v>773</v>
      </c>
      <c r="C171" s="148"/>
      <c r="D171" s="118">
        <f aca="true" t="shared" si="93" ref="D171:U171">D70-D120</f>
        <v>2164000</v>
      </c>
      <c r="E171" s="118">
        <f t="shared" si="93"/>
        <v>0</v>
      </c>
      <c r="F171" s="118">
        <f t="shared" si="93"/>
        <v>0</v>
      </c>
      <c r="G171" s="118">
        <f t="shared" si="93"/>
        <v>0</v>
      </c>
      <c r="H171" s="118">
        <f t="shared" si="93"/>
        <v>0</v>
      </c>
      <c r="I171" s="118">
        <f t="shared" si="93"/>
        <v>0</v>
      </c>
      <c r="J171" s="118">
        <f t="shared" si="93"/>
        <v>0</v>
      </c>
      <c r="K171" s="118">
        <f t="shared" si="93"/>
        <v>0</v>
      </c>
      <c r="L171" s="118">
        <f t="shared" si="93"/>
        <v>0</v>
      </c>
      <c r="M171" s="118">
        <f t="shared" si="93"/>
        <v>0</v>
      </c>
      <c r="N171" s="118">
        <f t="shared" si="93"/>
        <v>0</v>
      </c>
      <c r="O171" s="118">
        <f t="shared" si="93"/>
        <v>0</v>
      </c>
      <c r="P171" s="118">
        <f t="shared" si="93"/>
        <v>0</v>
      </c>
      <c r="Q171" s="118">
        <f t="shared" si="93"/>
        <v>0</v>
      </c>
      <c r="R171" s="118">
        <f t="shared" si="93"/>
        <v>0</v>
      </c>
      <c r="S171" s="118">
        <f t="shared" si="93"/>
        <v>2164000</v>
      </c>
      <c r="T171" s="118">
        <f t="shared" si="93"/>
        <v>0</v>
      </c>
      <c r="U171" s="118">
        <f t="shared" si="93"/>
        <v>0</v>
      </c>
      <c r="V171" s="118">
        <f t="shared" si="85"/>
        <v>2164000</v>
      </c>
      <c r="W171" s="118">
        <f t="shared" si="86"/>
        <v>0</v>
      </c>
      <c r="X171" s="150"/>
      <c r="Y171" s="140"/>
      <c r="Z171" s="140">
        <f>IF($C171="B","",VLOOKUP($C171,orig_alloc!$A$13:$B$227,2,FALSE))</f>
      </c>
      <c r="AA171" s="141"/>
      <c r="AD171" s="141"/>
      <c r="AE171" s="141"/>
      <c r="AF171" s="141"/>
    </row>
    <row r="172" spans="1:32" ht="20.25">
      <c r="A172" s="148" t="s">
        <v>414</v>
      </c>
      <c r="B172" s="149" t="s">
        <v>809</v>
      </c>
      <c r="C172" s="148"/>
      <c r="D172" s="118">
        <f aca="true" t="shared" si="94" ref="D172:U172">D71-D121</f>
        <v>9676000</v>
      </c>
      <c r="E172" s="118">
        <f t="shared" si="94"/>
        <v>5034413</v>
      </c>
      <c r="F172" s="118">
        <f t="shared" si="94"/>
        <v>2334424</v>
      </c>
      <c r="G172" s="118">
        <f t="shared" si="94"/>
        <v>2135</v>
      </c>
      <c r="H172" s="118">
        <f t="shared" si="94"/>
        <v>8728</v>
      </c>
      <c r="I172" s="118">
        <f t="shared" si="94"/>
        <v>36068</v>
      </c>
      <c r="J172" s="118">
        <f t="shared" si="94"/>
        <v>1142</v>
      </c>
      <c r="K172" s="118">
        <f t="shared" si="94"/>
        <v>1289918</v>
      </c>
      <c r="L172" s="118">
        <f t="shared" si="94"/>
        <v>15410</v>
      </c>
      <c r="M172" s="118">
        <f t="shared" si="94"/>
        <v>552120</v>
      </c>
      <c r="N172" s="118">
        <f t="shared" si="94"/>
        <v>25353</v>
      </c>
      <c r="O172" s="118">
        <f t="shared" si="94"/>
        <v>47746</v>
      </c>
      <c r="P172" s="118">
        <f t="shared" si="94"/>
        <v>0</v>
      </c>
      <c r="Q172" s="118">
        <f t="shared" si="94"/>
        <v>515</v>
      </c>
      <c r="R172" s="118">
        <f t="shared" si="94"/>
        <v>0</v>
      </c>
      <c r="S172" s="118">
        <f t="shared" si="94"/>
        <v>327008</v>
      </c>
      <c r="T172" s="118">
        <f t="shared" si="94"/>
        <v>0</v>
      </c>
      <c r="U172" s="118">
        <f t="shared" si="94"/>
        <v>1020</v>
      </c>
      <c r="V172" s="118">
        <f t="shared" si="85"/>
        <v>9676000</v>
      </c>
      <c r="W172" s="118">
        <f t="shared" si="86"/>
        <v>0</v>
      </c>
      <c r="X172" s="150"/>
      <c r="Y172" s="140"/>
      <c r="Z172" s="140">
        <f>IF($C172="B","",VLOOKUP($C172,orig_alloc!$A$13:$B$227,2,FALSE))</f>
      </c>
      <c r="AA172" s="141"/>
      <c r="AD172" s="141"/>
      <c r="AE172" s="141"/>
      <c r="AF172" s="141"/>
    </row>
    <row r="173" spans="1:32" ht="20.25">
      <c r="A173" s="148" t="s">
        <v>850</v>
      </c>
      <c r="B173" s="149"/>
      <c r="C173" s="148"/>
      <c r="D173" s="118">
        <f aca="true" t="shared" si="95" ref="D173:U173">-D122</f>
        <v>1581000</v>
      </c>
      <c r="E173" s="118">
        <f t="shared" si="95"/>
        <v>822592</v>
      </c>
      <c r="F173" s="118">
        <f t="shared" si="95"/>
        <v>381431</v>
      </c>
      <c r="G173" s="118">
        <f t="shared" si="95"/>
        <v>349</v>
      </c>
      <c r="H173" s="118">
        <f t="shared" si="95"/>
        <v>1426</v>
      </c>
      <c r="I173" s="118">
        <f t="shared" si="95"/>
        <v>5893</v>
      </c>
      <c r="J173" s="118">
        <f t="shared" si="95"/>
        <v>187</v>
      </c>
      <c r="K173" s="118">
        <f t="shared" si="95"/>
        <v>210765</v>
      </c>
      <c r="L173" s="118">
        <f t="shared" si="95"/>
        <v>2518</v>
      </c>
      <c r="M173" s="118">
        <f t="shared" si="95"/>
        <v>90213</v>
      </c>
      <c r="N173" s="118">
        <f t="shared" si="95"/>
        <v>4143</v>
      </c>
      <c r="O173" s="118">
        <f t="shared" si="95"/>
        <v>7801</v>
      </c>
      <c r="P173" s="118">
        <f t="shared" si="95"/>
        <v>0</v>
      </c>
      <c r="Q173" s="118">
        <f t="shared" si="95"/>
        <v>84</v>
      </c>
      <c r="R173" s="118">
        <f t="shared" si="95"/>
        <v>0</v>
      </c>
      <c r="S173" s="118">
        <f t="shared" si="95"/>
        <v>53431</v>
      </c>
      <c r="T173" s="118">
        <f t="shared" si="95"/>
        <v>0</v>
      </c>
      <c r="U173" s="118">
        <f t="shared" si="95"/>
        <v>167</v>
      </c>
      <c r="V173" s="118">
        <f t="shared" si="85"/>
        <v>1581000</v>
      </c>
      <c r="W173" s="118">
        <f t="shared" si="86"/>
        <v>0</v>
      </c>
      <c r="X173" s="150"/>
      <c r="Y173" s="140"/>
      <c r="Z173" s="140">
        <f>IF($C173="B","",VLOOKUP($C173,orig_alloc!$A$13:$B$227,2,FALSE))</f>
      </c>
      <c r="AA173" s="141"/>
      <c r="AD173" s="141"/>
      <c r="AE173" s="141"/>
      <c r="AF173" s="141"/>
    </row>
    <row r="174" spans="1:32" ht="20.25">
      <c r="A174" s="240" t="s">
        <v>415</v>
      </c>
      <c r="B174" s="149" t="s">
        <v>331</v>
      </c>
      <c r="C174" s="132"/>
      <c r="D174" s="202">
        <f aca="true" t="shared" si="96" ref="D174:V174">SUM(D164:D173)</f>
        <v>179783234</v>
      </c>
      <c r="E174" s="202">
        <f t="shared" si="96"/>
        <v>93197061</v>
      </c>
      <c r="F174" s="202">
        <f t="shared" si="96"/>
        <v>44406572</v>
      </c>
      <c r="G174" s="202">
        <f t="shared" si="96"/>
        <v>40597</v>
      </c>
      <c r="H174" s="202">
        <f t="shared" si="96"/>
        <v>163962</v>
      </c>
      <c r="I174" s="202">
        <f t="shared" si="96"/>
        <v>673453</v>
      </c>
      <c r="J174" s="202">
        <f t="shared" si="96"/>
        <v>21623</v>
      </c>
      <c r="K174" s="202">
        <f t="shared" si="96"/>
        <v>24725720</v>
      </c>
      <c r="L174" s="202">
        <f t="shared" si="96"/>
        <v>291262</v>
      </c>
      <c r="M174" s="202">
        <f t="shared" si="96"/>
        <v>10955774</v>
      </c>
      <c r="N174" s="202">
        <f t="shared" si="96"/>
        <v>502811</v>
      </c>
      <c r="O174" s="202">
        <f t="shared" si="96"/>
        <v>947592</v>
      </c>
      <c r="P174" s="202">
        <f t="shared" si="96"/>
        <v>0</v>
      </c>
      <c r="Q174" s="202">
        <f t="shared" si="96"/>
        <v>12368</v>
      </c>
      <c r="R174" s="202">
        <f t="shared" si="96"/>
        <v>0</v>
      </c>
      <c r="S174" s="202">
        <f t="shared" si="96"/>
        <v>3826507</v>
      </c>
      <c r="T174" s="202">
        <f t="shared" si="96"/>
        <v>0</v>
      </c>
      <c r="U174" s="202">
        <f t="shared" si="96"/>
        <v>17932</v>
      </c>
      <c r="V174" s="202">
        <f t="shared" si="96"/>
        <v>179783234</v>
      </c>
      <c r="W174" s="202">
        <f>SUM(W163:W173)</f>
        <v>0</v>
      </c>
      <c r="X174" s="150"/>
      <c r="Y174" s="140"/>
      <c r="Z174" s="140">
        <f>IF($C174="B","",VLOOKUP($C174,orig_alloc!$A$13:$B$227,2,FALSE))</f>
      </c>
      <c r="AA174" s="141"/>
      <c r="AD174" s="141"/>
      <c r="AE174" s="141"/>
      <c r="AF174" s="141"/>
    </row>
    <row r="175" spans="1:32" ht="20.25">
      <c r="A175" s="132"/>
      <c r="B175" s="149"/>
      <c r="C175" s="132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50"/>
      <c r="Y175" s="140"/>
      <c r="Z175" s="140">
        <f>IF($C175="B","",VLOOKUP($C175,orig_alloc!$A$13:$B$227,2,FALSE))</f>
      </c>
      <c r="AA175" s="141"/>
      <c r="AD175" s="141"/>
      <c r="AE175" s="141"/>
      <c r="AF175" s="141"/>
    </row>
    <row r="176" spans="1:32" ht="20.25">
      <c r="A176" s="132" t="s">
        <v>417</v>
      </c>
      <c r="B176" s="149" t="s">
        <v>229</v>
      </c>
      <c r="C176" s="132"/>
      <c r="D176" s="118">
        <f aca="true" t="shared" si="97" ref="D176:W176">D174+D159</f>
        <v>193346234</v>
      </c>
      <c r="E176" s="118">
        <f t="shared" si="97"/>
        <v>100209956</v>
      </c>
      <c r="F176" s="118">
        <f t="shared" si="97"/>
        <v>47421939</v>
      </c>
      <c r="G176" s="118">
        <f t="shared" si="97"/>
        <v>43559</v>
      </c>
      <c r="H176" s="118">
        <f t="shared" si="97"/>
        <v>176091</v>
      </c>
      <c r="I176" s="118">
        <f t="shared" si="97"/>
        <v>731119</v>
      </c>
      <c r="J176" s="118">
        <f t="shared" si="97"/>
        <v>22980</v>
      </c>
      <c r="K176" s="118">
        <f t="shared" si="97"/>
        <v>26390929</v>
      </c>
      <c r="L176" s="118">
        <f t="shared" si="97"/>
        <v>315614</v>
      </c>
      <c r="M176" s="118">
        <f t="shared" si="97"/>
        <v>12024398</v>
      </c>
      <c r="N176" s="118">
        <f t="shared" si="97"/>
        <v>554117</v>
      </c>
      <c r="O176" s="118">
        <f t="shared" si="97"/>
        <v>1027052</v>
      </c>
      <c r="P176" s="118">
        <f t="shared" si="97"/>
        <v>0</v>
      </c>
      <c r="Q176" s="118">
        <f t="shared" si="97"/>
        <v>484220</v>
      </c>
      <c r="R176" s="118">
        <f t="shared" si="97"/>
        <v>27360</v>
      </c>
      <c r="S176" s="118">
        <f t="shared" si="97"/>
        <v>3896754</v>
      </c>
      <c r="T176" s="118">
        <f t="shared" si="97"/>
        <v>0</v>
      </c>
      <c r="U176" s="118">
        <f t="shared" si="97"/>
        <v>20146</v>
      </c>
      <c r="V176" s="118">
        <f t="shared" si="97"/>
        <v>193346234</v>
      </c>
      <c r="W176" s="118">
        <f t="shared" si="97"/>
        <v>0</v>
      </c>
      <c r="X176" s="150"/>
      <c r="Y176" s="140"/>
      <c r="Z176" s="140">
        <f>IF($C176="B","",VLOOKUP($C176,orig_alloc!$A$13:$B$227,2,FALSE))</f>
      </c>
      <c r="AA176" s="141"/>
      <c r="AD176" s="141"/>
      <c r="AE176" s="141"/>
      <c r="AF176" s="141"/>
    </row>
    <row r="177" spans="1:32" ht="20.25">
      <c r="A177" s="132" t="s">
        <v>416</v>
      </c>
      <c r="B177" s="149" t="s">
        <v>807</v>
      </c>
      <c r="C177" s="132"/>
      <c r="D177" s="118">
        <f aca="true" t="shared" si="98" ref="D177:W177">D174+D161</f>
        <v>570249234</v>
      </c>
      <c r="E177" s="118">
        <f t="shared" si="98"/>
        <v>295091770</v>
      </c>
      <c r="F177" s="118">
        <f t="shared" si="98"/>
        <v>131216140</v>
      </c>
      <c r="G177" s="118">
        <f t="shared" si="98"/>
        <v>125870</v>
      </c>
      <c r="H177" s="118">
        <f t="shared" si="98"/>
        <v>513138</v>
      </c>
      <c r="I177" s="118">
        <f t="shared" si="98"/>
        <v>2333606</v>
      </c>
      <c r="J177" s="118">
        <f t="shared" si="98"/>
        <v>60670</v>
      </c>
      <c r="K177" s="118">
        <f t="shared" si="98"/>
        <v>72665520</v>
      </c>
      <c r="L177" s="118">
        <f t="shared" si="98"/>
        <v>992306</v>
      </c>
      <c r="M177" s="118">
        <f t="shared" si="98"/>
        <v>41720455</v>
      </c>
      <c r="N177" s="118">
        <f t="shared" si="98"/>
        <v>1979850</v>
      </c>
      <c r="O177" s="118">
        <f t="shared" si="98"/>
        <v>3235184</v>
      </c>
      <c r="P177" s="118">
        <f t="shared" si="98"/>
        <v>0</v>
      </c>
      <c r="Q177" s="118">
        <f t="shared" si="98"/>
        <v>13596545</v>
      </c>
      <c r="R177" s="118">
        <f t="shared" si="98"/>
        <v>787664</v>
      </c>
      <c r="S177" s="118">
        <f t="shared" si="98"/>
        <v>5848852</v>
      </c>
      <c r="T177" s="118">
        <f t="shared" si="98"/>
        <v>0</v>
      </c>
      <c r="U177" s="118">
        <f t="shared" si="98"/>
        <v>81664</v>
      </c>
      <c r="V177" s="118">
        <f t="shared" si="98"/>
        <v>570249234</v>
      </c>
      <c r="W177" s="118">
        <f t="shared" si="98"/>
        <v>0</v>
      </c>
      <c r="X177" s="150"/>
      <c r="Y177" s="140"/>
      <c r="Z177" s="140">
        <f>IF($C177="B","",VLOOKUP($C177,orig_alloc!$A$13:$B$227,2,FALSE))</f>
      </c>
      <c r="AA177" s="141"/>
      <c r="AD177" s="141"/>
      <c r="AE177" s="141"/>
      <c r="AF177" s="141"/>
    </row>
    <row r="178" spans="1:32" ht="20.25">
      <c r="A178" s="132"/>
      <c r="B178" s="149"/>
      <c r="C178" s="132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50"/>
      <c r="Y178" s="140"/>
      <c r="Z178" s="140">
        <f>IF($C178="B","",VLOOKUP($C178,orig_alloc!$A$13:$B$227,2,FALSE))</f>
      </c>
      <c r="AA178" s="141"/>
      <c r="AD178" s="141"/>
      <c r="AE178" s="141"/>
      <c r="AF178" s="141"/>
    </row>
    <row r="179" spans="1:32" ht="20.25">
      <c r="A179" s="281" t="s">
        <v>368</v>
      </c>
      <c r="B179" s="149"/>
      <c r="C179" s="132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50"/>
      <c r="Y179" s="140"/>
      <c r="Z179" s="140">
        <f>IF($C179="B","",VLOOKUP($C179,orig_alloc!$A$13:$B$227,2,FALSE))</f>
      </c>
      <c r="AA179" s="141"/>
      <c r="AD179" s="141"/>
      <c r="AE179" s="141"/>
      <c r="AF179" s="141"/>
    </row>
    <row r="180" spans="1:32" ht="20.25">
      <c r="A180" s="132" t="s">
        <v>369</v>
      </c>
      <c r="B180" s="149"/>
      <c r="C180" s="148"/>
      <c r="D180" s="118">
        <f aca="true" t="shared" si="99" ref="D180:U180">D78-D129</f>
        <v>677000</v>
      </c>
      <c r="E180" s="118">
        <f t="shared" si="99"/>
        <v>350048</v>
      </c>
      <c r="F180" s="118">
        <f t="shared" si="99"/>
        <v>150513</v>
      </c>
      <c r="G180" s="118">
        <f t="shared" si="99"/>
        <v>148</v>
      </c>
      <c r="H180" s="118">
        <f t="shared" si="99"/>
        <v>605</v>
      </c>
      <c r="I180" s="118">
        <f t="shared" si="99"/>
        <v>2879</v>
      </c>
      <c r="J180" s="118">
        <f t="shared" si="99"/>
        <v>68</v>
      </c>
      <c r="K180" s="118">
        <f t="shared" si="99"/>
        <v>83119</v>
      </c>
      <c r="L180" s="118">
        <f t="shared" si="99"/>
        <v>1215</v>
      </c>
      <c r="M180" s="118">
        <f t="shared" si="99"/>
        <v>53341</v>
      </c>
      <c r="N180" s="118">
        <f t="shared" si="99"/>
        <v>2561</v>
      </c>
      <c r="O180" s="118">
        <f t="shared" si="99"/>
        <v>3967</v>
      </c>
      <c r="P180" s="118">
        <f t="shared" si="99"/>
        <v>0</v>
      </c>
      <c r="Q180" s="118">
        <f t="shared" si="99"/>
        <v>23553</v>
      </c>
      <c r="R180" s="118">
        <f t="shared" si="99"/>
        <v>1366</v>
      </c>
      <c r="S180" s="118">
        <f t="shared" si="99"/>
        <v>3506</v>
      </c>
      <c r="T180" s="118">
        <f t="shared" si="99"/>
        <v>0</v>
      </c>
      <c r="U180" s="118">
        <f t="shared" si="99"/>
        <v>111</v>
      </c>
      <c r="V180" s="118">
        <f aca="true" t="shared" si="100" ref="V180:V186">SUM(E180:U180)</f>
        <v>677000</v>
      </c>
      <c r="W180" s="118">
        <f aca="true" t="shared" si="101" ref="W180:W186">D180-V180</f>
        <v>0</v>
      </c>
      <c r="X180" s="150"/>
      <c r="Y180" s="140"/>
      <c r="Z180" s="140">
        <f>IF($C180="B","",VLOOKUP($C180,orig_alloc!$A$13:$B$227,2,FALSE))</f>
      </c>
      <c r="AA180" s="141"/>
      <c r="AD180" s="141"/>
      <c r="AE180" s="141"/>
      <c r="AF180" s="141"/>
    </row>
    <row r="181" spans="1:32" ht="20.25">
      <c r="A181" s="132" t="s">
        <v>370</v>
      </c>
      <c r="B181" s="149"/>
      <c r="C181" s="148"/>
      <c r="D181" s="118">
        <f aca="true" t="shared" si="102" ref="D181:U181">D79-D130</f>
        <v>293000</v>
      </c>
      <c r="E181" s="118">
        <f t="shared" si="102"/>
        <v>111619</v>
      </c>
      <c r="F181" s="118">
        <f t="shared" si="102"/>
        <v>76417</v>
      </c>
      <c r="G181" s="118">
        <f t="shared" si="102"/>
        <v>23</v>
      </c>
      <c r="H181" s="118">
        <f t="shared" si="102"/>
        <v>459</v>
      </c>
      <c r="I181" s="118">
        <f t="shared" si="102"/>
        <v>1035</v>
      </c>
      <c r="J181" s="118">
        <f t="shared" si="102"/>
        <v>29</v>
      </c>
      <c r="K181" s="118">
        <f t="shared" si="102"/>
        <v>53496</v>
      </c>
      <c r="L181" s="118">
        <f t="shared" si="102"/>
        <v>184</v>
      </c>
      <c r="M181" s="118">
        <f t="shared" si="102"/>
        <v>31911</v>
      </c>
      <c r="N181" s="118">
        <f t="shared" si="102"/>
        <v>454</v>
      </c>
      <c r="O181" s="118">
        <f t="shared" si="102"/>
        <v>2512</v>
      </c>
      <c r="P181" s="118">
        <f t="shared" si="102"/>
        <v>0</v>
      </c>
      <c r="Q181" s="118">
        <f t="shared" si="102"/>
        <v>12746</v>
      </c>
      <c r="R181" s="118">
        <f t="shared" si="102"/>
        <v>252</v>
      </c>
      <c r="S181" s="118">
        <f t="shared" si="102"/>
        <v>1839</v>
      </c>
      <c r="T181" s="118">
        <f t="shared" si="102"/>
        <v>0</v>
      </c>
      <c r="U181" s="118">
        <f t="shared" si="102"/>
        <v>24</v>
      </c>
      <c r="V181" s="118">
        <f t="shared" si="100"/>
        <v>293000</v>
      </c>
      <c r="W181" s="118">
        <f t="shared" si="101"/>
        <v>0</v>
      </c>
      <c r="X181" s="150"/>
      <c r="Y181" s="140"/>
      <c r="Z181" s="140">
        <f>IF($C181="B","",VLOOKUP($C181,orig_alloc!$A$13:$B$227,2,FALSE))</f>
      </c>
      <c r="AA181" s="141"/>
      <c r="AD181" s="141"/>
      <c r="AE181" s="141"/>
      <c r="AF181" s="141"/>
    </row>
    <row r="182" spans="1:32" ht="20.25">
      <c r="A182" s="132" t="s">
        <v>314</v>
      </c>
      <c r="B182" s="149"/>
      <c r="C182" s="148"/>
      <c r="D182" s="118">
        <f aca="true" t="shared" si="103" ref="D182:U182">D80-D131</f>
        <v>44000</v>
      </c>
      <c r="E182" s="118">
        <f t="shared" si="103"/>
        <v>22753</v>
      </c>
      <c r="F182" s="118">
        <f t="shared" si="103"/>
        <v>9782</v>
      </c>
      <c r="G182" s="118">
        <f t="shared" si="103"/>
        <v>9</v>
      </c>
      <c r="H182" s="118">
        <f t="shared" si="103"/>
        <v>39</v>
      </c>
      <c r="I182" s="118">
        <f t="shared" si="103"/>
        <v>187</v>
      </c>
      <c r="J182" s="118">
        <f t="shared" si="103"/>
        <v>4</v>
      </c>
      <c r="K182" s="118">
        <f t="shared" si="103"/>
        <v>5402</v>
      </c>
      <c r="L182" s="118">
        <f t="shared" si="103"/>
        <v>79</v>
      </c>
      <c r="M182" s="118">
        <f t="shared" si="103"/>
        <v>3466</v>
      </c>
      <c r="N182" s="118">
        <f t="shared" si="103"/>
        <v>167</v>
      </c>
      <c r="O182" s="118">
        <f t="shared" si="103"/>
        <v>258</v>
      </c>
      <c r="P182" s="118">
        <f t="shared" si="103"/>
        <v>0</v>
      </c>
      <c r="Q182" s="118">
        <f t="shared" si="103"/>
        <v>1530</v>
      </c>
      <c r="R182" s="118">
        <f t="shared" si="103"/>
        <v>89</v>
      </c>
      <c r="S182" s="118">
        <f t="shared" si="103"/>
        <v>228</v>
      </c>
      <c r="T182" s="118">
        <f t="shared" si="103"/>
        <v>0</v>
      </c>
      <c r="U182" s="118">
        <f t="shared" si="103"/>
        <v>7</v>
      </c>
      <c r="V182" s="118">
        <f t="shared" si="100"/>
        <v>44000</v>
      </c>
      <c r="W182" s="118">
        <f t="shared" si="101"/>
        <v>0</v>
      </c>
      <c r="X182" s="150"/>
      <c r="Y182" s="140"/>
      <c r="Z182" s="140">
        <f>IF($C182="B","",VLOOKUP($C182,orig_alloc!$A$13:$B$227,2,FALSE))</f>
      </c>
      <c r="AA182" s="141"/>
      <c r="AD182" s="141"/>
      <c r="AE182" s="141"/>
      <c r="AF182" s="141"/>
    </row>
    <row r="183" spans="1:32" ht="20.25">
      <c r="A183" s="132" t="s">
        <v>313</v>
      </c>
      <c r="B183" s="149"/>
      <c r="C183" s="148"/>
      <c r="D183" s="118">
        <f aca="true" t="shared" si="104" ref="D183:U183">D81-D132</f>
        <v>282000</v>
      </c>
      <c r="E183" s="118">
        <f t="shared" si="104"/>
        <v>138962</v>
      </c>
      <c r="F183" s="118">
        <f t="shared" si="104"/>
        <v>71988</v>
      </c>
      <c r="G183" s="118">
        <f t="shared" si="104"/>
        <v>67</v>
      </c>
      <c r="H183" s="118">
        <f t="shared" si="104"/>
        <v>281</v>
      </c>
      <c r="I183" s="118">
        <f t="shared" si="104"/>
        <v>1048</v>
      </c>
      <c r="J183" s="118">
        <f t="shared" si="104"/>
        <v>33</v>
      </c>
      <c r="K183" s="118">
        <f t="shared" si="104"/>
        <v>41747</v>
      </c>
      <c r="L183" s="118">
        <f t="shared" si="104"/>
        <v>481</v>
      </c>
      <c r="M183" s="118">
        <f t="shared" si="104"/>
        <v>20931</v>
      </c>
      <c r="N183" s="118">
        <f t="shared" si="104"/>
        <v>967</v>
      </c>
      <c r="O183" s="118">
        <f t="shared" si="104"/>
        <v>1760</v>
      </c>
      <c r="P183" s="118">
        <f t="shared" si="104"/>
        <v>0</v>
      </c>
      <c r="Q183" s="118">
        <f t="shared" si="104"/>
        <v>1410</v>
      </c>
      <c r="R183" s="118">
        <f t="shared" si="104"/>
        <v>80</v>
      </c>
      <c r="S183" s="118">
        <f t="shared" si="104"/>
        <v>2219</v>
      </c>
      <c r="T183" s="118">
        <f t="shared" si="104"/>
        <v>0</v>
      </c>
      <c r="U183" s="118">
        <f t="shared" si="104"/>
        <v>26</v>
      </c>
      <c r="V183" s="118">
        <f t="shared" si="100"/>
        <v>282000</v>
      </c>
      <c r="W183" s="118">
        <f t="shared" si="101"/>
        <v>0</v>
      </c>
      <c r="X183" s="150"/>
      <c r="Y183" s="140"/>
      <c r="Z183" s="140">
        <f>IF($C183="B","",VLOOKUP($C183,orig_alloc!$A$13:$B$227,2,FALSE))</f>
      </c>
      <c r="AA183" s="141"/>
      <c r="AD183" s="141"/>
      <c r="AE183" s="141"/>
      <c r="AF183" s="141"/>
    </row>
    <row r="184" spans="1:32" ht="20.25">
      <c r="A184" s="132" t="s">
        <v>571</v>
      </c>
      <c r="B184" s="149"/>
      <c r="C184" s="148"/>
      <c r="D184" s="118">
        <f aca="true" t="shared" si="105" ref="D184:U184">D82-D133</f>
        <v>280000</v>
      </c>
      <c r="E184" s="118">
        <f t="shared" si="105"/>
        <v>247843</v>
      </c>
      <c r="F184" s="118">
        <f t="shared" si="105"/>
        <v>29985</v>
      </c>
      <c r="G184" s="118">
        <f t="shared" si="105"/>
        <v>26</v>
      </c>
      <c r="H184" s="118">
        <f t="shared" si="105"/>
        <v>155</v>
      </c>
      <c r="I184" s="118">
        <f t="shared" si="105"/>
        <v>246</v>
      </c>
      <c r="J184" s="118">
        <f t="shared" si="105"/>
        <v>40</v>
      </c>
      <c r="K184" s="118">
        <f t="shared" si="105"/>
        <v>1010</v>
      </c>
      <c r="L184" s="118">
        <f t="shared" si="105"/>
        <v>13</v>
      </c>
      <c r="M184" s="118">
        <f t="shared" si="105"/>
        <v>74</v>
      </c>
      <c r="N184" s="118">
        <f t="shared" si="105"/>
        <v>11</v>
      </c>
      <c r="O184" s="118">
        <f t="shared" si="105"/>
        <v>29</v>
      </c>
      <c r="P184" s="118">
        <f t="shared" si="105"/>
        <v>0</v>
      </c>
      <c r="Q184" s="118">
        <f t="shared" si="105"/>
        <v>28</v>
      </c>
      <c r="R184" s="118">
        <f t="shared" si="105"/>
        <v>8</v>
      </c>
      <c r="S184" s="118">
        <f t="shared" si="105"/>
        <v>509</v>
      </c>
      <c r="T184" s="118">
        <f t="shared" si="105"/>
        <v>0</v>
      </c>
      <c r="U184" s="118">
        <f t="shared" si="105"/>
        <v>23</v>
      </c>
      <c r="V184" s="118">
        <f t="shared" si="100"/>
        <v>280000</v>
      </c>
      <c r="W184" s="118">
        <f t="shared" si="101"/>
        <v>0</v>
      </c>
      <c r="X184" s="150"/>
      <c r="Y184" s="140"/>
      <c r="Z184" s="140">
        <f>IF($C184="B","",VLOOKUP($C184,orig_alloc!$A$13:$B$227,2,FALSE))</f>
      </c>
      <c r="AA184" s="141"/>
      <c r="AD184" s="141"/>
      <c r="AE184" s="141"/>
      <c r="AF184" s="141"/>
    </row>
    <row r="185" spans="1:32" ht="20.25">
      <c r="A185" s="132" t="s">
        <v>577</v>
      </c>
      <c r="B185" s="149"/>
      <c r="C185" s="148"/>
      <c r="D185" s="118">
        <f aca="true" t="shared" si="106" ref="D185:U185">D83-D134</f>
        <v>32000</v>
      </c>
      <c r="E185" s="118">
        <f t="shared" si="106"/>
        <v>21163</v>
      </c>
      <c r="F185" s="118">
        <f t="shared" si="106"/>
        <v>9982</v>
      </c>
      <c r="G185" s="118">
        <f t="shared" si="106"/>
        <v>8</v>
      </c>
      <c r="H185" s="118">
        <f t="shared" si="106"/>
        <v>121</v>
      </c>
      <c r="I185" s="118">
        <f t="shared" si="106"/>
        <v>98</v>
      </c>
      <c r="J185" s="118">
        <f t="shared" si="106"/>
        <v>23</v>
      </c>
      <c r="K185" s="118">
        <f t="shared" si="106"/>
        <v>144</v>
      </c>
      <c r="L185" s="118">
        <f t="shared" si="106"/>
        <v>4</v>
      </c>
      <c r="M185" s="118">
        <f t="shared" si="106"/>
        <v>26</v>
      </c>
      <c r="N185" s="118">
        <f t="shared" si="106"/>
        <v>4</v>
      </c>
      <c r="O185" s="118">
        <f t="shared" si="106"/>
        <v>10</v>
      </c>
      <c r="P185" s="118">
        <f t="shared" si="106"/>
        <v>0</v>
      </c>
      <c r="Q185" s="118">
        <f t="shared" si="106"/>
        <v>9</v>
      </c>
      <c r="R185" s="118">
        <f t="shared" si="106"/>
        <v>3</v>
      </c>
      <c r="S185" s="118">
        <f t="shared" si="106"/>
        <v>396</v>
      </c>
      <c r="T185" s="118">
        <f t="shared" si="106"/>
        <v>0</v>
      </c>
      <c r="U185" s="118">
        <f t="shared" si="106"/>
        <v>9</v>
      </c>
      <c r="V185" s="118">
        <f t="shared" si="100"/>
        <v>32000</v>
      </c>
      <c r="W185" s="118">
        <f t="shared" si="101"/>
        <v>0</v>
      </c>
      <c r="X185" s="150"/>
      <c r="Y185" s="140"/>
      <c r="Z185" s="140">
        <f>IF($C185="B","",VLOOKUP($C185,orig_alloc!$A$13:$B$227,2,FALSE))</f>
      </c>
      <c r="AA185" s="141"/>
      <c r="AD185" s="141"/>
      <c r="AE185" s="141"/>
      <c r="AF185" s="141"/>
    </row>
    <row r="186" spans="1:32" ht="20.25">
      <c r="A186" s="132" t="s">
        <v>371</v>
      </c>
      <c r="B186" s="149"/>
      <c r="C186" s="148"/>
      <c r="D186" s="118">
        <f aca="true" t="shared" si="107" ref="D186:U186">D84-D135</f>
        <v>0</v>
      </c>
      <c r="E186" s="118">
        <f t="shared" si="107"/>
        <v>0</v>
      </c>
      <c r="F186" s="118">
        <f t="shared" si="107"/>
        <v>0</v>
      </c>
      <c r="G186" s="118">
        <f t="shared" si="107"/>
        <v>0</v>
      </c>
      <c r="H186" s="118">
        <f t="shared" si="107"/>
        <v>0</v>
      </c>
      <c r="I186" s="118">
        <f t="shared" si="107"/>
        <v>0</v>
      </c>
      <c r="J186" s="118">
        <f t="shared" si="107"/>
        <v>0</v>
      </c>
      <c r="K186" s="118">
        <f t="shared" si="107"/>
        <v>0</v>
      </c>
      <c r="L186" s="118">
        <f t="shared" si="107"/>
        <v>0</v>
      </c>
      <c r="M186" s="118">
        <f t="shared" si="107"/>
        <v>0</v>
      </c>
      <c r="N186" s="118">
        <f t="shared" si="107"/>
        <v>0</v>
      </c>
      <c r="O186" s="118">
        <f t="shared" si="107"/>
        <v>0</v>
      </c>
      <c r="P186" s="118">
        <f t="shared" si="107"/>
        <v>0</v>
      </c>
      <c r="Q186" s="118">
        <f t="shared" si="107"/>
        <v>0</v>
      </c>
      <c r="R186" s="118">
        <f t="shared" si="107"/>
        <v>0</v>
      </c>
      <c r="S186" s="118">
        <f t="shared" si="107"/>
        <v>0</v>
      </c>
      <c r="T186" s="118">
        <f t="shared" si="107"/>
        <v>0</v>
      </c>
      <c r="U186" s="118">
        <f t="shared" si="107"/>
        <v>0</v>
      </c>
      <c r="V186" s="118">
        <f t="shared" si="100"/>
        <v>0</v>
      </c>
      <c r="W186" s="118">
        <f t="shared" si="101"/>
        <v>0</v>
      </c>
      <c r="X186" s="150"/>
      <c r="Y186" s="140"/>
      <c r="Z186" s="140">
        <f>IF($C186="B","",VLOOKUP($C186,orig_alloc!$A$13:$B$227,2,FALSE))</f>
      </c>
      <c r="AA186" s="141"/>
      <c r="AD186" s="141"/>
      <c r="AE186" s="141"/>
      <c r="AF186" s="141"/>
    </row>
    <row r="187" spans="1:32" ht="20.25">
      <c r="A187" s="240" t="s">
        <v>848</v>
      </c>
      <c r="B187" s="149" t="s">
        <v>626</v>
      </c>
      <c r="C187" s="132"/>
      <c r="D187" s="202">
        <f aca="true" t="shared" si="108" ref="D187:W187">SUM(D180:D186)</f>
        <v>1608000</v>
      </c>
      <c r="E187" s="202">
        <f t="shared" si="108"/>
        <v>892388</v>
      </c>
      <c r="F187" s="202">
        <f t="shared" si="108"/>
        <v>348667</v>
      </c>
      <c r="G187" s="202">
        <f t="shared" si="108"/>
        <v>281</v>
      </c>
      <c r="H187" s="202">
        <f t="shared" si="108"/>
        <v>1660</v>
      </c>
      <c r="I187" s="202">
        <f t="shared" si="108"/>
        <v>5493</v>
      </c>
      <c r="J187" s="202">
        <f t="shared" si="108"/>
        <v>197</v>
      </c>
      <c r="K187" s="202">
        <f t="shared" si="108"/>
        <v>184918</v>
      </c>
      <c r="L187" s="202">
        <f t="shared" si="108"/>
        <v>1976</v>
      </c>
      <c r="M187" s="202">
        <f t="shared" si="108"/>
        <v>109749</v>
      </c>
      <c r="N187" s="202">
        <f t="shared" si="108"/>
        <v>4164</v>
      </c>
      <c r="O187" s="202">
        <f t="shared" si="108"/>
        <v>8536</v>
      </c>
      <c r="P187" s="202">
        <f t="shared" si="108"/>
        <v>0</v>
      </c>
      <c r="Q187" s="202">
        <f t="shared" si="108"/>
        <v>39276</v>
      </c>
      <c r="R187" s="202">
        <f t="shared" si="108"/>
        <v>1798</v>
      </c>
      <c r="S187" s="202">
        <f t="shared" si="108"/>
        <v>8697</v>
      </c>
      <c r="T187" s="202">
        <f t="shared" si="108"/>
        <v>0</v>
      </c>
      <c r="U187" s="202">
        <f t="shared" si="108"/>
        <v>200</v>
      </c>
      <c r="V187" s="202">
        <f t="shared" si="108"/>
        <v>1608000</v>
      </c>
      <c r="W187" s="202">
        <f t="shared" si="108"/>
        <v>0</v>
      </c>
      <c r="X187" s="150"/>
      <c r="Y187" s="140"/>
      <c r="Z187" s="140">
        <f>IF($C187="B","",VLOOKUP($C187,orig_alloc!$A$13:$B$227,2,FALSE))</f>
      </c>
      <c r="AA187" s="141"/>
      <c r="AD187" s="141"/>
      <c r="AE187" s="141"/>
      <c r="AF187" s="141"/>
    </row>
    <row r="188" spans="1:32" ht="20.25">
      <c r="A188" s="132"/>
      <c r="B188" s="149"/>
      <c r="C188" s="132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50"/>
      <c r="Y188" s="140"/>
      <c r="Z188" s="140">
        <f>IF($C188="B","",VLOOKUP($C188,orig_alloc!$A$13:$B$227,2,FALSE))</f>
      </c>
      <c r="AA188" s="141"/>
      <c r="AD188" s="141"/>
      <c r="AE188" s="141"/>
      <c r="AF188" s="141"/>
    </row>
    <row r="189" spans="1:32" ht="20.25">
      <c r="A189" s="281" t="s">
        <v>375</v>
      </c>
      <c r="B189" s="149"/>
      <c r="C189" s="132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50"/>
      <c r="Y189" s="140"/>
      <c r="Z189" s="140">
        <f>IF($C189="B","",VLOOKUP($C189,orig_alloc!$A$13:$B$227,2,FALSE))</f>
      </c>
      <c r="AA189" s="141"/>
      <c r="AD189" s="141"/>
      <c r="AE189" s="141"/>
      <c r="AF189" s="141"/>
    </row>
    <row r="190" spans="1:32" ht="20.25">
      <c r="A190" s="132" t="s">
        <v>369</v>
      </c>
      <c r="B190" s="149"/>
      <c r="C190" s="148"/>
      <c r="D190" s="118">
        <f aca="true" t="shared" si="109" ref="D190:U190">D88-D139</f>
        <v>4572000</v>
      </c>
      <c r="E190" s="118">
        <f t="shared" si="109"/>
        <v>2364003</v>
      </c>
      <c r="F190" s="118">
        <f t="shared" si="109"/>
        <v>1016461</v>
      </c>
      <c r="G190" s="118">
        <f t="shared" si="109"/>
        <v>999</v>
      </c>
      <c r="H190" s="118">
        <f t="shared" si="109"/>
        <v>4089</v>
      </c>
      <c r="I190" s="118">
        <f t="shared" si="109"/>
        <v>19438</v>
      </c>
      <c r="J190" s="118">
        <f t="shared" si="109"/>
        <v>457</v>
      </c>
      <c r="K190" s="118">
        <f t="shared" si="109"/>
        <v>561331</v>
      </c>
      <c r="L190" s="118">
        <f t="shared" si="109"/>
        <v>8209</v>
      </c>
      <c r="M190" s="118">
        <f t="shared" si="109"/>
        <v>360226</v>
      </c>
      <c r="N190" s="118">
        <f t="shared" si="109"/>
        <v>17294</v>
      </c>
      <c r="O190" s="118">
        <f t="shared" si="109"/>
        <v>26786</v>
      </c>
      <c r="P190" s="118">
        <f t="shared" si="109"/>
        <v>0</v>
      </c>
      <c r="Q190" s="118">
        <f t="shared" si="109"/>
        <v>159058</v>
      </c>
      <c r="R190" s="118">
        <f t="shared" si="109"/>
        <v>9223</v>
      </c>
      <c r="S190" s="118">
        <f t="shared" si="109"/>
        <v>23680</v>
      </c>
      <c r="T190" s="118">
        <f t="shared" si="109"/>
        <v>0</v>
      </c>
      <c r="U190" s="118">
        <f t="shared" si="109"/>
        <v>746</v>
      </c>
      <c r="V190" s="118">
        <f aca="true" t="shared" si="110" ref="V190:V196">SUM(E190:U190)</f>
        <v>4572000</v>
      </c>
      <c r="W190" s="118">
        <f aca="true" t="shared" si="111" ref="W190:W196">D190-V190</f>
        <v>0</v>
      </c>
      <c r="X190" s="150"/>
      <c r="Y190" s="140"/>
      <c r="Z190" s="140">
        <f>IF($C190="B","",VLOOKUP($C190,orig_alloc!$A$13:$B$227,2,FALSE))</f>
      </c>
      <c r="AA190" s="141"/>
      <c r="AD190" s="141"/>
      <c r="AE190" s="141"/>
      <c r="AF190" s="141"/>
    </row>
    <row r="191" spans="1:32" ht="20.25">
      <c r="A191" s="132" t="s">
        <v>370</v>
      </c>
      <c r="B191" s="149"/>
      <c r="C191" s="148"/>
      <c r="D191" s="118">
        <f aca="true" t="shared" si="112" ref="D191:U191">D89-D140</f>
        <v>1985000</v>
      </c>
      <c r="E191" s="118">
        <f t="shared" si="112"/>
        <v>756206</v>
      </c>
      <c r="F191" s="118">
        <f t="shared" si="112"/>
        <v>517701</v>
      </c>
      <c r="G191" s="118">
        <f t="shared" si="112"/>
        <v>155</v>
      </c>
      <c r="H191" s="118">
        <f t="shared" si="112"/>
        <v>3108</v>
      </c>
      <c r="I191" s="118">
        <f t="shared" si="112"/>
        <v>7013</v>
      </c>
      <c r="J191" s="118">
        <f t="shared" si="112"/>
        <v>201</v>
      </c>
      <c r="K191" s="118">
        <f t="shared" si="112"/>
        <v>362419</v>
      </c>
      <c r="L191" s="118">
        <f t="shared" si="112"/>
        <v>1244</v>
      </c>
      <c r="M191" s="118">
        <f t="shared" si="112"/>
        <v>216191</v>
      </c>
      <c r="N191" s="118">
        <f t="shared" si="112"/>
        <v>3072</v>
      </c>
      <c r="O191" s="118">
        <f t="shared" si="112"/>
        <v>17015</v>
      </c>
      <c r="P191" s="118">
        <f t="shared" si="112"/>
        <v>0</v>
      </c>
      <c r="Q191" s="118">
        <f t="shared" si="112"/>
        <v>86351</v>
      </c>
      <c r="R191" s="118">
        <f t="shared" si="112"/>
        <v>1702</v>
      </c>
      <c r="S191" s="118">
        <f t="shared" si="112"/>
        <v>12461</v>
      </c>
      <c r="T191" s="118">
        <f t="shared" si="112"/>
        <v>0</v>
      </c>
      <c r="U191" s="118">
        <f t="shared" si="112"/>
        <v>161</v>
      </c>
      <c r="V191" s="118">
        <f t="shared" si="110"/>
        <v>1985000</v>
      </c>
      <c r="W191" s="118">
        <f t="shared" si="111"/>
        <v>0</v>
      </c>
      <c r="X191" s="150"/>
      <c r="Y191" s="140"/>
      <c r="Z191" s="140">
        <f>IF($C191="B","",VLOOKUP($C191,orig_alloc!$A$13:$B$227,2,FALSE))</f>
      </c>
      <c r="AA191" s="141"/>
      <c r="AD191" s="141"/>
      <c r="AE191" s="141"/>
      <c r="AF191" s="141"/>
    </row>
    <row r="192" spans="1:32" ht="20.25">
      <c r="A192" s="132" t="s">
        <v>314</v>
      </c>
      <c r="B192" s="149"/>
      <c r="C192" s="148"/>
      <c r="D192" s="118">
        <f aca="true" t="shared" si="113" ref="D192:U192">D90-D141</f>
        <v>293000</v>
      </c>
      <c r="E192" s="118">
        <f t="shared" si="113"/>
        <v>151501</v>
      </c>
      <c r="F192" s="118">
        <f t="shared" si="113"/>
        <v>65141</v>
      </c>
      <c r="G192" s="118">
        <f t="shared" si="113"/>
        <v>64</v>
      </c>
      <c r="H192" s="118">
        <f t="shared" si="113"/>
        <v>261</v>
      </c>
      <c r="I192" s="118">
        <f t="shared" si="113"/>
        <v>1246</v>
      </c>
      <c r="J192" s="118">
        <f t="shared" si="113"/>
        <v>29</v>
      </c>
      <c r="K192" s="118">
        <f t="shared" si="113"/>
        <v>35973</v>
      </c>
      <c r="L192" s="118">
        <f t="shared" si="113"/>
        <v>526</v>
      </c>
      <c r="M192" s="118">
        <f t="shared" si="113"/>
        <v>23085</v>
      </c>
      <c r="N192" s="118">
        <f t="shared" si="113"/>
        <v>1108</v>
      </c>
      <c r="O192" s="118">
        <f t="shared" si="113"/>
        <v>1716</v>
      </c>
      <c r="P192" s="118">
        <f t="shared" si="113"/>
        <v>0</v>
      </c>
      <c r="Q192" s="118">
        <f t="shared" si="113"/>
        <v>10193</v>
      </c>
      <c r="R192" s="118">
        <f t="shared" si="113"/>
        <v>591</v>
      </c>
      <c r="S192" s="118">
        <f t="shared" si="113"/>
        <v>1518</v>
      </c>
      <c r="T192" s="118">
        <f t="shared" si="113"/>
        <v>0</v>
      </c>
      <c r="U192" s="118">
        <f t="shared" si="113"/>
        <v>48</v>
      </c>
      <c r="V192" s="118">
        <f t="shared" si="110"/>
        <v>293000</v>
      </c>
      <c r="W192" s="118">
        <f t="shared" si="111"/>
        <v>0</v>
      </c>
      <c r="X192" s="150"/>
      <c r="Y192" s="140"/>
      <c r="Z192" s="140">
        <f>IF($C192="B","",VLOOKUP($C192,orig_alloc!$A$13:$B$227,2,FALSE))</f>
      </c>
      <c r="AA192" s="141"/>
      <c r="AD192" s="141"/>
      <c r="AE192" s="141"/>
      <c r="AF192" s="141"/>
    </row>
    <row r="193" spans="1:32" ht="20.25">
      <c r="A193" s="132" t="s">
        <v>313</v>
      </c>
      <c r="B193" s="149"/>
      <c r="C193" s="148"/>
      <c r="D193" s="118">
        <f aca="true" t="shared" si="114" ref="D193:U193">D91-D142</f>
        <v>1912000</v>
      </c>
      <c r="E193" s="118">
        <f t="shared" si="114"/>
        <v>942188</v>
      </c>
      <c r="F193" s="118">
        <f t="shared" si="114"/>
        <v>488093</v>
      </c>
      <c r="G193" s="118">
        <f t="shared" si="114"/>
        <v>452</v>
      </c>
      <c r="H193" s="118">
        <f t="shared" si="114"/>
        <v>1904</v>
      </c>
      <c r="I193" s="118">
        <f t="shared" si="114"/>
        <v>7103</v>
      </c>
      <c r="J193" s="118">
        <f t="shared" si="114"/>
        <v>227</v>
      </c>
      <c r="K193" s="118">
        <f t="shared" si="114"/>
        <v>283051</v>
      </c>
      <c r="L193" s="118">
        <f t="shared" si="114"/>
        <v>3255</v>
      </c>
      <c r="M193" s="118">
        <f t="shared" si="114"/>
        <v>141918</v>
      </c>
      <c r="N193" s="118">
        <f t="shared" si="114"/>
        <v>6559</v>
      </c>
      <c r="O193" s="118">
        <f t="shared" si="114"/>
        <v>11931</v>
      </c>
      <c r="P193" s="118">
        <f t="shared" si="114"/>
        <v>0</v>
      </c>
      <c r="Q193" s="118">
        <f t="shared" si="114"/>
        <v>9556</v>
      </c>
      <c r="R193" s="118">
        <f t="shared" si="114"/>
        <v>547</v>
      </c>
      <c r="S193" s="118">
        <f t="shared" si="114"/>
        <v>15043</v>
      </c>
      <c r="T193" s="118">
        <f t="shared" si="114"/>
        <v>0</v>
      </c>
      <c r="U193" s="118">
        <f t="shared" si="114"/>
        <v>173</v>
      </c>
      <c r="V193" s="118">
        <f t="shared" si="110"/>
        <v>1912000</v>
      </c>
      <c r="W193" s="118">
        <f t="shared" si="111"/>
        <v>0</v>
      </c>
      <c r="X193" s="150"/>
      <c r="Y193" s="140"/>
      <c r="Z193" s="140">
        <f>IF($C193="B","",VLOOKUP($C193,orig_alloc!$A$13:$B$227,2,FALSE))</f>
      </c>
      <c r="AA193" s="141"/>
      <c r="AD193" s="141"/>
      <c r="AE193" s="141"/>
      <c r="AF193" s="141"/>
    </row>
    <row r="194" spans="1:32" ht="20.25">
      <c r="A194" s="132" t="s">
        <v>571</v>
      </c>
      <c r="B194" s="149"/>
      <c r="C194" s="148"/>
      <c r="D194" s="118">
        <f aca="true" t="shared" si="115" ref="D194:U194">D92-D143</f>
        <v>1891000</v>
      </c>
      <c r="E194" s="118">
        <f t="shared" si="115"/>
        <v>1673833</v>
      </c>
      <c r="F194" s="118">
        <f t="shared" si="115"/>
        <v>202508</v>
      </c>
      <c r="G194" s="118">
        <f t="shared" si="115"/>
        <v>170</v>
      </c>
      <c r="H194" s="118">
        <f t="shared" si="115"/>
        <v>1051</v>
      </c>
      <c r="I194" s="118">
        <f t="shared" si="115"/>
        <v>1661</v>
      </c>
      <c r="J194" s="118">
        <f t="shared" si="115"/>
        <v>264</v>
      </c>
      <c r="K194" s="118">
        <f t="shared" si="115"/>
        <v>6821</v>
      </c>
      <c r="L194" s="118">
        <f t="shared" si="115"/>
        <v>89</v>
      </c>
      <c r="M194" s="118">
        <f t="shared" si="115"/>
        <v>504</v>
      </c>
      <c r="N194" s="118">
        <f t="shared" si="115"/>
        <v>73</v>
      </c>
      <c r="O194" s="118">
        <f t="shared" si="115"/>
        <v>192</v>
      </c>
      <c r="P194" s="118">
        <f t="shared" si="115"/>
        <v>0</v>
      </c>
      <c r="Q194" s="118">
        <f t="shared" si="115"/>
        <v>185</v>
      </c>
      <c r="R194" s="118">
        <f t="shared" si="115"/>
        <v>57</v>
      </c>
      <c r="S194" s="118">
        <f t="shared" si="115"/>
        <v>3433</v>
      </c>
      <c r="T194" s="118">
        <f t="shared" si="115"/>
        <v>0</v>
      </c>
      <c r="U194" s="118">
        <f t="shared" si="115"/>
        <v>159</v>
      </c>
      <c r="V194" s="118">
        <f t="shared" si="110"/>
        <v>1891000</v>
      </c>
      <c r="W194" s="118">
        <f t="shared" si="111"/>
        <v>0</v>
      </c>
      <c r="X194" s="150"/>
      <c r="Y194" s="140"/>
      <c r="Z194" s="140">
        <f>IF($C194="B","",VLOOKUP($C194,orig_alloc!$A$13:$B$227,2,FALSE))</f>
      </c>
      <c r="AA194" s="141"/>
      <c r="AD194" s="141"/>
      <c r="AE194" s="141"/>
      <c r="AF194" s="141"/>
    </row>
    <row r="195" spans="1:32" ht="20.25">
      <c r="A195" s="132" t="s">
        <v>577</v>
      </c>
      <c r="B195" s="149"/>
      <c r="C195" s="148"/>
      <c r="D195" s="118">
        <f aca="true" t="shared" si="116" ref="D195:U195">D93-D144</f>
        <v>218000</v>
      </c>
      <c r="E195" s="118">
        <f t="shared" si="116"/>
        <v>144179</v>
      </c>
      <c r="F195" s="118">
        <f t="shared" si="116"/>
        <v>67998</v>
      </c>
      <c r="G195" s="118">
        <f t="shared" si="116"/>
        <v>54</v>
      </c>
      <c r="H195" s="118">
        <f t="shared" si="116"/>
        <v>825</v>
      </c>
      <c r="I195" s="118">
        <f t="shared" si="116"/>
        <v>666</v>
      </c>
      <c r="J195" s="118">
        <f t="shared" si="116"/>
        <v>156</v>
      </c>
      <c r="K195" s="118">
        <f t="shared" si="116"/>
        <v>982</v>
      </c>
      <c r="L195" s="118">
        <f t="shared" si="116"/>
        <v>33</v>
      </c>
      <c r="M195" s="118">
        <f t="shared" si="116"/>
        <v>181</v>
      </c>
      <c r="N195" s="118">
        <f t="shared" si="116"/>
        <v>27</v>
      </c>
      <c r="O195" s="118">
        <f t="shared" si="116"/>
        <v>66</v>
      </c>
      <c r="P195" s="118">
        <f t="shared" si="116"/>
        <v>0</v>
      </c>
      <c r="Q195" s="118">
        <f t="shared" si="116"/>
        <v>60</v>
      </c>
      <c r="R195" s="118">
        <f t="shared" si="116"/>
        <v>19</v>
      </c>
      <c r="S195" s="118">
        <f t="shared" si="116"/>
        <v>2694</v>
      </c>
      <c r="T195" s="118">
        <f t="shared" si="116"/>
        <v>0</v>
      </c>
      <c r="U195" s="118">
        <f t="shared" si="116"/>
        <v>60</v>
      </c>
      <c r="V195" s="118">
        <f t="shared" si="110"/>
        <v>218000</v>
      </c>
      <c r="W195" s="118">
        <f t="shared" si="111"/>
        <v>0</v>
      </c>
      <c r="X195" s="150"/>
      <c r="Y195" s="140"/>
      <c r="Z195" s="140">
        <f>IF($C195="B","",VLOOKUP($C195,orig_alloc!$A$13:$B$227,2,FALSE))</f>
      </c>
      <c r="AA195" s="141"/>
      <c r="AD195" s="141"/>
      <c r="AE195" s="141"/>
      <c r="AF195" s="141"/>
    </row>
    <row r="196" spans="1:32" ht="20.25">
      <c r="A196" s="132" t="s">
        <v>371</v>
      </c>
      <c r="B196" s="149"/>
      <c r="C196" s="148"/>
      <c r="D196" s="118">
        <f aca="true" t="shared" si="117" ref="D196:U196">D94-D145</f>
        <v>0</v>
      </c>
      <c r="E196" s="118">
        <f t="shared" si="117"/>
        <v>0</v>
      </c>
      <c r="F196" s="118">
        <f t="shared" si="117"/>
        <v>0</v>
      </c>
      <c r="G196" s="118">
        <f t="shared" si="117"/>
        <v>0</v>
      </c>
      <c r="H196" s="118">
        <f t="shared" si="117"/>
        <v>0</v>
      </c>
      <c r="I196" s="118">
        <f t="shared" si="117"/>
        <v>0</v>
      </c>
      <c r="J196" s="118">
        <f t="shared" si="117"/>
        <v>0</v>
      </c>
      <c r="K196" s="118">
        <f t="shared" si="117"/>
        <v>0</v>
      </c>
      <c r="L196" s="118">
        <f t="shared" si="117"/>
        <v>0</v>
      </c>
      <c r="M196" s="118">
        <f t="shared" si="117"/>
        <v>0</v>
      </c>
      <c r="N196" s="118">
        <f t="shared" si="117"/>
        <v>0</v>
      </c>
      <c r="O196" s="118">
        <f t="shared" si="117"/>
        <v>0</v>
      </c>
      <c r="P196" s="118">
        <f t="shared" si="117"/>
        <v>0</v>
      </c>
      <c r="Q196" s="118">
        <f t="shared" si="117"/>
        <v>0</v>
      </c>
      <c r="R196" s="118">
        <f t="shared" si="117"/>
        <v>0</v>
      </c>
      <c r="S196" s="118">
        <f t="shared" si="117"/>
        <v>0</v>
      </c>
      <c r="T196" s="118">
        <f t="shared" si="117"/>
        <v>0</v>
      </c>
      <c r="U196" s="118">
        <f t="shared" si="117"/>
        <v>0</v>
      </c>
      <c r="V196" s="118">
        <f t="shared" si="110"/>
        <v>0</v>
      </c>
      <c r="W196" s="118">
        <f t="shared" si="111"/>
        <v>0</v>
      </c>
      <c r="X196" s="150"/>
      <c r="Y196" s="140"/>
      <c r="Z196" s="140">
        <f>IF($C196="B","",VLOOKUP($C196,orig_alloc!$A$13:$B$227,2,FALSE))</f>
      </c>
      <c r="AA196" s="141"/>
      <c r="AD196" s="141"/>
      <c r="AE196" s="141"/>
      <c r="AF196" s="141"/>
    </row>
    <row r="197" spans="1:32" ht="20.25">
      <c r="A197" s="240" t="s">
        <v>418</v>
      </c>
      <c r="B197" s="149" t="s">
        <v>631</v>
      </c>
      <c r="C197" s="132"/>
      <c r="D197" s="202">
        <f aca="true" t="shared" si="118" ref="D197:W197">SUM(D189:D196)</f>
        <v>10871000</v>
      </c>
      <c r="E197" s="202">
        <f t="shared" si="118"/>
        <v>6031910</v>
      </c>
      <c r="F197" s="202">
        <f t="shared" si="118"/>
        <v>2357902</v>
      </c>
      <c r="G197" s="202">
        <f t="shared" si="118"/>
        <v>1894</v>
      </c>
      <c r="H197" s="202">
        <f t="shared" si="118"/>
        <v>11238</v>
      </c>
      <c r="I197" s="202">
        <f t="shared" si="118"/>
        <v>37127</v>
      </c>
      <c r="J197" s="202">
        <f t="shared" si="118"/>
        <v>1334</v>
      </c>
      <c r="K197" s="202">
        <f t="shared" si="118"/>
        <v>1250577</v>
      </c>
      <c r="L197" s="202">
        <f t="shared" si="118"/>
        <v>13356</v>
      </c>
      <c r="M197" s="202">
        <f t="shared" si="118"/>
        <v>742105</v>
      </c>
      <c r="N197" s="202">
        <f t="shared" si="118"/>
        <v>28133</v>
      </c>
      <c r="O197" s="202">
        <f t="shared" si="118"/>
        <v>57706</v>
      </c>
      <c r="P197" s="202">
        <f t="shared" si="118"/>
        <v>0</v>
      </c>
      <c r="Q197" s="202">
        <f t="shared" si="118"/>
        <v>265403</v>
      </c>
      <c r="R197" s="202">
        <f t="shared" si="118"/>
        <v>12139</v>
      </c>
      <c r="S197" s="202">
        <f t="shared" si="118"/>
        <v>58829</v>
      </c>
      <c r="T197" s="202">
        <f t="shared" si="118"/>
        <v>0</v>
      </c>
      <c r="U197" s="202">
        <f t="shared" si="118"/>
        <v>1347</v>
      </c>
      <c r="V197" s="202">
        <f t="shared" si="118"/>
        <v>10871000</v>
      </c>
      <c r="W197" s="202">
        <f t="shared" si="118"/>
        <v>0</v>
      </c>
      <c r="X197" s="150"/>
      <c r="Y197" s="140"/>
      <c r="Z197" s="140">
        <f>IF($C197="B","",VLOOKUP($C197,orig_alloc!$A$13:$B$227,2,FALSE))</f>
      </c>
      <c r="AA197" s="141"/>
      <c r="AD197" s="141"/>
      <c r="AE197" s="141"/>
      <c r="AF197" s="141"/>
    </row>
    <row r="198" spans="1:32" ht="20.25">
      <c r="A198" s="132"/>
      <c r="B198" s="149"/>
      <c r="C198" s="132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50"/>
      <c r="Y198" s="140"/>
      <c r="Z198" s="140">
        <f>IF($C198="B","",VLOOKUP($C198,orig_alloc!$A$13:$B$227,2,FALSE))</f>
      </c>
      <c r="AA198" s="141"/>
      <c r="AD198" s="141"/>
      <c r="AE198" s="141"/>
      <c r="AF198" s="141"/>
    </row>
    <row r="199" spans="1:32" ht="20.25">
      <c r="A199" s="132" t="s">
        <v>419</v>
      </c>
      <c r="B199" s="149" t="s">
        <v>328</v>
      </c>
      <c r="C199" s="132"/>
      <c r="D199" s="118">
        <f aca="true" t="shared" si="119" ref="D199:W199">D197+D187+D177</f>
        <v>582728234</v>
      </c>
      <c r="E199" s="118">
        <f t="shared" si="119"/>
        <v>302016068</v>
      </c>
      <c r="F199" s="118">
        <f t="shared" si="119"/>
        <v>133922709</v>
      </c>
      <c r="G199" s="118">
        <f t="shared" si="119"/>
        <v>128045</v>
      </c>
      <c r="H199" s="118">
        <f t="shared" si="119"/>
        <v>526036</v>
      </c>
      <c r="I199" s="118">
        <f t="shared" si="119"/>
        <v>2376226</v>
      </c>
      <c r="J199" s="118">
        <f t="shared" si="119"/>
        <v>62201</v>
      </c>
      <c r="K199" s="118">
        <f t="shared" si="119"/>
        <v>74101015</v>
      </c>
      <c r="L199" s="118">
        <f t="shared" si="119"/>
        <v>1007638</v>
      </c>
      <c r="M199" s="118">
        <f t="shared" si="119"/>
        <v>42572309</v>
      </c>
      <c r="N199" s="118">
        <f t="shared" si="119"/>
        <v>2012147</v>
      </c>
      <c r="O199" s="118">
        <f t="shared" si="119"/>
        <v>3301426</v>
      </c>
      <c r="P199" s="118">
        <f t="shared" si="119"/>
        <v>0</v>
      </c>
      <c r="Q199" s="118">
        <f t="shared" si="119"/>
        <v>13901224</v>
      </c>
      <c r="R199" s="118">
        <f t="shared" si="119"/>
        <v>801601</v>
      </c>
      <c r="S199" s="118">
        <f t="shared" si="119"/>
        <v>5916378</v>
      </c>
      <c r="T199" s="118">
        <f t="shared" si="119"/>
        <v>0</v>
      </c>
      <c r="U199" s="118">
        <f t="shared" si="119"/>
        <v>83211</v>
      </c>
      <c r="V199" s="118">
        <f t="shared" si="119"/>
        <v>582728234</v>
      </c>
      <c r="W199" s="118">
        <f t="shared" si="119"/>
        <v>0</v>
      </c>
      <c r="X199" s="150"/>
      <c r="Y199" s="140"/>
      <c r="Z199" s="140">
        <f>IF($C199="B","",VLOOKUP($C199,orig_alloc!$A$13:$B$227,2,FALSE))</f>
      </c>
      <c r="AA199" s="141"/>
      <c r="AD199" s="141"/>
      <c r="AE199" s="141"/>
      <c r="AF199" s="141"/>
    </row>
    <row r="200" spans="1:32" ht="20.25">
      <c r="A200" s="132"/>
      <c r="B200" s="149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50"/>
      <c r="Y200" s="140"/>
      <c r="Z200" s="140">
        <f>IF($C200="B","",VLOOKUP($C200,orig_alloc!$A$13:$B$227,2,FALSE))</f>
      </c>
      <c r="AA200" s="141"/>
      <c r="AD200" s="141"/>
      <c r="AE200" s="141"/>
      <c r="AF200" s="141"/>
    </row>
    <row r="201" spans="1:32" ht="20.25">
      <c r="A201" s="277" t="s">
        <v>420</v>
      </c>
      <c r="B201" s="290" t="s">
        <v>1241</v>
      </c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50"/>
      <c r="Y201" s="140"/>
      <c r="Z201" s="140">
        <f>IF($C201="B","",VLOOKUP($C201,orig_alloc!$A$13:$B$227,2,FALSE))</f>
      </c>
      <c r="AA201" s="141"/>
      <c r="AD201" s="141"/>
      <c r="AE201" s="141"/>
      <c r="AF201" s="141"/>
    </row>
    <row r="202" spans="1:32" ht="20.25">
      <c r="A202" s="281" t="s">
        <v>335</v>
      </c>
      <c r="B202" s="149"/>
      <c r="C202" s="132"/>
      <c r="D202" s="118"/>
      <c r="E202" s="118"/>
      <c r="F202" s="118"/>
      <c r="G202" s="118"/>
      <c r="H202" s="118"/>
      <c r="I202" s="118"/>
      <c r="J202" s="118"/>
      <c r="K202" s="133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50"/>
      <c r="Y202" s="140"/>
      <c r="Z202" s="140">
        <f>IF($C202="B","",VLOOKUP($C202,orig_alloc!$A$13:$B$227,2,FALSE))</f>
      </c>
      <c r="AA202" s="141"/>
      <c r="AD202" s="141"/>
      <c r="AE202" s="141"/>
      <c r="AF202" s="141"/>
    </row>
    <row r="203" spans="1:32" ht="20.25">
      <c r="A203" s="148" t="s">
        <v>421</v>
      </c>
      <c r="B203" s="149" t="str">
        <f>B53</f>
        <v>P129</v>
      </c>
      <c r="C203" s="132"/>
      <c r="D203" s="118">
        <f aca="true" t="shared" si="120" ref="D203:W203">D53</f>
        <v>779010000</v>
      </c>
      <c r="E203" s="118">
        <f t="shared" si="120"/>
        <v>402795630</v>
      </c>
      <c r="F203" s="118">
        <f t="shared" si="120"/>
        <v>173191831</v>
      </c>
      <c r="G203" s="118">
        <f t="shared" si="120"/>
        <v>170128</v>
      </c>
      <c r="H203" s="118">
        <f t="shared" si="120"/>
        <v>696632</v>
      </c>
      <c r="I203" s="118">
        <f t="shared" si="120"/>
        <v>3312135</v>
      </c>
      <c r="J203" s="118">
        <f t="shared" si="120"/>
        <v>77901</v>
      </c>
      <c r="K203" s="118">
        <f t="shared" si="120"/>
        <v>95643624</v>
      </c>
      <c r="L203" s="118">
        <f t="shared" si="120"/>
        <v>1398636</v>
      </c>
      <c r="M203" s="118">
        <f t="shared" si="120"/>
        <v>61377929</v>
      </c>
      <c r="N203" s="118">
        <f t="shared" si="120"/>
        <v>2946807</v>
      </c>
      <c r="O203" s="118">
        <f t="shared" si="120"/>
        <v>4563924</v>
      </c>
      <c r="P203" s="118">
        <f t="shared" si="120"/>
        <v>0</v>
      </c>
      <c r="Q203" s="118">
        <f t="shared" si="120"/>
        <v>27101489</v>
      </c>
      <c r="R203" s="118">
        <f t="shared" si="120"/>
        <v>1571451</v>
      </c>
      <c r="S203" s="118">
        <f t="shared" si="120"/>
        <v>4034734</v>
      </c>
      <c r="T203" s="118">
        <f t="shared" si="120"/>
        <v>0</v>
      </c>
      <c r="U203" s="118">
        <f t="shared" si="120"/>
        <v>127149</v>
      </c>
      <c r="V203" s="118">
        <f t="shared" si="120"/>
        <v>779010000</v>
      </c>
      <c r="W203" s="118">
        <f t="shared" si="120"/>
        <v>0</v>
      </c>
      <c r="X203" s="150"/>
      <c r="Y203" s="140"/>
      <c r="Z203" s="140">
        <f>IF($C203="B","",VLOOKUP($C203,orig_alloc!$A$13:$B$227,2,FALSE))</f>
      </c>
      <c r="AA203" s="141"/>
      <c r="AD203" s="141"/>
      <c r="AE203" s="141"/>
      <c r="AF203" s="141"/>
    </row>
    <row r="204" spans="1:32" ht="20.25">
      <c r="A204" s="148" t="s">
        <v>422</v>
      </c>
      <c r="B204" s="149" t="str">
        <f>B103</f>
        <v>P171</v>
      </c>
      <c r="C204" s="132"/>
      <c r="D204" s="118">
        <f aca="true" t="shared" si="121" ref="D204:W204">-D103</f>
        <v>-402107000</v>
      </c>
      <c r="E204" s="118">
        <f t="shared" si="121"/>
        <v>-207913816</v>
      </c>
      <c r="F204" s="118">
        <f t="shared" si="121"/>
        <v>-89397630</v>
      </c>
      <c r="G204" s="118">
        <f t="shared" si="121"/>
        <v>-87817</v>
      </c>
      <c r="H204" s="118">
        <f t="shared" si="121"/>
        <v>-359585</v>
      </c>
      <c r="I204" s="118">
        <f t="shared" si="121"/>
        <v>-1709648</v>
      </c>
      <c r="J204" s="118">
        <f t="shared" si="121"/>
        <v>-40211</v>
      </c>
      <c r="K204" s="118">
        <f t="shared" si="121"/>
        <v>-49369033</v>
      </c>
      <c r="L204" s="118">
        <f t="shared" si="121"/>
        <v>-721944</v>
      </c>
      <c r="M204" s="118">
        <f t="shared" si="121"/>
        <v>-31681872</v>
      </c>
      <c r="N204" s="118">
        <f t="shared" si="121"/>
        <v>-1521074</v>
      </c>
      <c r="O204" s="118">
        <f t="shared" si="121"/>
        <v>-2355792</v>
      </c>
      <c r="P204" s="118">
        <f t="shared" si="121"/>
        <v>0</v>
      </c>
      <c r="Q204" s="118">
        <f t="shared" si="121"/>
        <v>-13989164</v>
      </c>
      <c r="R204" s="118">
        <f t="shared" si="121"/>
        <v>-811147</v>
      </c>
      <c r="S204" s="118">
        <f t="shared" si="121"/>
        <v>-2082636</v>
      </c>
      <c r="T204" s="118">
        <f t="shared" si="121"/>
        <v>0</v>
      </c>
      <c r="U204" s="118">
        <f t="shared" si="121"/>
        <v>-65631</v>
      </c>
      <c r="V204" s="118">
        <f t="shared" si="121"/>
        <v>-402107000</v>
      </c>
      <c r="W204" s="118">
        <f t="shared" si="121"/>
        <v>0</v>
      </c>
      <c r="X204" s="150"/>
      <c r="Y204" s="140"/>
      <c r="Z204" s="140">
        <f>IF($C204="B","",VLOOKUP($C204,orig_alloc!$A$13:$B$227,2,FALSE))</f>
      </c>
      <c r="AA204" s="141"/>
      <c r="AD204" s="141"/>
      <c r="AE204" s="141"/>
      <c r="AF204" s="141"/>
    </row>
    <row r="205" spans="1:32" ht="20.25">
      <c r="A205" s="240" t="s">
        <v>423</v>
      </c>
      <c r="B205" s="149" t="s">
        <v>329</v>
      </c>
      <c r="C205" s="132"/>
      <c r="D205" s="202">
        <f aca="true" t="shared" si="122" ref="D205:W205">SUM(D202:D204)</f>
        <v>376903000</v>
      </c>
      <c r="E205" s="202">
        <f t="shared" si="122"/>
        <v>194881814</v>
      </c>
      <c r="F205" s="202">
        <f t="shared" si="122"/>
        <v>83794201</v>
      </c>
      <c r="G205" s="202">
        <f t="shared" si="122"/>
        <v>82311</v>
      </c>
      <c r="H205" s="202">
        <f t="shared" si="122"/>
        <v>337047</v>
      </c>
      <c r="I205" s="202">
        <f t="shared" si="122"/>
        <v>1602487</v>
      </c>
      <c r="J205" s="202">
        <f t="shared" si="122"/>
        <v>37690</v>
      </c>
      <c r="K205" s="202">
        <f t="shared" si="122"/>
        <v>46274591</v>
      </c>
      <c r="L205" s="202">
        <f t="shared" si="122"/>
        <v>676692</v>
      </c>
      <c r="M205" s="202">
        <f t="shared" si="122"/>
        <v>29696057</v>
      </c>
      <c r="N205" s="202">
        <f t="shared" si="122"/>
        <v>1425733</v>
      </c>
      <c r="O205" s="202">
        <f t="shared" si="122"/>
        <v>2208132</v>
      </c>
      <c r="P205" s="202">
        <f t="shared" si="122"/>
        <v>0</v>
      </c>
      <c r="Q205" s="202">
        <f t="shared" si="122"/>
        <v>13112325</v>
      </c>
      <c r="R205" s="202">
        <f t="shared" si="122"/>
        <v>760304</v>
      </c>
      <c r="S205" s="202">
        <f t="shared" si="122"/>
        <v>1952098</v>
      </c>
      <c r="T205" s="202">
        <f t="shared" si="122"/>
        <v>0</v>
      </c>
      <c r="U205" s="202">
        <f t="shared" si="122"/>
        <v>61518</v>
      </c>
      <c r="V205" s="202">
        <f t="shared" si="122"/>
        <v>376903000</v>
      </c>
      <c r="W205" s="202">
        <f t="shared" si="122"/>
        <v>0</v>
      </c>
      <c r="X205" s="150"/>
      <c r="Y205" s="140"/>
      <c r="Z205" s="140">
        <f>IF($C205="B","",VLOOKUP($C205,orig_alloc!$A$13:$B$227,2,FALSE))</f>
      </c>
      <c r="AA205" s="141"/>
      <c r="AD205" s="141"/>
      <c r="AE205" s="141"/>
      <c r="AF205" s="141"/>
    </row>
    <row r="206" spans="1:32" ht="20.25">
      <c r="A206" s="231"/>
      <c r="B206" s="149"/>
      <c r="C206" s="132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150"/>
      <c r="Y206" s="140"/>
      <c r="Z206" s="140">
        <f>IF($C206="B","",VLOOKUP($C206,orig_alloc!$A$13:$B$227,2,FALSE))</f>
      </c>
      <c r="AA206" s="141"/>
      <c r="AD206" s="141"/>
      <c r="AE206" s="141"/>
      <c r="AF206" s="141"/>
    </row>
    <row r="207" spans="1:32" ht="20.25">
      <c r="A207" s="281" t="s">
        <v>340</v>
      </c>
      <c r="B207" s="149"/>
      <c r="C207" s="132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50"/>
      <c r="Y207" s="140"/>
      <c r="Z207" s="140">
        <f>IF($C207="B","",VLOOKUP($C207,orig_alloc!$A$13:$B$227,2,FALSE))</f>
      </c>
      <c r="AA207" s="141"/>
      <c r="AD207" s="141"/>
      <c r="AE207" s="141"/>
      <c r="AF207" s="141"/>
    </row>
    <row r="208" spans="1:32" ht="20.25">
      <c r="A208" s="148" t="s">
        <v>424</v>
      </c>
      <c r="B208" s="149" t="str">
        <f>B58</f>
        <v>T129</v>
      </c>
      <c r="C208" s="132"/>
      <c r="D208" s="118">
        <f aca="true" t="shared" si="123" ref="D208:W208">D58</f>
        <v>23766000</v>
      </c>
      <c r="E208" s="118">
        <f t="shared" si="123"/>
        <v>12288470</v>
      </c>
      <c r="F208" s="118">
        <f t="shared" si="123"/>
        <v>5283728</v>
      </c>
      <c r="G208" s="118">
        <f t="shared" si="123"/>
        <v>5190</v>
      </c>
      <c r="H208" s="118">
        <f t="shared" si="123"/>
        <v>21253</v>
      </c>
      <c r="I208" s="118">
        <f t="shared" si="123"/>
        <v>101046</v>
      </c>
      <c r="J208" s="118">
        <f t="shared" si="123"/>
        <v>2377</v>
      </c>
      <c r="K208" s="118">
        <f t="shared" si="123"/>
        <v>2917891</v>
      </c>
      <c r="L208" s="118">
        <f t="shared" si="123"/>
        <v>42670</v>
      </c>
      <c r="M208" s="118">
        <f t="shared" si="123"/>
        <v>1872515</v>
      </c>
      <c r="N208" s="118">
        <f t="shared" si="123"/>
        <v>89901</v>
      </c>
      <c r="O208" s="118">
        <f t="shared" si="123"/>
        <v>139236</v>
      </c>
      <c r="P208" s="118">
        <f t="shared" si="123"/>
        <v>0</v>
      </c>
      <c r="Q208" s="118">
        <f t="shared" si="123"/>
        <v>826811</v>
      </c>
      <c r="R208" s="118">
        <f t="shared" si="123"/>
        <v>47942</v>
      </c>
      <c r="S208" s="118">
        <f t="shared" si="123"/>
        <v>123091</v>
      </c>
      <c r="T208" s="118">
        <f t="shared" si="123"/>
        <v>0</v>
      </c>
      <c r="U208" s="118">
        <f t="shared" si="123"/>
        <v>3879</v>
      </c>
      <c r="V208" s="118">
        <f t="shared" si="123"/>
        <v>23766000</v>
      </c>
      <c r="W208" s="118">
        <f t="shared" si="123"/>
        <v>0</v>
      </c>
      <c r="X208" s="150"/>
      <c r="Y208" s="140"/>
      <c r="Z208" s="140">
        <f>IF($C208="B","",VLOOKUP($C208,orig_alloc!$A$13:$B$227,2,FALSE))</f>
      </c>
      <c r="AA208" s="141"/>
      <c r="AD208" s="141"/>
      <c r="AE208" s="141"/>
      <c r="AF208" s="141"/>
    </row>
    <row r="209" spans="1:32" ht="20.25">
      <c r="A209" s="148" t="s">
        <v>389</v>
      </c>
      <c r="B209" s="149" t="str">
        <f>B108</f>
        <v>T171</v>
      </c>
      <c r="C209" s="132"/>
      <c r="D209" s="118">
        <f aca="true" t="shared" si="124" ref="D209:W209">-D108</f>
        <v>-10203000</v>
      </c>
      <c r="E209" s="118">
        <f t="shared" si="124"/>
        <v>-5275575</v>
      </c>
      <c r="F209" s="118">
        <f t="shared" si="124"/>
        <v>-2268361</v>
      </c>
      <c r="G209" s="118">
        <f t="shared" si="124"/>
        <v>-2228</v>
      </c>
      <c r="H209" s="118">
        <f t="shared" si="124"/>
        <v>-9124</v>
      </c>
      <c r="I209" s="118">
        <f t="shared" si="124"/>
        <v>-43380</v>
      </c>
      <c r="J209" s="118">
        <f t="shared" si="124"/>
        <v>-1020</v>
      </c>
      <c r="K209" s="118">
        <f t="shared" si="124"/>
        <v>-1252682</v>
      </c>
      <c r="L209" s="118">
        <f t="shared" si="124"/>
        <v>-18318</v>
      </c>
      <c r="M209" s="118">
        <f t="shared" si="124"/>
        <v>-803891</v>
      </c>
      <c r="N209" s="118">
        <f t="shared" si="124"/>
        <v>-38595</v>
      </c>
      <c r="O209" s="118">
        <f t="shared" si="124"/>
        <v>-59776</v>
      </c>
      <c r="P209" s="118">
        <f t="shared" si="124"/>
        <v>0</v>
      </c>
      <c r="Q209" s="118">
        <f t="shared" si="124"/>
        <v>-354959</v>
      </c>
      <c r="R209" s="118">
        <f t="shared" si="124"/>
        <v>-20582</v>
      </c>
      <c r="S209" s="118">
        <f t="shared" si="124"/>
        <v>-52844</v>
      </c>
      <c r="T209" s="118">
        <f t="shared" si="124"/>
        <v>0</v>
      </c>
      <c r="U209" s="118">
        <f t="shared" si="124"/>
        <v>-1665</v>
      </c>
      <c r="V209" s="118">
        <f t="shared" si="124"/>
        <v>-10203000</v>
      </c>
      <c r="W209" s="118">
        <f t="shared" si="124"/>
        <v>0</v>
      </c>
      <c r="X209" s="150"/>
      <c r="Y209" s="140"/>
      <c r="Z209" s="140">
        <f>IF($C209="B","",VLOOKUP($C209,orig_alloc!$A$13:$B$227,2,FALSE))</f>
      </c>
      <c r="AA209" s="141"/>
      <c r="AD209" s="141"/>
      <c r="AE209" s="141"/>
      <c r="AF209" s="141"/>
    </row>
    <row r="210" spans="1:32" ht="20.25">
      <c r="A210" s="240" t="s">
        <v>425</v>
      </c>
      <c r="B210" s="149" t="s">
        <v>330</v>
      </c>
      <c r="C210" s="132"/>
      <c r="D210" s="202">
        <f aca="true" t="shared" si="125" ref="D210:W210">SUM(D207:D209)</f>
        <v>13563000</v>
      </c>
      <c r="E210" s="202">
        <f t="shared" si="125"/>
        <v>7012895</v>
      </c>
      <c r="F210" s="202">
        <f t="shared" si="125"/>
        <v>3015367</v>
      </c>
      <c r="G210" s="202">
        <f t="shared" si="125"/>
        <v>2962</v>
      </c>
      <c r="H210" s="202">
        <f t="shared" si="125"/>
        <v>12129</v>
      </c>
      <c r="I210" s="202">
        <f t="shared" si="125"/>
        <v>57666</v>
      </c>
      <c r="J210" s="202">
        <f t="shared" si="125"/>
        <v>1357</v>
      </c>
      <c r="K210" s="202">
        <f t="shared" si="125"/>
        <v>1665209</v>
      </c>
      <c r="L210" s="202">
        <f t="shared" si="125"/>
        <v>24352</v>
      </c>
      <c r="M210" s="202">
        <f t="shared" si="125"/>
        <v>1068624</v>
      </c>
      <c r="N210" s="202">
        <f t="shared" si="125"/>
        <v>51306</v>
      </c>
      <c r="O210" s="202">
        <f t="shared" si="125"/>
        <v>79460</v>
      </c>
      <c r="P210" s="202">
        <f t="shared" si="125"/>
        <v>0</v>
      </c>
      <c r="Q210" s="202">
        <f t="shared" si="125"/>
        <v>471852</v>
      </c>
      <c r="R210" s="202">
        <f t="shared" si="125"/>
        <v>27360</v>
      </c>
      <c r="S210" s="202">
        <f t="shared" si="125"/>
        <v>70247</v>
      </c>
      <c r="T210" s="202">
        <f t="shared" si="125"/>
        <v>0</v>
      </c>
      <c r="U210" s="202">
        <f t="shared" si="125"/>
        <v>2214</v>
      </c>
      <c r="V210" s="202">
        <f t="shared" si="125"/>
        <v>13563000</v>
      </c>
      <c r="W210" s="202">
        <f t="shared" si="125"/>
        <v>0</v>
      </c>
      <c r="X210" s="150"/>
      <c r="Y210" s="140"/>
      <c r="Z210" s="140">
        <f>IF($C210="B","",VLOOKUP($C210,orig_alloc!$A$13:$B$227,2,FALSE))</f>
      </c>
      <c r="AA210" s="141"/>
      <c r="AD210" s="141"/>
      <c r="AE210" s="141"/>
      <c r="AF210" s="141"/>
    </row>
    <row r="211" spans="1:32" ht="20.25">
      <c r="A211" s="132"/>
      <c r="B211" s="149"/>
      <c r="C211" s="132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50"/>
      <c r="Y211" s="140"/>
      <c r="Z211" s="140">
        <f>IF($C211="B","",VLOOKUP($C211,orig_alloc!$A$13:$B$227,2,FALSE))</f>
      </c>
      <c r="AA211" s="141"/>
      <c r="AD211" s="141"/>
      <c r="AE211" s="141"/>
      <c r="AF211" s="141"/>
    </row>
    <row r="212" spans="1:32" ht="20.25">
      <c r="A212" s="132" t="s">
        <v>183</v>
      </c>
      <c r="B212" s="149"/>
      <c r="C212" s="132"/>
      <c r="D212" s="118">
        <f aca="true" t="shared" si="126" ref="D212:W212">D210+D205</f>
        <v>390466000</v>
      </c>
      <c r="E212" s="118">
        <f t="shared" si="126"/>
        <v>201894709</v>
      </c>
      <c r="F212" s="118">
        <f t="shared" si="126"/>
        <v>86809568</v>
      </c>
      <c r="G212" s="118">
        <f t="shared" si="126"/>
        <v>85273</v>
      </c>
      <c r="H212" s="118">
        <f t="shared" si="126"/>
        <v>349176</v>
      </c>
      <c r="I212" s="118">
        <f t="shared" si="126"/>
        <v>1660153</v>
      </c>
      <c r="J212" s="118">
        <f t="shared" si="126"/>
        <v>39047</v>
      </c>
      <c r="K212" s="118">
        <f t="shared" si="126"/>
        <v>47939800</v>
      </c>
      <c r="L212" s="118">
        <f t="shared" si="126"/>
        <v>701044</v>
      </c>
      <c r="M212" s="118">
        <f t="shared" si="126"/>
        <v>30764681</v>
      </c>
      <c r="N212" s="118">
        <f t="shared" si="126"/>
        <v>1477039</v>
      </c>
      <c r="O212" s="118">
        <f t="shared" si="126"/>
        <v>2287592</v>
      </c>
      <c r="P212" s="118">
        <f t="shared" si="126"/>
        <v>0</v>
      </c>
      <c r="Q212" s="118">
        <f t="shared" si="126"/>
        <v>13584177</v>
      </c>
      <c r="R212" s="118">
        <f t="shared" si="126"/>
        <v>787664</v>
      </c>
      <c r="S212" s="118">
        <f t="shared" si="126"/>
        <v>2022345</v>
      </c>
      <c r="T212" s="118">
        <f t="shared" si="126"/>
        <v>0</v>
      </c>
      <c r="U212" s="118">
        <f t="shared" si="126"/>
        <v>63732</v>
      </c>
      <c r="V212" s="118">
        <f t="shared" si="126"/>
        <v>390466000</v>
      </c>
      <c r="W212" s="118">
        <f t="shared" si="126"/>
        <v>0</v>
      </c>
      <c r="X212" s="150"/>
      <c r="Y212" s="140"/>
      <c r="Z212" s="140">
        <f>IF($C212="B","",VLOOKUP($C212,orig_alloc!$A$13:$B$227,2,FALSE))</f>
      </c>
      <c r="AA212" s="141"/>
      <c r="AD212" s="141"/>
      <c r="AE212" s="141"/>
      <c r="AF212" s="141"/>
    </row>
    <row r="213" spans="1:32" ht="20.25">
      <c r="A213" s="132"/>
      <c r="B213" s="149"/>
      <c r="C213" s="132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50"/>
      <c r="Y213" s="140"/>
      <c r="Z213" s="140">
        <f>IF($C213="B","",VLOOKUP($C213,orig_alloc!$A$13:$B$227,2,FALSE))</f>
      </c>
      <c r="AA213" s="141"/>
      <c r="AD213" s="141"/>
      <c r="AE213" s="141"/>
      <c r="AF213" s="141"/>
    </row>
    <row r="214" spans="1:32" ht="20.25">
      <c r="A214" s="281" t="s">
        <v>346</v>
      </c>
      <c r="B214" s="149"/>
      <c r="C214" s="132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50"/>
      <c r="Y214" s="140"/>
      <c r="Z214" s="140">
        <f>IF($C214="B","",VLOOKUP($C214,orig_alloc!$A$13:$B$227,2,FALSE))</f>
      </c>
      <c r="AA214" s="141"/>
      <c r="AD214" s="141"/>
      <c r="AE214" s="141"/>
      <c r="AF214" s="141"/>
    </row>
    <row r="215" spans="1:32" ht="20.25">
      <c r="A215" s="148" t="s">
        <v>426</v>
      </c>
      <c r="B215" s="149" t="str">
        <f>B72</f>
        <v>D149</v>
      </c>
      <c r="C215" s="132"/>
      <c r="D215" s="118">
        <f aca="true" t="shared" si="127" ref="D215:W215">D72</f>
        <v>295514000</v>
      </c>
      <c r="E215" s="118">
        <f t="shared" si="127"/>
        <v>153755638</v>
      </c>
      <c r="F215" s="118">
        <f t="shared" si="127"/>
        <v>71295464</v>
      </c>
      <c r="G215" s="118">
        <f t="shared" si="127"/>
        <v>65211</v>
      </c>
      <c r="H215" s="118">
        <f t="shared" si="127"/>
        <v>266558</v>
      </c>
      <c r="I215" s="118">
        <f t="shared" si="127"/>
        <v>1101553</v>
      </c>
      <c r="J215" s="118">
        <f t="shared" si="127"/>
        <v>34889</v>
      </c>
      <c r="K215" s="118">
        <f t="shared" si="127"/>
        <v>39395289</v>
      </c>
      <c r="L215" s="118">
        <f t="shared" si="127"/>
        <v>470623</v>
      </c>
      <c r="M215" s="118">
        <f t="shared" si="127"/>
        <v>16862235</v>
      </c>
      <c r="N215" s="118">
        <f t="shared" si="127"/>
        <v>774316</v>
      </c>
      <c r="O215" s="118">
        <f t="shared" si="127"/>
        <v>1458208</v>
      </c>
      <c r="P215" s="118">
        <f t="shared" si="127"/>
        <v>0</v>
      </c>
      <c r="Q215" s="118">
        <f t="shared" si="127"/>
        <v>15755</v>
      </c>
      <c r="R215" s="118">
        <f t="shared" si="127"/>
        <v>0</v>
      </c>
      <c r="S215" s="118">
        <f t="shared" si="127"/>
        <v>9987116</v>
      </c>
      <c r="T215" s="118">
        <f t="shared" si="127"/>
        <v>0</v>
      </c>
      <c r="U215" s="118">
        <f t="shared" si="127"/>
        <v>31145</v>
      </c>
      <c r="V215" s="118">
        <f t="shared" si="127"/>
        <v>295514000</v>
      </c>
      <c r="W215" s="118">
        <f t="shared" si="127"/>
        <v>0</v>
      </c>
      <c r="X215" s="150"/>
      <c r="Y215" s="140"/>
      <c r="Z215" s="140">
        <f>IF($C215="B","",VLOOKUP($C215,orig_alloc!$A$13:$B$227,2,FALSE))</f>
      </c>
      <c r="AA215" s="141"/>
      <c r="AD215" s="141"/>
      <c r="AE215" s="141"/>
      <c r="AF215" s="141"/>
    </row>
    <row r="216" spans="1:32" ht="20.25">
      <c r="A216" s="148" t="s">
        <v>427</v>
      </c>
      <c r="B216" s="149" t="str">
        <f>B123</f>
        <v>D191</v>
      </c>
      <c r="C216" s="132"/>
      <c r="D216" s="118">
        <f aca="true" t="shared" si="128" ref="D216:W216">-D123</f>
        <v>-115730766</v>
      </c>
      <c r="E216" s="118">
        <f t="shared" si="128"/>
        <v>-60558577</v>
      </c>
      <c r="F216" s="118">
        <f t="shared" si="128"/>
        <v>-26888892</v>
      </c>
      <c r="G216" s="118">
        <f t="shared" si="128"/>
        <v>-24614</v>
      </c>
      <c r="H216" s="118">
        <f t="shared" si="128"/>
        <v>-102596</v>
      </c>
      <c r="I216" s="118">
        <f t="shared" si="128"/>
        <v>-428100</v>
      </c>
      <c r="J216" s="118">
        <f t="shared" si="128"/>
        <v>-13266</v>
      </c>
      <c r="K216" s="118">
        <f t="shared" si="128"/>
        <v>-14669569</v>
      </c>
      <c r="L216" s="118">
        <f t="shared" si="128"/>
        <v>-179361</v>
      </c>
      <c r="M216" s="118">
        <f t="shared" si="128"/>
        <v>-5906461</v>
      </c>
      <c r="N216" s="118">
        <f t="shared" si="128"/>
        <v>-271505</v>
      </c>
      <c r="O216" s="118">
        <f t="shared" si="128"/>
        <v>-510616</v>
      </c>
      <c r="P216" s="118">
        <f t="shared" si="128"/>
        <v>0</v>
      </c>
      <c r="Q216" s="118">
        <f t="shared" si="128"/>
        <v>-3387</v>
      </c>
      <c r="R216" s="118">
        <f t="shared" si="128"/>
        <v>0</v>
      </c>
      <c r="S216" s="118">
        <f t="shared" si="128"/>
        <v>-6160609</v>
      </c>
      <c r="T216" s="118">
        <f t="shared" si="128"/>
        <v>0</v>
      </c>
      <c r="U216" s="118">
        <f t="shared" si="128"/>
        <v>-13213</v>
      </c>
      <c r="V216" s="118">
        <f t="shared" si="128"/>
        <v>-115730766</v>
      </c>
      <c r="W216" s="118">
        <f t="shared" si="128"/>
        <v>0</v>
      </c>
      <c r="X216" s="150"/>
      <c r="Y216" s="140"/>
      <c r="Z216" s="140">
        <f>IF($C216="B","",VLOOKUP($C216,orig_alloc!$A$13:$B$227,2,FALSE))</f>
      </c>
      <c r="AA216" s="141"/>
      <c r="AD216" s="141"/>
      <c r="AE216" s="141"/>
      <c r="AF216" s="141"/>
    </row>
    <row r="217" spans="1:32" ht="20.25">
      <c r="A217" s="240" t="s">
        <v>428</v>
      </c>
      <c r="B217" s="149" t="s">
        <v>331</v>
      </c>
      <c r="C217" s="132"/>
      <c r="D217" s="202">
        <f aca="true" t="shared" si="129" ref="D217:W217">SUM(D214:D216)</f>
        <v>179783234</v>
      </c>
      <c r="E217" s="202">
        <f t="shared" si="129"/>
        <v>93197061</v>
      </c>
      <c r="F217" s="202">
        <f t="shared" si="129"/>
        <v>44406572</v>
      </c>
      <c r="G217" s="202">
        <f t="shared" si="129"/>
        <v>40597</v>
      </c>
      <c r="H217" s="202">
        <f t="shared" si="129"/>
        <v>163962</v>
      </c>
      <c r="I217" s="202">
        <f t="shared" si="129"/>
        <v>673453</v>
      </c>
      <c r="J217" s="202">
        <f t="shared" si="129"/>
        <v>21623</v>
      </c>
      <c r="K217" s="202">
        <f t="shared" si="129"/>
        <v>24725720</v>
      </c>
      <c r="L217" s="202">
        <f t="shared" si="129"/>
        <v>291262</v>
      </c>
      <c r="M217" s="202">
        <f t="shared" si="129"/>
        <v>10955774</v>
      </c>
      <c r="N217" s="202">
        <f t="shared" si="129"/>
        <v>502811</v>
      </c>
      <c r="O217" s="202">
        <f t="shared" si="129"/>
        <v>947592</v>
      </c>
      <c r="P217" s="202">
        <f t="shared" si="129"/>
        <v>0</v>
      </c>
      <c r="Q217" s="202">
        <f t="shared" si="129"/>
        <v>12368</v>
      </c>
      <c r="R217" s="202">
        <f t="shared" si="129"/>
        <v>0</v>
      </c>
      <c r="S217" s="202">
        <f t="shared" si="129"/>
        <v>3826507</v>
      </c>
      <c r="T217" s="202">
        <f t="shared" si="129"/>
        <v>0</v>
      </c>
      <c r="U217" s="202">
        <f t="shared" si="129"/>
        <v>17932</v>
      </c>
      <c r="V217" s="202">
        <f t="shared" si="129"/>
        <v>179783234</v>
      </c>
      <c r="W217" s="202">
        <f t="shared" si="129"/>
        <v>0</v>
      </c>
      <c r="X217" s="150"/>
      <c r="Y217" s="140"/>
      <c r="Z217" s="140">
        <f>IF($C217="B","",VLOOKUP($C217,orig_alloc!$A$13:$B$227,2,FALSE))</f>
      </c>
      <c r="AA217" s="141"/>
      <c r="AD217" s="141"/>
      <c r="AE217" s="141"/>
      <c r="AF217" s="141"/>
    </row>
    <row r="218" spans="1:32" ht="20.25">
      <c r="A218" s="132"/>
      <c r="B218" s="149"/>
      <c r="C218" s="132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150"/>
      <c r="Y218" s="140"/>
      <c r="Z218" s="140">
        <f>IF($C218="B","",VLOOKUP($C218,orig_alloc!$A$13:$B$227,2,FALSE))</f>
      </c>
      <c r="AA218" s="141"/>
      <c r="AD218" s="141"/>
      <c r="AE218" s="141"/>
      <c r="AF218" s="141"/>
    </row>
    <row r="219" spans="1:32" ht="20.25">
      <c r="A219" s="136"/>
      <c r="B219" s="136"/>
      <c r="C219" s="132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50"/>
      <c r="Y219" s="140"/>
      <c r="Z219" s="140">
        <f>IF($C219="B","",VLOOKUP($C219,orig_alloc!$A$13:$B$227,2,FALSE))</f>
      </c>
      <c r="AA219" s="141"/>
      <c r="AD219" s="141"/>
      <c r="AE219" s="141"/>
      <c r="AF219" s="141"/>
    </row>
    <row r="220" spans="1:32" ht="20.25">
      <c r="A220" s="132" t="s">
        <v>417</v>
      </c>
      <c r="B220" s="149" t="s">
        <v>229</v>
      </c>
      <c r="C220" s="132"/>
      <c r="D220" s="118">
        <f aca="true" t="shared" si="130" ref="D220:W220">D217+D210</f>
        <v>193346234</v>
      </c>
      <c r="E220" s="118">
        <f t="shared" si="130"/>
        <v>100209956</v>
      </c>
      <c r="F220" s="118">
        <f t="shared" si="130"/>
        <v>47421939</v>
      </c>
      <c r="G220" s="118">
        <f t="shared" si="130"/>
        <v>43559</v>
      </c>
      <c r="H220" s="118">
        <f t="shared" si="130"/>
        <v>176091</v>
      </c>
      <c r="I220" s="118">
        <f t="shared" si="130"/>
        <v>731119</v>
      </c>
      <c r="J220" s="118">
        <f t="shared" si="130"/>
        <v>22980</v>
      </c>
      <c r="K220" s="118">
        <f t="shared" si="130"/>
        <v>26390929</v>
      </c>
      <c r="L220" s="118">
        <f t="shared" si="130"/>
        <v>315614</v>
      </c>
      <c r="M220" s="118">
        <f t="shared" si="130"/>
        <v>12024398</v>
      </c>
      <c r="N220" s="118">
        <f t="shared" si="130"/>
        <v>554117</v>
      </c>
      <c r="O220" s="118">
        <f t="shared" si="130"/>
        <v>1027052</v>
      </c>
      <c r="P220" s="118">
        <f t="shared" si="130"/>
        <v>0</v>
      </c>
      <c r="Q220" s="118">
        <f t="shared" si="130"/>
        <v>484220</v>
      </c>
      <c r="R220" s="118">
        <f t="shared" si="130"/>
        <v>27360</v>
      </c>
      <c r="S220" s="118">
        <f t="shared" si="130"/>
        <v>3896754</v>
      </c>
      <c r="T220" s="118">
        <f t="shared" si="130"/>
        <v>0</v>
      </c>
      <c r="U220" s="118">
        <f t="shared" si="130"/>
        <v>20146</v>
      </c>
      <c r="V220" s="118">
        <f t="shared" si="130"/>
        <v>193346234</v>
      </c>
      <c r="W220" s="118">
        <f t="shared" si="130"/>
        <v>0</v>
      </c>
      <c r="X220" s="150"/>
      <c r="Y220" s="140"/>
      <c r="Z220" s="140">
        <f>IF($C220="B","",VLOOKUP($C220,orig_alloc!$A$13:$B$227,2,FALSE))</f>
      </c>
      <c r="AA220" s="141"/>
      <c r="AD220" s="141"/>
      <c r="AE220" s="141"/>
      <c r="AF220" s="141"/>
    </row>
    <row r="221" spans="1:32" ht="20.25">
      <c r="A221" s="132" t="s">
        <v>416</v>
      </c>
      <c r="B221" s="149" t="s">
        <v>807</v>
      </c>
      <c r="C221" s="132"/>
      <c r="D221" s="118">
        <f aca="true" t="shared" si="131" ref="D221:W221">D217+D212</f>
        <v>570249234</v>
      </c>
      <c r="E221" s="118">
        <f t="shared" si="131"/>
        <v>295091770</v>
      </c>
      <c r="F221" s="118">
        <f t="shared" si="131"/>
        <v>131216140</v>
      </c>
      <c r="G221" s="118">
        <f t="shared" si="131"/>
        <v>125870</v>
      </c>
      <c r="H221" s="118">
        <f t="shared" si="131"/>
        <v>513138</v>
      </c>
      <c r="I221" s="118">
        <f t="shared" si="131"/>
        <v>2333606</v>
      </c>
      <c r="J221" s="118">
        <f t="shared" si="131"/>
        <v>60670</v>
      </c>
      <c r="K221" s="118">
        <f t="shared" si="131"/>
        <v>72665520</v>
      </c>
      <c r="L221" s="118">
        <f t="shared" si="131"/>
        <v>992306</v>
      </c>
      <c r="M221" s="118">
        <f t="shared" si="131"/>
        <v>41720455</v>
      </c>
      <c r="N221" s="118">
        <f t="shared" si="131"/>
        <v>1979850</v>
      </c>
      <c r="O221" s="118">
        <f t="shared" si="131"/>
        <v>3235184</v>
      </c>
      <c r="P221" s="118">
        <f t="shared" si="131"/>
        <v>0</v>
      </c>
      <c r="Q221" s="118">
        <f t="shared" si="131"/>
        <v>13596545</v>
      </c>
      <c r="R221" s="118">
        <f t="shared" si="131"/>
        <v>787664</v>
      </c>
      <c r="S221" s="118">
        <f t="shared" si="131"/>
        <v>5848852</v>
      </c>
      <c r="T221" s="118">
        <f t="shared" si="131"/>
        <v>0</v>
      </c>
      <c r="U221" s="118">
        <f t="shared" si="131"/>
        <v>81664</v>
      </c>
      <c r="V221" s="118">
        <f t="shared" si="131"/>
        <v>570249234</v>
      </c>
      <c r="W221" s="118">
        <f t="shared" si="131"/>
        <v>0</v>
      </c>
      <c r="X221" s="150"/>
      <c r="Y221" s="140"/>
      <c r="Z221" s="140">
        <f>IF($C221="B","",VLOOKUP($C221,orig_alloc!$A$13:$B$227,2,FALSE))</f>
      </c>
      <c r="AA221" s="141"/>
      <c r="AD221" s="141"/>
      <c r="AE221" s="141"/>
      <c r="AF221" s="141"/>
    </row>
    <row r="222" spans="1:32" ht="20.25">
      <c r="A222" s="132"/>
      <c r="B222" s="149"/>
      <c r="C222" s="132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50"/>
      <c r="Y222" s="140"/>
      <c r="Z222" s="140">
        <f>IF($C222="B","",VLOOKUP($C222,orig_alloc!$A$13:$B$227,2,FALSE))</f>
      </c>
      <c r="AA222" s="141"/>
      <c r="AD222" s="141"/>
      <c r="AE222" s="141"/>
      <c r="AF222" s="141"/>
    </row>
    <row r="223" spans="1:32" ht="20.25">
      <c r="A223" s="281" t="s">
        <v>368</v>
      </c>
      <c r="B223" s="149"/>
      <c r="C223" s="132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50"/>
      <c r="Y223" s="140"/>
      <c r="Z223" s="140">
        <f>IF($C223="B","",VLOOKUP($C223,orig_alloc!$A$13:$B$227,2,FALSE))</f>
      </c>
      <c r="AA223" s="141"/>
      <c r="AD223" s="141"/>
      <c r="AE223" s="141"/>
      <c r="AF223" s="141"/>
    </row>
    <row r="224" spans="1:32" ht="20.25">
      <c r="A224" s="148" t="s">
        <v>429</v>
      </c>
      <c r="B224" s="149" t="str">
        <f>B85</f>
        <v>G129</v>
      </c>
      <c r="C224" s="132"/>
      <c r="D224" s="118">
        <f aca="true" t="shared" si="132" ref="D224:W224">D85</f>
        <v>3435000</v>
      </c>
      <c r="E224" s="118">
        <f t="shared" si="132"/>
        <v>1906202</v>
      </c>
      <c r="F224" s="118">
        <f t="shared" si="132"/>
        <v>744955</v>
      </c>
      <c r="G224" s="118">
        <f t="shared" si="132"/>
        <v>599</v>
      </c>
      <c r="H224" s="118">
        <f t="shared" si="132"/>
        <v>3551</v>
      </c>
      <c r="I224" s="118">
        <f t="shared" si="132"/>
        <v>11730</v>
      </c>
      <c r="J224" s="118">
        <f t="shared" si="132"/>
        <v>421</v>
      </c>
      <c r="K224" s="118">
        <f t="shared" si="132"/>
        <v>395042</v>
      </c>
      <c r="L224" s="118">
        <f t="shared" si="132"/>
        <v>4219</v>
      </c>
      <c r="M224" s="118">
        <f t="shared" si="132"/>
        <v>234439</v>
      </c>
      <c r="N224" s="118">
        <f t="shared" si="132"/>
        <v>8889</v>
      </c>
      <c r="O224" s="118">
        <f t="shared" si="132"/>
        <v>18231</v>
      </c>
      <c r="P224" s="118">
        <f t="shared" si="132"/>
        <v>0</v>
      </c>
      <c r="Q224" s="118">
        <f t="shared" si="132"/>
        <v>83874</v>
      </c>
      <c r="R224" s="118">
        <f t="shared" si="132"/>
        <v>3837</v>
      </c>
      <c r="S224" s="118">
        <f t="shared" si="132"/>
        <v>18585</v>
      </c>
      <c r="T224" s="118">
        <f t="shared" si="132"/>
        <v>0</v>
      </c>
      <c r="U224" s="118">
        <f t="shared" si="132"/>
        <v>426</v>
      </c>
      <c r="V224" s="118">
        <f t="shared" si="132"/>
        <v>3435000</v>
      </c>
      <c r="W224" s="118">
        <f t="shared" si="132"/>
        <v>0</v>
      </c>
      <c r="X224" s="150"/>
      <c r="Y224" s="140"/>
      <c r="Z224" s="140">
        <f>IF($C224="B","",VLOOKUP($C224,orig_alloc!$A$13:$B$227,2,FALSE))</f>
      </c>
      <c r="AA224" s="141"/>
      <c r="AD224" s="141"/>
      <c r="AE224" s="141"/>
      <c r="AF224" s="141"/>
    </row>
    <row r="225" spans="1:32" ht="20.25">
      <c r="A225" s="148" t="s">
        <v>430</v>
      </c>
      <c r="B225" s="149" t="str">
        <f>B136</f>
        <v>G171</v>
      </c>
      <c r="C225" s="132"/>
      <c r="D225" s="118">
        <f aca="true" t="shared" si="133" ref="D225:W225">-D136</f>
        <v>-1827000</v>
      </c>
      <c r="E225" s="118">
        <f t="shared" si="133"/>
        <v>-1013814</v>
      </c>
      <c r="F225" s="118">
        <f t="shared" si="133"/>
        <v>-396288</v>
      </c>
      <c r="G225" s="118">
        <f t="shared" si="133"/>
        <v>-318</v>
      </c>
      <c r="H225" s="118">
        <f t="shared" si="133"/>
        <v>-1891</v>
      </c>
      <c r="I225" s="118">
        <f t="shared" si="133"/>
        <v>-6237</v>
      </c>
      <c r="J225" s="118">
        <f t="shared" si="133"/>
        <v>-224</v>
      </c>
      <c r="K225" s="118">
        <f t="shared" si="133"/>
        <v>-210124</v>
      </c>
      <c r="L225" s="118">
        <f t="shared" si="133"/>
        <v>-2243</v>
      </c>
      <c r="M225" s="118">
        <f t="shared" si="133"/>
        <v>-124690</v>
      </c>
      <c r="N225" s="118">
        <f t="shared" si="133"/>
        <v>-4725</v>
      </c>
      <c r="O225" s="118">
        <f t="shared" si="133"/>
        <v>-9695</v>
      </c>
      <c r="P225" s="118">
        <f t="shared" si="133"/>
        <v>0</v>
      </c>
      <c r="Q225" s="118">
        <f t="shared" si="133"/>
        <v>-44598</v>
      </c>
      <c r="R225" s="118">
        <f t="shared" si="133"/>
        <v>-2039</v>
      </c>
      <c r="S225" s="118">
        <f t="shared" si="133"/>
        <v>-9888</v>
      </c>
      <c r="T225" s="118">
        <f t="shared" si="133"/>
        <v>0</v>
      </c>
      <c r="U225" s="118">
        <f t="shared" si="133"/>
        <v>-226</v>
      </c>
      <c r="V225" s="118">
        <f t="shared" si="133"/>
        <v>-1827000</v>
      </c>
      <c r="W225" s="118">
        <f t="shared" si="133"/>
        <v>0</v>
      </c>
      <c r="X225" s="150"/>
      <c r="Y225" s="140"/>
      <c r="Z225" s="140">
        <f>IF($C225="B","",VLOOKUP($C225,orig_alloc!$A$13:$B$227,2,FALSE))</f>
      </c>
      <c r="AA225" s="141"/>
      <c r="AD225" s="141"/>
      <c r="AE225" s="141"/>
      <c r="AF225" s="141"/>
    </row>
    <row r="226" spans="1:32" ht="20.25">
      <c r="A226" s="240" t="s">
        <v>431</v>
      </c>
      <c r="B226" s="149" t="s">
        <v>626</v>
      </c>
      <c r="C226" s="132"/>
      <c r="D226" s="202">
        <f aca="true" t="shared" si="134" ref="D226:W226">SUM(D223:D225)</f>
        <v>1608000</v>
      </c>
      <c r="E226" s="202">
        <f t="shared" si="134"/>
        <v>892388</v>
      </c>
      <c r="F226" s="202">
        <f t="shared" si="134"/>
        <v>348667</v>
      </c>
      <c r="G226" s="202">
        <f t="shared" si="134"/>
        <v>281</v>
      </c>
      <c r="H226" s="202">
        <f t="shared" si="134"/>
        <v>1660</v>
      </c>
      <c r="I226" s="202">
        <f t="shared" si="134"/>
        <v>5493</v>
      </c>
      <c r="J226" s="202">
        <f t="shared" si="134"/>
        <v>197</v>
      </c>
      <c r="K226" s="202">
        <f t="shared" si="134"/>
        <v>184918</v>
      </c>
      <c r="L226" s="202">
        <f t="shared" si="134"/>
        <v>1976</v>
      </c>
      <c r="M226" s="202">
        <f t="shared" si="134"/>
        <v>109749</v>
      </c>
      <c r="N226" s="202">
        <f t="shared" si="134"/>
        <v>4164</v>
      </c>
      <c r="O226" s="202">
        <f t="shared" si="134"/>
        <v>8536</v>
      </c>
      <c r="P226" s="202">
        <f t="shared" si="134"/>
        <v>0</v>
      </c>
      <c r="Q226" s="202">
        <f t="shared" si="134"/>
        <v>39276</v>
      </c>
      <c r="R226" s="202">
        <f t="shared" si="134"/>
        <v>1798</v>
      </c>
      <c r="S226" s="202">
        <f t="shared" si="134"/>
        <v>8697</v>
      </c>
      <c r="T226" s="202">
        <f t="shared" si="134"/>
        <v>0</v>
      </c>
      <c r="U226" s="202">
        <f t="shared" si="134"/>
        <v>200</v>
      </c>
      <c r="V226" s="202">
        <f t="shared" si="134"/>
        <v>1608000</v>
      </c>
      <c r="W226" s="202">
        <f t="shared" si="134"/>
        <v>0</v>
      </c>
      <c r="X226" s="150"/>
      <c r="Y226" s="140"/>
      <c r="Z226" s="140">
        <f>IF($C226="B","",VLOOKUP($C226,orig_alloc!$A$13:$B$227,2,FALSE))</f>
      </c>
      <c r="AA226" s="141"/>
      <c r="AD226" s="141"/>
      <c r="AE226" s="141"/>
      <c r="AF226" s="141"/>
    </row>
    <row r="227" spans="1:32" ht="20.25">
      <c r="A227" s="132"/>
      <c r="B227" s="149"/>
      <c r="C227" s="132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50"/>
      <c r="Y227" s="140"/>
      <c r="Z227" s="140">
        <f>IF($C227="B","",VLOOKUP($C227,orig_alloc!$A$13:$B$227,2,FALSE))</f>
      </c>
      <c r="AA227" s="141"/>
      <c r="AD227" s="141"/>
      <c r="AE227" s="141"/>
      <c r="AF227" s="141"/>
    </row>
    <row r="228" spans="1:32" ht="20.25">
      <c r="A228" s="281" t="s">
        <v>375</v>
      </c>
      <c r="B228" s="149"/>
      <c r="C228" s="132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50"/>
      <c r="Y228" s="140"/>
      <c r="Z228" s="140">
        <f>IF($C228="B","",VLOOKUP($C228,orig_alloc!$A$13:$B$227,2,FALSE))</f>
      </c>
      <c r="AA228" s="141"/>
      <c r="AD228" s="141"/>
      <c r="AE228" s="141"/>
      <c r="AF228" s="141"/>
    </row>
    <row r="229" spans="1:32" ht="20.25">
      <c r="A229" s="148" t="s">
        <v>432</v>
      </c>
      <c r="B229" s="149" t="s">
        <v>379</v>
      </c>
      <c r="C229" s="132"/>
      <c r="D229" s="118">
        <f aca="true" t="shared" si="135" ref="D229:W229">D95</f>
        <v>21097000</v>
      </c>
      <c r="E229" s="118">
        <f t="shared" si="135"/>
        <v>11706324</v>
      </c>
      <c r="F229" s="118">
        <f t="shared" si="135"/>
        <v>4575705</v>
      </c>
      <c r="G229" s="118">
        <f t="shared" si="135"/>
        <v>3673</v>
      </c>
      <c r="H229" s="118">
        <f t="shared" si="135"/>
        <v>21810</v>
      </c>
      <c r="I229" s="118">
        <f t="shared" si="135"/>
        <v>72048</v>
      </c>
      <c r="J229" s="118">
        <f t="shared" si="135"/>
        <v>2588</v>
      </c>
      <c r="K229" s="118">
        <f t="shared" si="135"/>
        <v>2426800</v>
      </c>
      <c r="L229" s="118">
        <f t="shared" si="135"/>
        <v>25917</v>
      </c>
      <c r="M229" s="118">
        <f t="shared" si="135"/>
        <v>1440124</v>
      </c>
      <c r="N229" s="118">
        <f t="shared" si="135"/>
        <v>54594</v>
      </c>
      <c r="O229" s="118">
        <f t="shared" si="135"/>
        <v>111984</v>
      </c>
      <c r="P229" s="118">
        <f t="shared" si="135"/>
        <v>0</v>
      </c>
      <c r="Q229" s="118">
        <f t="shared" si="135"/>
        <v>515104</v>
      </c>
      <c r="R229" s="118">
        <f t="shared" si="135"/>
        <v>23559</v>
      </c>
      <c r="S229" s="118">
        <f t="shared" si="135"/>
        <v>114154</v>
      </c>
      <c r="T229" s="118">
        <f t="shared" si="135"/>
        <v>0</v>
      </c>
      <c r="U229" s="118">
        <f t="shared" si="135"/>
        <v>2616</v>
      </c>
      <c r="V229" s="118">
        <f t="shared" si="135"/>
        <v>21097000</v>
      </c>
      <c r="W229" s="118">
        <f t="shared" si="135"/>
        <v>0</v>
      </c>
      <c r="X229" s="150"/>
      <c r="Y229" s="140"/>
      <c r="Z229" s="140">
        <f>IF($C229="B","",VLOOKUP($C229,orig_alloc!$A$13:$B$227,2,FALSE))</f>
      </c>
      <c r="AA229" s="141"/>
      <c r="AD229" s="141"/>
      <c r="AE229" s="141"/>
      <c r="AF229" s="141"/>
    </row>
    <row r="230" spans="1:32" ht="20.25">
      <c r="A230" s="148" t="s">
        <v>433</v>
      </c>
      <c r="B230" s="149" t="s">
        <v>408</v>
      </c>
      <c r="C230" s="132"/>
      <c r="D230" s="118">
        <f aca="true" t="shared" si="136" ref="D230:W230">-D146</f>
        <v>-10226000</v>
      </c>
      <c r="E230" s="118">
        <f t="shared" si="136"/>
        <v>-5674414</v>
      </c>
      <c r="F230" s="118">
        <f t="shared" si="136"/>
        <v>-2217803</v>
      </c>
      <c r="G230" s="118">
        <f t="shared" si="136"/>
        <v>-1779</v>
      </c>
      <c r="H230" s="118">
        <f t="shared" si="136"/>
        <v>-10572</v>
      </c>
      <c r="I230" s="118">
        <f t="shared" si="136"/>
        <v>-34921</v>
      </c>
      <c r="J230" s="118">
        <f t="shared" si="136"/>
        <v>-1254</v>
      </c>
      <c r="K230" s="118">
        <f t="shared" si="136"/>
        <v>-1176223</v>
      </c>
      <c r="L230" s="118">
        <f t="shared" si="136"/>
        <v>-12561</v>
      </c>
      <c r="M230" s="118">
        <f t="shared" si="136"/>
        <v>-698019</v>
      </c>
      <c r="N230" s="118">
        <f t="shared" si="136"/>
        <v>-26461</v>
      </c>
      <c r="O230" s="118">
        <f t="shared" si="136"/>
        <v>-54278</v>
      </c>
      <c r="P230" s="118">
        <f t="shared" si="136"/>
        <v>0</v>
      </c>
      <c r="Q230" s="118">
        <f t="shared" si="136"/>
        <v>-249701</v>
      </c>
      <c r="R230" s="118">
        <f t="shared" si="136"/>
        <v>-11420</v>
      </c>
      <c r="S230" s="118">
        <f t="shared" si="136"/>
        <v>-55325</v>
      </c>
      <c r="T230" s="118">
        <f t="shared" si="136"/>
        <v>0</v>
      </c>
      <c r="U230" s="118">
        <f t="shared" si="136"/>
        <v>-1269</v>
      </c>
      <c r="V230" s="118">
        <f t="shared" si="136"/>
        <v>-10226000</v>
      </c>
      <c r="W230" s="118">
        <f t="shared" si="136"/>
        <v>0</v>
      </c>
      <c r="X230" s="150"/>
      <c r="Y230" s="140"/>
      <c r="Z230" s="140">
        <f>IF($C230="B","",VLOOKUP($C230,orig_alloc!$A$13:$B$227,2,FALSE))</f>
      </c>
      <c r="AA230" s="141"/>
      <c r="AD230" s="141"/>
      <c r="AE230" s="141"/>
      <c r="AF230" s="141"/>
    </row>
    <row r="231" spans="1:32" ht="20.25">
      <c r="A231" s="240" t="s">
        <v>434</v>
      </c>
      <c r="B231" s="149" t="s">
        <v>631</v>
      </c>
      <c r="C231" s="132"/>
      <c r="D231" s="202">
        <f aca="true" t="shared" si="137" ref="D231:W231">SUM(D228:D230)</f>
        <v>10871000</v>
      </c>
      <c r="E231" s="202">
        <f t="shared" si="137"/>
        <v>6031910</v>
      </c>
      <c r="F231" s="202">
        <f t="shared" si="137"/>
        <v>2357902</v>
      </c>
      <c r="G231" s="202">
        <f t="shared" si="137"/>
        <v>1894</v>
      </c>
      <c r="H231" s="202">
        <f t="shared" si="137"/>
        <v>11238</v>
      </c>
      <c r="I231" s="202">
        <f t="shared" si="137"/>
        <v>37127</v>
      </c>
      <c r="J231" s="202">
        <f t="shared" si="137"/>
        <v>1334</v>
      </c>
      <c r="K231" s="202">
        <f t="shared" si="137"/>
        <v>1250577</v>
      </c>
      <c r="L231" s="202">
        <f t="shared" si="137"/>
        <v>13356</v>
      </c>
      <c r="M231" s="202">
        <f t="shared" si="137"/>
        <v>742105</v>
      </c>
      <c r="N231" s="202">
        <f t="shared" si="137"/>
        <v>28133</v>
      </c>
      <c r="O231" s="202">
        <f t="shared" si="137"/>
        <v>57706</v>
      </c>
      <c r="P231" s="202">
        <f t="shared" si="137"/>
        <v>0</v>
      </c>
      <c r="Q231" s="202">
        <f t="shared" si="137"/>
        <v>265403</v>
      </c>
      <c r="R231" s="202">
        <f t="shared" si="137"/>
        <v>12139</v>
      </c>
      <c r="S231" s="202">
        <f t="shared" si="137"/>
        <v>58829</v>
      </c>
      <c r="T231" s="202">
        <f t="shared" si="137"/>
        <v>0</v>
      </c>
      <c r="U231" s="202">
        <f t="shared" si="137"/>
        <v>1347</v>
      </c>
      <c r="V231" s="202">
        <f t="shared" si="137"/>
        <v>10871000</v>
      </c>
      <c r="W231" s="202">
        <f t="shared" si="137"/>
        <v>0</v>
      </c>
      <c r="X231" s="150"/>
      <c r="Y231" s="140"/>
      <c r="Z231" s="140">
        <f>IF($C231="B","",VLOOKUP($C231,orig_alloc!$A$13:$B$227,2,FALSE))</f>
      </c>
      <c r="AA231" s="141"/>
      <c r="AD231" s="141"/>
      <c r="AE231" s="141"/>
      <c r="AF231" s="141"/>
    </row>
    <row r="232" spans="1:32" ht="20.25">
      <c r="A232" s="132"/>
      <c r="B232" s="149"/>
      <c r="C232" s="132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50"/>
      <c r="Y232" s="140"/>
      <c r="Z232" s="140">
        <f>IF($C232="B","",VLOOKUP($C232,orig_alloc!$A$13:$B$227,2,FALSE))</f>
      </c>
      <c r="AA232" s="141"/>
      <c r="AD232" s="141"/>
      <c r="AE232" s="141"/>
      <c r="AF232" s="141"/>
    </row>
    <row r="233" spans="1:32" ht="20.25">
      <c r="A233" s="132" t="s">
        <v>410</v>
      </c>
      <c r="B233" s="149" t="s">
        <v>328</v>
      </c>
      <c r="C233" s="132"/>
      <c r="D233" s="118">
        <f aca="true" t="shared" si="138" ref="D233:W233">D231+D226+D217+D210+D205</f>
        <v>582728234</v>
      </c>
      <c r="E233" s="118">
        <f t="shared" si="138"/>
        <v>302016068</v>
      </c>
      <c r="F233" s="118">
        <f t="shared" si="138"/>
        <v>133922709</v>
      </c>
      <c r="G233" s="118">
        <f t="shared" si="138"/>
        <v>128045</v>
      </c>
      <c r="H233" s="118">
        <f t="shared" si="138"/>
        <v>526036</v>
      </c>
      <c r="I233" s="118">
        <f t="shared" si="138"/>
        <v>2376226</v>
      </c>
      <c r="J233" s="118">
        <f t="shared" si="138"/>
        <v>62201</v>
      </c>
      <c r="K233" s="118">
        <f t="shared" si="138"/>
        <v>74101015</v>
      </c>
      <c r="L233" s="118">
        <f t="shared" si="138"/>
        <v>1007638</v>
      </c>
      <c r="M233" s="118">
        <f t="shared" si="138"/>
        <v>42572309</v>
      </c>
      <c r="N233" s="118">
        <f t="shared" si="138"/>
        <v>2012147</v>
      </c>
      <c r="O233" s="118">
        <f t="shared" si="138"/>
        <v>3301426</v>
      </c>
      <c r="P233" s="118">
        <f t="shared" si="138"/>
        <v>0</v>
      </c>
      <c r="Q233" s="118">
        <f t="shared" si="138"/>
        <v>13901224</v>
      </c>
      <c r="R233" s="118">
        <f t="shared" si="138"/>
        <v>801601</v>
      </c>
      <c r="S233" s="118">
        <f t="shared" si="138"/>
        <v>5916378</v>
      </c>
      <c r="T233" s="118">
        <f t="shared" si="138"/>
        <v>0</v>
      </c>
      <c r="U233" s="118">
        <f t="shared" si="138"/>
        <v>83211</v>
      </c>
      <c r="V233" s="118">
        <f t="shared" si="138"/>
        <v>582728234</v>
      </c>
      <c r="W233" s="118">
        <f t="shared" si="138"/>
        <v>0</v>
      </c>
      <c r="X233" s="150"/>
      <c r="Y233" s="140"/>
      <c r="Z233" s="140">
        <f>IF($C233="B","",VLOOKUP($C233,orig_alloc!$A$13:$B$227,2,FALSE))</f>
      </c>
      <c r="AA233" s="141"/>
      <c r="AD233" s="141"/>
      <c r="AE233" s="141"/>
      <c r="AF233" s="141"/>
    </row>
    <row r="234" spans="1:32" ht="20.25">
      <c r="A234" s="132"/>
      <c r="B234" s="149"/>
      <c r="C234" s="132"/>
      <c r="D234" s="293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150"/>
      <c r="Y234" s="140"/>
      <c r="Z234" s="140">
        <f>IF($C234="B","",VLOOKUP($C234,orig_alloc!$A$13:$B$227,2,FALSE))</f>
      </c>
      <c r="AA234" s="141"/>
      <c r="AD234" s="141"/>
      <c r="AE234" s="141"/>
      <c r="AF234" s="141"/>
    </row>
    <row r="235" spans="1:32" ht="20.25">
      <c r="A235" s="295" t="s">
        <v>436</v>
      </c>
      <c r="B235" s="290" t="s">
        <v>437</v>
      </c>
      <c r="C235" s="132"/>
      <c r="D235" s="118"/>
      <c r="E235" s="118"/>
      <c r="F235" s="118"/>
      <c r="G235" s="118"/>
      <c r="H235" s="118"/>
      <c r="I235" s="118"/>
      <c r="J235" s="118"/>
      <c r="K235" s="133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50"/>
      <c r="Y235" s="140"/>
      <c r="Z235" s="140">
        <f>IF($C235="B","",VLOOKUP($C235,orig_alloc!$A$13:$B$227,2,FALSE))</f>
      </c>
      <c r="AA235" s="141"/>
      <c r="AD235" s="141"/>
      <c r="AE235" s="141"/>
      <c r="AF235" s="141"/>
    </row>
    <row r="236" spans="1:32" ht="20.25">
      <c r="A236" s="281" t="s">
        <v>438</v>
      </c>
      <c r="B236" s="149"/>
      <c r="C236" s="132"/>
      <c r="D236" s="118"/>
      <c r="E236" s="118"/>
      <c r="F236" s="118"/>
      <c r="G236" s="118"/>
      <c r="H236" s="118"/>
      <c r="I236" s="118"/>
      <c r="J236" s="118"/>
      <c r="K236" s="133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50"/>
      <c r="Y236" s="140"/>
      <c r="Z236" s="140">
        <f>IF($C236="B","",VLOOKUP($C236,orig_alloc!$A$13:$B$227,2,FALSE))</f>
      </c>
      <c r="AA236" s="141"/>
      <c r="AD236" s="141"/>
      <c r="AE236" s="141"/>
      <c r="AF236" s="141"/>
    </row>
    <row r="237" spans="1:32" ht="20.25">
      <c r="A237" s="132" t="s">
        <v>439</v>
      </c>
      <c r="B237" s="149"/>
      <c r="C237" s="132"/>
      <c r="D237" s="118"/>
      <c r="E237" s="118"/>
      <c r="F237" s="118"/>
      <c r="G237" s="118"/>
      <c r="H237" s="118"/>
      <c r="I237" s="118"/>
      <c r="J237" s="118"/>
      <c r="K237" s="133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50"/>
      <c r="Y237" s="140"/>
      <c r="Z237" s="140">
        <f>IF($C237="B","",VLOOKUP($C237,orig_alloc!$A$13:$B$227,2,FALSE))</f>
      </c>
      <c r="AA237" s="141"/>
      <c r="AD237" s="141"/>
      <c r="AE237" s="141"/>
      <c r="AF237" s="141"/>
    </row>
    <row r="238" spans="1:32" ht="20.25">
      <c r="A238" s="148" t="s">
        <v>719</v>
      </c>
      <c r="B238" s="149" t="s">
        <v>440</v>
      </c>
      <c r="C238" s="148" t="s">
        <v>328</v>
      </c>
      <c r="D238" s="201">
        <v>41005203</v>
      </c>
      <c r="E238" s="219">
        <f aca="true" t="shared" si="139" ref="E238:E246">V238-SUM(F238:U238)</f>
        <v>21252155</v>
      </c>
      <c r="F238" s="118">
        <f aca="true" ca="1" t="shared" si="140" ref="F238:O246">ROUND($D238*VLOOKUP($C238,IF(LEFT($C238,1)="K",INDIRECT("TABLE"),INDIRECT("TABLE2")),F$9+1),0)</f>
        <v>9423823</v>
      </c>
      <c r="G238" s="118">
        <f ca="1" t="shared" si="140"/>
        <v>9010</v>
      </c>
      <c r="H238" s="118">
        <f ca="1" t="shared" si="140"/>
        <v>37016</v>
      </c>
      <c r="I238" s="118">
        <f ca="1" t="shared" si="140"/>
        <v>167209</v>
      </c>
      <c r="J238" s="118">
        <f ca="1" t="shared" si="140"/>
        <v>4377</v>
      </c>
      <c r="K238" s="118">
        <f ca="1" t="shared" si="140"/>
        <v>5214313</v>
      </c>
      <c r="L238" s="118">
        <f ca="1" t="shared" si="140"/>
        <v>70905</v>
      </c>
      <c r="M238" s="118">
        <f ca="1" t="shared" si="140"/>
        <v>2995712</v>
      </c>
      <c r="N238" s="118">
        <f ca="1" t="shared" si="140"/>
        <v>141590</v>
      </c>
      <c r="O238" s="118">
        <f ca="1" t="shared" si="140"/>
        <v>232314</v>
      </c>
      <c r="P238" s="118">
        <f aca="true" ca="1" t="shared" si="141" ref="P238:V246">ROUND($D238*VLOOKUP($C238,IF(LEFT($C238,1)="K",INDIRECT("TABLE"),INDIRECT("TABLE2")),P$9+1),0)</f>
        <v>0</v>
      </c>
      <c r="Q238" s="118">
        <f ca="1" t="shared" si="141"/>
        <v>978196</v>
      </c>
      <c r="R238" s="118">
        <f ca="1" t="shared" si="141"/>
        <v>56407</v>
      </c>
      <c r="S238" s="118">
        <f ca="1" t="shared" si="141"/>
        <v>416321</v>
      </c>
      <c r="T238" s="118">
        <f ca="1" t="shared" si="141"/>
        <v>0</v>
      </c>
      <c r="U238" s="118">
        <f ca="1" t="shared" si="141"/>
        <v>5855</v>
      </c>
      <c r="V238" s="118">
        <f ca="1" t="shared" si="141"/>
        <v>41005203</v>
      </c>
      <c r="W238" s="118">
        <f aca="true" t="shared" si="142" ref="W238:W246">D238-V238</f>
        <v>0</v>
      </c>
      <c r="X238" s="150"/>
      <c r="Z238" s="140" t="str">
        <f>IF($C238="B","",VLOOKUP($C238,orig_alloc!$A$13:$B$227,2,FALSE))</f>
        <v>WTD NET PLANT RATIOS</v>
      </c>
      <c r="AA238" s="141"/>
      <c r="AE238" s="141"/>
      <c r="AF238" s="141"/>
    </row>
    <row r="239" spans="1:32" ht="20.25" hidden="1">
      <c r="A239" s="148" t="s">
        <v>443</v>
      </c>
      <c r="B239" s="149" t="s">
        <v>441</v>
      </c>
      <c r="C239" s="196" t="s">
        <v>546</v>
      </c>
      <c r="D239" s="201">
        <v>0</v>
      </c>
      <c r="E239" s="219">
        <f t="shared" si="139"/>
        <v>0</v>
      </c>
      <c r="F239" s="118">
        <f ca="1" t="shared" si="140"/>
        <v>0</v>
      </c>
      <c r="G239" s="118">
        <f ca="1" t="shared" si="140"/>
        <v>0</v>
      </c>
      <c r="H239" s="118">
        <f ca="1" t="shared" si="140"/>
        <v>0</v>
      </c>
      <c r="I239" s="118">
        <f ca="1" t="shared" si="140"/>
        <v>0</v>
      </c>
      <c r="J239" s="118">
        <f ca="1" t="shared" si="140"/>
        <v>0</v>
      </c>
      <c r="K239" s="118">
        <f ca="1" t="shared" si="140"/>
        <v>0</v>
      </c>
      <c r="L239" s="118">
        <f ca="1" t="shared" si="140"/>
        <v>0</v>
      </c>
      <c r="M239" s="118">
        <f ca="1" t="shared" si="140"/>
        <v>0</v>
      </c>
      <c r="N239" s="118">
        <f ca="1" t="shared" si="140"/>
        <v>0</v>
      </c>
      <c r="O239" s="118">
        <f ca="1" t="shared" si="140"/>
        <v>0</v>
      </c>
      <c r="P239" s="118">
        <f ca="1" t="shared" si="141"/>
        <v>0</v>
      </c>
      <c r="Q239" s="118">
        <f ca="1" t="shared" si="141"/>
        <v>0</v>
      </c>
      <c r="R239" s="118">
        <f ca="1" t="shared" si="141"/>
        <v>0</v>
      </c>
      <c r="S239" s="118">
        <f ca="1" t="shared" si="141"/>
        <v>0</v>
      </c>
      <c r="T239" s="118">
        <f ca="1" t="shared" si="141"/>
        <v>0</v>
      </c>
      <c r="U239" s="118">
        <f ca="1" t="shared" si="141"/>
        <v>0</v>
      </c>
      <c r="V239" s="118">
        <f ca="1" t="shared" si="141"/>
        <v>0</v>
      </c>
      <c r="W239" s="118">
        <f t="shared" si="142"/>
        <v>0</v>
      </c>
      <c r="X239" s="150"/>
      <c r="Z239" s="140" t="str">
        <f>IF($C239="B","",VLOOKUP($C239,orig_alloc!$A$13:$B$227,2,FALSE))</f>
        <v>WTD A&amp;G EXPENSE UNADJUSTED</v>
      </c>
      <c r="AA239" s="141"/>
      <c r="AE239" s="141"/>
      <c r="AF239" s="141"/>
    </row>
    <row r="240" spans="1:32" ht="20.25" hidden="1">
      <c r="A240" s="148" t="s">
        <v>445</v>
      </c>
      <c r="B240" s="149" t="s">
        <v>442</v>
      </c>
      <c r="C240" s="148" t="s">
        <v>328</v>
      </c>
      <c r="D240" s="201">
        <v>0</v>
      </c>
      <c r="E240" s="219">
        <f t="shared" si="139"/>
        <v>0</v>
      </c>
      <c r="F240" s="118">
        <f ca="1" t="shared" si="140"/>
        <v>0</v>
      </c>
      <c r="G240" s="118">
        <f ca="1" t="shared" si="140"/>
        <v>0</v>
      </c>
      <c r="H240" s="118">
        <f ca="1" t="shared" si="140"/>
        <v>0</v>
      </c>
      <c r="I240" s="118">
        <f ca="1" t="shared" si="140"/>
        <v>0</v>
      </c>
      <c r="J240" s="118">
        <f ca="1" t="shared" si="140"/>
        <v>0</v>
      </c>
      <c r="K240" s="118">
        <f ca="1" t="shared" si="140"/>
        <v>0</v>
      </c>
      <c r="L240" s="118">
        <f ca="1" t="shared" si="140"/>
        <v>0</v>
      </c>
      <c r="M240" s="118">
        <f ca="1" t="shared" si="140"/>
        <v>0</v>
      </c>
      <c r="N240" s="118">
        <f ca="1" t="shared" si="140"/>
        <v>0</v>
      </c>
      <c r="O240" s="118">
        <f ca="1" t="shared" si="140"/>
        <v>0</v>
      </c>
      <c r="P240" s="118">
        <f ca="1" t="shared" si="141"/>
        <v>0</v>
      </c>
      <c r="Q240" s="118">
        <f ca="1" t="shared" si="141"/>
        <v>0</v>
      </c>
      <c r="R240" s="118">
        <f ca="1" t="shared" si="141"/>
        <v>0</v>
      </c>
      <c r="S240" s="118">
        <f ca="1" t="shared" si="141"/>
        <v>0</v>
      </c>
      <c r="T240" s="118">
        <f ca="1" t="shared" si="141"/>
        <v>0</v>
      </c>
      <c r="U240" s="118">
        <f ca="1" t="shared" si="141"/>
        <v>0</v>
      </c>
      <c r="V240" s="118">
        <f ca="1" t="shared" si="141"/>
        <v>0</v>
      </c>
      <c r="W240" s="118">
        <f t="shared" si="142"/>
        <v>0</v>
      </c>
      <c r="X240" s="150"/>
      <c r="Z240" s="140" t="str">
        <f>IF($C240="B","",VLOOKUP($C240,orig_alloc!$A$13:$B$227,2,FALSE))</f>
        <v>WTD NET PLANT RATIOS</v>
      </c>
      <c r="AA240" s="141"/>
      <c r="AE240" s="141"/>
      <c r="AF240" s="141"/>
    </row>
    <row r="241" spans="1:32" ht="20.25" hidden="1">
      <c r="A241" s="148" t="s">
        <v>1064</v>
      </c>
      <c r="B241" s="149" t="s">
        <v>444</v>
      </c>
      <c r="C241" s="148" t="s">
        <v>328</v>
      </c>
      <c r="D241" s="201">
        <v>0</v>
      </c>
      <c r="E241" s="219">
        <f t="shared" si="139"/>
        <v>0</v>
      </c>
      <c r="F241" s="118">
        <f ca="1" t="shared" si="140"/>
        <v>0</v>
      </c>
      <c r="G241" s="118">
        <f ca="1" t="shared" si="140"/>
        <v>0</v>
      </c>
      <c r="H241" s="118">
        <f ca="1" t="shared" si="140"/>
        <v>0</v>
      </c>
      <c r="I241" s="118">
        <f ca="1" t="shared" si="140"/>
        <v>0</v>
      </c>
      <c r="J241" s="118">
        <f ca="1" t="shared" si="140"/>
        <v>0</v>
      </c>
      <c r="K241" s="118">
        <f ca="1" t="shared" si="140"/>
        <v>0</v>
      </c>
      <c r="L241" s="118">
        <f ca="1" t="shared" si="140"/>
        <v>0</v>
      </c>
      <c r="M241" s="118">
        <f ca="1" t="shared" si="140"/>
        <v>0</v>
      </c>
      <c r="N241" s="118">
        <f ca="1" t="shared" si="140"/>
        <v>0</v>
      </c>
      <c r="O241" s="118">
        <f ca="1" t="shared" si="140"/>
        <v>0</v>
      </c>
      <c r="P241" s="118">
        <f ca="1" t="shared" si="141"/>
        <v>0</v>
      </c>
      <c r="Q241" s="118">
        <f ca="1" t="shared" si="141"/>
        <v>0</v>
      </c>
      <c r="R241" s="118">
        <f ca="1" t="shared" si="141"/>
        <v>0</v>
      </c>
      <c r="S241" s="118">
        <f ca="1" t="shared" si="141"/>
        <v>0</v>
      </c>
      <c r="T241" s="118">
        <f ca="1" t="shared" si="141"/>
        <v>0</v>
      </c>
      <c r="U241" s="118">
        <f ca="1" t="shared" si="141"/>
        <v>0</v>
      </c>
      <c r="V241" s="118">
        <f ca="1" t="shared" si="141"/>
        <v>0</v>
      </c>
      <c r="W241" s="118">
        <f t="shared" si="142"/>
        <v>0</v>
      </c>
      <c r="X241" s="150"/>
      <c r="Z241" s="140" t="str">
        <f>IF($C241="B","",VLOOKUP($C241,orig_alloc!$A$13:$B$227,2,FALSE))</f>
        <v>WTD NET PLANT RATIOS</v>
      </c>
      <c r="AA241" s="141"/>
      <c r="AE241" s="141"/>
      <c r="AF241" s="141"/>
    </row>
    <row r="242" spans="1:32" ht="20.25">
      <c r="A242" s="148" t="s">
        <v>734</v>
      </c>
      <c r="B242" s="296" t="s">
        <v>446</v>
      </c>
      <c r="C242" s="148" t="s">
        <v>328</v>
      </c>
      <c r="D242" s="201">
        <v>331400</v>
      </c>
      <c r="E242" s="219">
        <f t="shared" si="139"/>
        <v>171758</v>
      </c>
      <c r="F242" s="118">
        <f ca="1" t="shared" si="140"/>
        <v>76162</v>
      </c>
      <c r="G242" s="118">
        <f ca="1" t="shared" si="140"/>
        <v>73</v>
      </c>
      <c r="H242" s="118">
        <f ca="1" t="shared" si="140"/>
        <v>299</v>
      </c>
      <c r="I242" s="118">
        <f ca="1" t="shared" si="140"/>
        <v>1351</v>
      </c>
      <c r="J242" s="118">
        <f ca="1" t="shared" si="140"/>
        <v>35</v>
      </c>
      <c r="K242" s="118">
        <f ca="1" t="shared" si="140"/>
        <v>42142</v>
      </c>
      <c r="L242" s="118">
        <f ca="1" t="shared" si="140"/>
        <v>573</v>
      </c>
      <c r="M242" s="118">
        <f ca="1" t="shared" si="140"/>
        <v>24211</v>
      </c>
      <c r="N242" s="118">
        <f ca="1" t="shared" si="140"/>
        <v>1144</v>
      </c>
      <c r="O242" s="118">
        <f ca="1" t="shared" si="140"/>
        <v>1878</v>
      </c>
      <c r="P242" s="118">
        <f ca="1" t="shared" si="141"/>
        <v>0</v>
      </c>
      <c r="Q242" s="118">
        <f ca="1" t="shared" si="141"/>
        <v>7906</v>
      </c>
      <c r="R242" s="118">
        <f ca="1" t="shared" si="141"/>
        <v>456</v>
      </c>
      <c r="S242" s="118">
        <f ca="1" t="shared" si="141"/>
        <v>3365</v>
      </c>
      <c r="T242" s="118">
        <f ca="1" t="shared" si="141"/>
        <v>0</v>
      </c>
      <c r="U242" s="118">
        <f ca="1" t="shared" si="141"/>
        <v>47</v>
      </c>
      <c r="V242" s="118">
        <f ca="1" t="shared" si="141"/>
        <v>331400</v>
      </c>
      <c r="W242" s="118">
        <f t="shared" si="142"/>
        <v>0</v>
      </c>
      <c r="X242" s="150"/>
      <c r="Z242" s="140" t="str">
        <f>IF($C242="B","",VLOOKUP($C242,orig_alloc!$A$13:$B$227,2,FALSE))</f>
        <v>WTD NET PLANT RATIOS</v>
      </c>
      <c r="AA242" s="141"/>
      <c r="AE242" s="141"/>
      <c r="AF242" s="141"/>
    </row>
    <row r="243" spans="1:32" ht="20.25" hidden="1">
      <c r="A243" s="148" t="s">
        <v>836</v>
      </c>
      <c r="B243" s="149" t="s">
        <v>447</v>
      </c>
      <c r="C243" s="148" t="s">
        <v>328</v>
      </c>
      <c r="D243" s="201">
        <v>0</v>
      </c>
      <c r="E243" s="219">
        <f t="shared" si="139"/>
        <v>0</v>
      </c>
      <c r="F243" s="118">
        <f ca="1" t="shared" si="140"/>
        <v>0</v>
      </c>
      <c r="G243" s="118">
        <f ca="1" t="shared" si="140"/>
        <v>0</v>
      </c>
      <c r="H243" s="118">
        <f ca="1" t="shared" si="140"/>
        <v>0</v>
      </c>
      <c r="I243" s="118">
        <f ca="1" t="shared" si="140"/>
        <v>0</v>
      </c>
      <c r="J243" s="118">
        <f ca="1" t="shared" si="140"/>
        <v>0</v>
      </c>
      <c r="K243" s="118">
        <f ca="1" t="shared" si="140"/>
        <v>0</v>
      </c>
      <c r="L243" s="118">
        <f ca="1" t="shared" si="140"/>
        <v>0</v>
      </c>
      <c r="M243" s="118">
        <f ca="1" t="shared" si="140"/>
        <v>0</v>
      </c>
      <c r="N243" s="118">
        <f ca="1" t="shared" si="140"/>
        <v>0</v>
      </c>
      <c r="O243" s="118">
        <f ca="1" t="shared" si="140"/>
        <v>0</v>
      </c>
      <c r="P243" s="118">
        <f ca="1" t="shared" si="141"/>
        <v>0</v>
      </c>
      <c r="Q243" s="118">
        <f ca="1" t="shared" si="141"/>
        <v>0</v>
      </c>
      <c r="R243" s="118">
        <f ca="1" t="shared" si="141"/>
        <v>0</v>
      </c>
      <c r="S243" s="118">
        <f ca="1" t="shared" si="141"/>
        <v>0</v>
      </c>
      <c r="T243" s="118">
        <f ca="1" t="shared" si="141"/>
        <v>0</v>
      </c>
      <c r="U243" s="118">
        <f ca="1" t="shared" si="141"/>
        <v>0</v>
      </c>
      <c r="V243" s="118">
        <f ca="1" t="shared" si="141"/>
        <v>0</v>
      </c>
      <c r="W243" s="118">
        <f t="shared" si="142"/>
        <v>0</v>
      </c>
      <c r="X243" s="150"/>
      <c r="Z243" s="140" t="str">
        <f>IF($C243="B","",VLOOKUP($C243,orig_alloc!$A$13:$B$227,2,FALSE))</f>
        <v>WTD NET PLANT RATIOS</v>
      </c>
      <c r="AA243" s="141"/>
      <c r="AE243" s="141"/>
      <c r="AF243" s="141"/>
    </row>
    <row r="244" spans="1:32" ht="20.25" hidden="1">
      <c r="A244" s="148" t="s">
        <v>1224</v>
      </c>
      <c r="B244" s="149" t="s">
        <v>448</v>
      </c>
      <c r="C244" s="148" t="s">
        <v>328</v>
      </c>
      <c r="D244" s="201">
        <v>0</v>
      </c>
      <c r="E244" s="219">
        <f t="shared" si="139"/>
        <v>0</v>
      </c>
      <c r="F244" s="118">
        <f ca="1" t="shared" si="140"/>
        <v>0</v>
      </c>
      <c r="G244" s="118">
        <f ca="1" t="shared" si="140"/>
        <v>0</v>
      </c>
      <c r="H244" s="118">
        <f ca="1" t="shared" si="140"/>
        <v>0</v>
      </c>
      <c r="I244" s="118">
        <f ca="1" t="shared" si="140"/>
        <v>0</v>
      </c>
      <c r="J244" s="118">
        <f ca="1" t="shared" si="140"/>
        <v>0</v>
      </c>
      <c r="K244" s="118">
        <f ca="1" t="shared" si="140"/>
        <v>0</v>
      </c>
      <c r="L244" s="118">
        <f ca="1" t="shared" si="140"/>
        <v>0</v>
      </c>
      <c r="M244" s="118">
        <f ca="1" t="shared" si="140"/>
        <v>0</v>
      </c>
      <c r="N244" s="118">
        <f ca="1" t="shared" si="140"/>
        <v>0</v>
      </c>
      <c r="O244" s="118">
        <f ca="1" t="shared" si="140"/>
        <v>0</v>
      </c>
      <c r="P244" s="118">
        <f ca="1" t="shared" si="141"/>
        <v>0</v>
      </c>
      <c r="Q244" s="118">
        <f ca="1" t="shared" si="141"/>
        <v>0</v>
      </c>
      <c r="R244" s="118">
        <f ca="1" t="shared" si="141"/>
        <v>0</v>
      </c>
      <c r="S244" s="118">
        <f ca="1" t="shared" si="141"/>
        <v>0</v>
      </c>
      <c r="T244" s="118">
        <f ca="1" t="shared" si="141"/>
        <v>0</v>
      </c>
      <c r="U244" s="118">
        <f ca="1" t="shared" si="141"/>
        <v>0</v>
      </c>
      <c r="V244" s="118">
        <f ca="1" t="shared" si="141"/>
        <v>0</v>
      </c>
      <c r="W244" s="118">
        <f t="shared" si="142"/>
        <v>0</v>
      </c>
      <c r="X244" s="150"/>
      <c r="Z244" s="140" t="str">
        <f>IF($C244="B","",VLOOKUP($C244,orig_alloc!$A$13:$B$227,2,FALSE))</f>
        <v>WTD NET PLANT RATIOS</v>
      </c>
      <c r="AA244" s="141"/>
      <c r="AE244" s="141"/>
      <c r="AF244" s="141"/>
    </row>
    <row r="245" spans="1:32" ht="20.25" hidden="1">
      <c r="A245" s="148" t="s">
        <v>814</v>
      </c>
      <c r="B245" s="296" t="s">
        <v>449</v>
      </c>
      <c r="C245" s="196" t="s">
        <v>546</v>
      </c>
      <c r="D245" s="201">
        <v>0</v>
      </c>
      <c r="E245" s="219">
        <f t="shared" si="139"/>
        <v>0</v>
      </c>
      <c r="F245" s="118">
        <f ca="1" t="shared" si="140"/>
        <v>0</v>
      </c>
      <c r="G245" s="118">
        <f ca="1" t="shared" si="140"/>
        <v>0</v>
      </c>
      <c r="H245" s="118">
        <f ca="1" t="shared" si="140"/>
        <v>0</v>
      </c>
      <c r="I245" s="118">
        <f ca="1" t="shared" si="140"/>
        <v>0</v>
      </c>
      <c r="J245" s="118">
        <f ca="1" t="shared" si="140"/>
        <v>0</v>
      </c>
      <c r="K245" s="118">
        <f ca="1" t="shared" si="140"/>
        <v>0</v>
      </c>
      <c r="L245" s="118">
        <f ca="1" t="shared" si="140"/>
        <v>0</v>
      </c>
      <c r="M245" s="118">
        <f ca="1" t="shared" si="140"/>
        <v>0</v>
      </c>
      <c r="N245" s="118">
        <f ca="1" t="shared" si="140"/>
        <v>0</v>
      </c>
      <c r="O245" s="118">
        <f ca="1" t="shared" si="140"/>
        <v>0</v>
      </c>
      <c r="P245" s="118">
        <f ca="1" t="shared" si="141"/>
        <v>0</v>
      </c>
      <c r="Q245" s="118">
        <f ca="1" t="shared" si="141"/>
        <v>0</v>
      </c>
      <c r="R245" s="118">
        <f ca="1" t="shared" si="141"/>
        <v>0</v>
      </c>
      <c r="S245" s="118">
        <f ca="1" t="shared" si="141"/>
        <v>0</v>
      </c>
      <c r="T245" s="118">
        <f ca="1" t="shared" si="141"/>
        <v>0</v>
      </c>
      <c r="U245" s="118">
        <f ca="1" t="shared" si="141"/>
        <v>0</v>
      </c>
      <c r="V245" s="118">
        <f ca="1" t="shared" si="141"/>
        <v>0</v>
      </c>
      <c r="W245" s="118">
        <f t="shared" si="142"/>
        <v>0</v>
      </c>
      <c r="X245" s="150"/>
      <c r="Z245" s="140" t="str">
        <f>IF($C245="B","",VLOOKUP($C245,orig_alloc!$A$13:$B$227,2,FALSE))</f>
        <v>WTD A&amp;G EXPENSE UNADJUSTED</v>
      </c>
      <c r="AA245" s="141"/>
      <c r="AE245" s="141"/>
      <c r="AF245" s="141"/>
    </row>
    <row r="246" spans="1:32" ht="20.25" hidden="1">
      <c r="A246" s="148" t="s">
        <v>868</v>
      </c>
      <c r="B246" s="296" t="s">
        <v>871</v>
      </c>
      <c r="C246" s="148" t="s">
        <v>328</v>
      </c>
      <c r="D246" s="201">
        <v>0</v>
      </c>
      <c r="E246" s="219">
        <f t="shared" si="139"/>
        <v>0</v>
      </c>
      <c r="F246" s="118">
        <f ca="1" t="shared" si="140"/>
        <v>0</v>
      </c>
      <c r="G246" s="118">
        <f ca="1" t="shared" si="140"/>
        <v>0</v>
      </c>
      <c r="H246" s="118">
        <f ca="1" t="shared" si="140"/>
        <v>0</v>
      </c>
      <c r="I246" s="118">
        <f ca="1" t="shared" si="140"/>
        <v>0</v>
      </c>
      <c r="J246" s="118">
        <f ca="1" t="shared" si="140"/>
        <v>0</v>
      </c>
      <c r="K246" s="118">
        <f ca="1" t="shared" si="140"/>
        <v>0</v>
      </c>
      <c r="L246" s="118">
        <f ca="1" t="shared" si="140"/>
        <v>0</v>
      </c>
      <c r="M246" s="118">
        <f ca="1" t="shared" si="140"/>
        <v>0</v>
      </c>
      <c r="N246" s="118">
        <f ca="1" t="shared" si="140"/>
        <v>0</v>
      </c>
      <c r="O246" s="118">
        <f ca="1" t="shared" si="140"/>
        <v>0</v>
      </c>
      <c r="P246" s="118">
        <f ca="1" t="shared" si="141"/>
        <v>0</v>
      </c>
      <c r="Q246" s="118">
        <f ca="1" t="shared" si="141"/>
        <v>0</v>
      </c>
      <c r="R246" s="118">
        <f ca="1" t="shared" si="141"/>
        <v>0</v>
      </c>
      <c r="S246" s="118">
        <f ca="1" t="shared" si="141"/>
        <v>0</v>
      </c>
      <c r="T246" s="118">
        <f ca="1" t="shared" si="141"/>
        <v>0</v>
      </c>
      <c r="U246" s="118">
        <f ca="1" t="shared" si="141"/>
        <v>0</v>
      </c>
      <c r="V246" s="118">
        <f ca="1" t="shared" si="141"/>
        <v>0</v>
      </c>
      <c r="W246" s="118">
        <f t="shared" si="142"/>
        <v>0</v>
      </c>
      <c r="X246" s="150"/>
      <c r="Z246" s="140" t="str">
        <f>IF($C246="B","",VLOOKUP($C246,orig_alloc!$A$13:$B$227,2,FALSE))</f>
        <v>WTD NET PLANT RATIOS</v>
      </c>
      <c r="AA246" s="141"/>
      <c r="AE246" s="141"/>
      <c r="AF246" s="141"/>
    </row>
    <row r="247" spans="1:32" ht="20.25">
      <c r="A247" s="240" t="s">
        <v>450</v>
      </c>
      <c r="B247" s="149" t="s">
        <v>451</v>
      </c>
      <c r="C247" s="132"/>
      <c r="D247" s="202">
        <f aca="true" t="shared" si="143" ref="D247:W247">SUM(D235:D246)</f>
        <v>41336603</v>
      </c>
      <c r="E247" s="202">
        <f t="shared" si="143"/>
        <v>21423913</v>
      </c>
      <c r="F247" s="202">
        <f t="shared" si="143"/>
        <v>9499985</v>
      </c>
      <c r="G247" s="202">
        <f t="shared" si="143"/>
        <v>9083</v>
      </c>
      <c r="H247" s="202">
        <f t="shared" si="143"/>
        <v>37315</v>
      </c>
      <c r="I247" s="202">
        <f t="shared" si="143"/>
        <v>168560</v>
      </c>
      <c r="J247" s="202">
        <f t="shared" si="143"/>
        <v>4412</v>
      </c>
      <c r="K247" s="202">
        <f t="shared" si="143"/>
        <v>5256455</v>
      </c>
      <c r="L247" s="202">
        <f t="shared" si="143"/>
        <v>71478</v>
      </c>
      <c r="M247" s="202">
        <f t="shared" si="143"/>
        <v>3019923</v>
      </c>
      <c r="N247" s="202">
        <f t="shared" si="143"/>
        <v>142734</v>
      </c>
      <c r="O247" s="202">
        <f t="shared" si="143"/>
        <v>234192</v>
      </c>
      <c r="P247" s="202">
        <f t="shared" si="143"/>
        <v>0</v>
      </c>
      <c r="Q247" s="202">
        <f t="shared" si="143"/>
        <v>986102</v>
      </c>
      <c r="R247" s="202">
        <f t="shared" si="143"/>
        <v>56863</v>
      </c>
      <c r="S247" s="202">
        <f t="shared" si="143"/>
        <v>419686</v>
      </c>
      <c r="T247" s="202">
        <f t="shared" si="143"/>
        <v>0</v>
      </c>
      <c r="U247" s="202">
        <f t="shared" si="143"/>
        <v>5902</v>
      </c>
      <c r="V247" s="202">
        <f t="shared" si="143"/>
        <v>41336603</v>
      </c>
      <c r="W247" s="202">
        <f t="shared" si="143"/>
        <v>0</v>
      </c>
      <c r="X247" s="150"/>
      <c r="Z247" s="140">
        <f>IF($C247="B","",VLOOKUP($C247,orig_alloc!$A$13:$B$227,2,FALSE))</f>
      </c>
      <c r="AA247" s="141"/>
      <c r="AE247" s="141"/>
      <c r="AF247" s="141"/>
    </row>
    <row r="248" spans="1:32" ht="20.25">
      <c r="A248" s="132"/>
      <c r="B248" s="149"/>
      <c r="C248" s="132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50"/>
      <c r="Z248" s="140">
        <f>IF($C248="B","",VLOOKUP($C248,orig_alloc!$A$13:$B$227,2,FALSE))</f>
      </c>
      <c r="AA248" s="141"/>
      <c r="AE248" s="141"/>
      <c r="AF248" s="141"/>
    </row>
    <row r="249" spans="1:32" ht="20.25">
      <c r="A249" s="132" t="s">
        <v>1225</v>
      </c>
      <c r="B249" s="149"/>
      <c r="C249" s="132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50"/>
      <c r="Z249" s="140">
        <f>IF($C249="B","",VLOOKUP($C249,orig_alloc!$A$13:$B$227,2,FALSE))</f>
      </c>
      <c r="AA249" s="141"/>
      <c r="AE249" s="141"/>
      <c r="AF249" s="141"/>
    </row>
    <row r="250" spans="1:32" ht="20.25" hidden="1">
      <c r="A250" s="148" t="s">
        <v>842</v>
      </c>
      <c r="B250" s="149" t="s">
        <v>452</v>
      </c>
      <c r="C250" s="148" t="s">
        <v>253</v>
      </c>
      <c r="D250" s="201">
        <v>0</v>
      </c>
      <c r="E250" s="219">
        <f aca="true" t="shared" si="144" ref="E250:E255">V250-SUM(F250:U250)</f>
        <v>0</v>
      </c>
      <c r="F250" s="118">
        <f aca="true" ca="1" t="shared" si="145" ref="F250:O255">ROUND($D250*VLOOKUP($C250,IF(LEFT($C250,1)="K",INDIRECT("TABLE"),INDIRECT("TABLE2")),F$9+1),0)</f>
        <v>0</v>
      </c>
      <c r="G250" s="118">
        <f ca="1" t="shared" si="145"/>
        <v>0</v>
      </c>
      <c r="H250" s="118">
        <f ca="1" t="shared" si="145"/>
        <v>0</v>
      </c>
      <c r="I250" s="118">
        <f ca="1" t="shared" si="145"/>
        <v>0</v>
      </c>
      <c r="J250" s="118">
        <f ca="1" t="shared" si="145"/>
        <v>0</v>
      </c>
      <c r="K250" s="118">
        <f ca="1" t="shared" si="145"/>
        <v>0</v>
      </c>
      <c r="L250" s="118">
        <f ca="1" t="shared" si="145"/>
        <v>0</v>
      </c>
      <c r="M250" s="118">
        <f ca="1" t="shared" si="145"/>
        <v>0</v>
      </c>
      <c r="N250" s="118">
        <f ca="1" t="shared" si="145"/>
        <v>0</v>
      </c>
      <c r="O250" s="118">
        <f ca="1" t="shared" si="145"/>
        <v>0</v>
      </c>
      <c r="P250" s="118">
        <f aca="true" ca="1" t="shared" si="146" ref="P250:V255">ROUND($D250*VLOOKUP($C250,IF(LEFT($C250,1)="K",INDIRECT("TABLE"),INDIRECT("TABLE2")),P$9+1),0)</f>
        <v>0</v>
      </c>
      <c r="Q250" s="118">
        <f ca="1" t="shared" si="146"/>
        <v>0</v>
      </c>
      <c r="R250" s="118">
        <f ca="1" t="shared" si="146"/>
        <v>0</v>
      </c>
      <c r="S250" s="118">
        <f ca="1" t="shared" si="146"/>
        <v>0</v>
      </c>
      <c r="T250" s="118">
        <f ca="1" t="shared" si="146"/>
        <v>0</v>
      </c>
      <c r="U250" s="118">
        <f ca="1" t="shared" si="146"/>
        <v>0</v>
      </c>
      <c r="V250" s="118">
        <f ca="1" t="shared" si="146"/>
        <v>0</v>
      </c>
      <c r="W250" s="118">
        <f aca="true" t="shared" si="147" ref="W250:W255">D250-V250</f>
        <v>0</v>
      </c>
      <c r="X250" s="150"/>
      <c r="Z250" s="140" t="str">
        <f>IF($C250="B","",VLOOKUP($C250,orig_alloc!$A$13:$B$227,2,FALSE))</f>
        <v>WTD CUST ACCT O&amp;M EXP RATIOS</v>
      </c>
      <c r="AA250" s="141"/>
      <c r="AE250" s="141"/>
      <c r="AF250" s="141"/>
    </row>
    <row r="251" spans="1:32" ht="20.25" hidden="1">
      <c r="A251" s="148" t="s">
        <v>876</v>
      </c>
      <c r="B251" s="149" t="s">
        <v>453</v>
      </c>
      <c r="C251" s="148" t="s">
        <v>546</v>
      </c>
      <c r="D251" s="217">
        <v>0</v>
      </c>
      <c r="E251" s="219">
        <f t="shared" si="144"/>
        <v>0</v>
      </c>
      <c r="F251" s="118">
        <f ca="1" t="shared" si="145"/>
        <v>0</v>
      </c>
      <c r="G251" s="118">
        <f ca="1" t="shared" si="145"/>
        <v>0</v>
      </c>
      <c r="H251" s="118">
        <f ca="1" t="shared" si="145"/>
        <v>0</v>
      </c>
      <c r="I251" s="118">
        <f ca="1" t="shared" si="145"/>
        <v>0</v>
      </c>
      <c r="J251" s="118">
        <f ca="1" t="shared" si="145"/>
        <v>0</v>
      </c>
      <c r="K251" s="118">
        <f ca="1" t="shared" si="145"/>
        <v>0</v>
      </c>
      <c r="L251" s="118">
        <f ca="1" t="shared" si="145"/>
        <v>0</v>
      </c>
      <c r="M251" s="118">
        <f ca="1" t="shared" si="145"/>
        <v>0</v>
      </c>
      <c r="N251" s="118">
        <f ca="1" t="shared" si="145"/>
        <v>0</v>
      </c>
      <c r="O251" s="118">
        <f ca="1" t="shared" si="145"/>
        <v>0</v>
      </c>
      <c r="P251" s="118">
        <f ca="1" t="shared" si="146"/>
        <v>0</v>
      </c>
      <c r="Q251" s="118">
        <f ca="1" t="shared" si="146"/>
        <v>0</v>
      </c>
      <c r="R251" s="118">
        <f ca="1" t="shared" si="146"/>
        <v>0</v>
      </c>
      <c r="S251" s="118">
        <f ca="1" t="shared" si="146"/>
        <v>0</v>
      </c>
      <c r="T251" s="118">
        <f ca="1" t="shared" si="146"/>
        <v>0</v>
      </c>
      <c r="U251" s="118">
        <f ca="1" t="shared" si="146"/>
        <v>0</v>
      </c>
      <c r="V251" s="118">
        <f ca="1" t="shared" si="146"/>
        <v>0</v>
      </c>
      <c r="W251" s="118">
        <f t="shared" si="147"/>
        <v>0</v>
      </c>
      <c r="X251" s="150"/>
      <c r="Z251" s="140" t="str">
        <f>IF($C251="B","",VLOOKUP($C251,orig_alloc!$A$13:$B$227,2,FALSE))</f>
        <v>WTD A&amp;G EXPENSE UNADJUSTED</v>
      </c>
      <c r="AA251" s="141"/>
      <c r="AE251" s="141"/>
      <c r="AF251" s="141"/>
    </row>
    <row r="252" spans="1:32" ht="20.25" hidden="1">
      <c r="A252" s="148" t="s">
        <v>843</v>
      </c>
      <c r="B252" s="149" t="s">
        <v>455</v>
      </c>
      <c r="C252" s="148" t="s">
        <v>328</v>
      </c>
      <c r="D252" s="201">
        <v>0</v>
      </c>
      <c r="E252" s="219">
        <f t="shared" si="144"/>
        <v>0</v>
      </c>
      <c r="F252" s="118">
        <f ca="1" t="shared" si="145"/>
        <v>0</v>
      </c>
      <c r="G252" s="118">
        <f ca="1" t="shared" si="145"/>
        <v>0</v>
      </c>
      <c r="H252" s="118">
        <f ca="1" t="shared" si="145"/>
        <v>0</v>
      </c>
      <c r="I252" s="118">
        <f ca="1" t="shared" si="145"/>
        <v>0</v>
      </c>
      <c r="J252" s="118">
        <f ca="1" t="shared" si="145"/>
        <v>0</v>
      </c>
      <c r="K252" s="118">
        <f ca="1" t="shared" si="145"/>
        <v>0</v>
      </c>
      <c r="L252" s="118">
        <f ca="1" t="shared" si="145"/>
        <v>0</v>
      </c>
      <c r="M252" s="118">
        <f ca="1" t="shared" si="145"/>
        <v>0</v>
      </c>
      <c r="N252" s="118">
        <f ca="1" t="shared" si="145"/>
        <v>0</v>
      </c>
      <c r="O252" s="118">
        <f ca="1" t="shared" si="145"/>
        <v>0</v>
      </c>
      <c r="P252" s="118">
        <f ca="1" t="shared" si="146"/>
        <v>0</v>
      </c>
      <c r="Q252" s="118">
        <f ca="1" t="shared" si="146"/>
        <v>0</v>
      </c>
      <c r="R252" s="118">
        <f ca="1" t="shared" si="146"/>
        <v>0</v>
      </c>
      <c r="S252" s="118">
        <f ca="1" t="shared" si="146"/>
        <v>0</v>
      </c>
      <c r="T252" s="118">
        <f ca="1" t="shared" si="146"/>
        <v>0</v>
      </c>
      <c r="U252" s="118">
        <f ca="1" t="shared" si="146"/>
        <v>0</v>
      </c>
      <c r="V252" s="118">
        <f ca="1" t="shared" si="146"/>
        <v>0</v>
      </c>
      <c r="W252" s="118">
        <f t="shared" si="147"/>
        <v>0</v>
      </c>
      <c r="X252" s="150"/>
      <c r="Z252" s="140" t="str">
        <f>IF($C252="B","",VLOOKUP($C252,orig_alloc!$A$13:$B$227,2,FALSE))</f>
        <v>WTD NET PLANT RATIOS</v>
      </c>
      <c r="AA252" s="141"/>
      <c r="AE252" s="141"/>
      <c r="AF252" s="141"/>
    </row>
    <row r="253" spans="1:32" ht="20.25" hidden="1">
      <c r="A253" s="148" t="s">
        <v>869</v>
      </c>
      <c r="B253" s="149" t="s">
        <v>456</v>
      </c>
      <c r="C253" s="148" t="s">
        <v>320</v>
      </c>
      <c r="D253" s="201">
        <v>0</v>
      </c>
      <c r="E253" s="219">
        <f t="shared" si="144"/>
        <v>0</v>
      </c>
      <c r="F253" s="118">
        <f ca="1" t="shared" si="145"/>
        <v>0</v>
      </c>
      <c r="G253" s="118">
        <f ca="1" t="shared" si="145"/>
        <v>0</v>
      </c>
      <c r="H253" s="118">
        <f ca="1" t="shared" si="145"/>
        <v>0</v>
      </c>
      <c r="I253" s="118">
        <f ca="1" t="shared" si="145"/>
        <v>0</v>
      </c>
      <c r="J253" s="118">
        <f ca="1" t="shared" si="145"/>
        <v>0</v>
      </c>
      <c r="K253" s="118">
        <f ca="1" t="shared" si="145"/>
        <v>0</v>
      </c>
      <c r="L253" s="118">
        <f ca="1" t="shared" si="145"/>
        <v>0</v>
      </c>
      <c r="M253" s="118">
        <f ca="1" t="shared" si="145"/>
        <v>0</v>
      </c>
      <c r="N253" s="118">
        <f ca="1" t="shared" si="145"/>
        <v>0</v>
      </c>
      <c r="O253" s="118">
        <f ca="1" t="shared" si="145"/>
        <v>0</v>
      </c>
      <c r="P253" s="118">
        <f ca="1" t="shared" si="146"/>
        <v>0</v>
      </c>
      <c r="Q253" s="118">
        <f ca="1" t="shared" si="146"/>
        <v>0</v>
      </c>
      <c r="R253" s="118">
        <f ca="1" t="shared" si="146"/>
        <v>0</v>
      </c>
      <c r="S253" s="118">
        <f ca="1" t="shared" si="146"/>
        <v>0</v>
      </c>
      <c r="T253" s="118">
        <f ca="1" t="shared" si="146"/>
        <v>0</v>
      </c>
      <c r="U253" s="118">
        <f ca="1" t="shared" si="146"/>
        <v>0</v>
      </c>
      <c r="V253" s="118">
        <f ca="1" t="shared" si="146"/>
        <v>0</v>
      </c>
      <c r="W253" s="118">
        <f t="shared" si="147"/>
        <v>0</v>
      </c>
      <c r="X253" s="150"/>
      <c r="Z253" s="140" t="str">
        <f>IF($C253="B","",VLOOKUP($C253,orig_alloc!$A$13:$B$227,2,FALSE))</f>
        <v>TOTAL KWH</v>
      </c>
      <c r="AA253" s="141"/>
      <c r="AE253" s="141"/>
      <c r="AF253" s="141"/>
    </row>
    <row r="254" spans="1:32" ht="20.25">
      <c r="A254" s="148" t="s">
        <v>1260</v>
      </c>
      <c r="B254" s="149" t="s">
        <v>877</v>
      </c>
      <c r="C254" s="148" t="s">
        <v>328</v>
      </c>
      <c r="D254" s="201">
        <v>-34872</v>
      </c>
      <c r="E254" s="219">
        <f t="shared" si="144"/>
        <v>-18074</v>
      </c>
      <c r="F254" s="118">
        <f ca="1" t="shared" si="145"/>
        <v>-8014</v>
      </c>
      <c r="G254" s="118">
        <f ca="1" t="shared" si="145"/>
        <v>-8</v>
      </c>
      <c r="H254" s="118">
        <f ca="1" t="shared" si="145"/>
        <v>-31</v>
      </c>
      <c r="I254" s="118">
        <f ca="1" t="shared" si="145"/>
        <v>-142</v>
      </c>
      <c r="J254" s="118">
        <f ca="1" t="shared" si="145"/>
        <v>-4</v>
      </c>
      <c r="K254" s="118">
        <f ca="1" t="shared" si="145"/>
        <v>-4434</v>
      </c>
      <c r="L254" s="118">
        <f ca="1" t="shared" si="145"/>
        <v>-60</v>
      </c>
      <c r="M254" s="118">
        <f ca="1" t="shared" si="145"/>
        <v>-2548</v>
      </c>
      <c r="N254" s="118">
        <f ca="1" t="shared" si="145"/>
        <v>-120</v>
      </c>
      <c r="O254" s="118">
        <f ca="1" t="shared" si="145"/>
        <v>-198</v>
      </c>
      <c r="P254" s="118">
        <f ca="1" t="shared" si="146"/>
        <v>0</v>
      </c>
      <c r="Q254" s="118">
        <f ca="1" t="shared" si="146"/>
        <v>-832</v>
      </c>
      <c r="R254" s="118">
        <f ca="1" t="shared" si="146"/>
        <v>-48</v>
      </c>
      <c r="S254" s="118">
        <f ca="1" t="shared" si="146"/>
        <v>-354</v>
      </c>
      <c r="T254" s="118">
        <f ca="1" t="shared" si="146"/>
        <v>0</v>
      </c>
      <c r="U254" s="118">
        <f ca="1" t="shared" si="146"/>
        <v>-5</v>
      </c>
      <c r="V254" s="118">
        <f ca="1" t="shared" si="146"/>
        <v>-34872</v>
      </c>
      <c r="W254" s="118">
        <f t="shared" si="147"/>
        <v>0</v>
      </c>
      <c r="X254" s="150"/>
      <c r="Z254" s="140" t="str">
        <f>IF($C254="B","",VLOOKUP($C254,orig_alloc!$A$13:$B$227,2,FALSE))</f>
        <v>WTD NET PLANT RATIOS</v>
      </c>
      <c r="AA254" s="141"/>
      <c r="AE254" s="141"/>
      <c r="AF254" s="141"/>
    </row>
    <row r="255" spans="1:32" ht="20.25" hidden="1">
      <c r="A255" s="148" t="s">
        <v>870</v>
      </c>
      <c r="B255" s="149" t="s">
        <v>457</v>
      </c>
      <c r="C255" s="148" t="s">
        <v>892</v>
      </c>
      <c r="D255" s="201">
        <v>0</v>
      </c>
      <c r="E255" s="219">
        <f t="shared" si="144"/>
        <v>0</v>
      </c>
      <c r="F255" s="118">
        <f ca="1" t="shared" si="145"/>
        <v>0</v>
      </c>
      <c r="G255" s="118">
        <f ca="1" t="shared" si="145"/>
        <v>0</v>
      </c>
      <c r="H255" s="118">
        <f ca="1" t="shared" si="145"/>
        <v>0</v>
      </c>
      <c r="I255" s="118">
        <f ca="1" t="shared" si="145"/>
        <v>0</v>
      </c>
      <c r="J255" s="118">
        <f ca="1" t="shared" si="145"/>
        <v>0</v>
      </c>
      <c r="K255" s="118">
        <f ca="1" t="shared" si="145"/>
        <v>0</v>
      </c>
      <c r="L255" s="118">
        <f ca="1" t="shared" si="145"/>
        <v>0</v>
      </c>
      <c r="M255" s="118">
        <f ca="1" t="shared" si="145"/>
        <v>0</v>
      </c>
      <c r="N255" s="118">
        <f ca="1" t="shared" si="145"/>
        <v>0</v>
      </c>
      <c r="O255" s="118">
        <f ca="1" t="shared" si="145"/>
        <v>0</v>
      </c>
      <c r="P255" s="118">
        <f ca="1" t="shared" si="146"/>
        <v>0</v>
      </c>
      <c r="Q255" s="118">
        <f ca="1" t="shared" si="146"/>
        <v>0</v>
      </c>
      <c r="R255" s="118">
        <f ca="1" t="shared" si="146"/>
        <v>0</v>
      </c>
      <c r="S255" s="118">
        <f ca="1" t="shared" si="146"/>
        <v>0</v>
      </c>
      <c r="T255" s="118">
        <f ca="1" t="shared" si="146"/>
        <v>0</v>
      </c>
      <c r="U255" s="118">
        <f ca="1" t="shared" si="146"/>
        <v>0</v>
      </c>
      <c r="V255" s="118">
        <f ca="1" t="shared" si="146"/>
        <v>0</v>
      </c>
      <c r="W255" s="118">
        <f t="shared" si="147"/>
        <v>0</v>
      </c>
      <c r="X255" s="150"/>
      <c r="Z255" s="140" t="str">
        <f>IF($C255="B","",VLOOKUP($C255,orig_alloc!$A$13:$B$227,2,FALSE))</f>
        <v>ASSIGN 100% TO RESIDENTIAL</v>
      </c>
      <c r="AA255" s="141"/>
      <c r="AE255" s="141"/>
      <c r="AF255" s="141"/>
    </row>
    <row r="256" spans="1:32" ht="20.25">
      <c r="A256" s="240" t="s">
        <v>1227</v>
      </c>
      <c r="B256" s="149" t="s">
        <v>458</v>
      </c>
      <c r="C256" s="132"/>
      <c r="D256" s="202">
        <f aca="true" t="shared" si="148" ref="D256:W256">SUM(D249:D255)</f>
        <v>-34872</v>
      </c>
      <c r="E256" s="202">
        <f t="shared" si="148"/>
        <v>-18074</v>
      </c>
      <c r="F256" s="202">
        <f t="shared" si="148"/>
        <v>-8014</v>
      </c>
      <c r="G256" s="202">
        <f t="shared" si="148"/>
        <v>-8</v>
      </c>
      <c r="H256" s="202">
        <f t="shared" si="148"/>
        <v>-31</v>
      </c>
      <c r="I256" s="202">
        <f t="shared" si="148"/>
        <v>-142</v>
      </c>
      <c r="J256" s="202">
        <f t="shared" si="148"/>
        <v>-4</v>
      </c>
      <c r="K256" s="202">
        <f t="shared" si="148"/>
        <v>-4434</v>
      </c>
      <c r="L256" s="202">
        <f t="shared" si="148"/>
        <v>-60</v>
      </c>
      <c r="M256" s="202">
        <f t="shared" si="148"/>
        <v>-2548</v>
      </c>
      <c r="N256" s="202">
        <f t="shared" si="148"/>
        <v>-120</v>
      </c>
      <c r="O256" s="202">
        <f t="shared" si="148"/>
        <v>-198</v>
      </c>
      <c r="P256" s="202">
        <f t="shared" si="148"/>
        <v>0</v>
      </c>
      <c r="Q256" s="202">
        <f t="shared" si="148"/>
        <v>-832</v>
      </c>
      <c r="R256" s="202">
        <f t="shared" si="148"/>
        <v>-48</v>
      </c>
      <c r="S256" s="202">
        <f t="shared" si="148"/>
        <v>-354</v>
      </c>
      <c r="T256" s="202">
        <f t="shared" si="148"/>
        <v>0</v>
      </c>
      <c r="U256" s="202">
        <f t="shared" si="148"/>
        <v>-5</v>
      </c>
      <c r="V256" s="202">
        <f t="shared" si="148"/>
        <v>-34872</v>
      </c>
      <c r="W256" s="202">
        <f t="shared" si="148"/>
        <v>0</v>
      </c>
      <c r="X256" s="150"/>
      <c r="Z256" s="140">
        <f>IF($C256="B","",VLOOKUP($C256,orig_alloc!$A$13:$B$227,2,FALSE))</f>
      </c>
      <c r="AA256" s="141"/>
      <c r="AE256" s="141"/>
      <c r="AF256" s="141"/>
    </row>
    <row r="257" spans="1:32" ht="20.25">
      <c r="A257" s="132"/>
      <c r="B257" s="149"/>
      <c r="C257" s="132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50"/>
      <c r="Z257" s="140">
        <f>IF($C257="B","",VLOOKUP($C257,orig_alloc!$A$13:$B$227,2,FALSE))</f>
      </c>
      <c r="AA257" s="141"/>
      <c r="AE257" s="141"/>
      <c r="AF257" s="141"/>
    </row>
    <row r="258" spans="1:32" ht="20.25" hidden="1">
      <c r="A258" s="132" t="s">
        <v>744</v>
      </c>
      <c r="B258" s="149"/>
      <c r="C258" s="132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50"/>
      <c r="Z258" s="140">
        <f>IF($C258="B","",VLOOKUP($C258,orig_alloc!$A$13:$B$227,2,FALSE))</f>
      </c>
      <c r="AA258" s="141"/>
      <c r="AE258" s="141"/>
      <c r="AF258" s="141"/>
    </row>
    <row r="259" spans="1:32" ht="20.25" hidden="1">
      <c r="A259" s="148" t="s">
        <v>459</v>
      </c>
      <c r="B259" s="149" t="s">
        <v>460</v>
      </c>
      <c r="C259" s="148" t="s">
        <v>328</v>
      </c>
      <c r="D259" s="201">
        <v>0</v>
      </c>
      <c r="E259" s="219">
        <f>V259-SUM(F259:U259)</f>
        <v>0</v>
      </c>
      <c r="F259" s="118">
        <f aca="true" ca="1" t="shared" si="149" ref="F259:U260">ROUND($D259*VLOOKUP($C259,IF(LEFT($C259,1)="K",INDIRECT("TABLE"),INDIRECT("TABLE2")),F$9+1),0)</f>
        <v>0</v>
      </c>
      <c r="G259" s="118">
        <f ca="1" t="shared" si="149"/>
        <v>0</v>
      </c>
      <c r="H259" s="118">
        <f ca="1" t="shared" si="149"/>
        <v>0</v>
      </c>
      <c r="I259" s="118">
        <f ca="1" t="shared" si="149"/>
        <v>0</v>
      </c>
      <c r="J259" s="118">
        <f ca="1" t="shared" si="149"/>
        <v>0</v>
      </c>
      <c r="K259" s="118">
        <f ca="1" t="shared" si="149"/>
        <v>0</v>
      </c>
      <c r="L259" s="118">
        <f ca="1" t="shared" si="149"/>
        <v>0</v>
      </c>
      <c r="M259" s="118">
        <f ca="1" t="shared" si="149"/>
        <v>0</v>
      </c>
      <c r="N259" s="118">
        <f ca="1" t="shared" si="149"/>
        <v>0</v>
      </c>
      <c r="O259" s="118">
        <f ca="1" t="shared" si="149"/>
        <v>0</v>
      </c>
      <c r="P259" s="118">
        <f ca="1" t="shared" si="149"/>
        <v>0</v>
      </c>
      <c r="Q259" s="118">
        <f ca="1" t="shared" si="149"/>
        <v>0</v>
      </c>
      <c r="R259" s="118">
        <f ca="1" t="shared" si="149"/>
        <v>0</v>
      </c>
      <c r="S259" s="118">
        <f ca="1" t="shared" si="149"/>
        <v>0</v>
      </c>
      <c r="T259" s="118">
        <f ca="1" t="shared" si="149"/>
        <v>0</v>
      </c>
      <c r="U259" s="297">
        <f ca="1" t="shared" si="149"/>
        <v>0</v>
      </c>
      <c r="V259" s="118">
        <f ca="1">ROUND($D259*VLOOKUP($C259,IF(LEFT($C259,1)="K",INDIRECT("TABLE"),INDIRECT("TABLE2")),V$9+1),0)+Z259</f>
        <v>0</v>
      </c>
      <c r="W259" s="118">
        <f>D259-V259</f>
        <v>0</v>
      </c>
      <c r="X259" s="150"/>
      <c r="Z259" s="140" t="str">
        <f>IF($C259="B","",VLOOKUP($C259,orig_alloc!$A$13:$B$227,2,FALSE))</f>
        <v>WTD NET PLANT RATIOS</v>
      </c>
      <c r="AA259" s="141"/>
      <c r="AE259" s="141"/>
      <c r="AF259" s="141"/>
    </row>
    <row r="260" spans="1:32" ht="20.25" hidden="1">
      <c r="A260" s="148" t="s">
        <v>461</v>
      </c>
      <c r="B260" s="149" t="s">
        <v>462</v>
      </c>
      <c r="C260" s="148" t="s">
        <v>363</v>
      </c>
      <c r="D260" s="201">
        <v>0</v>
      </c>
      <c r="E260" s="219">
        <f>V260-SUM(F260:U260)</f>
        <v>0</v>
      </c>
      <c r="F260" s="118">
        <f ca="1" t="shared" si="149"/>
        <v>0</v>
      </c>
      <c r="G260" s="118">
        <f ca="1" t="shared" si="149"/>
        <v>0</v>
      </c>
      <c r="H260" s="118">
        <f ca="1" t="shared" si="149"/>
        <v>0</v>
      </c>
      <c r="I260" s="118">
        <f ca="1" t="shared" si="149"/>
        <v>0</v>
      </c>
      <c r="J260" s="118">
        <f ca="1" t="shared" si="149"/>
        <v>0</v>
      </c>
      <c r="K260" s="118">
        <f ca="1" t="shared" si="149"/>
        <v>0</v>
      </c>
      <c r="L260" s="118">
        <f ca="1" t="shared" si="149"/>
        <v>0</v>
      </c>
      <c r="M260" s="118">
        <f ca="1" t="shared" si="149"/>
        <v>0</v>
      </c>
      <c r="N260" s="118">
        <f ca="1" t="shared" si="149"/>
        <v>0</v>
      </c>
      <c r="O260" s="118">
        <f ca="1" t="shared" si="149"/>
        <v>0</v>
      </c>
      <c r="P260" s="118">
        <f ca="1" t="shared" si="149"/>
        <v>0</v>
      </c>
      <c r="Q260" s="118">
        <f ca="1" t="shared" si="149"/>
        <v>0</v>
      </c>
      <c r="R260" s="118">
        <f ca="1" t="shared" si="149"/>
        <v>0</v>
      </c>
      <c r="S260" s="118">
        <f ca="1" t="shared" si="149"/>
        <v>0</v>
      </c>
      <c r="T260" s="118">
        <f ca="1" t="shared" si="149"/>
        <v>0</v>
      </c>
      <c r="U260" s="118">
        <f ca="1" t="shared" si="149"/>
        <v>0</v>
      </c>
      <c r="V260" s="118">
        <f ca="1">ROUND($D260*VLOOKUP($C260,IF(LEFT($C260,1)="K",INDIRECT("TABLE"),INDIRECT("TABLE2")),V$9+1),0)</f>
        <v>0</v>
      </c>
      <c r="W260" s="118">
        <f>D260-V260</f>
        <v>0</v>
      </c>
      <c r="X260" s="150"/>
      <c r="Z260" s="140" t="str">
        <f>IF($C260="B","",VLOOKUP($C260,orig_alloc!$A$13:$B$227,2,FALSE))</f>
        <v>ASSIGN 100% TO LIGHTING</v>
      </c>
      <c r="AA260" s="141"/>
      <c r="AE260" s="141"/>
      <c r="AF260" s="141"/>
    </row>
    <row r="261" spans="1:32" ht="20.25" hidden="1">
      <c r="A261" s="240" t="s">
        <v>463</v>
      </c>
      <c r="B261" s="149" t="s">
        <v>464</v>
      </c>
      <c r="C261" s="132"/>
      <c r="D261" s="202">
        <f aca="true" t="shared" si="150" ref="D261:W261">SUM(D258:D260)</f>
        <v>0</v>
      </c>
      <c r="E261" s="202">
        <f t="shared" si="150"/>
        <v>0</v>
      </c>
      <c r="F261" s="202">
        <f t="shared" si="150"/>
        <v>0</v>
      </c>
      <c r="G261" s="202">
        <f t="shared" si="150"/>
        <v>0</v>
      </c>
      <c r="H261" s="202">
        <f t="shared" si="150"/>
        <v>0</v>
      </c>
      <c r="I261" s="202">
        <f t="shared" si="150"/>
        <v>0</v>
      </c>
      <c r="J261" s="202">
        <f t="shared" si="150"/>
        <v>0</v>
      </c>
      <c r="K261" s="202">
        <f t="shared" si="150"/>
        <v>0</v>
      </c>
      <c r="L261" s="202">
        <f t="shared" si="150"/>
        <v>0</v>
      </c>
      <c r="M261" s="202">
        <f t="shared" si="150"/>
        <v>0</v>
      </c>
      <c r="N261" s="202">
        <f t="shared" si="150"/>
        <v>0</v>
      </c>
      <c r="O261" s="202">
        <f t="shared" si="150"/>
        <v>0</v>
      </c>
      <c r="P261" s="202">
        <f t="shared" si="150"/>
        <v>0</v>
      </c>
      <c r="Q261" s="202">
        <f t="shared" si="150"/>
        <v>0</v>
      </c>
      <c r="R261" s="202">
        <f t="shared" si="150"/>
        <v>0</v>
      </c>
      <c r="S261" s="202">
        <f t="shared" si="150"/>
        <v>0</v>
      </c>
      <c r="T261" s="202">
        <f t="shared" si="150"/>
        <v>0</v>
      </c>
      <c r="U261" s="202">
        <f t="shared" si="150"/>
        <v>0</v>
      </c>
      <c r="V261" s="202">
        <f t="shared" si="150"/>
        <v>0</v>
      </c>
      <c r="W261" s="202">
        <f t="shared" si="150"/>
        <v>0</v>
      </c>
      <c r="X261" s="150"/>
      <c r="Z261" s="140">
        <f>IF($C261="B","",VLOOKUP($C261,orig_alloc!$A$13:$B$227,2,FALSE))</f>
      </c>
      <c r="AA261" s="141"/>
      <c r="AE261" s="141"/>
      <c r="AF261" s="141"/>
    </row>
    <row r="262" spans="1:32" ht="20.25" hidden="1">
      <c r="A262" s="132"/>
      <c r="B262" s="149"/>
      <c r="C262" s="132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50"/>
      <c r="Z262" s="140">
        <f>IF($C262="B","",VLOOKUP($C262,orig_alloc!$A$13:$B$227,2,FALSE))</f>
      </c>
      <c r="AA262" s="141"/>
      <c r="AE262" s="141"/>
      <c r="AF262" s="141"/>
    </row>
    <row r="263" spans="1:32" ht="20.25">
      <c r="A263" s="132" t="s">
        <v>465</v>
      </c>
      <c r="B263" s="149" t="s">
        <v>466</v>
      </c>
      <c r="C263" s="132"/>
      <c r="D263" s="118">
        <f aca="true" t="shared" si="151" ref="D263:W263">D261+D256+D247</f>
        <v>41301731</v>
      </c>
      <c r="E263" s="118">
        <f t="shared" si="151"/>
        <v>21405839</v>
      </c>
      <c r="F263" s="118">
        <f t="shared" si="151"/>
        <v>9491971</v>
      </c>
      <c r="G263" s="118">
        <f t="shared" si="151"/>
        <v>9075</v>
      </c>
      <c r="H263" s="118">
        <f t="shared" si="151"/>
        <v>37284</v>
      </c>
      <c r="I263" s="118">
        <f t="shared" si="151"/>
        <v>168418</v>
      </c>
      <c r="J263" s="118">
        <f t="shared" si="151"/>
        <v>4408</v>
      </c>
      <c r="K263" s="118">
        <f t="shared" si="151"/>
        <v>5252021</v>
      </c>
      <c r="L263" s="118">
        <f t="shared" si="151"/>
        <v>71418</v>
      </c>
      <c r="M263" s="118">
        <f t="shared" si="151"/>
        <v>3017375</v>
      </c>
      <c r="N263" s="118">
        <f t="shared" si="151"/>
        <v>142614</v>
      </c>
      <c r="O263" s="118">
        <f t="shared" si="151"/>
        <v>233994</v>
      </c>
      <c r="P263" s="118">
        <f t="shared" si="151"/>
        <v>0</v>
      </c>
      <c r="Q263" s="118">
        <f t="shared" si="151"/>
        <v>985270</v>
      </c>
      <c r="R263" s="118">
        <f t="shared" si="151"/>
        <v>56815</v>
      </c>
      <c r="S263" s="118">
        <f t="shared" si="151"/>
        <v>419332</v>
      </c>
      <c r="T263" s="118">
        <f t="shared" si="151"/>
        <v>0</v>
      </c>
      <c r="U263" s="118">
        <f t="shared" si="151"/>
        <v>5897</v>
      </c>
      <c r="V263" s="118">
        <f t="shared" si="151"/>
        <v>41301731</v>
      </c>
      <c r="W263" s="118">
        <f t="shared" si="151"/>
        <v>0</v>
      </c>
      <c r="X263" s="150"/>
      <c r="Z263" s="140">
        <f>IF($C263="B","",VLOOKUP($C263,orig_alloc!$A$13:$B$227,2,FALSE))</f>
      </c>
      <c r="AA263" s="141"/>
      <c r="AE263" s="141"/>
      <c r="AF263" s="141"/>
    </row>
    <row r="264" spans="1:32" ht="20.25">
      <c r="A264" s="132"/>
      <c r="B264" s="149"/>
      <c r="C264" s="132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50"/>
      <c r="Z264" s="140">
        <f>IF($C264="B","",VLOOKUP($C264,orig_alloc!$A$13:$B$227,2,FALSE))</f>
      </c>
      <c r="AA264" s="141"/>
      <c r="AE264" s="141"/>
      <c r="AF264" s="141"/>
    </row>
    <row r="265" spans="1:32" ht="20.25">
      <c r="A265" s="281" t="s">
        <v>467</v>
      </c>
      <c r="B265" s="149"/>
      <c r="C265" s="132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50"/>
      <c r="Z265" s="140">
        <f>IF($C265="B","",VLOOKUP($C265,orig_alloc!$A$13:$B$227,2,FALSE))</f>
      </c>
      <c r="AA265" s="141"/>
      <c r="AE265" s="141"/>
      <c r="AF265" s="141"/>
    </row>
    <row r="266" spans="1:32" ht="20.25">
      <c r="A266" s="132" t="s">
        <v>468</v>
      </c>
      <c r="B266" s="149"/>
      <c r="C266" s="132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50"/>
      <c r="Z266" s="140">
        <f>IF($C266="B","",VLOOKUP($C266,orig_alloc!$A$13:$B$227,2,FALSE))</f>
      </c>
      <c r="AA266" s="141"/>
      <c r="AE266" s="141"/>
      <c r="AF266" s="141"/>
    </row>
    <row r="267" spans="1:32" ht="20.25" hidden="1">
      <c r="A267" s="148" t="s">
        <v>454</v>
      </c>
      <c r="B267" s="149" t="s">
        <v>469</v>
      </c>
      <c r="C267" s="148" t="s">
        <v>889</v>
      </c>
      <c r="D267" s="201">
        <v>0</v>
      </c>
      <c r="E267" s="219">
        <f aca="true" t="shared" si="152" ref="E267:E272">V267-SUM(F267:U267)</f>
        <v>0</v>
      </c>
      <c r="F267" s="118">
        <f aca="true" ca="1" t="shared" si="153" ref="F267:O272">ROUND($D267*VLOOKUP($C267,IF(LEFT($C267,1)="K",INDIRECT("TABLE"),INDIRECT("TABLE2")),F$9+1),0)</f>
        <v>0</v>
      </c>
      <c r="G267" s="118">
        <f ca="1" t="shared" si="153"/>
        <v>0</v>
      </c>
      <c r="H267" s="118">
        <f ca="1" t="shared" si="153"/>
        <v>0</v>
      </c>
      <c r="I267" s="118">
        <f ca="1" t="shared" si="153"/>
        <v>0</v>
      </c>
      <c r="J267" s="118">
        <f ca="1" t="shared" si="153"/>
        <v>0</v>
      </c>
      <c r="K267" s="118">
        <f ca="1" t="shared" si="153"/>
        <v>0</v>
      </c>
      <c r="L267" s="118">
        <f ca="1" t="shared" si="153"/>
        <v>0</v>
      </c>
      <c r="M267" s="118">
        <f ca="1" t="shared" si="153"/>
        <v>0</v>
      </c>
      <c r="N267" s="118">
        <f ca="1" t="shared" si="153"/>
        <v>0</v>
      </c>
      <c r="O267" s="118">
        <f ca="1" t="shared" si="153"/>
        <v>0</v>
      </c>
      <c r="P267" s="118">
        <f aca="true" ca="1" t="shared" si="154" ref="P267:V272">ROUND($D267*VLOOKUP($C267,IF(LEFT($C267,1)="K",INDIRECT("TABLE"),INDIRECT("TABLE2")),P$9+1),0)</f>
        <v>0</v>
      </c>
      <c r="Q267" s="118">
        <f ca="1" t="shared" si="154"/>
        <v>0</v>
      </c>
      <c r="R267" s="118">
        <f ca="1" t="shared" si="154"/>
        <v>0</v>
      </c>
      <c r="S267" s="118">
        <f ca="1" t="shared" si="154"/>
        <v>0</v>
      </c>
      <c r="T267" s="118">
        <f ca="1" t="shared" si="154"/>
        <v>0</v>
      </c>
      <c r="U267" s="118">
        <f ca="1" t="shared" si="154"/>
        <v>0</v>
      </c>
      <c r="V267" s="118">
        <f ca="1" t="shared" si="154"/>
        <v>0</v>
      </c>
      <c r="W267" s="118">
        <f aca="true" t="shared" si="155" ref="W267:W272">D267-V267</f>
        <v>0</v>
      </c>
      <c r="X267" s="150"/>
      <c r="Z267" s="140" t="str">
        <f>IF($C267="B","",VLOOKUP($C267,orig_alloc!$A$13:$B$227,2,FALSE))</f>
        <v>WTD UNCOLLECTIBLE ACCOUNT O&amp;M</v>
      </c>
      <c r="AA267" s="141"/>
      <c r="AE267" s="141"/>
      <c r="AF267" s="141"/>
    </row>
    <row r="268" spans="1:32" ht="20.25" hidden="1">
      <c r="A268" s="148" t="s">
        <v>814</v>
      </c>
      <c r="B268" s="149" t="s">
        <v>471</v>
      </c>
      <c r="C268" s="148" t="s">
        <v>546</v>
      </c>
      <c r="D268" s="201">
        <v>0</v>
      </c>
      <c r="E268" s="219">
        <f t="shared" si="152"/>
        <v>0</v>
      </c>
      <c r="F268" s="118">
        <f ca="1" t="shared" si="153"/>
        <v>0</v>
      </c>
      <c r="G268" s="118">
        <f ca="1" t="shared" si="153"/>
        <v>0</v>
      </c>
      <c r="H268" s="118">
        <f ca="1" t="shared" si="153"/>
        <v>0</v>
      </c>
      <c r="I268" s="118">
        <f ca="1" t="shared" si="153"/>
        <v>0</v>
      </c>
      <c r="J268" s="118">
        <f ca="1" t="shared" si="153"/>
        <v>0</v>
      </c>
      <c r="K268" s="118">
        <f ca="1" t="shared" si="153"/>
        <v>0</v>
      </c>
      <c r="L268" s="118">
        <f ca="1" t="shared" si="153"/>
        <v>0</v>
      </c>
      <c r="M268" s="118">
        <f ca="1" t="shared" si="153"/>
        <v>0</v>
      </c>
      <c r="N268" s="118">
        <f ca="1" t="shared" si="153"/>
        <v>0</v>
      </c>
      <c r="O268" s="118">
        <f ca="1" t="shared" si="153"/>
        <v>0</v>
      </c>
      <c r="P268" s="118">
        <f ca="1" t="shared" si="154"/>
        <v>0</v>
      </c>
      <c r="Q268" s="118">
        <f ca="1" t="shared" si="154"/>
        <v>0</v>
      </c>
      <c r="R268" s="118">
        <f ca="1" t="shared" si="154"/>
        <v>0</v>
      </c>
      <c r="S268" s="118">
        <f ca="1" t="shared" si="154"/>
        <v>0</v>
      </c>
      <c r="T268" s="118">
        <f ca="1" t="shared" si="154"/>
        <v>0</v>
      </c>
      <c r="U268" s="118">
        <f ca="1" t="shared" si="154"/>
        <v>0</v>
      </c>
      <c r="V268" s="118">
        <f ca="1" t="shared" si="154"/>
        <v>0</v>
      </c>
      <c r="W268" s="118">
        <f t="shared" si="155"/>
        <v>0</v>
      </c>
      <c r="X268" s="150"/>
      <c r="Z268" s="140" t="str">
        <f>IF($C268="B","",VLOOKUP($C268,orig_alloc!$A$13:$B$227,2,FALSE))</f>
        <v>WTD A&amp;G EXPENSE UNADJUSTED</v>
      </c>
      <c r="AA268" s="141"/>
      <c r="AE268" s="141"/>
      <c r="AF268" s="141"/>
    </row>
    <row r="269" spans="1:32" ht="20.25" hidden="1">
      <c r="A269" s="148" t="s">
        <v>749</v>
      </c>
      <c r="B269" s="149" t="s">
        <v>472</v>
      </c>
      <c r="C269" s="148" t="s">
        <v>589</v>
      </c>
      <c r="D269" s="201">
        <v>0</v>
      </c>
      <c r="E269" s="219">
        <f t="shared" si="152"/>
        <v>0</v>
      </c>
      <c r="F269" s="118">
        <f ca="1" t="shared" si="153"/>
        <v>0</v>
      </c>
      <c r="G269" s="118">
        <f ca="1" t="shared" si="153"/>
        <v>0</v>
      </c>
      <c r="H269" s="118">
        <f ca="1" t="shared" si="153"/>
        <v>0</v>
      </c>
      <c r="I269" s="118">
        <f ca="1" t="shared" si="153"/>
        <v>0</v>
      </c>
      <c r="J269" s="118">
        <f ca="1" t="shared" si="153"/>
        <v>0</v>
      </c>
      <c r="K269" s="118">
        <f ca="1" t="shared" si="153"/>
        <v>0</v>
      </c>
      <c r="L269" s="118">
        <f ca="1" t="shared" si="153"/>
        <v>0</v>
      </c>
      <c r="M269" s="118">
        <f ca="1" t="shared" si="153"/>
        <v>0</v>
      </c>
      <c r="N269" s="118">
        <f ca="1" t="shared" si="153"/>
        <v>0</v>
      </c>
      <c r="O269" s="118">
        <f ca="1" t="shared" si="153"/>
        <v>0</v>
      </c>
      <c r="P269" s="118">
        <f ca="1" t="shared" si="154"/>
        <v>0</v>
      </c>
      <c r="Q269" s="118">
        <f ca="1" t="shared" si="154"/>
        <v>0</v>
      </c>
      <c r="R269" s="118">
        <f ca="1" t="shared" si="154"/>
        <v>0</v>
      </c>
      <c r="S269" s="118">
        <f ca="1" t="shared" si="154"/>
        <v>0</v>
      </c>
      <c r="T269" s="118">
        <f ca="1" t="shared" si="154"/>
        <v>0</v>
      </c>
      <c r="U269" s="118">
        <f ca="1" t="shared" si="154"/>
        <v>0</v>
      </c>
      <c r="V269" s="118">
        <f ca="1" t="shared" si="154"/>
        <v>0</v>
      </c>
      <c r="W269" s="118">
        <f t="shared" si="155"/>
        <v>0</v>
      </c>
      <c r="X269" s="150"/>
      <c r="Z269" s="140" t="str">
        <f>IF($C269="B","",VLOOKUP($C269,orig_alloc!$A$13:$B$227,2,FALSE))</f>
        <v>WTD DIST A&amp;G EXP RATIOS</v>
      </c>
      <c r="AA269" s="141"/>
      <c r="AE269" s="141"/>
      <c r="AF269" s="141"/>
    </row>
    <row r="270" spans="1:32" ht="20.25" hidden="1">
      <c r="A270" s="148" t="s">
        <v>815</v>
      </c>
      <c r="B270" s="149" t="s">
        <v>473</v>
      </c>
      <c r="C270" s="148" t="s">
        <v>546</v>
      </c>
      <c r="D270" s="201">
        <v>0</v>
      </c>
      <c r="E270" s="219">
        <f t="shared" si="152"/>
        <v>0</v>
      </c>
      <c r="F270" s="118">
        <f ca="1" t="shared" si="153"/>
        <v>0</v>
      </c>
      <c r="G270" s="118">
        <f ca="1" t="shared" si="153"/>
        <v>0</v>
      </c>
      <c r="H270" s="118">
        <f ca="1" t="shared" si="153"/>
        <v>0</v>
      </c>
      <c r="I270" s="118">
        <f ca="1" t="shared" si="153"/>
        <v>0</v>
      </c>
      <c r="J270" s="118">
        <f ca="1" t="shared" si="153"/>
        <v>0</v>
      </c>
      <c r="K270" s="118">
        <f ca="1" t="shared" si="153"/>
        <v>0</v>
      </c>
      <c r="L270" s="118">
        <f ca="1" t="shared" si="153"/>
        <v>0</v>
      </c>
      <c r="M270" s="118">
        <f ca="1" t="shared" si="153"/>
        <v>0</v>
      </c>
      <c r="N270" s="118">
        <f ca="1" t="shared" si="153"/>
        <v>0</v>
      </c>
      <c r="O270" s="118">
        <f ca="1" t="shared" si="153"/>
        <v>0</v>
      </c>
      <c r="P270" s="118">
        <f ca="1" t="shared" si="154"/>
        <v>0</v>
      </c>
      <c r="Q270" s="118">
        <f ca="1" t="shared" si="154"/>
        <v>0</v>
      </c>
      <c r="R270" s="118">
        <f ca="1" t="shared" si="154"/>
        <v>0</v>
      </c>
      <c r="S270" s="118">
        <f ca="1" t="shared" si="154"/>
        <v>0</v>
      </c>
      <c r="T270" s="118">
        <f ca="1" t="shared" si="154"/>
        <v>0</v>
      </c>
      <c r="U270" s="118">
        <f ca="1" t="shared" si="154"/>
        <v>0</v>
      </c>
      <c r="V270" s="118">
        <f ca="1" t="shared" si="154"/>
        <v>0</v>
      </c>
      <c r="W270" s="118">
        <f t="shared" si="155"/>
        <v>0</v>
      </c>
      <c r="X270" s="150"/>
      <c r="Z270" s="140" t="str">
        <f>IF($C270="B","",VLOOKUP($C270,orig_alloc!$A$13:$B$227,2,FALSE))</f>
        <v>WTD A&amp;G EXPENSE UNADJUSTED</v>
      </c>
      <c r="AA270" s="141"/>
      <c r="AE270" s="141"/>
      <c r="AF270" s="141"/>
    </row>
    <row r="271" spans="1:32" ht="20.25" hidden="1">
      <c r="A271" s="148" t="s">
        <v>816</v>
      </c>
      <c r="B271" s="149" t="s">
        <v>818</v>
      </c>
      <c r="C271" s="148" t="s">
        <v>546</v>
      </c>
      <c r="D271" s="201">
        <v>0</v>
      </c>
      <c r="E271" s="219">
        <f t="shared" si="152"/>
        <v>0</v>
      </c>
      <c r="F271" s="118">
        <f ca="1" t="shared" si="153"/>
        <v>0</v>
      </c>
      <c r="G271" s="118">
        <f ca="1" t="shared" si="153"/>
        <v>0</v>
      </c>
      <c r="H271" s="118">
        <f ca="1" t="shared" si="153"/>
        <v>0</v>
      </c>
      <c r="I271" s="118">
        <f ca="1" t="shared" si="153"/>
        <v>0</v>
      </c>
      <c r="J271" s="118">
        <f ca="1" t="shared" si="153"/>
        <v>0</v>
      </c>
      <c r="K271" s="118">
        <f ca="1" t="shared" si="153"/>
        <v>0</v>
      </c>
      <c r="L271" s="118">
        <f ca="1" t="shared" si="153"/>
        <v>0</v>
      </c>
      <c r="M271" s="118">
        <f ca="1" t="shared" si="153"/>
        <v>0</v>
      </c>
      <c r="N271" s="118">
        <f ca="1" t="shared" si="153"/>
        <v>0</v>
      </c>
      <c r="O271" s="118">
        <f ca="1" t="shared" si="153"/>
        <v>0</v>
      </c>
      <c r="P271" s="118">
        <f ca="1" t="shared" si="154"/>
        <v>0</v>
      </c>
      <c r="Q271" s="118">
        <f ca="1" t="shared" si="154"/>
        <v>0</v>
      </c>
      <c r="R271" s="118">
        <f ca="1" t="shared" si="154"/>
        <v>0</v>
      </c>
      <c r="S271" s="118">
        <f ca="1" t="shared" si="154"/>
        <v>0</v>
      </c>
      <c r="T271" s="118">
        <f ca="1" t="shared" si="154"/>
        <v>0</v>
      </c>
      <c r="U271" s="118">
        <f ca="1" t="shared" si="154"/>
        <v>0</v>
      </c>
      <c r="V271" s="118">
        <f ca="1" t="shared" si="154"/>
        <v>0</v>
      </c>
      <c r="W271" s="118">
        <f t="shared" si="155"/>
        <v>0</v>
      </c>
      <c r="X271" s="150"/>
      <c r="Z271" s="140" t="str">
        <f>IF($C271="B","",VLOOKUP($C271,orig_alloc!$A$13:$B$227,2,FALSE))</f>
        <v>WTD A&amp;G EXPENSE UNADJUSTED</v>
      </c>
      <c r="AA271" s="141"/>
      <c r="AE271" s="141"/>
      <c r="AF271" s="141"/>
    </row>
    <row r="272" spans="1:32" ht="20.25">
      <c r="A272" s="148" t="s">
        <v>817</v>
      </c>
      <c r="B272" s="149" t="s">
        <v>819</v>
      </c>
      <c r="C272" s="148" t="s">
        <v>546</v>
      </c>
      <c r="D272" s="201">
        <v>1295808</v>
      </c>
      <c r="E272" s="219">
        <f t="shared" si="152"/>
        <v>719031</v>
      </c>
      <c r="F272" s="118">
        <f ca="1" t="shared" si="153"/>
        <v>281043</v>
      </c>
      <c r="G272" s="118">
        <f ca="1" t="shared" si="153"/>
        <v>226</v>
      </c>
      <c r="H272" s="118">
        <f ca="1" t="shared" si="153"/>
        <v>1340</v>
      </c>
      <c r="I272" s="118">
        <f ca="1" t="shared" si="153"/>
        <v>4425</v>
      </c>
      <c r="J272" s="118">
        <f ca="1" t="shared" si="153"/>
        <v>159</v>
      </c>
      <c r="K272" s="118">
        <f ca="1" t="shared" si="153"/>
        <v>149051</v>
      </c>
      <c r="L272" s="118">
        <f ca="1" t="shared" si="153"/>
        <v>1592</v>
      </c>
      <c r="M272" s="118">
        <f ca="1" t="shared" si="153"/>
        <v>88452</v>
      </c>
      <c r="N272" s="118">
        <f ca="1" t="shared" si="153"/>
        <v>3353</v>
      </c>
      <c r="O272" s="118">
        <f ca="1" t="shared" si="153"/>
        <v>6878</v>
      </c>
      <c r="P272" s="118">
        <f ca="1" t="shared" si="154"/>
        <v>0</v>
      </c>
      <c r="Q272" s="118">
        <f ca="1" t="shared" si="154"/>
        <v>31639</v>
      </c>
      <c r="R272" s="118">
        <f ca="1" t="shared" si="154"/>
        <v>1447</v>
      </c>
      <c r="S272" s="118">
        <f ca="1" t="shared" si="154"/>
        <v>7011</v>
      </c>
      <c r="T272" s="118">
        <f ca="1" t="shared" si="154"/>
        <v>0</v>
      </c>
      <c r="U272" s="118">
        <f ca="1" t="shared" si="154"/>
        <v>161</v>
      </c>
      <c r="V272" s="118">
        <f ca="1" t="shared" si="154"/>
        <v>1295808</v>
      </c>
      <c r="W272" s="118">
        <f t="shared" si="155"/>
        <v>0</v>
      </c>
      <c r="X272" s="150"/>
      <c r="Z272" s="140" t="str">
        <f>IF($C272="B","",VLOOKUP($C272,orig_alloc!$A$13:$B$227,2,FALSE))</f>
        <v>WTD A&amp;G EXPENSE UNADJUSTED</v>
      </c>
      <c r="AA272" s="141"/>
      <c r="AE272" s="141"/>
      <c r="AF272" s="141"/>
    </row>
    <row r="273" spans="1:32" ht="20.25">
      <c r="A273" s="240" t="s">
        <v>474</v>
      </c>
      <c r="B273" s="149" t="s">
        <v>825</v>
      </c>
      <c r="C273" s="132"/>
      <c r="D273" s="202">
        <f aca="true" t="shared" si="156" ref="D273:W273">SUM(D266:D272)</f>
        <v>1295808</v>
      </c>
      <c r="E273" s="202">
        <f t="shared" si="156"/>
        <v>719031</v>
      </c>
      <c r="F273" s="202">
        <f t="shared" si="156"/>
        <v>281043</v>
      </c>
      <c r="G273" s="202">
        <f t="shared" si="156"/>
        <v>226</v>
      </c>
      <c r="H273" s="202">
        <f t="shared" si="156"/>
        <v>1340</v>
      </c>
      <c r="I273" s="202">
        <f t="shared" si="156"/>
        <v>4425</v>
      </c>
      <c r="J273" s="202">
        <f t="shared" si="156"/>
        <v>159</v>
      </c>
      <c r="K273" s="202">
        <f t="shared" si="156"/>
        <v>149051</v>
      </c>
      <c r="L273" s="202">
        <f t="shared" si="156"/>
        <v>1592</v>
      </c>
      <c r="M273" s="202">
        <f t="shared" si="156"/>
        <v>88452</v>
      </c>
      <c r="N273" s="202">
        <f t="shared" si="156"/>
        <v>3353</v>
      </c>
      <c r="O273" s="202">
        <f t="shared" si="156"/>
        <v>6878</v>
      </c>
      <c r="P273" s="202">
        <f t="shared" si="156"/>
        <v>0</v>
      </c>
      <c r="Q273" s="202">
        <f t="shared" si="156"/>
        <v>31639</v>
      </c>
      <c r="R273" s="202">
        <f t="shared" si="156"/>
        <v>1447</v>
      </c>
      <c r="S273" s="202">
        <f t="shared" si="156"/>
        <v>7011</v>
      </c>
      <c r="T273" s="202">
        <f t="shared" si="156"/>
        <v>0</v>
      </c>
      <c r="U273" s="202">
        <f t="shared" si="156"/>
        <v>161</v>
      </c>
      <c r="V273" s="202">
        <f t="shared" si="156"/>
        <v>1295808</v>
      </c>
      <c r="W273" s="202">
        <f t="shared" si="156"/>
        <v>0</v>
      </c>
      <c r="X273" s="150"/>
      <c r="Z273" s="140">
        <f>IF($C273="B","",VLOOKUP($C273,orig_alloc!$A$13:$B$227,2,FALSE))</f>
      </c>
      <c r="AA273" s="141"/>
      <c r="AE273" s="141"/>
      <c r="AF273" s="141"/>
    </row>
    <row r="274" spans="1:32" ht="20.25">
      <c r="A274" s="132"/>
      <c r="B274" s="149"/>
      <c r="C274" s="132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50"/>
      <c r="Z274" s="140">
        <f>IF($C274="B","",VLOOKUP($C274,orig_alloc!$A$13:$B$227,2,FALSE))</f>
      </c>
      <c r="AA274" s="141"/>
      <c r="AE274" s="141"/>
      <c r="AF274" s="141"/>
    </row>
    <row r="275" spans="1:32" ht="20.25" hidden="1">
      <c r="A275" s="281" t="s">
        <v>820</v>
      </c>
      <c r="B275" s="149"/>
      <c r="C275" s="132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50"/>
      <c r="Z275" s="140">
        <f>IF($C275="B","",VLOOKUP($C275,orig_alloc!$A$13:$B$227,2,FALSE))</f>
      </c>
      <c r="AA275" s="141"/>
      <c r="AE275" s="141"/>
      <c r="AF275" s="141"/>
    </row>
    <row r="276" spans="1:32" ht="20.25" hidden="1">
      <c r="A276" s="148" t="s">
        <v>822</v>
      </c>
      <c r="B276" s="149" t="s">
        <v>826</v>
      </c>
      <c r="C276" s="148" t="s">
        <v>546</v>
      </c>
      <c r="D276" s="201">
        <v>0</v>
      </c>
      <c r="E276" s="219">
        <f>V276-SUM(F276:U276)</f>
        <v>0</v>
      </c>
      <c r="F276" s="118">
        <f aca="true" ca="1" t="shared" si="157" ref="F276:O280">ROUND($D276*VLOOKUP($C276,IF(LEFT($C276,1)="K",INDIRECT("TABLE"),INDIRECT("TABLE2")),F$9+1),0)</f>
        <v>0</v>
      </c>
      <c r="G276" s="118">
        <f ca="1" t="shared" si="157"/>
        <v>0</v>
      </c>
      <c r="H276" s="118">
        <f ca="1" t="shared" si="157"/>
        <v>0</v>
      </c>
      <c r="I276" s="118">
        <f ca="1" t="shared" si="157"/>
        <v>0</v>
      </c>
      <c r="J276" s="118">
        <f ca="1" t="shared" si="157"/>
        <v>0</v>
      </c>
      <c r="K276" s="118">
        <f ca="1" t="shared" si="157"/>
        <v>0</v>
      </c>
      <c r="L276" s="118">
        <f ca="1" t="shared" si="157"/>
        <v>0</v>
      </c>
      <c r="M276" s="118">
        <f ca="1" t="shared" si="157"/>
        <v>0</v>
      </c>
      <c r="N276" s="118">
        <f ca="1" t="shared" si="157"/>
        <v>0</v>
      </c>
      <c r="O276" s="118">
        <f ca="1" t="shared" si="157"/>
        <v>0</v>
      </c>
      <c r="P276" s="118">
        <f aca="true" ca="1" t="shared" si="158" ref="P276:V280">ROUND($D276*VLOOKUP($C276,IF(LEFT($C276,1)="K",INDIRECT("TABLE"),INDIRECT("TABLE2")),P$9+1),0)</f>
        <v>0</v>
      </c>
      <c r="Q276" s="118">
        <f ca="1" t="shared" si="158"/>
        <v>0</v>
      </c>
      <c r="R276" s="118">
        <f ca="1" t="shared" si="158"/>
        <v>0</v>
      </c>
      <c r="S276" s="118">
        <f ca="1" t="shared" si="158"/>
        <v>0</v>
      </c>
      <c r="T276" s="118">
        <f ca="1" t="shared" si="158"/>
        <v>0</v>
      </c>
      <c r="U276" s="118">
        <f ca="1" t="shared" si="158"/>
        <v>0</v>
      </c>
      <c r="V276" s="118">
        <f ca="1" t="shared" si="158"/>
        <v>0</v>
      </c>
      <c r="W276" s="118">
        <f>D276-V276</f>
        <v>0</v>
      </c>
      <c r="X276" s="150"/>
      <c r="Z276" s="140" t="str">
        <f>IF($C276="B","",VLOOKUP($C276,orig_alloc!$A$13:$B$227,2,FALSE))</f>
        <v>WTD A&amp;G EXPENSE UNADJUSTED</v>
      </c>
      <c r="AA276" s="141"/>
      <c r="AE276" s="141"/>
      <c r="AF276" s="141"/>
    </row>
    <row r="277" spans="1:32" ht="20.25" hidden="1">
      <c r="A277" s="148" t="s">
        <v>823</v>
      </c>
      <c r="B277" s="149" t="s">
        <v>827</v>
      </c>
      <c r="C277" s="148" t="s">
        <v>546</v>
      </c>
      <c r="D277" s="201">
        <v>0</v>
      </c>
      <c r="E277" s="219">
        <f>V277-SUM(F277:U277)</f>
        <v>0</v>
      </c>
      <c r="F277" s="118">
        <f ca="1" t="shared" si="157"/>
        <v>0</v>
      </c>
      <c r="G277" s="118">
        <f ca="1" t="shared" si="157"/>
        <v>0</v>
      </c>
      <c r="H277" s="118">
        <f ca="1" t="shared" si="157"/>
        <v>0</v>
      </c>
      <c r="I277" s="118">
        <f ca="1" t="shared" si="157"/>
        <v>0</v>
      </c>
      <c r="J277" s="118">
        <f ca="1" t="shared" si="157"/>
        <v>0</v>
      </c>
      <c r="K277" s="118">
        <f ca="1" t="shared" si="157"/>
        <v>0</v>
      </c>
      <c r="L277" s="118">
        <f ca="1" t="shared" si="157"/>
        <v>0</v>
      </c>
      <c r="M277" s="118">
        <f ca="1" t="shared" si="157"/>
        <v>0</v>
      </c>
      <c r="N277" s="118">
        <f ca="1" t="shared" si="157"/>
        <v>0</v>
      </c>
      <c r="O277" s="118">
        <f ca="1" t="shared" si="157"/>
        <v>0</v>
      </c>
      <c r="P277" s="118">
        <f ca="1" t="shared" si="158"/>
        <v>0</v>
      </c>
      <c r="Q277" s="118">
        <f ca="1" t="shared" si="158"/>
        <v>0</v>
      </c>
      <c r="R277" s="118">
        <f ca="1" t="shared" si="158"/>
        <v>0</v>
      </c>
      <c r="S277" s="118">
        <f ca="1" t="shared" si="158"/>
        <v>0</v>
      </c>
      <c r="T277" s="118">
        <f ca="1" t="shared" si="158"/>
        <v>0</v>
      </c>
      <c r="U277" s="118">
        <f ca="1" t="shared" si="158"/>
        <v>0</v>
      </c>
      <c r="V277" s="118">
        <f ca="1" t="shared" si="158"/>
        <v>0</v>
      </c>
      <c r="W277" s="118">
        <f>D277-V277</f>
        <v>0</v>
      </c>
      <c r="X277" s="150"/>
      <c r="Z277" s="140" t="str">
        <f>IF($C277="B","",VLOOKUP($C277,orig_alloc!$A$13:$B$227,2,FALSE))</f>
        <v>WTD A&amp;G EXPENSE UNADJUSTED</v>
      </c>
      <c r="AA277" s="141"/>
      <c r="AE277" s="141"/>
      <c r="AF277" s="141"/>
    </row>
    <row r="278" spans="1:32" ht="20.25" hidden="1">
      <c r="A278" s="148" t="s">
        <v>824</v>
      </c>
      <c r="B278" s="149" t="s">
        <v>828</v>
      </c>
      <c r="C278" s="148" t="s">
        <v>270</v>
      </c>
      <c r="D278" s="201">
        <v>0</v>
      </c>
      <c r="E278" s="219">
        <f>V278-SUM(F278:U278)</f>
        <v>0</v>
      </c>
      <c r="F278" s="118">
        <f ca="1" t="shared" si="157"/>
        <v>0</v>
      </c>
      <c r="G278" s="118">
        <f ca="1" t="shared" si="157"/>
        <v>0</v>
      </c>
      <c r="H278" s="118">
        <f ca="1" t="shared" si="157"/>
        <v>0</v>
      </c>
      <c r="I278" s="118">
        <f ca="1" t="shared" si="157"/>
        <v>0</v>
      </c>
      <c r="J278" s="118">
        <f ca="1" t="shared" si="157"/>
        <v>0</v>
      </c>
      <c r="K278" s="118">
        <f ca="1" t="shared" si="157"/>
        <v>0</v>
      </c>
      <c r="L278" s="118">
        <f ca="1" t="shared" si="157"/>
        <v>0</v>
      </c>
      <c r="M278" s="118">
        <f ca="1" t="shared" si="157"/>
        <v>0</v>
      </c>
      <c r="N278" s="118">
        <f ca="1" t="shared" si="157"/>
        <v>0</v>
      </c>
      <c r="O278" s="118">
        <f ca="1" t="shared" si="157"/>
        <v>0</v>
      </c>
      <c r="P278" s="118">
        <f ca="1" t="shared" si="158"/>
        <v>0</v>
      </c>
      <c r="Q278" s="118">
        <f ca="1" t="shared" si="158"/>
        <v>0</v>
      </c>
      <c r="R278" s="118">
        <f ca="1" t="shared" si="158"/>
        <v>0</v>
      </c>
      <c r="S278" s="118">
        <f ca="1" t="shared" si="158"/>
        <v>0</v>
      </c>
      <c r="T278" s="118">
        <f ca="1" t="shared" si="158"/>
        <v>0</v>
      </c>
      <c r="U278" s="118">
        <f ca="1" t="shared" si="158"/>
        <v>0</v>
      </c>
      <c r="V278" s="118">
        <f ca="1" t="shared" si="158"/>
        <v>0</v>
      </c>
      <c r="W278" s="118">
        <f>D278-V278</f>
        <v>0</v>
      </c>
      <c r="X278" s="150"/>
      <c r="Z278" s="140" t="str">
        <f>IF($C278="B","",VLOOKUP($C278,orig_alloc!$A$13:$B$227,2,FALSE))</f>
        <v>WTD TOT DEPREC EXP RATIOS</v>
      </c>
      <c r="AA278" s="141"/>
      <c r="AE278" s="141"/>
      <c r="AF278" s="141"/>
    </row>
    <row r="279" spans="1:32" ht="20.25" hidden="1">
      <c r="A279" s="148" t="s">
        <v>837</v>
      </c>
      <c r="B279" s="149" t="s">
        <v>829</v>
      </c>
      <c r="C279" s="148" t="s">
        <v>328</v>
      </c>
      <c r="D279" s="201">
        <v>0</v>
      </c>
      <c r="E279" s="219">
        <f>V279-SUM(F279:U279)</f>
        <v>0</v>
      </c>
      <c r="F279" s="118">
        <f ca="1" t="shared" si="157"/>
        <v>0</v>
      </c>
      <c r="G279" s="118">
        <f ca="1" t="shared" si="157"/>
        <v>0</v>
      </c>
      <c r="H279" s="118">
        <f ca="1" t="shared" si="157"/>
        <v>0</v>
      </c>
      <c r="I279" s="118">
        <f ca="1" t="shared" si="157"/>
        <v>0</v>
      </c>
      <c r="J279" s="118">
        <f ca="1" t="shared" si="157"/>
        <v>0</v>
      </c>
      <c r="K279" s="118">
        <f ca="1" t="shared" si="157"/>
        <v>0</v>
      </c>
      <c r="L279" s="118">
        <f ca="1" t="shared" si="157"/>
        <v>0</v>
      </c>
      <c r="M279" s="118">
        <f ca="1" t="shared" si="157"/>
        <v>0</v>
      </c>
      <c r="N279" s="118">
        <f ca="1" t="shared" si="157"/>
        <v>0</v>
      </c>
      <c r="O279" s="118">
        <f ca="1" t="shared" si="157"/>
        <v>0</v>
      </c>
      <c r="P279" s="118">
        <f ca="1" t="shared" si="158"/>
        <v>0</v>
      </c>
      <c r="Q279" s="118">
        <f ca="1" t="shared" si="158"/>
        <v>0</v>
      </c>
      <c r="R279" s="118">
        <f ca="1" t="shared" si="158"/>
        <v>0</v>
      </c>
      <c r="S279" s="118">
        <f ca="1" t="shared" si="158"/>
        <v>0</v>
      </c>
      <c r="T279" s="118">
        <f ca="1" t="shared" si="158"/>
        <v>0</v>
      </c>
      <c r="U279" s="118">
        <f ca="1" t="shared" si="158"/>
        <v>0</v>
      </c>
      <c r="V279" s="118">
        <f ca="1" t="shared" si="158"/>
        <v>0</v>
      </c>
      <c r="W279" s="118">
        <f>D279-V279</f>
        <v>0</v>
      </c>
      <c r="X279" s="150"/>
      <c r="Z279" s="140" t="str">
        <f>IF($C279="B","",VLOOKUP($C279,orig_alloc!$A$13:$B$227,2,FALSE))</f>
        <v>WTD NET PLANT RATIOS</v>
      </c>
      <c r="AA279" s="141"/>
      <c r="AE279" s="141"/>
      <c r="AF279" s="141"/>
    </row>
    <row r="280" spans="1:32" ht="20.25" hidden="1">
      <c r="A280" s="148" t="s">
        <v>1226</v>
      </c>
      <c r="B280" s="149" t="s">
        <v>830</v>
      </c>
      <c r="C280" s="148" t="s">
        <v>546</v>
      </c>
      <c r="D280" s="201">
        <v>0</v>
      </c>
      <c r="E280" s="219">
        <f>V280-SUM(F280:U280)</f>
        <v>0</v>
      </c>
      <c r="F280" s="118">
        <f ca="1" t="shared" si="157"/>
        <v>0</v>
      </c>
      <c r="G280" s="118">
        <f ca="1" t="shared" si="157"/>
        <v>0</v>
      </c>
      <c r="H280" s="118">
        <f ca="1" t="shared" si="157"/>
        <v>0</v>
      </c>
      <c r="I280" s="118">
        <f ca="1" t="shared" si="157"/>
        <v>0</v>
      </c>
      <c r="J280" s="118">
        <f ca="1" t="shared" si="157"/>
        <v>0</v>
      </c>
      <c r="K280" s="118">
        <f ca="1" t="shared" si="157"/>
        <v>0</v>
      </c>
      <c r="L280" s="118">
        <f ca="1" t="shared" si="157"/>
        <v>0</v>
      </c>
      <c r="M280" s="118">
        <f ca="1" t="shared" si="157"/>
        <v>0</v>
      </c>
      <c r="N280" s="118">
        <f ca="1" t="shared" si="157"/>
        <v>0</v>
      </c>
      <c r="O280" s="118">
        <f ca="1" t="shared" si="157"/>
        <v>0</v>
      </c>
      <c r="P280" s="118">
        <f ca="1" t="shared" si="158"/>
        <v>0</v>
      </c>
      <c r="Q280" s="118">
        <f ca="1" t="shared" si="158"/>
        <v>0</v>
      </c>
      <c r="R280" s="118">
        <f ca="1" t="shared" si="158"/>
        <v>0</v>
      </c>
      <c r="S280" s="118">
        <f ca="1" t="shared" si="158"/>
        <v>0</v>
      </c>
      <c r="T280" s="118">
        <f ca="1" t="shared" si="158"/>
        <v>0</v>
      </c>
      <c r="U280" s="118">
        <f ca="1" t="shared" si="158"/>
        <v>0</v>
      </c>
      <c r="V280" s="118">
        <f ca="1" t="shared" si="158"/>
        <v>0</v>
      </c>
      <c r="W280" s="118">
        <f>D280-V280</f>
        <v>0</v>
      </c>
      <c r="X280" s="150"/>
      <c r="Z280" s="140" t="str">
        <f>IF($C280="B","",VLOOKUP($C280,orig_alloc!$A$13:$B$227,2,FALSE))</f>
        <v>WTD A&amp;G EXPENSE UNADJUSTED</v>
      </c>
      <c r="AA280" s="141"/>
      <c r="AE280" s="141"/>
      <c r="AF280" s="141"/>
    </row>
    <row r="281" spans="1:32" ht="20.25" hidden="1">
      <c r="A281" s="240" t="s">
        <v>821</v>
      </c>
      <c r="B281" s="149" t="s">
        <v>831</v>
      </c>
      <c r="C281" s="132"/>
      <c r="D281" s="202">
        <f aca="true" t="shared" si="159" ref="D281:W281">SUM(D275:D280)</f>
        <v>0</v>
      </c>
      <c r="E281" s="202">
        <f t="shared" si="159"/>
        <v>0</v>
      </c>
      <c r="F281" s="202">
        <f t="shared" si="159"/>
        <v>0</v>
      </c>
      <c r="G281" s="202">
        <f t="shared" si="159"/>
        <v>0</v>
      </c>
      <c r="H281" s="202">
        <f t="shared" si="159"/>
        <v>0</v>
      </c>
      <c r="I281" s="202">
        <f t="shared" si="159"/>
        <v>0</v>
      </c>
      <c r="J281" s="202">
        <f t="shared" si="159"/>
        <v>0</v>
      </c>
      <c r="K281" s="202">
        <f t="shared" si="159"/>
        <v>0</v>
      </c>
      <c r="L281" s="202">
        <f t="shared" si="159"/>
        <v>0</v>
      </c>
      <c r="M281" s="202">
        <f t="shared" si="159"/>
        <v>0</v>
      </c>
      <c r="N281" s="202">
        <f t="shared" si="159"/>
        <v>0</v>
      </c>
      <c r="O281" s="202">
        <f t="shared" si="159"/>
        <v>0</v>
      </c>
      <c r="P281" s="202">
        <f t="shared" si="159"/>
        <v>0</v>
      </c>
      <c r="Q281" s="202">
        <f t="shared" si="159"/>
        <v>0</v>
      </c>
      <c r="R281" s="202">
        <f t="shared" si="159"/>
        <v>0</v>
      </c>
      <c r="S281" s="202">
        <f t="shared" si="159"/>
        <v>0</v>
      </c>
      <c r="T281" s="202">
        <f t="shared" si="159"/>
        <v>0</v>
      </c>
      <c r="U281" s="202">
        <f t="shared" si="159"/>
        <v>0</v>
      </c>
      <c r="V281" s="202">
        <f t="shared" si="159"/>
        <v>0</v>
      </c>
      <c r="W281" s="202">
        <f t="shared" si="159"/>
        <v>0</v>
      </c>
      <c r="X281" s="150"/>
      <c r="Z281" s="140">
        <f>IF($C281="B","",VLOOKUP($C281,orig_alloc!$A$13:$B$227,2,FALSE))</f>
      </c>
      <c r="AA281" s="141"/>
      <c r="AE281" s="141"/>
      <c r="AF281" s="141"/>
    </row>
    <row r="282" spans="1:32" ht="20.25" hidden="1">
      <c r="A282" s="132"/>
      <c r="B282" s="149"/>
      <c r="C282" s="132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50"/>
      <c r="Z282" s="140">
        <f>IF($C282="B","",VLOOKUP($C282,orig_alloc!$A$13:$B$227,2,FALSE))</f>
      </c>
      <c r="AA282" s="141"/>
      <c r="AE282" s="141"/>
      <c r="AF282" s="141"/>
    </row>
    <row r="283" spans="1:32" ht="20.25" hidden="1">
      <c r="A283" s="148" t="s">
        <v>720</v>
      </c>
      <c r="B283" s="149"/>
      <c r="C283" s="132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150"/>
      <c r="Z283" s="140">
        <f>IF($C283="B","",VLOOKUP($C283,orig_alloc!$A$13:$B$227,2,FALSE))</f>
      </c>
      <c r="AA283" s="141"/>
      <c r="AE283" s="141"/>
      <c r="AF283" s="141"/>
    </row>
    <row r="284" spans="1:32" ht="20.25" hidden="1">
      <c r="A284" s="240" t="s">
        <v>721</v>
      </c>
      <c r="B284" s="149" t="s">
        <v>1186</v>
      </c>
      <c r="C284" s="148" t="s">
        <v>137</v>
      </c>
      <c r="D284" s="201">
        <v>0</v>
      </c>
      <c r="E284" s="219">
        <f>V284-SUM(F284:U284)</f>
        <v>0</v>
      </c>
      <c r="F284" s="118">
        <f aca="true" ca="1" t="shared" si="160" ref="F284:V284">ROUND($D284*VLOOKUP($C284,IF(LEFT($C284,1)="K",INDIRECT("TABLE"),INDIRECT("TABLE2")),F$9+1),0)</f>
        <v>0</v>
      </c>
      <c r="G284" s="118">
        <f ca="1" t="shared" si="160"/>
        <v>0</v>
      </c>
      <c r="H284" s="118">
        <f ca="1" t="shared" si="160"/>
        <v>0</v>
      </c>
      <c r="I284" s="118">
        <f ca="1" t="shared" si="160"/>
        <v>0</v>
      </c>
      <c r="J284" s="118">
        <f ca="1" t="shared" si="160"/>
        <v>0</v>
      </c>
      <c r="K284" s="118">
        <f ca="1" t="shared" si="160"/>
        <v>0</v>
      </c>
      <c r="L284" s="118">
        <f ca="1" t="shared" si="160"/>
        <v>0</v>
      </c>
      <c r="M284" s="118">
        <f ca="1" t="shared" si="160"/>
        <v>0</v>
      </c>
      <c r="N284" s="118">
        <f ca="1" t="shared" si="160"/>
        <v>0</v>
      </c>
      <c r="O284" s="118">
        <f ca="1" t="shared" si="160"/>
        <v>0</v>
      </c>
      <c r="P284" s="118">
        <f ca="1" t="shared" si="160"/>
        <v>0</v>
      </c>
      <c r="Q284" s="118">
        <f ca="1" t="shared" si="160"/>
        <v>0</v>
      </c>
      <c r="R284" s="118">
        <f ca="1" t="shared" si="160"/>
        <v>0</v>
      </c>
      <c r="S284" s="118">
        <f ca="1" t="shared" si="160"/>
        <v>0</v>
      </c>
      <c r="T284" s="118">
        <f ca="1" t="shared" si="160"/>
        <v>0</v>
      </c>
      <c r="U284" s="118">
        <f ca="1" t="shared" si="160"/>
        <v>0</v>
      </c>
      <c r="V284" s="118">
        <f ca="1" t="shared" si="160"/>
        <v>0</v>
      </c>
      <c r="W284" s="118">
        <f>D284-V284</f>
        <v>0</v>
      </c>
      <c r="X284" s="150"/>
      <c r="Z284" s="140" t="str">
        <f>IF($C284="B","",VLOOKUP($C284,orig_alloc!$A$13:$B$227,2,FALSE))</f>
        <v>JUR. WTD NET PLANT RATIOS</v>
      </c>
      <c r="AA284" s="141"/>
      <c r="AE284" s="141"/>
      <c r="AF284" s="141"/>
    </row>
    <row r="285" spans="1:32" ht="20.25" hidden="1">
      <c r="A285" s="148"/>
      <c r="B285" s="149"/>
      <c r="C285" s="148"/>
      <c r="D285" s="201"/>
      <c r="E285" s="219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50"/>
      <c r="Z285" s="140">
        <f>IF($C285="B","",VLOOKUP($C285,orig_alloc!$A$13:$B$227,2,FALSE))</f>
      </c>
      <c r="AA285" s="141"/>
      <c r="AE285" s="141"/>
      <c r="AF285" s="141"/>
    </row>
    <row r="286" spans="1:32" ht="20.25">
      <c r="A286" s="203" t="s">
        <v>722</v>
      </c>
      <c r="B286" s="290" t="s">
        <v>1242</v>
      </c>
      <c r="C286" s="148"/>
      <c r="D286" s="298"/>
      <c r="E286" s="299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300"/>
      <c r="Z286" s="140">
        <f>IF($C286="B","",VLOOKUP($C286,orig_alloc!$A$13:$B$227,2,FALSE))</f>
      </c>
      <c r="AA286" s="143"/>
      <c r="AB286" s="144"/>
      <c r="AC286" s="144"/>
      <c r="AE286" s="141"/>
      <c r="AF286" s="141"/>
    </row>
    <row r="287" spans="1:32" ht="20.25">
      <c r="A287" s="231" t="s">
        <v>1182</v>
      </c>
      <c r="B287" s="149" t="s">
        <v>1185</v>
      </c>
      <c r="C287" s="198" t="s">
        <v>208</v>
      </c>
      <c r="D287" s="216">
        <v>-3443000</v>
      </c>
      <c r="E287" s="219">
        <f>V287-SUM(F287:U287)</f>
        <v>-1780241</v>
      </c>
      <c r="F287" s="118">
        <f aca="true" ca="1" t="shared" si="161" ref="F287:O291">ROUND($D287*VLOOKUP($C287,IF(LEFT($C287,1)="K",INDIRECT("TABLE"),INDIRECT("TABLE2")),F$9+1),0)</f>
        <v>-765458</v>
      </c>
      <c r="G287" s="118">
        <f ca="1" t="shared" si="161"/>
        <v>-752</v>
      </c>
      <c r="H287" s="118">
        <f ca="1" t="shared" si="161"/>
        <v>-3079</v>
      </c>
      <c r="I287" s="118">
        <f ca="1" t="shared" si="161"/>
        <v>-14639</v>
      </c>
      <c r="J287" s="118">
        <f ca="1" t="shared" si="161"/>
        <v>-344</v>
      </c>
      <c r="K287" s="118">
        <f ca="1" t="shared" si="161"/>
        <v>-422717</v>
      </c>
      <c r="L287" s="118">
        <f ca="1" t="shared" si="161"/>
        <v>-6182</v>
      </c>
      <c r="M287" s="118">
        <f ca="1" t="shared" si="161"/>
        <v>-271273</v>
      </c>
      <c r="N287" s="118">
        <f ca="1" t="shared" si="161"/>
        <v>-13024</v>
      </c>
      <c r="O287" s="118">
        <f ca="1" t="shared" si="161"/>
        <v>-20171</v>
      </c>
      <c r="P287" s="118">
        <f aca="true" ca="1" t="shared" si="162" ref="P287:V291">ROUND($D287*VLOOKUP($C287,IF(LEFT($C287,1)="K",INDIRECT("TABLE"),INDIRECT("TABLE2")),P$9+1),0)</f>
        <v>0</v>
      </c>
      <c r="Q287" s="118">
        <f ca="1" t="shared" si="162"/>
        <v>-119781</v>
      </c>
      <c r="R287" s="118">
        <f ca="1" t="shared" si="162"/>
        <v>-6945</v>
      </c>
      <c r="S287" s="118">
        <f ca="1" t="shared" si="162"/>
        <v>-17832</v>
      </c>
      <c r="T287" s="118">
        <f ca="1" t="shared" si="162"/>
        <v>0</v>
      </c>
      <c r="U287" s="118">
        <f ca="1" t="shared" si="162"/>
        <v>-562</v>
      </c>
      <c r="V287" s="118">
        <f ca="1" t="shared" si="162"/>
        <v>-3443000</v>
      </c>
      <c r="W287" s="118">
        <f>D287-V287</f>
        <v>0</v>
      </c>
      <c r="X287" s="300"/>
      <c r="Z287" s="140" t="str">
        <f>IF($C287="B","",VLOOKUP($C287,orig_alloc!$A$13:$B$227,2,FALSE))</f>
        <v>GROSS ELECTRIC PLANT IN SERVICE</v>
      </c>
      <c r="AA287" s="143"/>
      <c r="AB287" s="144"/>
      <c r="AC287" s="144"/>
      <c r="AE287" s="141"/>
      <c r="AF287" s="141"/>
    </row>
    <row r="288" spans="1:32" ht="20.25">
      <c r="A288" s="231" t="s">
        <v>314</v>
      </c>
      <c r="B288" s="149" t="s">
        <v>745</v>
      </c>
      <c r="C288" s="198" t="s">
        <v>210</v>
      </c>
      <c r="D288" s="216">
        <v>1245000</v>
      </c>
      <c r="E288" s="219">
        <f>V288-SUM(F288:U288)</f>
        <v>643742</v>
      </c>
      <c r="F288" s="118">
        <f ca="1" t="shared" si="161"/>
        <v>276792</v>
      </c>
      <c r="G288" s="118">
        <f ca="1" t="shared" si="161"/>
        <v>272</v>
      </c>
      <c r="H288" s="118">
        <f ca="1" t="shared" si="161"/>
        <v>1113</v>
      </c>
      <c r="I288" s="118">
        <f ca="1" t="shared" si="161"/>
        <v>5293</v>
      </c>
      <c r="J288" s="118">
        <f ca="1" t="shared" si="161"/>
        <v>125</v>
      </c>
      <c r="K288" s="118">
        <f ca="1" t="shared" si="161"/>
        <v>152856</v>
      </c>
      <c r="L288" s="118">
        <f ca="1" t="shared" si="161"/>
        <v>2235</v>
      </c>
      <c r="M288" s="118">
        <f ca="1" t="shared" si="161"/>
        <v>98093</v>
      </c>
      <c r="N288" s="118">
        <f ca="1" t="shared" si="161"/>
        <v>4710</v>
      </c>
      <c r="O288" s="118">
        <f ca="1" t="shared" si="161"/>
        <v>7294</v>
      </c>
      <c r="P288" s="118">
        <f ca="1" t="shared" si="162"/>
        <v>0</v>
      </c>
      <c r="Q288" s="118">
        <f ca="1" t="shared" si="162"/>
        <v>43313</v>
      </c>
      <c r="R288" s="118">
        <f ca="1" t="shared" si="162"/>
        <v>2511</v>
      </c>
      <c r="S288" s="118">
        <f ca="1" t="shared" si="162"/>
        <v>6448</v>
      </c>
      <c r="T288" s="118">
        <f ca="1" t="shared" si="162"/>
        <v>0</v>
      </c>
      <c r="U288" s="118">
        <f ca="1" t="shared" si="162"/>
        <v>203</v>
      </c>
      <c r="V288" s="118">
        <f ca="1" t="shared" si="162"/>
        <v>1245000</v>
      </c>
      <c r="W288" s="118">
        <f>D288-V288</f>
        <v>0</v>
      </c>
      <c r="X288" s="300"/>
      <c r="Z288" s="140" t="str">
        <f>IF($C288="B","",VLOOKUP($C288,orig_alloc!$A$13:$B$227,2,FALSE))</f>
        <v>WTD GROSS TRANS PLANT RATIOS</v>
      </c>
      <c r="AA288" s="143"/>
      <c r="AB288" s="144"/>
      <c r="AC288" s="144"/>
      <c r="AE288" s="141"/>
      <c r="AF288" s="141"/>
    </row>
    <row r="289" spans="1:32" ht="20.25">
      <c r="A289" s="132" t="s">
        <v>313</v>
      </c>
      <c r="B289" s="149" t="s">
        <v>746</v>
      </c>
      <c r="C289" s="198" t="s">
        <v>400</v>
      </c>
      <c r="D289" s="218">
        <v>6461000</v>
      </c>
      <c r="E289" s="219">
        <f>V289-SUM(F289:U289)</f>
        <v>3361651</v>
      </c>
      <c r="F289" s="118">
        <f ca="1" t="shared" si="161"/>
        <v>1558776</v>
      </c>
      <c r="G289" s="118">
        <f ca="1" t="shared" si="161"/>
        <v>1426</v>
      </c>
      <c r="H289" s="118">
        <f ca="1" t="shared" si="161"/>
        <v>5828</v>
      </c>
      <c r="I289" s="118">
        <f ca="1" t="shared" si="161"/>
        <v>24084</v>
      </c>
      <c r="J289" s="118">
        <f ca="1" t="shared" si="161"/>
        <v>763</v>
      </c>
      <c r="K289" s="118">
        <f ca="1" t="shared" si="161"/>
        <v>861323</v>
      </c>
      <c r="L289" s="118">
        <f ca="1" t="shared" si="161"/>
        <v>10290</v>
      </c>
      <c r="M289" s="118">
        <f ca="1" t="shared" si="161"/>
        <v>368669</v>
      </c>
      <c r="N289" s="118">
        <f ca="1" t="shared" si="161"/>
        <v>16929</v>
      </c>
      <c r="O289" s="118">
        <f ca="1" t="shared" si="161"/>
        <v>31882</v>
      </c>
      <c r="P289" s="118">
        <f ca="1" t="shared" si="162"/>
        <v>0</v>
      </c>
      <c r="Q289" s="118">
        <f ca="1" t="shared" si="162"/>
        <v>344</v>
      </c>
      <c r="R289" s="118">
        <f ca="1" t="shared" si="162"/>
        <v>0</v>
      </c>
      <c r="S289" s="118">
        <f ca="1" t="shared" si="162"/>
        <v>218354</v>
      </c>
      <c r="T289" s="118">
        <f ca="1" t="shared" si="162"/>
        <v>0</v>
      </c>
      <c r="U289" s="118">
        <f ca="1" t="shared" si="162"/>
        <v>681</v>
      </c>
      <c r="V289" s="118">
        <f ca="1" t="shared" si="162"/>
        <v>6461000</v>
      </c>
      <c r="W289" s="118">
        <f>D289-V289</f>
        <v>0</v>
      </c>
      <c r="X289" s="150"/>
      <c r="Z289" s="140" t="str">
        <f>IF($C289="B","",VLOOKUP($C289,orig_alloc!$A$13:$B$227,2,FALSE))</f>
        <v>WTD GROSS DIST PLANT RATIOS</v>
      </c>
      <c r="AA289" s="141"/>
      <c r="AE289" s="141"/>
      <c r="AF289" s="141"/>
    </row>
    <row r="290" spans="1:32" ht="20.25">
      <c r="A290" s="132" t="s">
        <v>812</v>
      </c>
      <c r="B290" s="149" t="s">
        <v>813</v>
      </c>
      <c r="C290" s="198" t="s">
        <v>219</v>
      </c>
      <c r="D290" s="216">
        <v>0</v>
      </c>
      <c r="E290" s="219">
        <f>V290-SUM(F290:U290)</f>
        <v>0</v>
      </c>
      <c r="F290" s="118">
        <f ca="1" t="shared" si="161"/>
        <v>0</v>
      </c>
      <c r="G290" s="118">
        <f ca="1" t="shared" si="161"/>
        <v>0</v>
      </c>
      <c r="H290" s="118">
        <f ca="1" t="shared" si="161"/>
        <v>0</v>
      </c>
      <c r="I290" s="118">
        <f ca="1" t="shared" si="161"/>
        <v>0</v>
      </c>
      <c r="J290" s="118">
        <f ca="1" t="shared" si="161"/>
        <v>0</v>
      </c>
      <c r="K290" s="118">
        <f ca="1" t="shared" si="161"/>
        <v>0</v>
      </c>
      <c r="L290" s="118">
        <f ca="1" t="shared" si="161"/>
        <v>0</v>
      </c>
      <c r="M290" s="118">
        <f ca="1" t="shared" si="161"/>
        <v>0</v>
      </c>
      <c r="N290" s="118">
        <f ca="1" t="shared" si="161"/>
        <v>0</v>
      </c>
      <c r="O290" s="118">
        <f ca="1" t="shared" si="161"/>
        <v>0</v>
      </c>
      <c r="P290" s="118">
        <f ca="1" t="shared" si="162"/>
        <v>0</v>
      </c>
      <c r="Q290" s="118">
        <f ca="1" t="shared" si="162"/>
        <v>0</v>
      </c>
      <c r="R290" s="118">
        <f ca="1" t="shared" si="162"/>
        <v>0</v>
      </c>
      <c r="S290" s="118">
        <f ca="1" t="shared" si="162"/>
        <v>0</v>
      </c>
      <c r="T290" s="118">
        <f ca="1" t="shared" si="162"/>
        <v>0</v>
      </c>
      <c r="U290" s="118">
        <f ca="1" t="shared" si="162"/>
        <v>0</v>
      </c>
      <c r="V290" s="118">
        <f ca="1" t="shared" si="162"/>
        <v>0</v>
      </c>
      <c r="W290" s="118">
        <f>D290-V290</f>
        <v>0</v>
      </c>
      <c r="X290" s="150"/>
      <c r="Z290" s="140" t="str">
        <f>IF($C290="B","",VLOOKUP($C290,orig_alloc!$A$13:$B$227,2,FALSE))</f>
        <v>WTD GROSS G &amp; I PLT RATIOS</v>
      </c>
      <c r="AA290" s="141"/>
      <c r="AE290" s="141"/>
      <c r="AF290" s="141"/>
    </row>
    <row r="291" spans="1:32" ht="20.25">
      <c r="A291" s="132" t="s">
        <v>723</v>
      </c>
      <c r="B291" s="149" t="s">
        <v>747</v>
      </c>
      <c r="C291" s="198" t="s">
        <v>221</v>
      </c>
      <c r="D291" s="216">
        <v>0</v>
      </c>
      <c r="E291" s="219">
        <f>V291-SUM(F291:U291)</f>
        <v>0</v>
      </c>
      <c r="F291" s="118">
        <f ca="1" t="shared" si="161"/>
        <v>0</v>
      </c>
      <c r="G291" s="118">
        <f ca="1" t="shared" si="161"/>
        <v>0</v>
      </c>
      <c r="H291" s="118">
        <f ca="1" t="shared" si="161"/>
        <v>0</v>
      </c>
      <c r="I291" s="118">
        <f ca="1" t="shared" si="161"/>
        <v>0</v>
      </c>
      <c r="J291" s="118">
        <f ca="1" t="shared" si="161"/>
        <v>0</v>
      </c>
      <c r="K291" s="118">
        <f ca="1" t="shared" si="161"/>
        <v>0</v>
      </c>
      <c r="L291" s="118">
        <f ca="1" t="shared" si="161"/>
        <v>0</v>
      </c>
      <c r="M291" s="118">
        <f ca="1" t="shared" si="161"/>
        <v>0</v>
      </c>
      <c r="N291" s="118">
        <f ca="1" t="shared" si="161"/>
        <v>0</v>
      </c>
      <c r="O291" s="118">
        <f ca="1" t="shared" si="161"/>
        <v>0</v>
      </c>
      <c r="P291" s="118">
        <f ca="1" t="shared" si="162"/>
        <v>0</v>
      </c>
      <c r="Q291" s="118">
        <f ca="1" t="shared" si="162"/>
        <v>0</v>
      </c>
      <c r="R291" s="118">
        <f ca="1" t="shared" si="162"/>
        <v>0</v>
      </c>
      <c r="S291" s="118">
        <f ca="1" t="shared" si="162"/>
        <v>0</v>
      </c>
      <c r="T291" s="118">
        <f ca="1" t="shared" si="162"/>
        <v>0</v>
      </c>
      <c r="U291" s="118">
        <f ca="1" t="shared" si="162"/>
        <v>0</v>
      </c>
      <c r="V291" s="118">
        <f ca="1" t="shared" si="162"/>
        <v>0</v>
      </c>
      <c r="W291" s="118">
        <f>D291-V291</f>
        <v>0</v>
      </c>
      <c r="X291" s="150"/>
      <c r="Z291" s="140" t="str">
        <f>IF($C291="B","",VLOOKUP($C291,orig_alloc!$A$13:$B$227,2,FALSE))</f>
        <v>WTD GROSS C &amp; O PLANT RATIOS</v>
      </c>
      <c r="AA291" s="141"/>
      <c r="AE291" s="141"/>
      <c r="AF291" s="141"/>
    </row>
    <row r="292" spans="1:32" ht="20.25">
      <c r="A292" s="240" t="s">
        <v>476</v>
      </c>
      <c r="B292" s="149" t="s">
        <v>477</v>
      </c>
      <c r="C292" s="132" t="s">
        <v>1250</v>
      </c>
      <c r="D292" s="202">
        <f aca="true" t="shared" si="163" ref="D292:W292">SUM(D287:D291)</f>
        <v>4263000</v>
      </c>
      <c r="E292" s="202">
        <f t="shared" si="163"/>
        <v>2225152</v>
      </c>
      <c r="F292" s="202">
        <f t="shared" si="163"/>
        <v>1070110</v>
      </c>
      <c r="G292" s="202">
        <f t="shared" si="163"/>
        <v>946</v>
      </c>
      <c r="H292" s="202">
        <f t="shared" si="163"/>
        <v>3862</v>
      </c>
      <c r="I292" s="202">
        <f t="shared" si="163"/>
        <v>14738</v>
      </c>
      <c r="J292" s="202">
        <f t="shared" si="163"/>
        <v>544</v>
      </c>
      <c r="K292" s="202">
        <f t="shared" si="163"/>
        <v>591462</v>
      </c>
      <c r="L292" s="202">
        <f t="shared" si="163"/>
        <v>6343</v>
      </c>
      <c r="M292" s="202">
        <f t="shared" si="163"/>
        <v>195489</v>
      </c>
      <c r="N292" s="202">
        <f t="shared" si="163"/>
        <v>8615</v>
      </c>
      <c r="O292" s="202">
        <f t="shared" si="163"/>
        <v>19005</v>
      </c>
      <c r="P292" s="202">
        <f t="shared" si="163"/>
        <v>0</v>
      </c>
      <c r="Q292" s="202">
        <f t="shared" si="163"/>
        <v>-76124</v>
      </c>
      <c r="R292" s="202">
        <f t="shared" si="163"/>
        <v>-4434</v>
      </c>
      <c r="S292" s="202">
        <f t="shared" si="163"/>
        <v>206970</v>
      </c>
      <c r="T292" s="202">
        <f t="shared" si="163"/>
        <v>0</v>
      </c>
      <c r="U292" s="202">
        <f t="shared" si="163"/>
        <v>322</v>
      </c>
      <c r="V292" s="202">
        <f t="shared" si="163"/>
        <v>4263000</v>
      </c>
      <c r="W292" s="202">
        <f t="shared" si="163"/>
        <v>0</v>
      </c>
      <c r="X292" s="150"/>
      <c r="Z292" s="140" t="str">
        <f>IF($C292="B","",VLOOKUP($C292,orig_alloc!$A$13:$B$227,2,FALSE))</f>
        <v>WTD CWIP</v>
      </c>
      <c r="AA292" s="141"/>
      <c r="AE292" s="141"/>
      <c r="AF292" s="141"/>
    </row>
    <row r="293" spans="1:32" ht="20.25">
      <c r="A293" s="132"/>
      <c r="B293" s="149"/>
      <c r="C293" s="132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50"/>
      <c r="Z293" s="140">
        <f>IF($C293="B","",VLOOKUP($C293,orig_alloc!$A$13:$B$227,2,FALSE))</f>
      </c>
      <c r="AA293" s="141"/>
      <c r="AE293" s="141"/>
      <c r="AF293" s="141"/>
    </row>
    <row r="294" spans="1:32" ht="20.25">
      <c r="A294" s="132" t="s">
        <v>478</v>
      </c>
      <c r="B294" s="149" t="s">
        <v>479</v>
      </c>
      <c r="C294" s="132"/>
      <c r="D294" s="118">
        <f aca="true" t="shared" si="164" ref="D294:W294">D292+D273+D284+D281</f>
        <v>5558808</v>
      </c>
      <c r="E294" s="118">
        <f t="shared" si="164"/>
        <v>2944183</v>
      </c>
      <c r="F294" s="118">
        <f t="shared" si="164"/>
        <v>1351153</v>
      </c>
      <c r="G294" s="118">
        <f t="shared" si="164"/>
        <v>1172</v>
      </c>
      <c r="H294" s="118">
        <f t="shared" si="164"/>
        <v>5202</v>
      </c>
      <c r="I294" s="118">
        <f t="shared" si="164"/>
        <v>19163</v>
      </c>
      <c r="J294" s="118">
        <f t="shared" si="164"/>
        <v>703</v>
      </c>
      <c r="K294" s="118">
        <f t="shared" si="164"/>
        <v>740513</v>
      </c>
      <c r="L294" s="118">
        <f t="shared" si="164"/>
        <v>7935</v>
      </c>
      <c r="M294" s="118">
        <f t="shared" si="164"/>
        <v>283941</v>
      </c>
      <c r="N294" s="118">
        <f t="shared" si="164"/>
        <v>11968</v>
      </c>
      <c r="O294" s="118">
        <f t="shared" si="164"/>
        <v>25883</v>
      </c>
      <c r="P294" s="118">
        <f t="shared" si="164"/>
        <v>0</v>
      </c>
      <c r="Q294" s="118">
        <f t="shared" si="164"/>
        <v>-44485</v>
      </c>
      <c r="R294" s="118">
        <f t="shared" si="164"/>
        <v>-2987</v>
      </c>
      <c r="S294" s="118">
        <f t="shared" si="164"/>
        <v>213981</v>
      </c>
      <c r="T294" s="118">
        <f t="shared" si="164"/>
        <v>0</v>
      </c>
      <c r="U294" s="118">
        <f t="shared" si="164"/>
        <v>483</v>
      </c>
      <c r="V294" s="118">
        <f t="shared" si="164"/>
        <v>5558808</v>
      </c>
      <c r="W294" s="118">
        <f t="shared" si="164"/>
        <v>0</v>
      </c>
      <c r="X294" s="150"/>
      <c r="Z294" s="140">
        <f>IF($C294="B","",VLOOKUP($C294,orig_alloc!$A$13:$B$227,2,FALSE))</f>
      </c>
      <c r="AA294" s="141"/>
      <c r="AE294" s="141"/>
      <c r="AF294" s="141"/>
    </row>
    <row r="295" spans="1:32" ht="20.25">
      <c r="A295" s="132"/>
      <c r="B295" s="149"/>
      <c r="C295" s="132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50"/>
      <c r="Z295" s="140">
        <f>IF($C295="B","",VLOOKUP($C295,orig_alloc!$A$13:$B$227,2,FALSE))</f>
      </c>
      <c r="AA295" s="141"/>
      <c r="AE295" s="141"/>
      <c r="AF295" s="141"/>
    </row>
    <row r="296" spans="1:32" ht="20.25">
      <c r="A296" s="281" t="s">
        <v>480</v>
      </c>
      <c r="B296" s="149" t="s">
        <v>245</v>
      </c>
      <c r="C296" s="132"/>
      <c r="D296" s="118">
        <f aca="true" t="shared" si="165" ref="D296:W296">D233-D263+D294</f>
        <v>546985311</v>
      </c>
      <c r="E296" s="118">
        <f t="shared" si="165"/>
        <v>283554412</v>
      </c>
      <c r="F296" s="118">
        <f t="shared" si="165"/>
        <v>125781891</v>
      </c>
      <c r="G296" s="118">
        <f t="shared" si="165"/>
        <v>120142</v>
      </c>
      <c r="H296" s="118">
        <f t="shared" si="165"/>
        <v>493954</v>
      </c>
      <c r="I296" s="118">
        <f t="shared" si="165"/>
        <v>2226971</v>
      </c>
      <c r="J296" s="118">
        <f t="shared" si="165"/>
        <v>58496</v>
      </c>
      <c r="K296" s="118">
        <f t="shared" si="165"/>
        <v>69589507</v>
      </c>
      <c r="L296" s="118">
        <f t="shared" si="165"/>
        <v>944155</v>
      </c>
      <c r="M296" s="118">
        <f t="shared" si="165"/>
        <v>39838875</v>
      </c>
      <c r="N296" s="118">
        <f t="shared" si="165"/>
        <v>1881501</v>
      </c>
      <c r="O296" s="118">
        <f t="shared" si="165"/>
        <v>3093315</v>
      </c>
      <c r="P296" s="118">
        <f t="shared" si="165"/>
        <v>0</v>
      </c>
      <c r="Q296" s="118">
        <f t="shared" si="165"/>
        <v>12871469</v>
      </c>
      <c r="R296" s="118">
        <f t="shared" si="165"/>
        <v>741799</v>
      </c>
      <c r="S296" s="118">
        <f t="shared" si="165"/>
        <v>5711027</v>
      </c>
      <c r="T296" s="118">
        <f t="shared" si="165"/>
        <v>0</v>
      </c>
      <c r="U296" s="118">
        <f t="shared" si="165"/>
        <v>77797</v>
      </c>
      <c r="V296" s="118">
        <f t="shared" si="165"/>
        <v>546985311</v>
      </c>
      <c r="W296" s="118">
        <f t="shared" si="165"/>
        <v>0</v>
      </c>
      <c r="X296" s="150"/>
      <c r="Z296" s="140">
        <f>IF($C296="B","",VLOOKUP($C296,orig_alloc!$A$13:$B$227,2,FALSE))</f>
      </c>
      <c r="AA296" s="141"/>
      <c r="AE296" s="141"/>
      <c r="AF296" s="141"/>
    </row>
    <row r="297" spans="1:32" ht="20.25">
      <c r="A297" s="132"/>
      <c r="B297" s="149"/>
      <c r="C297" s="132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50"/>
      <c r="Z297" s="140">
        <f>IF($C297="B","",VLOOKUP($C297,orig_alloc!$A$13:$B$227,2,FALSE))</f>
      </c>
      <c r="AA297" s="141"/>
      <c r="AE297" s="141"/>
      <c r="AF297" s="141"/>
    </row>
    <row r="298" spans="1:32" ht="20.25">
      <c r="A298" s="281" t="s">
        <v>481</v>
      </c>
      <c r="B298" s="290"/>
      <c r="C298" s="132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50"/>
      <c r="Z298" s="140">
        <f>IF($C298="B","",VLOOKUP($C298,orig_alloc!$A$13:$B$227,2,FALSE))</f>
      </c>
      <c r="AA298" s="141"/>
      <c r="AE298" s="141"/>
      <c r="AF298" s="141"/>
    </row>
    <row r="299" spans="1:32" ht="20.25">
      <c r="A299" s="281" t="s">
        <v>1187</v>
      </c>
      <c r="B299" s="149"/>
      <c r="C299" s="132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50"/>
      <c r="Z299" s="140">
        <f>IF($C299="B","",VLOOKUP($C299,orig_alloc!$A$13:$B$227,2,FALSE))</f>
      </c>
      <c r="AA299" s="141"/>
      <c r="AE299" s="141"/>
      <c r="AF299" s="141"/>
    </row>
    <row r="300" spans="1:32" ht="20.25">
      <c r="A300" s="281" t="s">
        <v>1276</v>
      </c>
      <c r="B300" s="149"/>
      <c r="C300" s="132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50"/>
      <c r="Z300" s="140"/>
      <c r="AA300" s="141"/>
      <c r="AE300" s="141"/>
      <c r="AF300" s="141"/>
    </row>
    <row r="301" spans="1:32" ht="20.25">
      <c r="A301" s="148" t="s">
        <v>1188</v>
      </c>
      <c r="B301" s="149" t="s">
        <v>1190</v>
      </c>
      <c r="C301" s="148" t="s">
        <v>320</v>
      </c>
      <c r="D301" s="201">
        <v>8873933</v>
      </c>
      <c r="E301" s="219">
        <f>V301-SUM(F301:U301)</f>
        <v>3357250</v>
      </c>
      <c r="F301" s="118">
        <f aca="true" ca="1" t="shared" si="166" ref="F301:O302">ROUND($D301*VLOOKUP($C301,IF(LEFT($C301,1)="K",INDIRECT("TABLE"),INDIRECT("TABLE2")),F$9+1),0)</f>
        <v>2298382</v>
      </c>
      <c r="G301" s="118">
        <f ca="1" t="shared" si="166"/>
        <v>2230</v>
      </c>
      <c r="H301" s="118">
        <f ca="1" t="shared" si="166"/>
        <v>13799</v>
      </c>
      <c r="I301" s="118">
        <f ca="1" t="shared" si="166"/>
        <v>31134</v>
      </c>
      <c r="J301" s="118">
        <f ca="1" t="shared" si="166"/>
        <v>892</v>
      </c>
      <c r="K301" s="118">
        <f ca="1" t="shared" si="166"/>
        <v>1608995</v>
      </c>
      <c r="L301" s="118">
        <f ca="1" t="shared" si="166"/>
        <v>17881</v>
      </c>
      <c r="M301" s="118">
        <f ca="1" t="shared" si="166"/>
        <v>959800</v>
      </c>
      <c r="N301" s="118">
        <f ca="1" t="shared" si="166"/>
        <v>44163</v>
      </c>
      <c r="O301" s="118">
        <f ca="1" t="shared" si="166"/>
        <v>75540</v>
      </c>
      <c r="P301" s="118">
        <f aca="true" ca="1" t="shared" si="167" ref="P301:V302">ROUND($D301*VLOOKUP($C301,IF(LEFT($C301,1)="K",INDIRECT("TABLE"),INDIRECT("TABLE2")),P$9+1),0)</f>
        <v>0</v>
      </c>
      <c r="Q301" s="118">
        <f ca="1" t="shared" si="167"/>
        <v>383362</v>
      </c>
      <c r="R301" s="118">
        <f ca="1" t="shared" si="167"/>
        <v>24468</v>
      </c>
      <c r="S301" s="118">
        <f ca="1" t="shared" si="167"/>
        <v>55322</v>
      </c>
      <c r="T301" s="118">
        <f ca="1" t="shared" si="167"/>
        <v>0</v>
      </c>
      <c r="U301" s="118">
        <f ca="1" t="shared" si="167"/>
        <v>715</v>
      </c>
      <c r="V301" s="118">
        <f ca="1" t="shared" si="167"/>
        <v>8873933</v>
      </c>
      <c r="W301" s="118">
        <f>D301-V301</f>
        <v>0</v>
      </c>
      <c r="X301" s="150"/>
      <c r="Z301" s="140" t="str">
        <f>IF($C301="B","",VLOOKUP($C301,orig_alloc!$A$13:$B$227,2,FALSE))</f>
        <v>TOTAL KWH</v>
      </c>
      <c r="AA301" s="141"/>
      <c r="AE301" s="141"/>
      <c r="AF301" s="141"/>
    </row>
    <row r="302" spans="1:32" ht="20.25">
      <c r="A302" s="148" t="s">
        <v>1263</v>
      </c>
      <c r="B302" s="149" t="s">
        <v>1191</v>
      </c>
      <c r="C302" s="148" t="s">
        <v>320</v>
      </c>
      <c r="D302" s="201">
        <v>5919968</v>
      </c>
      <c r="E302" s="219">
        <f>V302-SUM(F302:U302)</f>
        <v>2239684</v>
      </c>
      <c r="F302" s="118">
        <f ca="1" t="shared" si="166"/>
        <v>1533294</v>
      </c>
      <c r="G302" s="118">
        <f ca="1" t="shared" si="166"/>
        <v>1488</v>
      </c>
      <c r="H302" s="118">
        <f ca="1" t="shared" si="166"/>
        <v>9206</v>
      </c>
      <c r="I302" s="118">
        <f ca="1" t="shared" si="166"/>
        <v>20770</v>
      </c>
      <c r="J302" s="118">
        <f ca="1" t="shared" si="166"/>
        <v>595</v>
      </c>
      <c r="K302" s="118">
        <f ca="1" t="shared" si="166"/>
        <v>1073391</v>
      </c>
      <c r="L302" s="118">
        <f ca="1" t="shared" si="166"/>
        <v>11929</v>
      </c>
      <c r="M302" s="118">
        <f ca="1" t="shared" si="166"/>
        <v>640301</v>
      </c>
      <c r="N302" s="118">
        <f ca="1" t="shared" si="166"/>
        <v>29462</v>
      </c>
      <c r="O302" s="118">
        <f ca="1" t="shared" si="166"/>
        <v>50394</v>
      </c>
      <c r="P302" s="118">
        <f ca="1" t="shared" si="167"/>
        <v>0</v>
      </c>
      <c r="Q302" s="118">
        <f ca="1" t="shared" si="167"/>
        <v>255748</v>
      </c>
      <c r="R302" s="118">
        <f ca="1" t="shared" si="167"/>
        <v>16323</v>
      </c>
      <c r="S302" s="118">
        <f ca="1" t="shared" si="167"/>
        <v>36906</v>
      </c>
      <c r="T302" s="118">
        <f ca="1" t="shared" si="167"/>
        <v>0</v>
      </c>
      <c r="U302" s="118">
        <f ca="1" t="shared" si="167"/>
        <v>477</v>
      </c>
      <c r="V302" s="118">
        <f ca="1" t="shared" si="167"/>
        <v>5919968</v>
      </c>
      <c r="W302" s="118">
        <f>D302-V302</f>
        <v>0</v>
      </c>
      <c r="X302" s="150"/>
      <c r="Z302" s="140" t="str">
        <f>IF($C302="B","",VLOOKUP($C302,orig_alloc!$A$13:$B$227,2,FALSE))</f>
        <v>TOTAL KWH</v>
      </c>
      <c r="AA302" s="141"/>
      <c r="AE302" s="141"/>
      <c r="AF302" s="141"/>
    </row>
    <row r="303" spans="1:32" ht="20.25">
      <c r="A303" s="240" t="s">
        <v>1195</v>
      </c>
      <c r="B303" s="149" t="s">
        <v>1192</v>
      </c>
      <c r="C303" s="132"/>
      <c r="D303" s="202">
        <f aca="true" t="shared" si="168" ref="D303:W303">SUM(D301:D302)</f>
        <v>14793901</v>
      </c>
      <c r="E303" s="202">
        <f t="shared" si="168"/>
        <v>5596934</v>
      </c>
      <c r="F303" s="202">
        <f t="shared" si="168"/>
        <v>3831676</v>
      </c>
      <c r="G303" s="202">
        <f t="shared" si="168"/>
        <v>3718</v>
      </c>
      <c r="H303" s="202">
        <f t="shared" si="168"/>
        <v>23005</v>
      </c>
      <c r="I303" s="202">
        <f t="shared" si="168"/>
        <v>51904</v>
      </c>
      <c r="J303" s="202">
        <f t="shared" si="168"/>
        <v>1487</v>
      </c>
      <c r="K303" s="202">
        <f t="shared" si="168"/>
        <v>2682386</v>
      </c>
      <c r="L303" s="202">
        <f t="shared" si="168"/>
        <v>29810</v>
      </c>
      <c r="M303" s="202">
        <f t="shared" si="168"/>
        <v>1600101</v>
      </c>
      <c r="N303" s="202">
        <f t="shared" si="168"/>
        <v>73625</v>
      </c>
      <c r="O303" s="202">
        <f t="shared" si="168"/>
        <v>125934</v>
      </c>
      <c r="P303" s="202">
        <f t="shared" si="168"/>
        <v>0</v>
      </c>
      <c r="Q303" s="202">
        <f t="shared" si="168"/>
        <v>639110</v>
      </c>
      <c r="R303" s="202">
        <f t="shared" si="168"/>
        <v>40791</v>
      </c>
      <c r="S303" s="202">
        <f t="shared" si="168"/>
        <v>92228</v>
      </c>
      <c r="T303" s="202">
        <f t="shared" si="168"/>
        <v>0</v>
      </c>
      <c r="U303" s="202">
        <f t="shared" si="168"/>
        <v>1192</v>
      </c>
      <c r="V303" s="202">
        <f t="shared" si="168"/>
        <v>14793901</v>
      </c>
      <c r="W303" s="202">
        <f t="shared" si="168"/>
        <v>0</v>
      </c>
      <c r="X303" s="150"/>
      <c r="Z303" s="140">
        <f>IF($C303="B","",VLOOKUP($C303,orig_alloc!$A$13:$B$227,2,FALSE))</f>
      </c>
      <c r="AA303" s="141"/>
      <c r="AE303" s="141"/>
      <c r="AF303" s="141"/>
    </row>
    <row r="304" spans="1:32" ht="20.25">
      <c r="A304" s="231"/>
      <c r="B304" s="149"/>
      <c r="C304" s="132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150"/>
      <c r="Z304" s="140"/>
      <c r="AA304" s="141"/>
      <c r="AE304" s="141"/>
      <c r="AF304" s="141"/>
    </row>
    <row r="305" spans="1:32" ht="20.25">
      <c r="A305" s="281" t="s">
        <v>482</v>
      </c>
      <c r="B305" s="149"/>
      <c r="C305" s="132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50"/>
      <c r="Z305" s="140">
        <f>IF($C305="B","",VLOOKUP($C305,orig_alloc!$A$13:$B$227,2,FALSE))</f>
      </c>
      <c r="AA305" s="141"/>
      <c r="AE305" s="141"/>
      <c r="AF305" s="141"/>
    </row>
    <row r="306" spans="1:32" ht="20.25" hidden="1">
      <c r="A306" s="281" t="s">
        <v>1182</v>
      </c>
      <c r="B306" s="149"/>
      <c r="C306" s="148" t="s">
        <v>329</v>
      </c>
      <c r="D306" s="201">
        <v>0</v>
      </c>
      <c r="E306" s="219">
        <f>V306-SUM(F306:U306)</f>
        <v>0</v>
      </c>
      <c r="F306" s="118">
        <f aca="true" ca="1" t="shared" si="169" ref="F306:O309">ROUND($D306*VLOOKUP($C306,IF(LEFT($C306,1)="K",INDIRECT("TABLE"),INDIRECT("TABLE2")),F$9+1),0)</f>
        <v>0</v>
      </c>
      <c r="G306" s="118">
        <f ca="1" t="shared" si="169"/>
        <v>0</v>
      </c>
      <c r="H306" s="118">
        <f ca="1" t="shared" si="169"/>
        <v>0</v>
      </c>
      <c r="I306" s="118">
        <f ca="1" t="shared" si="169"/>
        <v>0</v>
      </c>
      <c r="J306" s="118">
        <f ca="1" t="shared" si="169"/>
        <v>0</v>
      </c>
      <c r="K306" s="118">
        <f ca="1" t="shared" si="169"/>
        <v>0</v>
      </c>
      <c r="L306" s="118">
        <f ca="1" t="shared" si="169"/>
        <v>0</v>
      </c>
      <c r="M306" s="118">
        <f ca="1" t="shared" si="169"/>
        <v>0</v>
      </c>
      <c r="N306" s="118">
        <f ca="1" t="shared" si="169"/>
        <v>0</v>
      </c>
      <c r="O306" s="118">
        <f ca="1" t="shared" si="169"/>
        <v>0</v>
      </c>
      <c r="P306" s="118">
        <f aca="true" ca="1" t="shared" si="170" ref="P306:V309">ROUND($D306*VLOOKUP($C306,IF(LEFT($C306,1)="K",INDIRECT("TABLE"),INDIRECT("TABLE2")),P$9+1),0)</f>
        <v>0</v>
      </c>
      <c r="Q306" s="118">
        <f ca="1" t="shared" si="170"/>
        <v>0</v>
      </c>
      <c r="R306" s="118">
        <f ca="1" t="shared" si="170"/>
        <v>0</v>
      </c>
      <c r="S306" s="118">
        <f ca="1" t="shared" si="170"/>
        <v>0</v>
      </c>
      <c r="T306" s="118">
        <f ca="1" t="shared" si="170"/>
        <v>0</v>
      </c>
      <c r="U306" s="118">
        <f ca="1" t="shared" si="170"/>
        <v>0</v>
      </c>
      <c r="V306" s="118">
        <f ca="1" t="shared" si="170"/>
        <v>0</v>
      </c>
      <c r="W306" s="118">
        <f>D306-V306</f>
        <v>0</v>
      </c>
      <c r="X306" s="150"/>
      <c r="Z306" s="140" t="str">
        <f>IF($C306="B","",VLOOKUP($C306,orig_alloc!$A$13:$B$227,2,FALSE))</f>
        <v>WTD NET PROD PLANT RATIOS</v>
      </c>
      <c r="AA306" s="141"/>
      <c r="AE306" s="141"/>
      <c r="AF306" s="141"/>
    </row>
    <row r="307" spans="1:32" ht="20.25" hidden="1">
      <c r="A307" s="281" t="s">
        <v>314</v>
      </c>
      <c r="B307" s="149"/>
      <c r="C307" s="148" t="s">
        <v>330</v>
      </c>
      <c r="D307" s="201">
        <v>0</v>
      </c>
      <c r="E307" s="219">
        <f>V307-SUM(F307:U307)</f>
        <v>0</v>
      </c>
      <c r="F307" s="118">
        <f ca="1" t="shared" si="169"/>
        <v>0</v>
      </c>
      <c r="G307" s="118">
        <f ca="1" t="shared" si="169"/>
        <v>0</v>
      </c>
      <c r="H307" s="118">
        <f ca="1" t="shared" si="169"/>
        <v>0</v>
      </c>
      <c r="I307" s="118">
        <f ca="1" t="shared" si="169"/>
        <v>0</v>
      </c>
      <c r="J307" s="118">
        <f ca="1" t="shared" si="169"/>
        <v>0</v>
      </c>
      <c r="K307" s="118">
        <f ca="1" t="shared" si="169"/>
        <v>0</v>
      </c>
      <c r="L307" s="118">
        <f ca="1" t="shared" si="169"/>
        <v>0</v>
      </c>
      <c r="M307" s="118">
        <f ca="1" t="shared" si="169"/>
        <v>0</v>
      </c>
      <c r="N307" s="118">
        <f ca="1" t="shared" si="169"/>
        <v>0</v>
      </c>
      <c r="O307" s="118">
        <f ca="1" t="shared" si="169"/>
        <v>0</v>
      </c>
      <c r="P307" s="118">
        <f ca="1" t="shared" si="170"/>
        <v>0</v>
      </c>
      <c r="Q307" s="118">
        <f ca="1" t="shared" si="170"/>
        <v>0</v>
      </c>
      <c r="R307" s="118">
        <f ca="1" t="shared" si="170"/>
        <v>0</v>
      </c>
      <c r="S307" s="118">
        <f ca="1" t="shared" si="170"/>
        <v>0</v>
      </c>
      <c r="T307" s="118">
        <f ca="1" t="shared" si="170"/>
        <v>0</v>
      </c>
      <c r="U307" s="118">
        <f ca="1" t="shared" si="170"/>
        <v>0</v>
      </c>
      <c r="V307" s="118">
        <f ca="1" t="shared" si="170"/>
        <v>0</v>
      </c>
      <c r="W307" s="118">
        <f>D307-V307</f>
        <v>0</v>
      </c>
      <c r="X307" s="150"/>
      <c r="Z307" s="140" t="str">
        <f>IF($C307="B","",VLOOKUP($C307,orig_alloc!$A$13:$B$227,2,FALSE))</f>
        <v>WTD NET TRANS PLANT RATIOS</v>
      </c>
      <c r="AA307" s="141"/>
      <c r="AE307" s="141"/>
      <c r="AF307" s="141"/>
    </row>
    <row r="308" spans="1:32" ht="20.25" hidden="1">
      <c r="A308" s="148" t="s">
        <v>313</v>
      </c>
      <c r="B308" s="149" t="s">
        <v>483</v>
      </c>
      <c r="C308" s="148" t="s">
        <v>331</v>
      </c>
      <c r="D308" s="201">
        <v>0</v>
      </c>
      <c r="E308" s="219">
        <f>V308-SUM(F308:U308)</f>
        <v>0</v>
      </c>
      <c r="F308" s="118">
        <f ca="1" t="shared" si="169"/>
        <v>0</v>
      </c>
      <c r="G308" s="118">
        <f ca="1" t="shared" si="169"/>
        <v>0</v>
      </c>
      <c r="H308" s="118">
        <f ca="1" t="shared" si="169"/>
        <v>0</v>
      </c>
      <c r="I308" s="118">
        <f ca="1" t="shared" si="169"/>
        <v>0</v>
      </c>
      <c r="J308" s="118">
        <f ca="1" t="shared" si="169"/>
        <v>0</v>
      </c>
      <c r="K308" s="118">
        <f ca="1" t="shared" si="169"/>
        <v>0</v>
      </c>
      <c r="L308" s="118">
        <f ca="1" t="shared" si="169"/>
        <v>0</v>
      </c>
      <c r="M308" s="118">
        <f ca="1" t="shared" si="169"/>
        <v>0</v>
      </c>
      <c r="N308" s="118">
        <f ca="1" t="shared" si="169"/>
        <v>0</v>
      </c>
      <c r="O308" s="118">
        <f ca="1" t="shared" si="169"/>
        <v>0</v>
      </c>
      <c r="P308" s="118">
        <f ca="1" t="shared" si="170"/>
        <v>0</v>
      </c>
      <c r="Q308" s="118">
        <f ca="1" t="shared" si="170"/>
        <v>0</v>
      </c>
      <c r="R308" s="118">
        <f ca="1" t="shared" si="170"/>
        <v>0</v>
      </c>
      <c r="S308" s="118">
        <f ca="1" t="shared" si="170"/>
        <v>0</v>
      </c>
      <c r="T308" s="118">
        <f ca="1" t="shared" si="170"/>
        <v>0</v>
      </c>
      <c r="U308" s="118">
        <f ca="1" t="shared" si="170"/>
        <v>0</v>
      </c>
      <c r="V308" s="118">
        <f ca="1" t="shared" si="170"/>
        <v>0</v>
      </c>
      <c r="W308" s="118">
        <f>D308-V308</f>
        <v>0</v>
      </c>
      <c r="X308" s="150"/>
      <c r="Z308" s="140" t="str">
        <f>IF($C308="B","",VLOOKUP($C308,orig_alloc!$A$13:$B$227,2,FALSE))</f>
        <v>WTD NET TOTAL DIST PLANT RATIOS</v>
      </c>
      <c r="AA308" s="141"/>
      <c r="AE308" s="141"/>
      <c r="AF308" s="141"/>
    </row>
    <row r="309" spans="1:32" ht="20.25">
      <c r="A309" s="301" t="s">
        <v>316</v>
      </c>
      <c r="B309" s="149" t="s">
        <v>1193</v>
      </c>
      <c r="C309" s="148" t="s">
        <v>328</v>
      </c>
      <c r="D309" s="229">
        <v>8467889</v>
      </c>
      <c r="E309" s="292">
        <f>V309-SUM(F309:U309)</f>
        <v>4388732</v>
      </c>
      <c r="F309" s="291">
        <f ca="1" t="shared" si="169"/>
        <v>1946092</v>
      </c>
      <c r="G309" s="291">
        <f ca="1" t="shared" si="169"/>
        <v>1861</v>
      </c>
      <c r="H309" s="291">
        <f ca="1" t="shared" si="169"/>
        <v>7644</v>
      </c>
      <c r="I309" s="291">
        <f ca="1" t="shared" si="169"/>
        <v>34530</v>
      </c>
      <c r="J309" s="291">
        <f ca="1" t="shared" si="169"/>
        <v>904</v>
      </c>
      <c r="K309" s="291">
        <f ca="1" t="shared" si="169"/>
        <v>1076796</v>
      </c>
      <c r="L309" s="291">
        <f ca="1" t="shared" si="169"/>
        <v>14642</v>
      </c>
      <c r="M309" s="291">
        <f ca="1" t="shared" si="169"/>
        <v>618638</v>
      </c>
      <c r="N309" s="291">
        <f ca="1" t="shared" si="169"/>
        <v>29239</v>
      </c>
      <c r="O309" s="291">
        <f ca="1" t="shared" si="169"/>
        <v>47975</v>
      </c>
      <c r="P309" s="291">
        <f ca="1" t="shared" si="170"/>
        <v>0</v>
      </c>
      <c r="Q309" s="291">
        <f ca="1" t="shared" si="170"/>
        <v>202005</v>
      </c>
      <c r="R309" s="291">
        <f ca="1" t="shared" si="170"/>
        <v>11648</v>
      </c>
      <c r="S309" s="291">
        <f ca="1" t="shared" si="170"/>
        <v>85974</v>
      </c>
      <c r="T309" s="291">
        <f ca="1" t="shared" si="170"/>
        <v>0</v>
      </c>
      <c r="U309" s="291">
        <f ca="1" t="shared" si="170"/>
        <v>1209</v>
      </c>
      <c r="V309" s="291">
        <f ca="1" t="shared" si="170"/>
        <v>8467889</v>
      </c>
      <c r="W309" s="291">
        <f>D309-V309</f>
        <v>0</v>
      </c>
      <c r="X309" s="150"/>
      <c r="Z309" s="140" t="str">
        <f>IF($C309="B","",VLOOKUP($C309,orig_alloc!$A$13:$B$227,2,FALSE))</f>
        <v>WTD NET PLANT RATIOS</v>
      </c>
      <c r="AA309" s="141"/>
      <c r="AE309" s="141"/>
      <c r="AF309" s="141"/>
    </row>
    <row r="310" spans="1:32" ht="20.25">
      <c r="A310" s="231" t="s">
        <v>1189</v>
      </c>
      <c r="B310" s="149" t="s">
        <v>1194</v>
      </c>
      <c r="C310" s="148"/>
      <c r="D310" s="201">
        <f aca="true" t="shared" si="171" ref="D310:W310">SUM(D306:D309)</f>
        <v>8467889</v>
      </c>
      <c r="E310" s="201">
        <f t="shared" si="171"/>
        <v>4388732</v>
      </c>
      <c r="F310" s="201">
        <f t="shared" si="171"/>
        <v>1946092</v>
      </c>
      <c r="G310" s="201">
        <f t="shared" si="171"/>
        <v>1861</v>
      </c>
      <c r="H310" s="201">
        <f t="shared" si="171"/>
        <v>7644</v>
      </c>
      <c r="I310" s="201">
        <f t="shared" si="171"/>
        <v>34530</v>
      </c>
      <c r="J310" s="201">
        <f t="shared" si="171"/>
        <v>904</v>
      </c>
      <c r="K310" s="201">
        <f t="shared" si="171"/>
        <v>1076796</v>
      </c>
      <c r="L310" s="201">
        <f t="shared" si="171"/>
        <v>14642</v>
      </c>
      <c r="M310" s="201">
        <f t="shared" si="171"/>
        <v>618638</v>
      </c>
      <c r="N310" s="201">
        <f t="shared" si="171"/>
        <v>29239</v>
      </c>
      <c r="O310" s="201">
        <f t="shared" si="171"/>
        <v>47975</v>
      </c>
      <c r="P310" s="201">
        <f t="shared" si="171"/>
        <v>0</v>
      </c>
      <c r="Q310" s="201">
        <f t="shared" si="171"/>
        <v>202005</v>
      </c>
      <c r="R310" s="201">
        <f t="shared" si="171"/>
        <v>11648</v>
      </c>
      <c r="S310" s="201">
        <f t="shared" si="171"/>
        <v>85974</v>
      </c>
      <c r="T310" s="201">
        <f t="shared" si="171"/>
        <v>0</v>
      </c>
      <c r="U310" s="201">
        <f t="shared" si="171"/>
        <v>1209</v>
      </c>
      <c r="V310" s="201">
        <f t="shared" si="171"/>
        <v>8467889</v>
      </c>
      <c r="W310" s="201">
        <f t="shared" si="171"/>
        <v>0</v>
      </c>
      <c r="X310" s="150"/>
      <c r="Z310" s="140"/>
      <c r="AA310" s="141"/>
      <c r="AE310" s="141"/>
      <c r="AF310" s="141"/>
    </row>
    <row r="311" spans="1:32" ht="20.25">
      <c r="A311" s="231"/>
      <c r="B311" s="149"/>
      <c r="C311" s="148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150"/>
      <c r="Z311" s="140"/>
      <c r="AA311" s="141"/>
      <c r="AE311" s="141"/>
      <c r="AF311" s="141"/>
    </row>
    <row r="312" spans="1:32" ht="20.25">
      <c r="A312" s="231" t="s">
        <v>1196</v>
      </c>
      <c r="B312" s="149" t="s">
        <v>234</v>
      </c>
      <c r="C312" s="132"/>
      <c r="D312" s="202">
        <f aca="true" t="shared" si="172" ref="D312:V312">D310+D303</f>
        <v>23261790</v>
      </c>
      <c r="E312" s="202">
        <f t="shared" si="172"/>
        <v>9985666</v>
      </c>
      <c r="F312" s="202">
        <f t="shared" si="172"/>
        <v>5777768</v>
      </c>
      <c r="G312" s="202">
        <f t="shared" si="172"/>
        <v>5579</v>
      </c>
      <c r="H312" s="202">
        <f t="shared" si="172"/>
        <v>30649</v>
      </c>
      <c r="I312" s="202">
        <f t="shared" si="172"/>
        <v>86434</v>
      </c>
      <c r="J312" s="202">
        <f t="shared" si="172"/>
        <v>2391</v>
      </c>
      <c r="K312" s="202">
        <f t="shared" si="172"/>
        <v>3759182</v>
      </c>
      <c r="L312" s="202">
        <f t="shared" si="172"/>
        <v>44452</v>
      </c>
      <c r="M312" s="202">
        <f t="shared" si="172"/>
        <v>2218739</v>
      </c>
      <c r="N312" s="202">
        <f t="shared" si="172"/>
        <v>102864</v>
      </c>
      <c r="O312" s="202">
        <f t="shared" si="172"/>
        <v>173909</v>
      </c>
      <c r="P312" s="202">
        <f t="shared" si="172"/>
        <v>0</v>
      </c>
      <c r="Q312" s="202">
        <f t="shared" si="172"/>
        <v>841115</v>
      </c>
      <c r="R312" s="202">
        <f t="shared" si="172"/>
        <v>52439</v>
      </c>
      <c r="S312" s="202">
        <f t="shared" si="172"/>
        <v>178202</v>
      </c>
      <c r="T312" s="202">
        <f t="shared" si="172"/>
        <v>0</v>
      </c>
      <c r="U312" s="202">
        <f t="shared" si="172"/>
        <v>2401</v>
      </c>
      <c r="V312" s="202">
        <f t="shared" si="172"/>
        <v>23261790</v>
      </c>
      <c r="W312" s="202">
        <f>D312-V312</f>
        <v>0</v>
      </c>
      <c r="X312" s="150"/>
      <c r="Z312" s="140">
        <f>IF($C312="B","",VLOOKUP($C312,orig_alloc!$A$13:$B$227,2,FALSE))</f>
      </c>
      <c r="AA312" s="141"/>
      <c r="AE312" s="141"/>
      <c r="AF312" s="141"/>
    </row>
    <row r="313" spans="1:32" ht="20.25">
      <c r="A313" s="132"/>
      <c r="B313" s="149"/>
      <c r="C313" s="132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50"/>
      <c r="Z313" s="140">
        <f>IF($C313="B","",VLOOKUP($C313,orig_alloc!$A$13:$B$227,2,FALSE))</f>
      </c>
      <c r="AA313" s="141"/>
      <c r="AE313" s="141"/>
      <c r="AF313" s="141"/>
    </row>
    <row r="314" spans="1:32" ht="20.25">
      <c r="A314" s="281" t="s">
        <v>484</v>
      </c>
      <c r="B314" s="149"/>
      <c r="C314" s="132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50"/>
      <c r="Z314" s="140">
        <f>IF($C314="B","",VLOOKUP($C314,orig_alloc!$A$13:$B$227,2,FALSE))</f>
      </c>
      <c r="AA314" s="141"/>
      <c r="AE314" s="141"/>
      <c r="AF314" s="141"/>
    </row>
    <row r="315" spans="1:32" ht="20.25">
      <c r="A315" s="148" t="s">
        <v>724</v>
      </c>
      <c r="B315" s="149" t="s">
        <v>485</v>
      </c>
      <c r="C315" s="148" t="s">
        <v>546</v>
      </c>
      <c r="D315" s="201">
        <v>394000</v>
      </c>
      <c r="E315" s="219">
        <f>V315-SUM(F315:U315)</f>
        <v>218627</v>
      </c>
      <c r="F315" s="118">
        <f aca="true" ca="1" t="shared" si="173" ref="F315:O316">ROUND($D315*VLOOKUP($C315,IF(LEFT($C315,1)="K",INDIRECT("TABLE"),INDIRECT("TABLE2")),F$9+1),0)</f>
        <v>85453</v>
      </c>
      <c r="G315" s="118">
        <f ca="1" t="shared" si="173"/>
        <v>69</v>
      </c>
      <c r="H315" s="118">
        <f ca="1" t="shared" si="173"/>
        <v>407</v>
      </c>
      <c r="I315" s="118">
        <f ca="1" t="shared" si="173"/>
        <v>1346</v>
      </c>
      <c r="J315" s="118">
        <f ca="1" t="shared" si="173"/>
        <v>48</v>
      </c>
      <c r="K315" s="118">
        <f ca="1" t="shared" si="173"/>
        <v>45320</v>
      </c>
      <c r="L315" s="118">
        <f ca="1" t="shared" si="173"/>
        <v>484</v>
      </c>
      <c r="M315" s="118">
        <f ca="1" t="shared" si="173"/>
        <v>26894</v>
      </c>
      <c r="N315" s="118">
        <f ca="1" t="shared" si="173"/>
        <v>1020</v>
      </c>
      <c r="O315" s="118">
        <f ca="1" t="shared" si="173"/>
        <v>2091</v>
      </c>
      <c r="P315" s="118">
        <f aca="true" ca="1" t="shared" si="174" ref="P315:V316">ROUND($D315*VLOOKUP($C315,IF(LEFT($C315,1)="K",INDIRECT("TABLE"),INDIRECT("TABLE2")),P$9+1),0)</f>
        <v>0</v>
      </c>
      <c r="Q315" s="118">
        <f ca="1" t="shared" si="174"/>
        <v>9620</v>
      </c>
      <c r="R315" s="118">
        <f ca="1" t="shared" si="174"/>
        <v>440</v>
      </c>
      <c r="S315" s="118">
        <f ca="1" t="shared" si="174"/>
        <v>2132</v>
      </c>
      <c r="T315" s="118">
        <f ca="1" t="shared" si="174"/>
        <v>0</v>
      </c>
      <c r="U315" s="118">
        <f ca="1" t="shared" si="174"/>
        <v>49</v>
      </c>
      <c r="V315" s="118">
        <f ca="1" t="shared" si="174"/>
        <v>394000</v>
      </c>
      <c r="W315" s="118">
        <f>D315-V315</f>
        <v>0</v>
      </c>
      <c r="X315" s="150"/>
      <c r="Z315" s="140" t="str">
        <f>IF($C315="B","",VLOOKUP($C315,orig_alloc!$A$13:$B$227,2,FALSE))</f>
        <v>WTD A&amp;G EXPENSE UNADJUSTED</v>
      </c>
      <c r="AA315" s="141"/>
      <c r="AE315" s="141"/>
      <c r="AF315" s="141"/>
    </row>
    <row r="316" spans="1:32" ht="20.25">
      <c r="A316" s="191" t="s">
        <v>1275</v>
      </c>
      <c r="B316" s="149" t="s">
        <v>486</v>
      </c>
      <c r="C316" s="148" t="s">
        <v>320</v>
      </c>
      <c r="D316" s="201">
        <f>2143780+4161456+333</f>
        <v>6305569</v>
      </c>
      <c r="E316" s="219">
        <f>V316-SUM(F316:U316)</f>
        <v>2385568</v>
      </c>
      <c r="F316" s="118">
        <f ca="1" t="shared" si="173"/>
        <v>1633166</v>
      </c>
      <c r="G316" s="118">
        <f ca="1" t="shared" si="173"/>
        <v>1585</v>
      </c>
      <c r="H316" s="118">
        <f ca="1" t="shared" si="173"/>
        <v>9805</v>
      </c>
      <c r="I316" s="118">
        <f ca="1" t="shared" si="173"/>
        <v>22123</v>
      </c>
      <c r="J316" s="118">
        <f ca="1" t="shared" si="173"/>
        <v>634</v>
      </c>
      <c r="K316" s="118">
        <f ca="1" t="shared" si="173"/>
        <v>1143307</v>
      </c>
      <c r="L316" s="118">
        <f ca="1" t="shared" si="173"/>
        <v>12706</v>
      </c>
      <c r="M316" s="118">
        <f ca="1" t="shared" si="173"/>
        <v>682007</v>
      </c>
      <c r="N316" s="118">
        <f ca="1" t="shared" si="173"/>
        <v>31381</v>
      </c>
      <c r="O316" s="118">
        <f ca="1" t="shared" si="173"/>
        <v>53676</v>
      </c>
      <c r="P316" s="118">
        <f ca="1" t="shared" si="174"/>
        <v>0</v>
      </c>
      <c r="Q316" s="118">
        <f ca="1" t="shared" si="174"/>
        <v>272407</v>
      </c>
      <c r="R316" s="118">
        <f ca="1" t="shared" si="174"/>
        <v>17386</v>
      </c>
      <c r="S316" s="118">
        <f ca="1" t="shared" si="174"/>
        <v>39310</v>
      </c>
      <c r="T316" s="118">
        <f ca="1" t="shared" si="174"/>
        <v>0</v>
      </c>
      <c r="U316" s="118">
        <f ca="1" t="shared" si="174"/>
        <v>508</v>
      </c>
      <c r="V316" s="118">
        <f ca="1" t="shared" si="174"/>
        <v>6305569</v>
      </c>
      <c r="W316" s="118">
        <f>D316-V316</f>
        <v>0</v>
      </c>
      <c r="X316" s="150"/>
      <c r="Z316" s="140" t="str">
        <f>IF($C316="B","",VLOOKUP($C316,orig_alloc!$A$13:$B$227,2,FALSE))</f>
        <v>TOTAL KWH</v>
      </c>
      <c r="AA316" s="141"/>
      <c r="AE316" s="141"/>
      <c r="AF316" s="141"/>
    </row>
    <row r="317" spans="1:32" ht="20.25">
      <c r="A317" s="240" t="s">
        <v>487</v>
      </c>
      <c r="B317" s="149" t="s">
        <v>236</v>
      </c>
      <c r="C317" s="132"/>
      <c r="D317" s="202">
        <f aca="true" t="shared" si="175" ref="D317:W317">SUM(D314:D316)</f>
        <v>6699569</v>
      </c>
      <c r="E317" s="202">
        <f t="shared" si="175"/>
        <v>2604195</v>
      </c>
      <c r="F317" s="202">
        <f t="shared" si="175"/>
        <v>1718619</v>
      </c>
      <c r="G317" s="202">
        <f t="shared" si="175"/>
        <v>1654</v>
      </c>
      <c r="H317" s="202">
        <f t="shared" si="175"/>
        <v>10212</v>
      </c>
      <c r="I317" s="202">
        <f t="shared" si="175"/>
        <v>23469</v>
      </c>
      <c r="J317" s="202">
        <f t="shared" si="175"/>
        <v>682</v>
      </c>
      <c r="K317" s="202">
        <f t="shared" si="175"/>
        <v>1188627</v>
      </c>
      <c r="L317" s="202">
        <f t="shared" si="175"/>
        <v>13190</v>
      </c>
      <c r="M317" s="202">
        <f t="shared" si="175"/>
        <v>708901</v>
      </c>
      <c r="N317" s="202">
        <f t="shared" si="175"/>
        <v>32401</v>
      </c>
      <c r="O317" s="202">
        <f t="shared" si="175"/>
        <v>55767</v>
      </c>
      <c r="P317" s="202">
        <f t="shared" si="175"/>
        <v>0</v>
      </c>
      <c r="Q317" s="202">
        <f t="shared" si="175"/>
        <v>282027</v>
      </c>
      <c r="R317" s="202">
        <f t="shared" si="175"/>
        <v>17826</v>
      </c>
      <c r="S317" s="202">
        <f t="shared" si="175"/>
        <v>41442</v>
      </c>
      <c r="T317" s="202">
        <f t="shared" si="175"/>
        <v>0</v>
      </c>
      <c r="U317" s="202">
        <f t="shared" si="175"/>
        <v>557</v>
      </c>
      <c r="V317" s="202">
        <f t="shared" si="175"/>
        <v>6699569</v>
      </c>
      <c r="W317" s="202">
        <f t="shared" si="175"/>
        <v>0</v>
      </c>
      <c r="X317" s="150"/>
      <c r="Z317" s="140">
        <f>IF($C317="B","",VLOOKUP($C317,orig_alloc!$A$13:$B$227,2,FALSE))</f>
      </c>
      <c r="AA317" s="141"/>
      <c r="AE317" s="141"/>
      <c r="AF317" s="141"/>
    </row>
    <row r="318" spans="1:32" ht="20.25">
      <c r="A318" s="132"/>
      <c r="B318" s="149"/>
      <c r="C318" s="132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50"/>
      <c r="Z318" s="140">
        <f>IF($C318="B","",VLOOKUP($C318,orig_alloc!$A$13:$B$227,2,FALSE))</f>
      </c>
      <c r="AA318" s="141"/>
      <c r="AE318" s="141"/>
      <c r="AF318" s="141"/>
    </row>
    <row r="319" spans="1:32" ht="20.25" hidden="1">
      <c r="A319" s="302" t="s">
        <v>488</v>
      </c>
      <c r="B319" s="149"/>
      <c r="C319" s="132"/>
      <c r="D319" s="136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50"/>
      <c r="Z319" s="140">
        <f>IF($C319="B","",VLOOKUP($C319,orig_alloc!$A$13:$B$227,2,FALSE))</f>
      </c>
      <c r="AA319" s="141"/>
      <c r="AE319" s="141"/>
      <c r="AF319" s="141"/>
    </row>
    <row r="320" spans="1:32" ht="20.25" hidden="1">
      <c r="A320" s="230" t="s">
        <v>725</v>
      </c>
      <c r="B320" s="149" t="s">
        <v>489</v>
      </c>
      <c r="C320" s="148"/>
      <c r="D320" s="223">
        <v>0</v>
      </c>
      <c r="E320" s="219">
        <f>V320-SUM(F320:U320)</f>
        <v>0</v>
      </c>
      <c r="F320" s="223">
        <f>IF($D320=0,0,ROUND(((F353+F360-F359)/365)*10,0))</f>
        <v>0</v>
      </c>
      <c r="G320" s="223">
        <f aca="true" t="shared" si="176" ref="G320:V320">IF($D320=0,0,ROUND(((G353+G360-G359)/365)*10,0))</f>
        <v>0</v>
      </c>
      <c r="H320" s="223">
        <f t="shared" si="176"/>
        <v>0</v>
      </c>
      <c r="I320" s="223">
        <f t="shared" si="176"/>
        <v>0</v>
      </c>
      <c r="J320" s="223">
        <f t="shared" si="176"/>
        <v>0</v>
      </c>
      <c r="K320" s="223">
        <f t="shared" si="176"/>
        <v>0</v>
      </c>
      <c r="L320" s="223">
        <f t="shared" si="176"/>
        <v>0</v>
      </c>
      <c r="M320" s="223">
        <f t="shared" si="176"/>
        <v>0</v>
      </c>
      <c r="N320" s="223">
        <f t="shared" si="176"/>
        <v>0</v>
      </c>
      <c r="O320" s="223">
        <f t="shared" si="176"/>
        <v>0</v>
      </c>
      <c r="P320" s="223">
        <f t="shared" si="176"/>
        <v>0</v>
      </c>
      <c r="Q320" s="223">
        <f t="shared" si="176"/>
        <v>0</v>
      </c>
      <c r="R320" s="223">
        <f t="shared" si="176"/>
        <v>0</v>
      </c>
      <c r="S320" s="223">
        <f t="shared" si="176"/>
        <v>0</v>
      </c>
      <c r="T320" s="223">
        <f t="shared" si="176"/>
        <v>0</v>
      </c>
      <c r="U320" s="223">
        <f t="shared" si="176"/>
        <v>0</v>
      </c>
      <c r="V320" s="223">
        <f t="shared" si="176"/>
        <v>0</v>
      </c>
      <c r="W320" s="201">
        <f>D320-V320</f>
        <v>0</v>
      </c>
      <c r="X320" s="150"/>
      <c r="Z320" s="140">
        <f>IF($C320="B","",VLOOKUP($C320,orig_alloc!$A$13:$B$227,2,FALSE))</f>
      </c>
      <c r="AA320" s="141"/>
      <c r="AE320" s="141"/>
      <c r="AF320" s="141"/>
    </row>
    <row r="321" spans="1:32" ht="20.25" hidden="1">
      <c r="A321" s="240" t="s">
        <v>490</v>
      </c>
      <c r="B321" s="149" t="s">
        <v>491</v>
      </c>
      <c r="C321" s="132"/>
      <c r="D321" s="202">
        <f aca="true" t="shared" si="177" ref="D321:W321">SUM(D319:D320)</f>
        <v>0</v>
      </c>
      <c r="E321" s="202">
        <f t="shared" si="177"/>
        <v>0</v>
      </c>
      <c r="F321" s="202">
        <f t="shared" si="177"/>
        <v>0</v>
      </c>
      <c r="G321" s="202">
        <f t="shared" si="177"/>
        <v>0</v>
      </c>
      <c r="H321" s="202">
        <f t="shared" si="177"/>
        <v>0</v>
      </c>
      <c r="I321" s="202">
        <f t="shared" si="177"/>
        <v>0</v>
      </c>
      <c r="J321" s="202">
        <f t="shared" si="177"/>
        <v>0</v>
      </c>
      <c r="K321" s="202">
        <f t="shared" si="177"/>
        <v>0</v>
      </c>
      <c r="L321" s="202">
        <f t="shared" si="177"/>
        <v>0</v>
      </c>
      <c r="M321" s="202">
        <f t="shared" si="177"/>
        <v>0</v>
      </c>
      <c r="N321" s="202">
        <f t="shared" si="177"/>
        <v>0</v>
      </c>
      <c r="O321" s="202">
        <f t="shared" si="177"/>
        <v>0</v>
      </c>
      <c r="P321" s="202">
        <f t="shared" si="177"/>
        <v>0</v>
      </c>
      <c r="Q321" s="202">
        <f t="shared" si="177"/>
        <v>0</v>
      </c>
      <c r="R321" s="202">
        <f t="shared" si="177"/>
        <v>0</v>
      </c>
      <c r="S321" s="202">
        <f t="shared" si="177"/>
        <v>0</v>
      </c>
      <c r="T321" s="202">
        <f t="shared" si="177"/>
        <v>0</v>
      </c>
      <c r="U321" s="202">
        <f t="shared" si="177"/>
        <v>0</v>
      </c>
      <c r="V321" s="202">
        <f t="shared" si="177"/>
        <v>0</v>
      </c>
      <c r="W321" s="202">
        <f t="shared" si="177"/>
        <v>0</v>
      </c>
      <c r="X321" s="150"/>
      <c r="Z321" s="140">
        <f>IF($C321="B","",VLOOKUP($C321,orig_alloc!$A$13:$B$227,2,FALSE))</f>
      </c>
      <c r="AA321" s="141"/>
      <c r="AE321" s="141"/>
      <c r="AF321" s="141"/>
    </row>
    <row r="322" spans="1:54" ht="20.25" customHeight="1">
      <c r="A322" s="145"/>
      <c r="B322" s="145"/>
      <c r="C322" s="145"/>
      <c r="D322" s="201"/>
      <c r="E322" s="303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Z322" s="140">
        <f>IF($C322="B","",VLOOKUP($C322,orig_alloc!$A$13:$B$227,2,FALSE))</f>
      </c>
      <c r="AA322" s="145"/>
      <c r="AB322" s="145"/>
      <c r="AC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</row>
    <row r="323" spans="1:32" ht="20.25">
      <c r="A323" s="304" t="s">
        <v>492</v>
      </c>
      <c r="B323" s="305" t="s">
        <v>238</v>
      </c>
      <c r="C323" s="306"/>
      <c r="D323" s="224">
        <f>ROUND((D436-D346-D347-D348)/8,0)</f>
        <v>13994731</v>
      </c>
      <c r="E323" s="219">
        <f>V323-SUM(F323:U323)</f>
        <v>6927636</v>
      </c>
      <c r="F323" s="201">
        <f aca="true" t="shared" si="178" ref="F323:V323">ROUND((F436-F346-F347-F348)/8,0)</f>
        <v>3217842</v>
      </c>
      <c r="G323" s="201">
        <f t="shared" si="178"/>
        <v>3003</v>
      </c>
      <c r="H323" s="201">
        <f t="shared" si="178"/>
        <v>16015</v>
      </c>
      <c r="I323" s="201">
        <f t="shared" si="178"/>
        <v>50454</v>
      </c>
      <c r="J323" s="201">
        <f t="shared" si="178"/>
        <v>1523</v>
      </c>
      <c r="K323" s="201">
        <f t="shared" si="178"/>
        <v>1911384</v>
      </c>
      <c r="L323" s="201">
        <f t="shared" si="178"/>
        <v>23101</v>
      </c>
      <c r="M323" s="201">
        <f t="shared" si="178"/>
        <v>1151062</v>
      </c>
      <c r="N323" s="201">
        <f t="shared" si="178"/>
        <v>52030</v>
      </c>
      <c r="O323" s="201">
        <f t="shared" si="178"/>
        <v>89239</v>
      </c>
      <c r="P323" s="201">
        <f t="shared" si="178"/>
        <v>0</v>
      </c>
      <c r="Q323" s="201">
        <f t="shared" si="178"/>
        <v>445426</v>
      </c>
      <c r="R323" s="201">
        <f t="shared" si="178"/>
        <v>26155</v>
      </c>
      <c r="S323" s="201">
        <f t="shared" si="178"/>
        <v>78213</v>
      </c>
      <c r="T323" s="201">
        <f t="shared" si="178"/>
        <v>0</v>
      </c>
      <c r="U323" s="201">
        <f t="shared" si="178"/>
        <v>1648</v>
      </c>
      <c r="V323" s="201">
        <f t="shared" si="178"/>
        <v>13994731</v>
      </c>
      <c r="W323" s="201">
        <f>D323-V323</f>
        <v>0</v>
      </c>
      <c r="X323" s="150"/>
      <c r="Z323" s="140">
        <f>IF($C323="B","",VLOOKUP($C323,orig_alloc!$A$13:$B$227,2,FALSE))</f>
      </c>
      <c r="AA323" s="141"/>
      <c r="AE323" s="141"/>
      <c r="AF323" s="141"/>
    </row>
    <row r="324" spans="1:32" ht="20.25">
      <c r="A324" s="132" t="s">
        <v>493</v>
      </c>
      <c r="B324" s="149" t="s">
        <v>240</v>
      </c>
      <c r="C324" s="132"/>
      <c r="D324" s="202">
        <f>V324+W324</f>
        <v>13994731</v>
      </c>
      <c r="E324" s="202">
        <f aca="true" t="shared" si="179" ref="E324:U324">E323+E321</f>
        <v>6927636</v>
      </c>
      <c r="F324" s="202">
        <f t="shared" si="179"/>
        <v>3217842</v>
      </c>
      <c r="G324" s="202">
        <f t="shared" si="179"/>
        <v>3003</v>
      </c>
      <c r="H324" s="202">
        <f t="shared" si="179"/>
        <v>16015</v>
      </c>
      <c r="I324" s="202">
        <f t="shared" si="179"/>
        <v>50454</v>
      </c>
      <c r="J324" s="202">
        <f t="shared" si="179"/>
        <v>1523</v>
      </c>
      <c r="K324" s="202">
        <f t="shared" si="179"/>
        <v>1911384</v>
      </c>
      <c r="L324" s="202">
        <f t="shared" si="179"/>
        <v>23101</v>
      </c>
      <c r="M324" s="202">
        <f t="shared" si="179"/>
        <v>1151062</v>
      </c>
      <c r="N324" s="202">
        <f t="shared" si="179"/>
        <v>52030</v>
      </c>
      <c r="O324" s="202">
        <f t="shared" si="179"/>
        <v>89239</v>
      </c>
      <c r="P324" s="202">
        <f t="shared" si="179"/>
        <v>0</v>
      </c>
      <c r="Q324" s="202">
        <f t="shared" si="179"/>
        <v>445426</v>
      </c>
      <c r="R324" s="202">
        <f t="shared" si="179"/>
        <v>26155</v>
      </c>
      <c r="S324" s="202">
        <f t="shared" si="179"/>
        <v>78213</v>
      </c>
      <c r="T324" s="202">
        <f t="shared" si="179"/>
        <v>0</v>
      </c>
      <c r="U324" s="202">
        <f t="shared" si="179"/>
        <v>1648</v>
      </c>
      <c r="V324" s="202">
        <f>SUM(E324:U324)</f>
        <v>13994731</v>
      </c>
      <c r="W324" s="202">
        <f>W323+W321</f>
        <v>0</v>
      </c>
      <c r="X324" s="150"/>
      <c r="Z324" s="140">
        <f>IF($C324="B","",VLOOKUP($C324,orig_alloc!$A$13:$B$227,2,FALSE))</f>
      </c>
      <c r="AA324" s="141"/>
      <c r="AE324" s="141"/>
      <c r="AF324" s="141"/>
    </row>
    <row r="325" spans="1:32" ht="20.25">
      <c r="A325" s="132"/>
      <c r="B325" s="149"/>
      <c r="C325" s="132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50"/>
      <c r="Z325" s="140">
        <f>IF($C325="B","",VLOOKUP($C325,orig_alloc!$A$13:$B$227,2,FALSE))</f>
      </c>
      <c r="AA325" s="141"/>
      <c r="AE325" s="141"/>
      <c r="AF325" s="141"/>
    </row>
    <row r="326" spans="1:32" ht="20.25">
      <c r="A326" s="132" t="s">
        <v>494</v>
      </c>
      <c r="B326" s="149" t="s">
        <v>242</v>
      </c>
      <c r="C326" s="132"/>
      <c r="D326" s="118">
        <f aca="true" t="shared" si="180" ref="D326:W326">D312+D317+D324</f>
        <v>43956090</v>
      </c>
      <c r="E326" s="118">
        <f t="shared" si="180"/>
        <v>19517497</v>
      </c>
      <c r="F326" s="118">
        <f t="shared" si="180"/>
        <v>10714229</v>
      </c>
      <c r="G326" s="118">
        <f t="shared" si="180"/>
        <v>10236</v>
      </c>
      <c r="H326" s="118">
        <f t="shared" si="180"/>
        <v>56876</v>
      </c>
      <c r="I326" s="118">
        <f t="shared" si="180"/>
        <v>160357</v>
      </c>
      <c r="J326" s="118">
        <f t="shared" si="180"/>
        <v>4596</v>
      </c>
      <c r="K326" s="118">
        <f t="shared" si="180"/>
        <v>6859193</v>
      </c>
      <c r="L326" s="118">
        <f t="shared" si="180"/>
        <v>80743</v>
      </c>
      <c r="M326" s="118">
        <f t="shared" si="180"/>
        <v>4078702</v>
      </c>
      <c r="N326" s="118">
        <f t="shared" si="180"/>
        <v>187295</v>
      </c>
      <c r="O326" s="118">
        <f t="shared" si="180"/>
        <v>318915</v>
      </c>
      <c r="P326" s="118">
        <f t="shared" si="180"/>
        <v>0</v>
      </c>
      <c r="Q326" s="118">
        <f t="shared" si="180"/>
        <v>1568568</v>
      </c>
      <c r="R326" s="118">
        <f t="shared" si="180"/>
        <v>96420</v>
      </c>
      <c r="S326" s="118">
        <f t="shared" si="180"/>
        <v>297857</v>
      </c>
      <c r="T326" s="118">
        <f t="shared" si="180"/>
        <v>0</v>
      </c>
      <c r="U326" s="118">
        <f t="shared" si="180"/>
        <v>4606</v>
      </c>
      <c r="V326" s="118">
        <f t="shared" si="180"/>
        <v>43956090</v>
      </c>
      <c r="W326" s="118">
        <f t="shared" si="180"/>
        <v>0</v>
      </c>
      <c r="X326" s="150"/>
      <c r="Z326" s="140">
        <f>IF($C326="B","",VLOOKUP($C326,orig_alloc!$A$13:$B$227,2,FALSE))</f>
      </c>
      <c r="AA326" s="141"/>
      <c r="AE326" s="141"/>
      <c r="AF326" s="141"/>
    </row>
    <row r="327" spans="1:32" ht="20.25">
      <c r="A327" s="132" t="s">
        <v>496</v>
      </c>
      <c r="B327" s="149"/>
      <c r="C327" s="132"/>
      <c r="D327" s="118"/>
      <c r="E327" s="118"/>
      <c r="F327" s="118"/>
      <c r="G327" s="118"/>
      <c r="H327" s="118"/>
      <c r="I327" s="118"/>
      <c r="J327" s="118"/>
      <c r="K327" s="133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50"/>
      <c r="Z327" s="140">
        <f>IF($C327="B","",VLOOKUP($C327,orig_alloc!$A$13:$B$227,2,FALSE))</f>
      </c>
      <c r="AA327" s="141"/>
      <c r="AE327" s="141"/>
      <c r="AF327" s="141"/>
    </row>
    <row r="328" spans="1:32" ht="20.25">
      <c r="A328" s="148" t="s">
        <v>465</v>
      </c>
      <c r="B328" s="149" t="s">
        <v>466</v>
      </c>
      <c r="C328" s="132"/>
      <c r="D328" s="118">
        <f aca="true" t="shared" si="181" ref="D328:W328">-D263</f>
        <v>-41301731</v>
      </c>
      <c r="E328" s="118">
        <f t="shared" si="181"/>
        <v>-21405839</v>
      </c>
      <c r="F328" s="118">
        <f t="shared" si="181"/>
        <v>-9491971</v>
      </c>
      <c r="G328" s="118">
        <f t="shared" si="181"/>
        <v>-9075</v>
      </c>
      <c r="H328" s="118">
        <f t="shared" si="181"/>
        <v>-37284</v>
      </c>
      <c r="I328" s="118">
        <f t="shared" si="181"/>
        <v>-168418</v>
      </c>
      <c r="J328" s="118">
        <f t="shared" si="181"/>
        <v>-4408</v>
      </c>
      <c r="K328" s="118">
        <f t="shared" si="181"/>
        <v>-5252021</v>
      </c>
      <c r="L328" s="118">
        <f t="shared" si="181"/>
        <v>-71418</v>
      </c>
      <c r="M328" s="118">
        <f t="shared" si="181"/>
        <v>-3017375</v>
      </c>
      <c r="N328" s="118">
        <f t="shared" si="181"/>
        <v>-142614</v>
      </c>
      <c r="O328" s="118">
        <f t="shared" si="181"/>
        <v>-233994</v>
      </c>
      <c r="P328" s="118">
        <f t="shared" si="181"/>
        <v>0</v>
      </c>
      <c r="Q328" s="118">
        <f t="shared" si="181"/>
        <v>-985270</v>
      </c>
      <c r="R328" s="118">
        <f t="shared" si="181"/>
        <v>-56815</v>
      </c>
      <c r="S328" s="118">
        <f t="shared" si="181"/>
        <v>-419332</v>
      </c>
      <c r="T328" s="118">
        <f t="shared" si="181"/>
        <v>0</v>
      </c>
      <c r="U328" s="118">
        <f t="shared" si="181"/>
        <v>-5897</v>
      </c>
      <c r="V328" s="118">
        <f t="shared" si="181"/>
        <v>-41301731</v>
      </c>
      <c r="W328" s="118">
        <f t="shared" si="181"/>
        <v>0</v>
      </c>
      <c r="X328" s="150"/>
      <c r="Z328" s="140">
        <f>IF($C328="B","",VLOOKUP($C328,orig_alloc!$A$13:$B$227,2,FALSE))</f>
      </c>
      <c r="AA328" s="141"/>
      <c r="AE328" s="141"/>
      <c r="AF328" s="141"/>
    </row>
    <row r="329" spans="1:32" ht="20.25">
      <c r="A329" s="148" t="s">
        <v>478</v>
      </c>
      <c r="B329" s="149" t="s">
        <v>479</v>
      </c>
      <c r="C329" s="132"/>
      <c r="D329" s="118">
        <f aca="true" t="shared" si="182" ref="D329:W329">D294</f>
        <v>5558808</v>
      </c>
      <c r="E329" s="118">
        <f t="shared" si="182"/>
        <v>2944183</v>
      </c>
      <c r="F329" s="118">
        <f t="shared" si="182"/>
        <v>1351153</v>
      </c>
      <c r="G329" s="118">
        <f t="shared" si="182"/>
        <v>1172</v>
      </c>
      <c r="H329" s="118">
        <f t="shared" si="182"/>
        <v>5202</v>
      </c>
      <c r="I329" s="118">
        <f t="shared" si="182"/>
        <v>19163</v>
      </c>
      <c r="J329" s="118">
        <f t="shared" si="182"/>
        <v>703</v>
      </c>
      <c r="K329" s="118">
        <f t="shared" si="182"/>
        <v>740513</v>
      </c>
      <c r="L329" s="118">
        <f t="shared" si="182"/>
        <v>7935</v>
      </c>
      <c r="M329" s="118">
        <f t="shared" si="182"/>
        <v>283941</v>
      </c>
      <c r="N329" s="118">
        <f t="shared" si="182"/>
        <v>11968</v>
      </c>
      <c r="O329" s="118">
        <f t="shared" si="182"/>
        <v>25883</v>
      </c>
      <c r="P329" s="118">
        <f t="shared" si="182"/>
        <v>0</v>
      </c>
      <c r="Q329" s="118">
        <f t="shared" si="182"/>
        <v>-44485</v>
      </c>
      <c r="R329" s="118">
        <f t="shared" si="182"/>
        <v>-2987</v>
      </c>
      <c r="S329" s="118">
        <f t="shared" si="182"/>
        <v>213981</v>
      </c>
      <c r="T329" s="118">
        <f t="shared" si="182"/>
        <v>0</v>
      </c>
      <c r="U329" s="118">
        <f t="shared" si="182"/>
        <v>483</v>
      </c>
      <c r="V329" s="118">
        <f t="shared" si="182"/>
        <v>5558808</v>
      </c>
      <c r="W329" s="118">
        <f t="shared" si="182"/>
        <v>0</v>
      </c>
      <c r="X329" s="150"/>
      <c r="Z329" s="140">
        <f>IF($C329="B","",VLOOKUP($C329,orig_alloc!$A$13:$B$227,2,FALSE))</f>
      </c>
      <c r="AA329" s="141"/>
      <c r="AE329" s="141"/>
      <c r="AF329" s="141"/>
    </row>
    <row r="330" spans="1:32" ht="20.25">
      <c r="A330" s="148" t="s">
        <v>494</v>
      </c>
      <c r="B330" s="149" t="s">
        <v>495</v>
      </c>
      <c r="C330" s="132"/>
      <c r="D330" s="118">
        <f aca="true" t="shared" si="183" ref="D330:W330">D326</f>
        <v>43956090</v>
      </c>
      <c r="E330" s="118">
        <f t="shared" si="183"/>
        <v>19517497</v>
      </c>
      <c r="F330" s="118">
        <f t="shared" si="183"/>
        <v>10714229</v>
      </c>
      <c r="G330" s="118">
        <f t="shared" si="183"/>
        <v>10236</v>
      </c>
      <c r="H330" s="118">
        <f t="shared" si="183"/>
        <v>56876</v>
      </c>
      <c r="I330" s="118">
        <f t="shared" si="183"/>
        <v>160357</v>
      </c>
      <c r="J330" s="118">
        <f t="shared" si="183"/>
        <v>4596</v>
      </c>
      <c r="K330" s="118">
        <f t="shared" si="183"/>
        <v>6859193</v>
      </c>
      <c r="L330" s="118">
        <f t="shared" si="183"/>
        <v>80743</v>
      </c>
      <c r="M330" s="118">
        <f t="shared" si="183"/>
        <v>4078702</v>
      </c>
      <c r="N330" s="118">
        <f t="shared" si="183"/>
        <v>187295</v>
      </c>
      <c r="O330" s="118">
        <f t="shared" si="183"/>
        <v>318915</v>
      </c>
      <c r="P330" s="118">
        <f t="shared" si="183"/>
        <v>0</v>
      </c>
      <c r="Q330" s="118">
        <f t="shared" si="183"/>
        <v>1568568</v>
      </c>
      <c r="R330" s="118">
        <f t="shared" si="183"/>
        <v>96420</v>
      </c>
      <c r="S330" s="118">
        <f t="shared" si="183"/>
        <v>297857</v>
      </c>
      <c r="T330" s="118">
        <f t="shared" si="183"/>
        <v>0</v>
      </c>
      <c r="U330" s="118">
        <f t="shared" si="183"/>
        <v>4606</v>
      </c>
      <c r="V330" s="118">
        <f t="shared" si="183"/>
        <v>43956090</v>
      </c>
      <c r="W330" s="118">
        <f t="shared" si="183"/>
        <v>0</v>
      </c>
      <c r="X330" s="150"/>
      <c r="Z330" s="140">
        <f>IF($C330="B","",VLOOKUP($C330,orig_alloc!$A$13:$B$227,2,FALSE))</f>
      </c>
      <c r="AA330" s="141"/>
      <c r="AE330" s="141"/>
      <c r="AF330" s="141"/>
    </row>
    <row r="331" spans="1:32" ht="20.25">
      <c r="A331" s="240" t="s">
        <v>497</v>
      </c>
      <c r="B331" s="149" t="s">
        <v>498</v>
      </c>
      <c r="C331" s="132"/>
      <c r="D331" s="202">
        <f aca="true" t="shared" si="184" ref="D331:W331">SUM(D327:D330)</f>
        <v>8213167</v>
      </c>
      <c r="E331" s="202">
        <f t="shared" si="184"/>
        <v>1055841</v>
      </c>
      <c r="F331" s="202">
        <f t="shared" si="184"/>
        <v>2573411</v>
      </c>
      <c r="G331" s="202">
        <f t="shared" si="184"/>
        <v>2333</v>
      </c>
      <c r="H331" s="202">
        <f t="shared" si="184"/>
        <v>24794</v>
      </c>
      <c r="I331" s="202">
        <f t="shared" si="184"/>
        <v>11102</v>
      </c>
      <c r="J331" s="202">
        <f t="shared" si="184"/>
        <v>891</v>
      </c>
      <c r="K331" s="202">
        <f t="shared" si="184"/>
        <v>2347685</v>
      </c>
      <c r="L331" s="202">
        <f t="shared" si="184"/>
        <v>17260</v>
      </c>
      <c r="M331" s="202">
        <f t="shared" si="184"/>
        <v>1345268</v>
      </c>
      <c r="N331" s="202">
        <f t="shared" si="184"/>
        <v>56649</v>
      </c>
      <c r="O331" s="202">
        <f t="shared" si="184"/>
        <v>110804</v>
      </c>
      <c r="P331" s="202">
        <f t="shared" si="184"/>
        <v>0</v>
      </c>
      <c r="Q331" s="202">
        <f t="shared" si="184"/>
        <v>538813</v>
      </c>
      <c r="R331" s="202">
        <f t="shared" si="184"/>
        <v>36618</v>
      </c>
      <c r="S331" s="202">
        <f t="shared" si="184"/>
        <v>92506</v>
      </c>
      <c r="T331" s="202">
        <f t="shared" si="184"/>
        <v>0</v>
      </c>
      <c r="U331" s="202">
        <f t="shared" si="184"/>
        <v>-808</v>
      </c>
      <c r="V331" s="202">
        <f t="shared" si="184"/>
        <v>8213167</v>
      </c>
      <c r="W331" s="202">
        <f t="shared" si="184"/>
        <v>0</v>
      </c>
      <c r="X331" s="150"/>
      <c r="Z331" s="140">
        <f>IF($C331="B","",VLOOKUP($C331,orig_alloc!$A$13:$B$227,2,FALSE))</f>
      </c>
      <c r="AA331" s="141"/>
      <c r="AE331" s="141"/>
      <c r="AF331" s="141"/>
    </row>
    <row r="332" spans="1:32" ht="20.25">
      <c r="A332" s="132"/>
      <c r="B332" s="149"/>
      <c r="C332" s="132"/>
      <c r="D332" s="118"/>
      <c r="E332" s="118"/>
      <c r="F332" s="118"/>
      <c r="G332" s="118"/>
      <c r="H332" s="118"/>
      <c r="I332" s="118"/>
      <c r="J332" s="118"/>
      <c r="K332" s="133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50"/>
      <c r="Z332" s="140">
        <f>IF($C332="B","",VLOOKUP($C332,orig_alloc!$A$13:$B$227,2,FALSE))</f>
      </c>
      <c r="AA332" s="141"/>
      <c r="AE332" s="141"/>
      <c r="AF332" s="141"/>
    </row>
    <row r="333" spans="1:32" ht="20.25">
      <c r="A333" s="132" t="s">
        <v>499</v>
      </c>
      <c r="B333" s="149"/>
      <c r="C333" s="132"/>
      <c r="D333" s="118"/>
      <c r="E333" s="118"/>
      <c r="F333" s="118"/>
      <c r="G333" s="118"/>
      <c r="H333" s="118"/>
      <c r="I333" s="118"/>
      <c r="J333" s="118"/>
      <c r="K333" s="133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50"/>
      <c r="Z333" s="140">
        <f>IF($C333="B","",VLOOKUP($C333,orig_alloc!$A$13:$B$227,2,FALSE))</f>
      </c>
      <c r="AA333" s="141"/>
      <c r="AE333" s="141"/>
      <c r="AF333" s="141"/>
    </row>
    <row r="334" spans="1:32" ht="20.25">
      <c r="A334" s="148" t="s">
        <v>410</v>
      </c>
      <c r="B334" s="149" t="s">
        <v>435</v>
      </c>
      <c r="C334" s="132"/>
      <c r="D334" s="118">
        <f aca="true" t="shared" si="185" ref="D334:W334">D233</f>
        <v>582728234</v>
      </c>
      <c r="E334" s="118">
        <f t="shared" si="185"/>
        <v>302016068</v>
      </c>
      <c r="F334" s="118">
        <f t="shared" si="185"/>
        <v>133922709</v>
      </c>
      <c r="G334" s="118">
        <f t="shared" si="185"/>
        <v>128045</v>
      </c>
      <c r="H334" s="118">
        <f t="shared" si="185"/>
        <v>526036</v>
      </c>
      <c r="I334" s="118">
        <f t="shared" si="185"/>
        <v>2376226</v>
      </c>
      <c r="J334" s="118">
        <f t="shared" si="185"/>
        <v>62201</v>
      </c>
      <c r="K334" s="118">
        <f t="shared" si="185"/>
        <v>74101015</v>
      </c>
      <c r="L334" s="118">
        <f t="shared" si="185"/>
        <v>1007638</v>
      </c>
      <c r="M334" s="118">
        <f t="shared" si="185"/>
        <v>42572309</v>
      </c>
      <c r="N334" s="118">
        <f t="shared" si="185"/>
        <v>2012147</v>
      </c>
      <c r="O334" s="118">
        <f t="shared" si="185"/>
        <v>3301426</v>
      </c>
      <c r="P334" s="118">
        <f t="shared" si="185"/>
        <v>0</v>
      </c>
      <c r="Q334" s="118">
        <f t="shared" si="185"/>
        <v>13901224</v>
      </c>
      <c r="R334" s="118">
        <f t="shared" si="185"/>
        <v>801601</v>
      </c>
      <c r="S334" s="118">
        <f t="shared" si="185"/>
        <v>5916378</v>
      </c>
      <c r="T334" s="118">
        <f t="shared" si="185"/>
        <v>0</v>
      </c>
      <c r="U334" s="118">
        <f t="shared" si="185"/>
        <v>83211</v>
      </c>
      <c r="V334" s="118">
        <f t="shared" si="185"/>
        <v>582728234</v>
      </c>
      <c r="W334" s="118">
        <f t="shared" si="185"/>
        <v>0</v>
      </c>
      <c r="X334" s="150"/>
      <c r="Z334" s="140">
        <f>IF($C334="B","",VLOOKUP($C334,orig_alloc!$A$13:$B$227,2,FALSE))</f>
      </c>
      <c r="AA334" s="141"/>
      <c r="AE334" s="141"/>
      <c r="AF334" s="141"/>
    </row>
    <row r="335" spans="1:32" ht="20.25">
      <c r="A335" s="148" t="s">
        <v>500</v>
      </c>
      <c r="B335" s="149" t="s">
        <v>498</v>
      </c>
      <c r="C335" s="132"/>
      <c r="D335" s="118">
        <f aca="true" t="shared" si="186" ref="D335:W335">D331</f>
        <v>8213167</v>
      </c>
      <c r="E335" s="118">
        <f t="shared" si="186"/>
        <v>1055841</v>
      </c>
      <c r="F335" s="118">
        <f t="shared" si="186"/>
        <v>2573411</v>
      </c>
      <c r="G335" s="118">
        <f t="shared" si="186"/>
        <v>2333</v>
      </c>
      <c r="H335" s="118">
        <f t="shared" si="186"/>
        <v>24794</v>
      </c>
      <c r="I335" s="118">
        <f t="shared" si="186"/>
        <v>11102</v>
      </c>
      <c r="J335" s="118">
        <f t="shared" si="186"/>
        <v>891</v>
      </c>
      <c r="K335" s="118">
        <f t="shared" si="186"/>
        <v>2347685</v>
      </c>
      <c r="L335" s="118">
        <f t="shared" si="186"/>
        <v>17260</v>
      </c>
      <c r="M335" s="118">
        <f t="shared" si="186"/>
        <v>1345268</v>
      </c>
      <c r="N335" s="118">
        <f t="shared" si="186"/>
        <v>56649</v>
      </c>
      <c r="O335" s="118">
        <f t="shared" si="186"/>
        <v>110804</v>
      </c>
      <c r="P335" s="118">
        <f t="shared" si="186"/>
        <v>0</v>
      </c>
      <c r="Q335" s="118">
        <f t="shared" si="186"/>
        <v>538813</v>
      </c>
      <c r="R335" s="118">
        <f t="shared" si="186"/>
        <v>36618</v>
      </c>
      <c r="S335" s="118">
        <f t="shared" si="186"/>
        <v>92506</v>
      </c>
      <c r="T335" s="118">
        <f t="shared" si="186"/>
        <v>0</v>
      </c>
      <c r="U335" s="118">
        <f t="shared" si="186"/>
        <v>-808</v>
      </c>
      <c r="V335" s="118">
        <f t="shared" si="186"/>
        <v>8213167</v>
      </c>
      <c r="W335" s="118">
        <f t="shared" si="186"/>
        <v>0</v>
      </c>
      <c r="X335" s="150"/>
      <c r="Z335" s="140">
        <f>IF($C335="B","",VLOOKUP($C335,orig_alloc!$A$13:$B$227,2,FALSE))</f>
      </c>
      <c r="AA335" s="141"/>
      <c r="AE335" s="141"/>
      <c r="AF335" s="141"/>
    </row>
    <row r="336" spans="1:32" ht="20.25">
      <c r="A336" s="240" t="s">
        <v>501</v>
      </c>
      <c r="B336" s="149" t="s">
        <v>327</v>
      </c>
      <c r="C336" s="132" t="s">
        <v>796</v>
      </c>
      <c r="D336" s="202">
        <f aca="true" t="shared" si="187" ref="D336:W336">SUM(D333:D335)</f>
        <v>590941401</v>
      </c>
      <c r="E336" s="202">
        <f t="shared" si="187"/>
        <v>303071909</v>
      </c>
      <c r="F336" s="202">
        <f t="shared" si="187"/>
        <v>136496120</v>
      </c>
      <c r="G336" s="202">
        <f t="shared" si="187"/>
        <v>130378</v>
      </c>
      <c r="H336" s="202">
        <f t="shared" si="187"/>
        <v>550830</v>
      </c>
      <c r="I336" s="202">
        <f t="shared" si="187"/>
        <v>2387328</v>
      </c>
      <c r="J336" s="202">
        <f t="shared" si="187"/>
        <v>63092</v>
      </c>
      <c r="K336" s="202">
        <f t="shared" si="187"/>
        <v>76448700</v>
      </c>
      <c r="L336" s="202">
        <f t="shared" si="187"/>
        <v>1024898</v>
      </c>
      <c r="M336" s="202">
        <f t="shared" si="187"/>
        <v>43917577</v>
      </c>
      <c r="N336" s="202">
        <f t="shared" si="187"/>
        <v>2068796</v>
      </c>
      <c r="O336" s="202">
        <f t="shared" si="187"/>
        <v>3412230</v>
      </c>
      <c r="P336" s="202">
        <f t="shared" si="187"/>
        <v>0</v>
      </c>
      <c r="Q336" s="202">
        <f t="shared" si="187"/>
        <v>14440037</v>
      </c>
      <c r="R336" s="202">
        <f t="shared" si="187"/>
        <v>838219</v>
      </c>
      <c r="S336" s="202">
        <f t="shared" si="187"/>
        <v>6008884</v>
      </c>
      <c r="T336" s="202">
        <f t="shared" si="187"/>
        <v>0</v>
      </c>
      <c r="U336" s="202">
        <f t="shared" si="187"/>
        <v>82403</v>
      </c>
      <c r="V336" s="202">
        <f t="shared" si="187"/>
        <v>590941401</v>
      </c>
      <c r="W336" s="202">
        <f t="shared" si="187"/>
        <v>0</v>
      </c>
      <c r="X336" s="150"/>
      <c r="Z336" s="140" t="str">
        <f>IF($C336="B","",VLOOKUP($C336,orig_alloc!$A$13:$B$227,2,FALSE))</f>
        <v>JUR. OCD RATE BASE</v>
      </c>
      <c r="AA336" s="141"/>
      <c r="AE336" s="141"/>
      <c r="AF336" s="141"/>
    </row>
    <row r="337" spans="1:32" ht="20.25">
      <c r="A337" s="231"/>
      <c r="B337" s="149"/>
      <c r="C337" s="132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150"/>
      <c r="Z337" s="140"/>
      <c r="AA337" s="141"/>
      <c r="AE337" s="141"/>
      <c r="AF337" s="141"/>
    </row>
    <row r="338" spans="1:32" ht="20.25">
      <c r="A338" s="231" t="s">
        <v>1237</v>
      </c>
      <c r="B338" s="149" t="s">
        <v>1238</v>
      </c>
      <c r="C338" s="132" t="s">
        <v>327</v>
      </c>
      <c r="D338" s="201">
        <v>557080702</v>
      </c>
      <c r="E338" s="219">
        <f>V338-SUM(F338:U338)</f>
        <v>285706013</v>
      </c>
      <c r="F338" s="118">
        <f aca="true" ca="1" t="shared" si="188" ref="F338:V338">ROUND($D338*VLOOKUP($C338,IF(LEFT($C338,1)="K",INDIRECT("TABLE"),INDIRECT("TABLE2")),F$9+1),0)</f>
        <v>128674948</v>
      </c>
      <c r="G338" s="118">
        <f ca="1" t="shared" si="188"/>
        <v>122908</v>
      </c>
      <c r="H338" s="118">
        <f ca="1" t="shared" si="188"/>
        <v>519268</v>
      </c>
      <c r="I338" s="118">
        <f ca="1" t="shared" si="188"/>
        <v>2250535</v>
      </c>
      <c r="J338" s="118">
        <f ca="1" t="shared" si="188"/>
        <v>59477</v>
      </c>
      <c r="K338" s="118">
        <f ca="1" t="shared" si="188"/>
        <v>72068221</v>
      </c>
      <c r="L338" s="118">
        <f ca="1" t="shared" si="188"/>
        <v>966172</v>
      </c>
      <c r="M338" s="118">
        <f ca="1" t="shared" si="188"/>
        <v>41401118</v>
      </c>
      <c r="N338" s="118">
        <f ca="1" t="shared" si="188"/>
        <v>1950255</v>
      </c>
      <c r="O338" s="118">
        <f ca="1" t="shared" si="188"/>
        <v>3216710</v>
      </c>
      <c r="P338" s="118">
        <f ca="1" t="shared" si="188"/>
        <v>0</v>
      </c>
      <c r="Q338" s="118">
        <f ca="1" t="shared" si="188"/>
        <v>13612629</v>
      </c>
      <c r="R338" s="118">
        <f ca="1" t="shared" si="188"/>
        <v>790189</v>
      </c>
      <c r="S338" s="118">
        <f ca="1" t="shared" si="188"/>
        <v>5664578</v>
      </c>
      <c r="T338" s="118">
        <f ca="1" t="shared" si="188"/>
        <v>0</v>
      </c>
      <c r="U338" s="118">
        <f ca="1" t="shared" si="188"/>
        <v>77681</v>
      </c>
      <c r="V338" s="118">
        <f ca="1" t="shared" si="188"/>
        <v>557080702</v>
      </c>
      <c r="W338" s="118">
        <f>D338-V338</f>
        <v>0</v>
      </c>
      <c r="X338" s="150"/>
      <c r="Z338" s="140" t="str">
        <f>IF($C338="B","",VLOOKUP($C338,orig_alloc!$A$13:$B$227,2,FALSE))</f>
        <v>WTD TOTAL RATE BASE RATIOS</v>
      </c>
      <c r="AA338" s="141"/>
      <c r="AE338" s="141"/>
      <c r="AF338" s="141"/>
    </row>
    <row r="339" spans="1:32" ht="20.25">
      <c r="A339" s="132"/>
      <c r="B339" s="149"/>
      <c r="C339" s="132"/>
      <c r="D339" s="118"/>
      <c r="E339" s="118"/>
      <c r="F339" s="118"/>
      <c r="G339" s="118"/>
      <c r="H339" s="118"/>
      <c r="I339" s="118"/>
      <c r="J339" s="118"/>
      <c r="K339" s="133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50"/>
      <c r="Z339" s="140">
        <f>IF($C339="B","",VLOOKUP($C339,orig_alloc!$A$13:$B$227,2,FALSE))</f>
      </c>
      <c r="AA339" s="141"/>
      <c r="AE339" s="141"/>
      <c r="AF339" s="141"/>
    </row>
    <row r="340" spans="1:32" ht="20.25">
      <c r="A340" s="132" t="s">
        <v>502</v>
      </c>
      <c r="B340" s="149" t="s">
        <v>503</v>
      </c>
      <c r="C340" s="132"/>
      <c r="D340" s="307">
        <f>$D$720</f>
        <v>0.08761000000000001</v>
      </c>
      <c r="E340" s="308">
        <f>IF($F$2="subsidy excess",+rateincr_exhibit!$M$19,$D$340)</f>
        <v>0.06951784837577758</v>
      </c>
      <c r="F340" s="308">
        <f>IF($F$2="subsidy excess",+rateincr_exhibit!$M$20,$D$340)</f>
        <v>0.12071687693274445</v>
      </c>
      <c r="G340" s="308">
        <f>IF($F$2="subsidy excess",+rateincr_exhibit!$M$21,$D$340)</f>
        <v>0.22675618251361995</v>
      </c>
      <c r="H340" s="308">
        <f>IF($F$2="subsidy excess",+rateincr_exhibit!$M$22,$D$340)</f>
        <v>0.2399374701491176</v>
      </c>
      <c r="I340" s="308">
        <f>IF($F$2="subsidy excess",+rateincr_exhibit!$M$23,$D$340)</f>
        <v>0.05165725498063526</v>
      </c>
      <c r="J340" s="308">
        <f>IF($F$2="subsidy excess",+rateincr_exhibit!$M$24,$D$340)</f>
        <v>0.16495733853704794</v>
      </c>
      <c r="K340" s="308">
        <f>IF($F$2="subsidy excess",+rateincr_exhibit!$M$25,$D$340)</f>
        <v>0.10178515127804379</v>
      </c>
      <c r="L340" s="308">
        <f>IF($F$2="subsidy excess",+rateincr_exhibit!$M$26,$D$340)</f>
        <v>0.13001839436364124</v>
      </c>
      <c r="M340" s="308">
        <f>IF($F$2="subsidy excess",+rateincr_exhibit!$M$27,$D$340)</f>
        <v>0.06878915493606302</v>
      </c>
      <c r="N340" s="308">
        <f>IF($F$2="subsidy excess",+rateincr_exhibit!$M$28,$D$340)</f>
        <v>0.1408787577314146</v>
      </c>
      <c r="O340" s="308">
        <f>IF($F$2="subsidy excess",+rateincr_exhibit!$M$29,$D$340)</f>
        <v>0.09943382620890785</v>
      </c>
      <c r="P340" s="308" t="str">
        <f>IF($F$2="subsidy excess",+rateincr_exhibit!$M$30,$D$340)</f>
        <v>-</v>
      </c>
      <c r="Q340" s="308">
        <f>IF($F$2="subsidy excess",+rateincr_exhibit!$M$31,$D$340)</f>
        <v>0.09587633223874359</v>
      </c>
      <c r="R340" s="308">
        <f>IF($F$2="subsidy excess",+rateincr_exhibit!$M$32,$D$340)</f>
        <v>0.1680906974490255</v>
      </c>
      <c r="S340" s="308">
        <f>IF($F$2="subsidy excess",+rateincr_exhibit!$M$33,$D$340)</f>
        <v>0.13953994149442586</v>
      </c>
      <c r="T340" s="308" t="str">
        <f>IF($F$2="subsidy excess",+rateincr_exhibit!$M$34,$D$340)</f>
        <v>-</v>
      </c>
      <c r="U340" s="308">
        <f>IF($F$2="subsidy excess",+rateincr_exhibit!$M$35,$D$340)</f>
        <v>0.007579441122797076</v>
      </c>
      <c r="V340" s="308">
        <f>IF($F$2="subsidy excess",+rateincr_exhibit!$M$36,$D$340)</f>
        <v>0.08761</v>
      </c>
      <c r="W340" s="308">
        <f>$D$720</f>
        <v>0.08761000000000001</v>
      </c>
      <c r="X340" s="309"/>
      <c r="Z340" s="140">
        <f>IF($C340="B","",VLOOKUP($C340,orig_alloc!$A$13:$B$227,2,FALSE))</f>
      </c>
      <c r="AA340" s="146"/>
      <c r="AB340" s="147"/>
      <c r="AC340" s="147"/>
      <c r="AE340" s="141"/>
      <c r="AF340" s="141"/>
    </row>
    <row r="341" spans="1:32" ht="20.25">
      <c r="A341" s="132" t="s">
        <v>1256</v>
      </c>
      <c r="B341" s="149" t="s">
        <v>504</v>
      </c>
      <c r="C341" s="132"/>
      <c r="D341" s="118">
        <f>ROUND(D338*D340,0)</f>
        <v>48805840</v>
      </c>
      <c r="E341" s="219">
        <f>V341-SUM(F341:U341)</f>
        <v>19861454</v>
      </c>
      <c r="F341" s="118">
        <f aca="true" t="shared" si="189" ref="F341:V341">ROUND(F338*F340,0)</f>
        <v>15533238</v>
      </c>
      <c r="G341" s="118">
        <f t="shared" si="189"/>
        <v>27870</v>
      </c>
      <c r="H341" s="118">
        <f t="shared" si="189"/>
        <v>124592</v>
      </c>
      <c r="I341" s="118">
        <f t="shared" si="189"/>
        <v>116256</v>
      </c>
      <c r="J341" s="118">
        <f t="shared" si="189"/>
        <v>9811</v>
      </c>
      <c r="K341" s="118">
        <f t="shared" si="189"/>
        <v>7335475</v>
      </c>
      <c r="L341" s="118">
        <f t="shared" si="189"/>
        <v>125620</v>
      </c>
      <c r="M341" s="118">
        <f t="shared" si="189"/>
        <v>2847948</v>
      </c>
      <c r="N341" s="118">
        <f t="shared" si="189"/>
        <v>274750</v>
      </c>
      <c r="O341" s="118">
        <f t="shared" si="189"/>
        <v>319850</v>
      </c>
      <c r="P341" s="118">
        <f t="shared" si="189"/>
        <v>0</v>
      </c>
      <c r="Q341" s="118">
        <f t="shared" si="189"/>
        <v>1305129</v>
      </c>
      <c r="R341" s="118">
        <f t="shared" si="189"/>
        <v>132823</v>
      </c>
      <c r="S341" s="118">
        <f t="shared" si="189"/>
        <v>790435</v>
      </c>
      <c r="T341" s="118">
        <f t="shared" si="189"/>
        <v>0</v>
      </c>
      <c r="U341" s="118">
        <f t="shared" si="189"/>
        <v>589</v>
      </c>
      <c r="V341" s="118">
        <f t="shared" si="189"/>
        <v>48805840</v>
      </c>
      <c r="W341" s="118">
        <f>D341-V341</f>
        <v>0</v>
      </c>
      <c r="X341" s="150"/>
      <c r="Z341" s="140">
        <f>IF($C341="B","",VLOOKUP($C341,orig_alloc!$A$13:$B$227,2,FALSE))</f>
      </c>
      <c r="AA341" s="141"/>
      <c r="AE341" s="141"/>
      <c r="AF341" s="141"/>
    </row>
    <row r="342" spans="1:32" ht="20.25">
      <c r="A342" s="132"/>
      <c r="B342" s="149"/>
      <c r="C342" s="132"/>
      <c r="D342" s="133"/>
      <c r="E342" s="310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50"/>
      <c r="Z342" s="140">
        <f>IF($C342="B","",VLOOKUP($C342,orig_alloc!$A$13:$B$227,2,FALSE))</f>
      </c>
      <c r="AA342" s="141"/>
      <c r="AE342" s="141"/>
      <c r="AF342" s="141"/>
    </row>
    <row r="343" spans="1:32" ht="20.25">
      <c r="A343" s="277" t="s">
        <v>505</v>
      </c>
      <c r="B343" s="290" t="s">
        <v>506</v>
      </c>
      <c r="C343" s="132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50"/>
      <c r="Z343" s="140">
        <f>IF($C343="B","",VLOOKUP($C343,orig_alloc!$A$13:$B$227,2,FALSE))</f>
      </c>
      <c r="AA343" s="141"/>
      <c r="AE343" s="141"/>
      <c r="AF343" s="141"/>
    </row>
    <row r="344" spans="1:32" ht="20.25">
      <c r="A344" s="132" t="s">
        <v>507</v>
      </c>
      <c r="B344" s="149"/>
      <c r="C344" s="201"/>
      <c r="D344" s="201"/>
      <c r="E344" s="118"/>
      <c r="F344" s="118"/>
      <c r="G344" s="118"/>
      <c r="H344" s="118"/>
      <c r="I344" s="118"/>
      <c r="J344" s="118"/>
      <c r="K344" s="133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50"/>
      <c r="Z344" s="140">
        <f>IF($C344="B","",VLOOKUP($C344,orig_alloc!$A$13:$B$227,2,FALSE))</f>
      </c>
      <c r="AA344" s="141"/>
      <c r="AE344" s="141"/>
      <c r="AF344" s="141"/>
    </row>
    <row r="345" spans="1:32" ht="20.25">
      <c r="A345" s="132" t="s">
        <v>508</v>
      </c>
      <c r="B345" s="149"/>
      <c r="C345" s="132"/>
      <c r="E345" s="118"/>
      <c r="F345" s="118"/>
      <c r="G345" s="118"/>
      <c r="H345" s="118"/>
      <c r="I345" s="118"/>
      <c r="J345" s="118"/>
      <c r="K345" s="133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50"/>
      <c r="Z345" s="140">
        <f>IF($C345="B","",VLOOKUP($C345,orig_alloc!$A$13:$B$227,2,FALSE))</f>
      </c>
      <c r="AA345" s="141"/>
      <c r="AE345" s="141"/>
      <c r="AF345" s="141"/>
    </row>
    <row r="346" spans="1:32" ht="20.25">
      <c r="A346" s="148" t="s">
        <v>1188</v>
      </c>
      <c r="B346" s="149" t="s">
        <v>509</v>
      </c>
      <c r="C346" s="148" t="s">
        <v>1357</v>
      </c>
      <c r="D346" s="201">
        <v>85741670</v>
      </c>
      <c r="E346" s="219">
        <f aca="true" t="shared" si="190" ref="E346:E352">V346-SUM(F346:U346)</f>
        <v>32766069</v>
      </c>
      <c r="F346" s="118">
        <f aca="true" ca="1" t="shared" si="191" ref="F346:O352">ROUND($D346*VLOOKUP($C346,IF(LEFT($C346,1)="K",INDIRECT("TABLE"),INDIRECT("TABLE2")),F$9+1),0)</f>
        <v>22431737</v>
      </c>
      <c r="G346" s="118">
        <f ca="1" t="shared" si="191"/>
        <v>0</v>
      </c>
      <c r="H346" s="118">
        <f ca="1" t="shared" si="191"/>
        <v>134680</v>
      </c>
      <c r="I346" s="118">
        <f ca="1" t="shared" si="191"/>
        <v>303863</v>
      </c>
      <c r="J346" s="118">
        <f ca="1" t="shared" si="191"/>
        <v>8707</v>
      </c>
      <c r="K346" s="118">
        <f ca="1" t="shared" si="191"/>
        <v>15703466</v>
      </c>
      <c r="L346" s="118">
        <f ca="1" t="shared" si="191"/>
        <v>0</v>
      </c>
      <c r="M346" s="118">
        <f ca="1" t="shared" si="191"/>
        <v>9367454</v>
      </c>
      <c r="N346" s="118">
        <f ca="1" t="shared" si="191"/>
        <v>0</v>
      </c>
      <c r="O346" s="118">
        <f ca="1" t="shared" si="191"/>
        <v>737251</v>
      </c>
      <c r="P346" s="118">
        <f aca="true" ca="1" t="shared" si="192" ref="P346:V352">ROUND($D346*VLOOKUP($C346,IF(LEFT($C346,1)="K",INDIRECT("TABLE"),INDIRECT("TABLE2")),P$9+1),0)</f>
        <v>0</v>
      </c>
      <c r="Q346" s="118">
        <f ca="1" t="shared" si="192"/>
        <v>3741538</v>
      </c>
      <c r="R346" s="118">
        <f ca="1" t="shared" si="192"/>
        <v>0</v>
      </c>
      <c r="S346" s="118">
        <f ca="1" t="shared" si="192"/>
        <v>539931</v>
      </c>
      <c r="T346" s="118">
        <f ca="1" t="shared" si="192"/>
        <v>0</v>
      </c>
      <c r="U346" s="118">
        <f ca="1" t="shared" si="192"/>
        <v>6974</v>
      </c>
      <c r="V346" s="118">
        <f ca="1" t="shared" si="192"/>
        <v>85741670</v>
      </c>
      <c r="W346" s="118">
        <f aca="true" t="shared" si="193" ref="W346:W352">D346-V346</f>
        <v>0</v>
      </c>
      <c r="X346" s="150"/>
      <c r="Z346" s="140" t="str">
        <f>IF($C346="B","",VLOOKUP($C346,orig_alloc!$A$13:$B$227,2,FALSE))</f>
        <v>KWH SALES LESS RTP</v>
      </c>
      <c r="AA346" s="141"/>
      <c r="AE346" s="141"/>
      <c r="AF346" s="141"/>
    </row>
    <row r="347" spans="1:32" ht="20.25">
      <c r="A347" s="148" t="s">
        <v>734</v>
      </c>
      <c r="B347" s="149" t="s">
        <v>510</v>
      </c>
      <c r="C347" s="148" t="s">
        <v>320</v>
      </c>
      <c r="D347" s="271">
        <v>0</v>
      </c>
      <c r="E347" s="219">
        <f t="shared" si="190"/>
        <v>0</v>
      </c>
      <c r="F347" s="118">
        <f ca="1" t="shared" si="191"/>
        <v>0</v>
      </c>
      <c r="G347" s="118">
        <f ca="1" t="shared" si="191"/>
        <v>0</v>
      </c>
      <c r="H347" s="118">
        <f ca="1" t="shared" si="191"/>
        <v>0</v>
      </c>
      <c r="I347" s="118">
        <f ca="1" t="shared" si="191"/>
        <v>0</v>
      </c>
      <c r="J347" s="118">
        <f ca="1" t="shared" si="191"/>
        <v>0</v>
      </c>
      <c r="K347" s="118">
        <f ca="1" t="shared" si="191"/>
        <v>0</v>
      </c>
      <c r="L347" s="118">
        <f ca="1" t="shared" si="191"/>
        <v>0</v>
      </c>
      <c r="M347" s="118">
        <f ca="1" t="shared" si="191"/>
        <v>0</v>
      </c>
      <c r="N347" s="118">
        <f ca="1" t="shared" si="191"/>
        <v>0</v>
      </c>
      <c r="O347" s="118">
        <f ca="1" t="shared" si="191"/>
        <v>0</v>
      </c>
      <c r="P347" s="118">
        <f ca="1" t="shared" si="192"/>
        <v>0</v>
      </c>
      <c r="Q347" s="118">
        <f ca="1" t="shared" si="192"/>
        <v>0</v>
      </c>
      <c r="R347" s="118">
        <f ca="1" t="shared" si="192"/>
        <v>0</v>
      </c>
      <c r="S347" s="118">
        <f ca="1" t="shared" si="192"/>
        <v>0</v>
      </c>
      <c r="T347" s="118">
        <f ca="1" t="shared" si="192"/>
        <v>0</v>
      </c>
      <c r="U347" s="118">
        <f ca="1" t="shared" si="192"/>
        <v>0</v>
      </c>
      <c r="V347" s="118">
        <f ca="1" t="shared" si="192"/>
        <v>0</v>
      </c>
      <c r="W347" s="118">
        <f t="shared" si="193"/>
        <v>0</v>
      </c>
      <c r="X347" s="150"/>
      <c r="Z347" s="140" t="str">
        <f>IF($C347="B","",VLOOKUP($C347,orig_alloc!$A$13:$B$227,2,FALSE))</f>
        <v>TOTAL KWH</v>
      </c>
      <c r="AA347" s="141"/>
      <c r="AE347" s="141"/>
      <c r="AF347" s="141"/>
    </row>
    <row r="348" spans="1:32" ht="20.25" hidden="1">
      <c r="A348" s="148" t="s">
        <v>1278</v>
      </c>
      <c r="B348" s="149" t="s">
        <v>511</v>
      </c>
      <c r="C348" s="148" t="s">
        <v>320</v>
      </c>
      <c r="D348" s="201">
        <v>0</v>
      </c>
      <c r="E348" s="219">
        <f t="shared" si="190"/>
        <v>0</v>
      </c>
      <c r="F348" s="118">
        <f ca="1" t="shared" si="191"/>
        <v>0</v>
      </c>
      <c r="G348" s="118">
        <f ca="1" t="shared" si="191"/>
        <v>0</v>
      </c>
      <c r="H348" s="118">
        <f ca="1" t="shared" si="191"/>
        <v>0</v>
      </c>
      <c r="I348" s="118">
        <f ca="1" t="shared" si="191"/>
        <v>0</v>
      </c>
      <c r="J348" s="118">
        <f ca="1" t="shared" si="191"/>
        <v>0</v>
      </c>
      <c r="K348" s="118">
        <f ca="1" t="shared" si="191"/>
        <v>0</v>
      </c>
      <c r="L348" s="118">
        <f ca="1" t="shared" si="191"/>
        <v>0</v>
      </c>
      <c r="M348" s="118">
        <f ca="1" t="shared" si="191"/>
        <v>0</v>
      </c>
      <c r="N348" s="118">
        <f ca="1" t="shared" si="191"/>
        <v>0</v>
      </c>
      <c r="O348" s="118">
        <f ca="1" t="shared" si="191"/>
        <v>0</v>
      </c>
      <c r="P348" s="118">
        <f ca="1" t="shared" si="192"/>
        <v>0</v>
      </c>
      <c r="Q348" s="118">
        <f ca="1" t="shared" si="192"/>
        <v>0</v>
      </c>
      <c r="R348" s="118">
        <f ca="1" t="shared" si="192"/>
        <v>0</v>
      </c>
      <c r="S348" s="118">
        <f ca="1" t="shared" si="192"/>
        <v>0</v>
      </c>
      <c r="T348" s="118">
        <f ca="1" t="shared" si="192"/>
        <v>0</v>
      </c>
      <c r="U348" s="118">
        <f ca="1" t="shared" si="192"/>
        <v>0</v>
      </c>
      <c r="V348" s="118">
        <f ca="1" t="shared" si="192"/>
        <v>0</v>
      </c>
      <c r="W348" s="118">
        <f t="shared" si="193"/>
        <v>0</v>
      </c>
      <c r="X348" s="150"/>
      <c r="Z348" s="140" t="str">
        <f>IF($C348="B","",VLOOKUP($C348,orig_alloc!$A$13:$B$227,2,FALSE))</f>
        <v>TOTAL KWH</v>
      </c>
      <c r="AA348" s="141"/>
      <c r="AE348" s="141"/>
      <c r="AF348" s="141"/>
    </row>
    <row r="349" spans="1:32" ht="20.25">
      <c r="A349" s="148" t="s">
        <v>1263</v>
      </c>
      <c r="B349" s="149" t="s">
        <v>748</v>
      </c>
      <c r="C349" s="148" t="s">
        <v>320</v>
      </c>
      <c r="D349" s="201">
        <v>5436451</v>
      </c>
      <c r="E349" s="219">
        <f t="shared" si="190"/>
        <v>2056756</v>
      </c>
      <c r="F349" s="118">
        <f ca="1" t="shared" si="191"/>
        <v>1408061</v>
      </c>
      <c r="G349" s="118">
        <f ca="1" t="shared" si="191"/>
        <v>1366</v>
      </c>
      <c r="H349" s="118">
        <f ca="1" t="shared" si="191"/>
        <v>8454</v>
      </c>
      <c r="I349" s="118">
        <f ca="1" t="shared" si="191"/>
        <v>19074</v>
      </c>
      <c r="J349" s="118">
        <f ca="1" t="shared" si="191"/>
        <v>547</v>
      </c>
      <c r="K349" s="118">
        <f ca="1" t="shared" si="191"/>
        <v>985721</v>
      </c>
      <c r="L349" s="118">
        <f ca="1" t="shared" si="191"/>
        <v>10954</v>
      </c>
      <c r="M349" s="118">
        <f ca="1" t="shared" si="191"/>
        <v>588004</v>
      </c>
      <c r="N349" s="118">
        <f ca="1" t="shared" si="191"/>
        <v>27056</v>
      </c>
      <c r="O349" s="118">
        <f ca="1" t="shared" si="191"/>
        <v>46278</v>
      </c>
      <c r="P349" s="118">
        <f ca="1" t="shared" si="192"/>
        <v>0</v>
      </c>
      <c r="Q349" s="118">
        <f ca="1" t="shared" si="192"/>
        <v>234860</v>
      </c>
      <c r="R349" s="118">
        <f ca="1" t="shared" si="192"/>
        <v>14990</v>
      </c>
      <c r="S349" s="118">
        <f ca="1" t="shared" si="192"/>
        <v>33892</v>
      </c>
      <c r="T349" s="118">
        <f ca="1" t="shared" si="192"/>
        <v>0</v>
      </c>
      <c r="U349" s="118">
        <f ca="1" t="shared" si="192"/>
        <v>438</v>
      </c>
      <c r="V349" s="118">
        <f ca="1" t="shared" si="192"/>
        <v>5436451</v>
      </c>
      <c r="W349" s="118">
        <f t="shared" si="193"/>
        <v>0</v>
      </c>
      <c r="X349" s="150"/>
      <c r="Z349" s="140" t="str">
        <f>IF($C349="B","",VLOOKUP($C349,orig_alloc!$A$13:$B$227,2,FALSE))</f>
        <v>TOTAL KWH</v>
      </c>
      <c r="AA349" s="141"/>
      <c r="AE349" s="141"/>
      <c r="AF349" s="141"/>
    </row>
    <row r="350" spans="1:32" ht="20.25">
      <c r="A350" s="148" t="s">
        <v>1283</v>
      </c>
      <c r="B350" s="149" t="s">
        <v>512</v>
      </c>
      <c r="C350" s="148" t="s">
        <v>320</v>
      </c>
      <c r="D350" s="271">
        <f>-2327094-472+10431923</f>
        <v>8104357</v>
      </c>
      <c r="E350" s="219">
        <f t="shared" si="190"/>
        <v>3066097</v>
      </c>
      <c r="F350" s="118">
        <f ca="1" t="shared" si="191"/>
        <v>2099059</v>
      </c>
      <c r="G350" s="118">
        <f ca="1" t="shared" si="191"/>
        <v>2037</v>
      </c>
      <c r="H350" s="118">
        <f ca="1" t="shared" si="191"/>
        <v>12603</v>
      </c>
      <c r="I350" s="118">
        <f ca="1" t="shared" si="191"/>
        <v>28434</v>
      </c>
      <c r="J350" s="118">
        <f ca="1" t="shared" si="191"/>
        <v>815</v>
      </c>
      <c r="K350" s="118">
        <f ca="1" t="shared" si="191"/>
        <v>1469458</v>
      </c>
      <c r="L350" s="118">
        <f ca="1" t="shared" si="191"/>
        <v>16330</v>
      </c>
      <c r="M350" s="118">
        <f ca="1" t="shared" si="191"/>
        <v>876563</v>
      </c>
      <c r="N350" s="118">
        <f ca="1" t="shared" si="191"/>
        <v>40333</v>
      </c>
      <c r="O350" s="118">
        <f ca="1" t="shared" si="191"/>
        <v>68989</v>
      </c>
      <c r="P350" s="118">
        <f ca="1" t="shared" si="192"/>
        <v>0</v>
      </c>
      <c r="Q350" s="118">
        <f ca="1" t="shared" si="192"/>
        <v>350116</v>
      </c>
      <c r="R350" s="118">
        <f ca="1" t="shared" si="192"/>
        <v>22346</v>
      </c>
      <c r="S350" s="118">
        <f ca="1" t="shared" si="192"/>
        <v>50524</v>
      </c>
      <c r="T350" s="118">
        <f ca="1" t="shared" si="192"/>
        <v>0</v>
      </c>
      <c r="U350" s="118">
        <f ca="1" t="shared" si="192"/>
        <v>653</v>
      </c>
      <c r="V350" s="118">
        <f ca="1" t="shared" si="192"/>
        <v>8104357</v>
      </c>
      <c r="W350" s="118">
        <f t="shared" si="193"/>
        <v>0</v>
      </c>
      <c r="X350" s="150"/>
      <c r="Z350" s="140" t="str">
        <f>IF($C350="B","",VLOOKUP($C350,orig_alloc!$A$13:$B$227,2,FALSE))</f>
        <v>TOTAL KWH</v>
      </c>
      <c r="AA350" s="141"/>
      <c r="AE350" s="141"/>
      <c r="AF350" s="141"/>
    </row>
    <row r="351" spans="1:32" ht="20.25">
      <c r="A351" s="148" t="s">
        <v>1266</v>
      </c>
      <c r="B351" s="149" t="s">
        <v>513</v>
      </c>
      <c r="C351" s="148" t="s">
        <v>320</v>
      </c>
      <c r="D351" s="201">
        <v>13120712</v>
      </c>
      <c r="E351" s="219">
        <f t="shared" si="190"/>
        <v>4963922</v>
      </c>
      <c r="F351" s="118">
        <f ca="1" t="shared" si="191"/>
        <v>3398313</v>
      </c>
      <c r="G351" s="118">
        <f ca="1" t="shared" si="191"/>
        <v>3298</v>
      </c>
      <c r="H351" s="118">
        <f ca="1" t="shared" si="191"/>
        <v>20403</v>
      </c>
      <c r="I351" s="118">
        <f ca="1" t="shared" si="191"/>
        <v>46034</v>
      </c>
      <c r="J351" s="118">
        <f ca="1" t="shared" si="191"/>
        <v>1319</v>
      </c>
      <c r="K351" s="118">
        <f ca="1" t="shared" si="191"/>
        <v>2379009</v>
      </c>
      <c r="L351" s="118">
        <f ca="1" t="shared" si="191"/>
        <v>26438</v>
      </c>
      <c r="M351" s="118">
        <f ca="1" t="shared" si="191"/>
        <v>1419130</v>
      </c>
      <c r="N351" s="118">
        <f ca="1" t="shared" si="191"/>
        <v>65298</v>
      </c>
      <c r="O351" s="118">
        <f ca="1" t="shared" si="191"/>
        <v>111690</v>
      </c>
      <c r="P351" s="118">
        <f ca="1" t="shared" si="192"/>
        <v>0</v>
      </c>
      <c r="Q351" s="118">
        <f ca="1" t="shared" si="192"/>
        <v>566827</v>
      </c>
      <c r="R351" s="118">
        <f ca="1" t="shared" si="192"/>
        <v>36177</v>
      </c>
      <c r="S351" s="118">
        <f ca="1" t="shared" si="192"/>
        <v>81797</v>
      </c>
      <c r="T351" s="118">
        <f ca="1" t="shared" si="192"/>
        <v>0</v>
      </c>
      <c r="U351" s="118">
        <f ca="1" t="shared" si="192"/>
        <v>1057</v>
      </c>
      <c r="V351" s="118">
        <f ca="1" t="shared" si="192"/>
        <v>13120712</v>
      </c>
      <c r="W351" s="118">
        <f t="shared" si="193"/>
        <v>0</v>
      </c>
      <c r="X351" s="150"/>
      <c r="Z351" s="140" t="str">
        <f>IF($C351="B","",VLOOKUP($C351,orig_alloc!$A$13:$B$227,2,FALSE))</f>
        <v>TOTAL KWH</v>
      </c>
      <c r="AA351" s="141"/>
      <c r="AE351" s="141"/>
      <c r="AF351" s="141"/>
    </row>
    <row r="352" spans="1:32" ht="20.25">
      <c r="A352" s="148" t="s">
        <v>1264</v>
      </c>
      <c r="B352" s="149" t="s">
        <v>1284</v>
      </c>
      <c r="C352" s="148" t="s">
        <v>320</v>
      </c>
      <c r="D352" s="201">
        <v>12047693</v>
      </c>
      <c r="E352" s="219">
        <f t="shared" si="190"/>
        <v>4557969</v>
      </c>
      <c r="F352" s="118">
        <f ca="1" t="shared" si="191"/>
        <v>3120397</v>
      </c>
      <c r="G352" s="118">
        <f ca="1" t="shared" si="191"/>
        <v>3028</v>
      </c>
      <c r="H352" s="118">
        <f ca="1" t="shared" si="191"/>
        <v>18735</v>
      </c>
      <c r="I352" s="118">
        <f ca="1" t="shared" si="191"/>
        <v>42269</v>
      </c>
      <c r="J352" s="118">
        <f ca="1" t="shared" si="191"/>
        <v>1211</v>
      </c>
      <c r="K352" s="118">
        <f ca="1" t="shared" si="191"/>
        <v>2184452</v>
      </c>
      <c r="L352" s="118">
        <f ca="1" t="shared" si="191"/>
        <v>24276</v>
      </c>
      <c r="M352" s="118">
        <f ca="1" t="shared" si="191"/>
        <v>1303073</v>
      </c>
      <c r="N352" s="118">
        <f ca="1" t="shared" si="191"/>
        <v>59958</v>
      </c>
      <c r="O352" s="118">
        <f ca="1" t="shared" si="191"/>
        <v>102556</v>
      </c>
      <c r="P352" s="118">
        <f ca="1" t="shared" si="192"/>
        <v>0</v>
      </c>
      <c r="Q352" s="118">
        <f ca="1" t="shared" si="192"/>
        <v>520472</v>
      </c>
      <c r="R352" s="118">
        <f ca="1" t="shared" si="192"/>
        <v>33219</v>
      </c>
      <c r="S352" s="118">
        <f ca="1" t="shared" si="192"/>
        <v>75108</v>
      </c>
      <c r="T352" s="118">
        <f ca="1" t="shared" si="192"/>
        <v>0</v>
      </c>
      <c r="U352" s="118">
        <f ca="1" t="shared" si="192"/>
        <v>970</v>
      </c>
      <c r="V352" s="118">
        <f ca="1" t="shared" si="192"/>
        <v>12047693</v>
      </c>
      <c r="W352" s="118">
        <f t="shared" si="193"/>
        <v>0</v>
      </c>
      <c r="X352" s="150"/>
      <c r="Z352" s="140" t="str">
        <f>IF($C352="B","",VLOOKUP($C352,orig_alloc!$A$13:$B$227,2,FALSE))</f>
        <v>TOTAL KWH</v>
      </c>
      <c r="AA352" s="141"/>
      <c r="AE352" s="141"/>
      <c r="AF352" s="141"/>
    </row>
    <row r="353" spans="1:32" ht="20.25">
      <c r="A353" s="240" t="s">
        <v>514</v>
      </c>
      <c r="B353" s="149" t="s">
        <v>248</v>
      </c>
      <c r="C353" s="132"/>
      <c r="D353" s="202">
        <f>SUM(D344:D352)</f>
        <v>124450883</v>
      </c>
      <c r="E353" s="202">
        <f aca="true" t="shared" si="194" ref="E353:W353">SUM(E345:E352)</f>
        <v>47410813</v>
      </c>
      <c r="F353" s="202">
        <f t="shared" si="194"/>
        <v>32457567</v>
      </c>
      <c r="G353" s="202">
        <f t="shared" si="194"/>
        <v>9729</v>
      </c>
      <c r="H353" s="202">
        <f t="shared" si="194"/>
        <v>194875</v>
      </c>
      <c r="I353" s="202">
        <f t="shared" si="194"/>
        <v>439674</v>
      </c>
      <c r="J353" s="202">
        <f t="shared" si="194"/>
        <v>12599</v>
      </c>
      <c r="K353" s="202">
        <f t="shared" si="194"/>
        <v>22722106</v>
      </c>
      <c r="L353" s="202">
        <f t="shared" si="194"/>
        <v>77998</v>
      </c>
      <c r="M353" s="202">
        <f t="shared" si="194"/>
        <v>13554224</v>
      </c>
      <c r="N353" s="202">
        <f t="shared" si="194"/>
        <v>192645</v>
      </c>
      <c r="O353" s="202">
        <f t="shared" si="194"/>
        <v>1066764</v>
      </c>
      <c r="P353" s="202">
        <f t="shared" si="194"/>
        <v>0</v>
      </c>
      <c r="Q353" s="202">
        <f t="shared" si="194"/>
        <v>5413813</v>
      </c>
      <c r="R353" s="202">
        <f t="shared" si="194"/>
        <v>106732</v>
      </c>
      <c r="S353" s="202">
        <f t="shared" si="194"/>
        <v>781252</v>
      </c>
      <c r="T353" s="202">
        <f t="shared" si="194"/>
        <v>0</v>
      </c>
      <c r="U353" s="202">
        <f t="shared" si="194"/>
        <v>10092</v>
      </c>
      <c r="V353" s="202">
        <f t="shared" si="194"/>
        <v>124450883</v>
      </c>
      <c r="W353" s="202">
        <f t="shared" si="194"/>
        <v>0</v>
      </c>
      <c r="X353" s="150"/>
      <c r="Z353" s="140">
        <f>IF($C353="B","",VLOOKUP($C353,orig_alloc!$A$13:$B$227,2,FALSE))</f>
      </c>
      <c r="AA353" s="141"/>
      <c r="AE353" s="141"/>
      <c r="AF353" s="141"/>
    </row>
    <row r="354" spans="1:32" ht="20.25">
      <c r="A354" s="132"/>
      <c r="B354" s="149"/>
      <c r="C354" s="132"/>
      <c r="D354" s="118"/>
      <c r="E354" s="118"/>
      <c r="F354" s="118"/>
      <c r="G354" s="118"/>
      <c r="H354" s="118"/>
      <c r="I354" s="118"/>
      <c r="J354" s="118"/>
      <c r="K354" s="133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50"/>
      <c r="Z354" s="140">
        <f>IF($C354="B","",VLOOKUP($C354,orig_alloc!$A$13:$B$227,2,FALSE))</f>
      </c>
      <c r="AA354" s="141"/>
      <c r="AE354" s="141"/>
      <c r="AF354" s="141"/>
    </row>
    <row r="355" spans="1:32" ht="20.25">
      <c r="A355" s="132" t="s">
        <v>515</v>
      </c>
      <c r="B355" s="149"/>
      <c r="C355" s="132"/>
      <c r="D355" s="118"/>
      <c r="E355" s="118"/>
      <c r="F355" s="118"/>
      <c r="G355" s="118"/>
      <c r="H355" s="118"/>
      <c r="I355" s="118"/>
      <c r="J355" s="118"/>
      <c r="K355" s="133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50"/>
      <c r="Z355" s="140">
        <f>IF($C355="B","",VLOOKUP($C355,orig_alloc!$A$13:$B$227,2,FALSE))</f>
      </c>
      <c r="AA355" s="141"/>
      <c r="AE355" s="141"/>
      <c r="AF355" s="141"/>
    </row>
    <row r="356" spans="1:32" ht="20.25" hidden="1">
      <c r="A356" s="148" t="s">
        <v>726</v>
      </c>
      <c r="B356" s="149" t="s">
        <v>872</v>
      </c>
      <c r="C356" s="148" t="s">
        <v>318</v>
      </c>
      <c r="D356" s="118">
        <v>0</v>
      </c>
      <c r="E356" s="219">
        <f>V356-SUM(F356:U356)</f>
        <v>0</v>
      </c>
      <c r="F356" s="118">
        <f aca="true" ca="1" t="shared" si="195" ref="F356:O359">ROUND($D356*VLOOKUP($C356,IF(LEFT($C356,1)="K",INDIRECT("TABLE"),INDIRECT("TABLE2")),F$9+1),0)</f>
        <v>0</v>
      </c>
      <c r="G356" s="118">
        <f ca="1" t="shared" si="195"/>
        <v>0</v>
      </c>
      <c r="H356" s="118">
        <f ca="1" t="shared" si="195"/>
        <v>0</v>
      </c>
      <c r="I356" s="118">
        <f ca="1" t="shared" si="195"/>
        <v>0</v>
      </c>
      <c r="J356" s="118">
        <f ca="1" t="shared" si="195"/>
        <v>0</v>
      </c>
      <c r="K356" s="118">
        <f ca="1" t="shared" si="195"/>
        <v>0</v>
      </c>
      <c r="L356" s="118">
        <f ca="1" t="shared" si="195"/>
        <v>0</v>
      </c>
      <c r="M356" s="118">
        <f ca="1" t="shared" si="195"/>
        <v>0</v>
      </c>
      <c r="N356" s="118">
        <f ca="1" t="shared" si="195"/>
        <v>0</v>
      </c>
      <c r="O356" s="118">
        <f ca="1" t="shared" si="195"/>
        <v>0</v>
      </c>
      <c r="P356" s="118">
        <f aca="true" ca="1" t="shared" si="196" ref="P356:V359">ROUND($D356*VLOOKUP($C356,IF(LEFT($C356,1)="K",INDIRECT("TABLE"),INDIRECT("TABLE2")),P$9+1),0)</f>
        <v>0</v>
      </c>
      <c r="Q356" s="118">
        <f ca="1" t="shared" si="196"/>
        <v>0</v>
      </c>
      <c r="R356" s="118">
        <f ca="1" t="shared" si="196"/>
        <v>0</v>
      </c>
      <c r="S356" s="118">
        <f ca="1" t="shared" si="196"/>
        <v>0</v>
      </c>
      <c r="T356" s="118">
        <f ca="1" t="shared" si="196"/>
        <v>0</v>
      </c>
      <c r="U356" s="118">
        <f ca="1" t="shared" si="196"/>
        <v>0</v>
      </c>
      <c r="V356" s="118">
        <f ca="1" t="shared" si="196"/>
        <v>0</v>
      </c>
      <c r="W356" s="118">
        <f>D356-V356</f>
        <v>0</v>
      </c>
      <c r="X356" s="150"/>
      <c r="Z356" s="140" t="str">
        <f>IF($C356="B","",VLOOKUP($C356,orig_alloc!$A$13:$B$227,2,FALSE))</f>
        <v>TOTAL KW (AVERAGE  &amp;  EXCESS)</v>
      </c>
      <c r="AA356" s="141"/>
      <c r="AE356" s="141"/>
      <c r="AF356" s="141"/>
    </row>
    <row r="357" spans="1:32" ht="20.25" hidden="1">
      <c r="A357" s="148" t="s">
        <v>1261</v>
      </c>
      <c r="B357" s="149" t="s">
        <v>873</v>
      </c>
      <c r="C357" s="148" t="s">
        <v>318</v>
      </c>
      <c r="D357" s="118">
        <v>0</v>
      </c>
      <c r="E357" s="219">
        <f>V357-SUM(F357:U357)</f>
        <v>0</v>
      </c>
      <c r="F357" s="118">
        <f ca="1" t="shared" si="195"/>
        <v>0</v>
      </c>
      <c r="G357" s="118">
        <f ca="1" t="shared" si="195"/>
        <v>0</v>
      </c>
      <c r="H357" s="118">
        <f ca="1" t="shared" si="195"/>
        <v>0</v>
      </c>
      <c r="I357" s="118">
        <f ca="1" t="shared" si="195"/>
        <v>0</v>
      </c>
      <c r="J357" s="118">
        <f ca="1" t="shared" si="195"/>
        <v>0</v>
      </c>
      <c r="K357" s="118">
        <f ca="1" t="shared" si="195"/>
        <v>0</v>
      </c>
      <c r="L357" s="118">
        <f ca="1" t="shared" si="195"/>
        <v>0</v>
      </c>
      <c r="M357" s="118">
        <f ca="1" t="shared" si="195"/>
        <v>0</v>
      </c>
      <c r="N357" s="118">
        <f ca="1" t="shared" si="195"/>
        <v>0</v>
      </c>
      <c r="O357" s="118">
        <f ca="1" t="shared" si="195"/>
        <v>0</v>
      </c>
      <c r="P357" s="118">
        <f ca="1" t="shared" si="196"/>
        <v>0</v>
      </c>
      <c r="Q357" s="118">
        <f ca="1" t="shared" si="196"/>
        <v>0</v>
      </c>
      <c r="R357" s="118">
        <f ca="1" t="shared" si="196"/>
        <v>0</v>
      </c>
      <c r="S357" s="118">
        <f ca="1" t="shared" si="196"/>
        <v>0</v>
      </c>
      <c r="T357" s="118">
        <f ca="1" t="shared" si="196"/>
        <v>0</v>
      </c>
      <c r="U357" s="118">
        <f ca="1" t="shared" si="196"/>
        <v>0</v>
      </c>
      <c r="V357" s="118">
        <f ca="1" t="shared" si="196"/>
        <v>0</v>
      </c>
      <c r="W357" s="118">
        <f>D357-V357</f>
        <v>0</v>
      </c>
      <c r="X357" s="150"/>
      <c r="Z357" s="140" t="str">
        <f>IF($C357="B","",VLOOKUP($C357,orig_alloc!$A$13:$B$227,2,FALSE))</f>
        <v>TOTAL KW (AVERAGE  &amp;  EXCESS)</v>
      </c>
      <c r="AA357" s="141"/>
      <c r="AE357" s="141"/>
      <c r="AF357" s="141"/>
    </row>
    <row r="358" spans="1:32" ht="20.25">
      <c r="A358" s="148" t="s">
        <v>1282</v>
      </c>
      <c r="B358" s="149" t="s">
        <v>874</v>
      </c>
      <c r="C358" s="148" t="s">
        <v>318</v>
      </c>
      <c r="D358" s="118" t="s">
        <v>1367</v>
      </c>
      <c r="E358" s="219">
        <f>V358-SUM(F358:U358)</f>
        <v>0</v>
      </c>
      <c r="F358" s="118">
        <f ca="1" t="shared" si="195"/>
        <v>0</v>
      </c>
      <c r="G358" s="118">
        <f ca="1" t="shared" si="195"/>
        <v>0</v>
      </c>
      <c r="H358" s="118">
        <f ca="1" t="shared" si="195"/>
        <v>0</v>
      </c>
      <c r="I358" s="118">
        <f ca="1" t="shared" si="195"/>
        <v>0</v>
      </c>
      <c r="J358" s="118">
        <f ca="1" t="shared" si="195"/>
        <v>0</v>
      </c>
      <c r="K358" s="118">
        <f ca="1" t="shared" si="195"/>
        <v>0</v>
      </c>
      <c r="L358" s="118">
        <f ca="1" t="shared" si="195"/>
        <v>0</v>
      </c>
      <c r="M358" s="118">
        <f ca="1" t="shared" si="195"/>
        <v>0</v>
      </c>
      <c r="N358" s="118">
        <f ca="1" t="shared" si="195"/>
        <v>0</v>
      </c>
      <c r="O358" s="118">
        <f ca="1" t="shared" si="195"/>
        <v>0</v>
      </c>
      <c r="P358" s="118">
        <f ca="1" t="shared" si="196"/>
        <v>0</v>
      </c>
      <c r="Q358" s="118">
        <f ca="1" t="shared" si="196"/>
        <v>0</v>
      </c>
      <c r="R358" s="118">
        <f ca="1" t="shared" si="196"/>
        <v>0</v>
      </c>
      <c r="S358" s="118">
        <f ca="1" t="shared" si="196"/>
        <v>0</v>
      </c>
      <c r="T358" s="118">
        <f ca="1" t="shared" si="196"/>
        <v>0</v>
      </c>
      <c r="U358" s="118">
        <f ca="1" t="shared" si="196"/>
        <v>0</v>
      </c>
      <c r="V358" s="118">
        <f ca="1" t="shared" si="196"/>
        <v>0</v>
      </c>
      <c r="W358" s="118">
        <f>D358-V358</f>
        <v>0</v>
      </c>
      <c r="X358" s="150"/>
      <c r="Z358" s="140" t="str">
        <f>IF($C358="B","",VLOOKUP($C358,orig_alloc!$A$13:$B$227,2,FALSE))</f>
        <v>TOTAL KW (AVERAGE  &amp;  EXCESS)</v>
      </c>
      <c r="AA358" s="141"/>
      <c r="AE358" s="141"/>
      <c r="AF358" s="141"/>
    </row>
    <row r="359" spans="1:32" ht="20.25">
      <c r="A359" s="148" t="s">
        <v>1265</v>
      </c>
      <c r="B359" s="149" t="s">
        <v>875</v>
      </c>
      <c r="C359" s="148" t="s">
        <v>318</v>
      </c>
      <c r="D359" s="201">
        <v>19373154</v>
      </c>
      <c r="E359" s="219">
        <f>V359-SUM(F359:U359)</f>
        <v>10017100</v>
      </c>
      <c r="F359" s="118">
        <f ca="1" t="shared" si="195"/>
        <v>4307098</v>
      </c>
      <c r="G359" s="118">
        <f ca="1" t="shared" si="195"/>
        <v>4231</v>
      </c>
      <c r="H359" s="118">
        <f ca="1" t="shared" si="195"/>
        <v>17325</v>
      </c>
      <c r="I359" s="118">
        <f ca="1" t="shared" si="195"/>
        <v>82369</v>
      </c>
      <c r="J359" s="118">
        <f ca="1" t="shared" si="195"/>
        <v>1937</v>
      </c>
      <c r="K359" s="118">
        <f ca="1" t="shared" si="195"/>
        <v>2378556</v>
      </c>
      <c r="L359" s="118">
        <f ca="1" t="shared" si="195"/>
        <v>34783</v>
      </c>
      <c r="M359" s="118">
        <f ca="1" t="shared" si="195"/>
        <v>1526404</v>
      </c>
      <c r="N359" s="118">
        <f ca="1" t="shared" si="195"/>
        <v>73284</v>
      </c>
      <c r="O359" s="118">
        <f ca="1" t="shared" si="195"/>
        <v>113500</v>
      </c>
      <c r="P359" s="118">
        <f ca="1" t="shared" si="196"/>
        <v>0</v>
      </c>
      <c r="Q359" s="118">
        <f ca="1" t="shared" si="196"/>
        <v>673985</v>
      </c>
      <c r="R359" s="118">
        <f ca="1" t="shared" si="196"/>
        <v>39080</v>
      </c>
      <c r="S359" s="118">
        <f ca="1" t="shared" si="196"/>
        <v>100340</v>
      </c>
      <c r="T359" s="118">
        <f ca="1" t="shared" si="196"/>
        <v>0</v>
      </c>
      <c r="U359" s="118">
        <f ca="1" t="shared" si="196"/>
        <v>3162</v>
      </c>
      <c r="V359" s="118">
        <f ca="1" t="shared" si="196"/>
        <v>19373154</v>
      </c>
      <c r="W359" s="118">
        <f>D359-V359</f>
        <v>0</v>
      </c>
      <c r="X359" s="150"/>
      <c r="Z359" s="140" t="str">
        <f>IF($C359="B","",VLOOKUP($C359,orig_alloc!$A$13:$B$227,2,FALSE))</f>
        <v>TOTAL KW (AVERAGE  &amp;  EXCESS)</v>
      </c>
      <c r="AA359" s="141"/>
      <c r="AE359" s="141"/>
      <c r="AF359" s="141"/>
    </row>
    <row r="360" spans="1:32" ht="20.25">
      <c r="A360" s="240" t="s">
        <v>516</v>
      </c>
      <c r="B360" s="149" t="s">
        <v>248</v>
      </c>
      <c r="C360" s="132"/>
      <c r="D360" s="202">
        <f aca="true" t="shared" si="197" ref="D360:W360">SUM(D355:D359)</f>
        <v>19373154</v>
      </c>
      <c r="E360" s="202">
        <f t="shared" si="197"/>
        <v>10017100</v>
      </c>
      <c r="F360" s="202">
        <f t="shared" si="197"/>
        <v>4307098</v>
      </c>
      <c r="G360" s="202">
        <f t="shared" si="197"/>
        <v>4231</v>
      </c>
      <c r="H360" s="202">
        <f t="shared" si="197"/>
        <v>17325</v>
      </c>
      <c r="I360" s="202">
        <f t="shared" si="197"/>
        <v>82369</v>
      </c>
      <c r="J360" s="202">
        <f t="shared" si="197"/>
        <v>1937</v>
      </c>
      <c r="K360" s="202">
        <f t="shared" si="197"/>
        <v>2378556</v>
      </c>
      <c r="L360" s="202">
        <f t="shared" si="197"/>
        <v>34783</v>
      </c>
      <c r="M360" s="202">
        <f t="shared" si="197"/>
        <v>1526404</v>
      </c>
      <c r="N360" s="202">
        <f t="shared" si="197"/>
        <v>73284</v>
      </c>
      <c r="O360" s="202">
        <f t="shared" si="197"/>
        <v>113500</v>
      </c>
      <c r="P360" s="202">
        <f t="shared" si="197"/>
        <v>0</v>
      </c>
      <c r="Q360" s="202">
        <f t="shared" si="197"/>
        <v>673985</v>
      </c>
      <c r="R360" s="202">
        <f t="shared" si="197"/>
        <v>39080</v>
      </c>
      <c r="S360" s="202">
        <f t="shared" si="197"/>
        <v>100340</v>
      </c>
      <c r="T360" s="202">
        <f t="shared" si="197"/>
        <v>0</v>
      </c>
      <c r="U360" s="202">
        <f t="shared" si="197"/>
        <v>3162</v>
      </c>
      <c r="V360" s="202">
        <f t="shared" si="197"/>
        <v>19373154</v>
      </c>
      <c r="W360" s="202">
        <f t="shared" si="197"/>
        <v>0</v>
      </c>
      <c r="X360" s="150"/>
      <c r="Z360" s="140">
        <f>IF($C360="B","",VLOOKUP($C360,orig_alloc!$A$13:$B$227,2,FALSE))</f>
      </c>
      <c r="AA360" s="141"/>
      <c r="AE360" s="141"/>
      <c r="AF360" s="141"/>
    </row>
    <row r="361" spans="1:32" ht="20.25">
      <c r="A361" s="132"/>
      <c r="B361" s="149"/>
      <c r="C361" s="132"/>
      <c r="D361" s="118"/>
      <c r="E361" s="118"/>
      <c r="F361" s="118"/>
      <c r="G361" s="118"/>
      <c r="H361" s="118"/>
      <c r="I361" s="118"/>
      <c r="J361" s="118"/>
      <c r="K361" s="133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50"/>
      <c r="Z361" s="140">
        <f>IF($C361="B","",VLOOKUP($C361,orig_alloc!$A$13:$B$227,2,FALSE))</f>
      </c>
      <c r="AA361" s="141"/>
      <c r="AE361" s="141"/>
      <c r="AF361" s="141"/>
    </row>
    <row r="362" spans="1:32" ht="20.25">
      <c r="A362" s="132" t="s">
        <v>517</v>
      </c>
      <c r="B362" s="149" t="s">
        <v>282</v>
      </c>
      <c r="C362" s="132"/>
      <c r="D362" s="118">
        <f aca="true" t="shared" si="198" ref="D362:W362">D360+D353</f>
        <v>143824037</v>
      </c>
      <c r="E362" s="118">
        <f t="shared" si="198"/>
        <v>57427913</v>
      </c>
      <c r="F362" s="118">
        <f t="shared" si="198"/>
        <v>36764665</v>
      </c>
      <c r="G362" s="118">
        <f t="shared" si="198"/>
        <v>13960</v>
      </c>
      <c r="H362" s="118">
        <f t="shared" si="198"/>
        <v>212200</v>
      </c>
      <c r="I362" s="118">
        <f t="shared" si="198"/>
        <v>522043</v>
      </c>
      <c r="J362" s="118">
        <f t="shared" si="198"/>
        <v>14536</v>
      </c>
      <c r="K362" s="118">
        <f t="shared" si="198"/>
        <v>25100662</v>
      </c>
      <c r="L362" s="118">
        <f t="shared" si="198"/>
        <v>112781</v>
      </c>
      <c r="M362" s="118">
        <f t="shared" si="198"/>
        <v>15080628</v>
      </c>
      <c r="N362" s="118">
        <f t="shared" si="198"/>
        <v>265929</v>
      </c>
      <c r="O362" s="118">
        <f t="shared" si="198"/>
        <v>1180264</v>
      </c>
      <c r="P362" s="118">
        <f t="shared" si="198"/>
        <v>0</v>
      </c>
      <c r="Q362" s="118">
        <f t="shared" si="198"/>
        <v>6087798</v>
      </c>
      <c r="R362" s="118">
        <f t="shared" si="198"/>
        <v>145812</v>
      </c>
      <c r="S362" s="118">
        <f t="shared" si="198"/>
        <v>881592</v>
      </c>
      <c r="T362" s="118">
        <f t="shared" si="198"/>
        <v>0</v>
      </c>
      <c r="U362" s="118">
        <f t="shared" si="198"/>
        <v>13254</v>
      </c>
      <c r="V362" s="118">
        <f t="shared" si="198"/>
        <v>143824037</v>
      </c>
      <c r="W362" s="118">
        <f t="shared" si="198"/>
        <v>0</v>
      </c>
      <c r="X362" s="150"/>
      <c r="Z362" s="140">
        <f>IF($C362="B","",VLOOKUP($C362,orig_alloc!$A$13:$B$227,2,FALSE))</f>
      </c>
      <c r="AA362" s="141"/>
      <c r="AE362" s="141"/>
      <c r="AF362" s="141"/>
    </row>
    <row r="363" spans="1:32" ht="20.25">
      <c r="A363" s="132"/>
      <c r="B363" s="149"/>
      <c r="C363" s="132"/>
      <c r="D363" s="118"/>
      <c r="E363" s="118"/>
      <c r="F363" s="118"/>
      <c r="G363" s="118"/>
      <c r="H363" s="118"/>
      <c r="I363" s="118"/>
      <c r="J363" s="118"/>
      <c r="K363" s="133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50"/>
      <c r="Z363" s="140">
        <f>IF($C363="B","",VLOOKUP($C363,orig_alloc!$A$13:$B$227,2,FALSE))</f>
      </c>
      <c r="AA363" s="141"/>
      <c r="AE363" s="141"/>
      <c r="AF363" s="141"/>
    </row>
    <row r="364" spans="1:32" ht="20.25">
      <c r="A364" s="132" t="s">
        <v>518</v>
      </c>
      <c r="B364" s="149"/>
      <c r="C364" s="132"/>
      <c r="D364" s="219"/>
      <c r="E364" s="118"/>
      <c r="F364" s="118"/>
      <c r="G364" s="118"/>
      <c r="H364" s="118"/>
      <c r="I364" s="118"/>
      <c r="J364" s="118"/>
      <c r="K364" s="133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50"/>
      <c r="Z364" s="140">
        <f>IF($C364="B","",VLOOKUP($C364,orig_alloc!$A$13:$B$227,2,FALSE))</f>
      </c>
      <c r="AA364" s="141"/>
      <c r="AE364" s="141"/>
      <c r="AF364" s="141"/>
    </row>
    <row r="365" spans="1:32" ht="20.25">
      <c r="A365" s="302" t="s">
        <v>1335</v>
      </c>
      <c r="B365" s="149"/>
      <c r="C365" s="148" t="s">
        <v>318</v>
      </c>
      <c r="D365" s="118">
        <v>1933776</v>
      </c>
      <c r="E365" s="219">
        <f>V365-SUM(F365:U365)</f>
        <v>999880</v>
      </c>
      <c r="F365" s="118">
        <f aca="true" ca="1" t="shared" si="199" ref="F365:O368">ROUND($D365*VLOOKUP($C365,IF(LEFT($C365,1)="K",INDIRECT("TABLE"),INDIRECT("TABLE2")),F$9+1),0)</f>
        <v>429923</v>
      </c>
      <c r="G365" s="118">
        <f ca="1" t="shared" si="199"/>
        <v>422</v>
      </c>
      <c r="H365" s="118">
        <f ca="1" t="shared" si="199"/>
        <v>1729</v>
      </c>
      <c r="I365" s="118">
        <f ca="1" t="shared" si="199"/>
        <v>8222</v>
      </c>
      <c r="J365" s="118">
        <f ca="1" t="shared" si="199"/>
        <v>193</v>
      </c>
      <c r="K365" s="118">
        <f ca="1" t="shared" si="199"/>
        <v>237421</v>
      </c>
      <c r="L365" s="118">
        <f ca="1" t="shared" si="199"/>
        <v>3472</v>
      </c>
      <c r="M365" s="118">
        <f ca="1" t="shared" si="199"/>
        <v>152362</v>
      </c>
      <c r="N365" s="118">
        <f ca="1" t="shared" si="199"/>
        <v>7315</v>
      </c>
      <c r="O365" s="118">
        <f ca="1" t="shared" si="199"/>
        <v>11329</v>
      </c>
      <c r="P365" s="118">
        <f aca="true" ca="1" t="shared" si="200" ref="P365:V368">ROUND($D365*VLOOKUP($C365,IF(LEFT($C365,1)="K",INDIRECT("TABLE"),INDIRECT("TABLE2")),P$9+1),0)</f>
        <v>0</v>
      </c>
      <c r="Q365" s="118">
        <f ca="1" t="shared" si="200"/>
        <v>67275</v>
      </c>
      <c r="R365" s="118">
        <f ca="1" t="shared" si="200"/>
        <v>3901</v>
      </c>
      <c r="S365" s="118">
        <f ca="1" t="shared" si="200"/>
        <v>10016</v>
      </c>
      <c r="T365" s="118">
        <f ca="1" t="shared" si="200"/>
        <v>0</v>
      </c>
      <c r="U365" s="118">
        <f ca="1" t="shared" si="200"/>
        <v>316</v>
      </c>
      <c r="V365" s="118">
        <f ca="1" t="shared" si="200"/>
        <v>1933776</v>
      </c>
      <c r="W365" s="118">
        <f>D365-V365</f>
        <v>0</v>
      </c>
      <c r="X365" s="150"/>
      <c r="Z365" s="140" t="str">
        <f>IF($C365="B","",VLOOKUP($C365,orig_alloc!$A$13:$B$227,2,FALSE))</f>
        <v>TOTAL KW (AVERAGE  &amp;  EXCESS)</v>
      </c>
      <c r="AA365" s="141"/>
      <c r="AE365" s="141"/>
      <c r="AF365" s="141"/>
    </row>
    <row r="366" spans="1:32" ht="20.25">
      <c r="A366" s="302" t="s">
        <v>342</v>
      </c>
      <c r="B366" s="149" t="s">
        <v>519</v>
      </c>
      <c r="C366" s="148" t="s">
        <v>318</v>
      </c>
      <c r="D366" s="118">
        <f>19750005-1933776</f>
        <v>17816229</v>
      </c>
      <c r="E366" s="219">
        <f>V366-SUM(F366:U366)</f>
        <v>9212074</v>
      </c>
      <c r="F366" s="118">
        <f ca="1" t="shared" si="199"/>
        <v>3960957</v>
      </c>
      <c r="G366" s="118">
        <f ca="1" t="shared" si="199"/>
        <v>3891</v>
      </c>
      <c r="H366" s="118">
        <f ca="1" t="shared" si="199"/>
        <v>15932</v>
      </c>
      <c r="I366" s="118">
        <f ca="1" t="shared" si="199"/>
        <v>75750</v>
      </c>
      <c r="J366" s="118">
        <f ca="1" t="shared" si="199"/>
        <v>1782</v>
      </c>
      <c r="K366" s="118">
        <f ca="1" t="shared" si="199"/>
        <v>2187403</v>
      </c>
      <c r="L366" s="118">
        <f ca="1" t="shared" si="199"/>
        <v>31987</v>
      </c>
      <c r="M366" s="118">
        <f ca="1" t="shared" si="199"/>
        <v>1403735</v>
      </c>
      <c r="N366" s="118">
        <f ca="1" t="shared" si="199"/>
        <v>67395</v>
      </c>
      <c r="O366" s="118">
        <f ca="1" t="shared" si="199"/>
        <v>104379</v>
      </c>
      <c r="P366" s="118">
        <f ca="1" t="shared" si="200"/>
        <v>0</v>
      </c>
      <c r="Q366" s="118">
        <f ca="1" t="shared" si="200"/>
        <v>619820</v>
      </c>
      <c r="R366" s="118">
        <f ca="1" t="shared" si="200"/>
        <v>35940</v>
      </c>
      <c r="S366" s="118">
        <f ca="1" t="shared" si="200"/>
        <v>92276</v>
      </c>
      <c r="T366" s="118">
        <f ca="1" t="shared" si="200"/>
        <v>0</v>
      </c>
      <c r="U366" s="118">
        <f ca="1" t="shared" si="200"/>
        <v>2908</v>
      </c>
      <c r="V366" s="118">
        <f ca="1" t="shared" si="200"/>
        <v>17816229</v>
      </c>
      <c r="W366" s="118">
        <f>D366-V366</f>
        <v>0</v>
      </c>
      <c r="X366" s="150"/>
      <c r="Z366" s="140" t="str">
        <f>IF($C366="B","",VLOOKUP($C366,orig_alloc!$A$13:$B$227,2,FALSE))</f>
        <v>TOTAL KW (AVERAGE  &amp;  EXCESS)</v>
      </c>
      <c r="AA366" s="141"/>
      <c r="AE366" s="141"/>
      <c r="AF366" s="141"/>
    </row>
    <row r="367" spans="1:32" ht="20.25">
      <c r="A367" s="302" t="s">
        <v>1269</v>
      </c>
      <c r="B367" s="149"/>
      <c r="C367" s="148" t="s">
        <v>318</v>
      </c>
      <c r="D367" s="118">
        <f>-4187956-202</f>
        <v>-4188158</v>
      </c>
      <c r="E367" s="219">
        <f>V367-SUM(F367:U367)</f>
        <v>-2165530</v>
      </c>
      <c r="F367" s="118">
        <f ca="1" t="shared" si="199"/>
        <v>-931124</v>
      </c>
      <c r="G367" s="118">
        <f ca="1" t="shared" si="199"/>
        <v>-915</v>
      </c>
      <c r="H367" s="118">
        <f ca="1" t="shared" si="199"/>
        <v>-3745</v>
      </c>
      <c r="I367" s="118">
        <f ca="1" t="shared" si="199"/>
        <v>-17807</v>
      </c>
      <c r="J367" s="118">
        <f ca="1" t="shared" si="199"/>
        <v>-419</v>
      </c>
      <c r="K367" s="118">
        <f ca="1" t="shared" si="199"/>
        <v>-514205</v>
      </c>
      <c r="L367" s="118">
        <f ca="1" t="shared" si="199"/>
        <v>-7519</v>
      </c>
      <c r="M367" s="118">
        <f ca="1" t="shared" si="199"/>
        <v>-329984</v>
      </c>
      <c r="N367" s="118">
        <f ca="1" t="shared" si="199"/>
        <v>-15843</v>
      </c>
      <c r="O367" s="118">
        <f ca="1" t="shared" si="199"/>
        <v>-24537</v>
      </c>
      <c r="P367" s="118">
        <f ca="1" t="shared" si="200"/>
        <v>0</v>
      </c>
      <c r="Q367" s="118">
        <f ca="1" t="shared" si="200"/>
        <v>-145705</v>
      </c>
      <c r="R367" s="118">
        <f ca="1" t="shared" si="200"/>
        <v>-8449</v>
      </c>
      <c r="S367" s="118">
        <f ca="1" t="shared" si="200"/>
        <v>-21692</v>
      </c>
      <c r="T367" s="118">
        <f ca="1" t="shared" si="200"/>
        <v>0</v>
      </c>
      <c r="U367" s="118">
        <f ca="1" t="shared" si="200"/>
        <v>-684</v>
      </c>
      <c r="V367" s="118">
        <f ca="1" t="shared" si="200"/>
        <v>-4188158</v>
      </c>
      <c r="W367" s="118">
        <f>D367-V367</f>
        <v>0</v>
      </c>
      <c r="X367" s="150"/>
      <c r="Z367" s="140" t="str">
        <f>IF($C367="B","",VLOOKUP($C367,orig_alloc!$A$13:$B$227,2,FALSE))</f>
        <v>TOTAL KW (AVERAGE  &amp;  EXCESS)</v>
      </c>
      <c r="AA367" s="141"/>
      <c r="AE367" s="141"/>
      <c r="AF367" s="141"/>
    </row>
    <row r="368" spans="1:32" ht="20.25">
      <c r="A368" s="302" t="s">
        <v>1323</v>
      </c>
      <c r="B368" s="149" t="s">
        <v>519</v>
      </c>
      <c r="C368" s="148" t="s">
        <v>318</v>
      </c>
      <c r="D368" s="118">
        <v>1377707</v>
      </c>
      <c r="E368" s="219">
        <f>V368-SUM(F368:U368)</f>
        <v>712357</v>
      </c>
      <c r="F368" s="118">
        <f ca="1" t="shared" si="199"/>
        <v>306296</v>
      </c>
      <c r="G368" s="118">
        <f ca="1" t="shared" si="199"/>
        <v>301</v>
      </c>
      <c r="H368" s="118">
        <f ca="1" t="shared" si="199"/>
        <v>1232</v>
      </c>
      <c r="I368" s="118">
        <f ca="1" t="shared" si="199"/>
        <v>5858</v>
      </c>
      <c r="J368" s="118">
        <f ca="1" t="shared" si="199"/>
        <v>138</v>
      </c>
      <c r="K368" s="118">
        <f ca="1" t="shared" si="199"/>
        <v>169149</v>
      </c>
      <c r="L368" s="118">
        <f ca="1" t="shared" si="199"/>
        <v>2474</v>
      </c>
      <c r="M368" s="118">
        <f ca="1" t="shared" si="199"/>
        <v>108549</v>
      </c>
      <c r="N368" s="118">
        <f ca="1" t="shared" si="199"/>
        <v>5212</v>
      </c>
      <c r="O368" s="118">
        <f ca="1" t="shared" si="199"/>
        <v>8071</v>
      </c>
      <c r="P368" s="118">
        <f ca="1" t="shared" si="200"/>
        <v>0</v>
      </c>
      <c r="Q368" s="118">
        <f ca="1" t="shared" si="200"/>
        <v>47930</v>
      </c>
      <c r="R368" s="118">
        <f ca="1" t="shared" si="200"/>
        <v>2779</v>
      </c>
      <c r="S368" s="118">
        <f ca="1" t="shared" si="200"/>
        <v>7136</v>
      </c>
      <c r="T368" s="118">
        <f ca="1" t="shared" si="200"/>
        <v>0</v>
      </c>
      <c r="U368" s="118">
        <f ca="1" t="shared" si="200"/>
        <v>225</v>
      </c>
      <c r="V368" s="118">
        <f ca="1" t="shared" si="200"/>
        <v>1377707</v>
      </c>
      <c r="W368" s="118">
        <f>D368-V368</f>
        <v>0</v>
      </c>
      <c r="X368" s="150"/>
      <c r="Z368" s="140" t="str">
        <f>IF($C368="B","",VLOOKUP($C368,orig_alloc!$A$13:$B$227,2,FALSE))</f>
        <v>TOTAL KW (AVERAGE  &amp;  EXCESS)</v>
      </c>
      <c r="AA368" s="141"/>
      <c r="AE368" s="141"/>
      <c r="AF368" s="141"/>
    </row>
    <row r="369" spans="1:32" ht="20.25">
      <c r="A369" s="240" t="s">
        <v>520</v>
      </c>
      <c r="B369" s="149" t="s">
        <v>250</v>
      </c>
      <c r="C369" s="148" t="s">
        <v>318</v>
      </c>
      <c r="D369" s="225">
        <f aca="true" t="shared" si="201" ref="D369:U369">SUM(D365:D368)</f>
        <v>16939554</v>
      </c>
      <c r="E369" s="202">
        <f t="shared" si="201"/>
        <v>8758781</v>
      </c>
      <c r="F369" s="202">
        <f t="shared" si="201"/>
        <v>3766052</v>
      </c>
      <c r="G369" s="202">
        <f t="shared" si="201"/>
        <v>3699</v>
      </c>
      <c r="H369" s="202">
        <f t="shared" si="201"/>
        <v>15148</v>
      </c>
      <c r="I369" s="202">
        <f t="shared" si="201"/>
        <v>72023</v>
      </c>
      <c r="J369" s="202">
        <f t="shared" si="201"/>
        <v>1694</v>
      </c>
      <c r="K369" s="202">
        <f t="shared" si="201"/>
        <v>2079768</v>
      </c>
      <c r="L369" s="202">
        <f t="shared" si="201"/>
        <v>30414</v>
      </c>
      <c r="M369" s="202">
        <f t="shared" si="201"/>
        <v>1334662</v>
      </c>
      <c r="N369" s="202">
        <f t="shared" si="201"/>
        <v>64079</v>
      </c>
      <c r="O369" s="202">
        <f t="shared" si="201"/>
        <v>99242</v>
      </c>
      <c r="P369" s="202">
        <f t="shared" si="201"/>
        <v>0</v>
      </c>
      <c r="Q369" s="202">
        <f t="shared" si="201"/>
        <v>589320</v>
      </c>
      <c r="R369" s="202">
        <f t="shared" si="201"/>
        <v>34171</v>
      </c>
      <c r="S369" s="202">
        <f t="shared" si="201"/>
        <v>87736</v>
      </c>
      <c r="T369" s="202">
        <f t="shared" si="201"/>
        <v>0</v>
      </c>
      <c r="U369" s="202">
        <f t="shared" si="201"/>
        <v>2765</v>
      </c>
      <c r="V369" s="202">
        <f>SUM(V364:V368)</f>
        <v>16939554</v>
      </c>
      <c r="W369" s="202">
        <f>SUM(W364:W368)</f>
        <v>0</v>
      </c>
      <c r="X369" s="150"/>
      <c r="Z369" s="140" t="str">
        <f>IF($C369="B","",VLOOKUP($C369,orig_alloc!$A$13:$B$227,2,FALSE))</f>
        <v>TOTAL KW (AVERAGE  &amp;  EXCESS)</v>
      </c>
      <c r="AA369" s="141"/>
      <c r="AE369" s="141"/>
      <c r="AF369" s="141"/>
    </row>
    <row r="370" spans="1:32" ht="20.25">
      <c r="A370" s="132"/>
      <c r="B370" s="149"/>
      <c r="C370" s="132"/>
      <c r="D370" s="118"/>
      <c r="E370" s="118"/>
      <c r="F370" s="118"/>
      <c r="G370" s="118"/>
      <c r="H370" s="118"/>
      <c r="I370" s="118"/>
      <c r="J370" s="118"/>
      <c r="K370" s="133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50"/>
      <c r="Z370" s="140">
        <f>IF($C370="B","",VLOOKUP($C370,orig_alloc!$A$13:$B$227,2,FALSE))</f>
      </c>
      <c r="AA370" s="141"/>
      <c r="AE370" s="141"/>
      <c r="AF370" s="141"/>
    </row>
    <row r="371" spans="1:32" ht="20.25">
      <c r="A371" s="132" t="s">
        <v>562</v>
      </c>
      <c r="B371" s="149"/>
      <c r="C371" s="132"/>
      <c r="D371" s="118"/>
      <c r="E371" s="118"/>
      <c r="F371" s="118"/>
      <c r="G371" s="118"/>
      <c r="H371" s="118"/>
      <c r="I371" s="118"/>
      <c r="J371" s="118"/>
      <c r="K371" s="133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50"/>
      <c r="Z371" s="140">
        <f>IF($C371="B","",VLOOKUP($C371,orig_alloc!$A$13:$B$227,2,FALSE))</f>
      </c>
      <c r="AA371" s="141"/>
      <c r="AE371" s="141"/>
      <c r="AF371" s="141"/>
    </row>
    <row r="372" spans="1:32" ht="20.25" hidden="1">
      <c r="A372" s="148" t="s">
        <v>832</v>
      </c>
      <c r="B372" s="149" t="s">
        <v>563</v>
      </c>
      <c r="C372" s="148" t="s">
        <v>769</v>
      </c>
      <c r="D372" s="201">
        <v>0</v>
      </c>
      <c r="E372" s="219">
        <f aca="true" t="shared" si="202" ref="E372:E382">V372-SUM(F372:U372)</f>
        <v>0</v>
      </c>
      <c r="F372" s="118">
        <f aca="true" ca="1" t="shared" si="203" ref="F372:O382">ROUND($D372*VLOOKUP($C372,IF(LEFT($C372,1)="K",INDIRECT("TABLE"),INDIRECT("TABLE2")),F$9+1),0)</f>
        <v>0</v>
      </c>
      <c r="G372" s="118">
        <f ca="1" t="shared" si="203"/>
        <v>0</v>
      </c>
      <c r="H372" s="118">
        <f ca="1" t="shared" si="203"/>
        <v>0</v>
      </c>
      <c r="I372" s="118">
        <f ca="1" t="shared" si="203"/>
        <v>0</v>
      </c>
      <c r="J372" s="118">
        <f ca="1" t="shared" si="203"/>
        <v>0</v>
      </c>
      <c r="K372" s="118">
        <f ca="1" t="shared" si="203"/>
        <v>0</v>
      </c>
      <c r="L372" s="118">
        <f ca="1" t="shared" si="203"/>
        <v>0</v>
      </c>
      <c r="M372" s="118">
        <f ca="1" t="shared" si="203"/>
        <v>0</v>
      </c>
      <c r="N372" s="118">
        <f ca="1" t="shared" si="203"/>
        <v>0</v>
      </c>
      <c r="O372" s="118">
        <f ca="1" t="shared" si="203"/>
        <v>0</v>
      </c>
      <c r="P372" s="118">
        <f aca="true" ca="1" t="shared" si="204" ref="P372:V382">ROUND($D372*VLOOKUP($C372,IF(LEFT($C372,1)="K",INDIRECT("TABLE"),INDIRECT("TABLE2")),P$9+1),0)</f>
        <v>0</v>
      </c>
      <c r="Q372" s="118">
        <f ca="1" t="shared" si="204"/>
        <v>0</v>
      </c>
      <c r="R372" s="118">
        <f ca="1" t="shared" si="204"/>
        <v>0</v>
      </c>
      <c r="S372" s="118">
        <f ca="1" t="shared" si="204"/>
        <v>0</v>
      </c>
      <c r="T372" s="118">
        <f ca="1" t="shared" si="204"/>
        <v>0</v>
      </c>
      <c r="U372" s="118">
        <f ca="1" t="shared" si="204"/>
        <v>0</v>
      </c>
      <c r="V372" s="118">
        <f ca="1" t="shared" si="204"/>
        <v>0</v>
      </c>
      <c r="W372" s="118">
        <f aca="true" t="shared" si="205" ref="W372:W382">D372-V372</f>
        <v>0</v>
      </c>
      <c r="X372" s="150"/>
      <c r="Z372" s="140" t="str">
        <f>IF($C372="B","",VLOOKUP($C372,orig_alloc!$A$13:$B$227,2,FALSE))</f>
        <v>WTD NET DIST SUBSTATIONS PLANT RATIOS</v>
      </c>
      <c r="AA372" s="141"/>
      <c r="AE372" s="141"/>
      <c r="AF372" s="141"/>
    </row>
    <row r="373" spans="1:32" ht="20.25">
      <c r="A373" s="148" t="s">
        <v>347</v>
      </c>
      <c r="B373" s="149" t="s">
        <v>563</v>
      </c>
      <c r="C373" s="148" t="s">
        <v>769</v>
      </c>
      <c r="D373" s="201">
        <f>53542+51171</f>
        <v>104713</v>
      </c>
      <c r="E373" s="219">
        <f t="shared" si="202"/>
        <v>47248</v>
      </c>
      <c r="F373" s="118">
        <f ca="1" t="shared" si="203"/>
        <v>28161</v>
      </c>
      <c r="G373" s="118">
        <f ca="1" t="shared" si="203"/>
        <v>27</v>
      </c>
      <c r="H373" s="118">
        <f ca="1" t="shared" si="203"/>
        <v>110</v>
      </c>
      <c r="I373" s="118">
        <f ca="1" t="shared" si="203"/>
        <v>372</v>
      </c>
      <c r="J373" s="118">
        <f ca="1" t="shared" si="203"/>
        <v>11</v>
      </c>
      <c r="K373" s="118">
        <f ca="1" t="shared" si="203"/>
        <v>16823</v>
      </c>
      <c r="L373" s="118">
        <f ca="1" t="shared" si="203"/>
        <v>186</v>
      </c>
      <c r="M373" s="118">
        <f ca="1" t="shared" si="203"/>
        <v>9561</v>
      </c>
      <c r="N373" s="118">
        <f ca="1" t="shared" si="203"/>
        <v>440</v>
      </c>
      <c r="O373" s="118">
        <f ca="1" t="shared" si="203"/>
        <v>826</v>
      </c>
      <c r="P373" s="118">
        <f ca="1" t="shared" si="204"/>
        <v>0</v>
      </c>
      <c r="Q373" s="118">
        <f ca="1" t="shared" si="204"/>
        <v>0</v>
      </c>
      <c r="R373" s="118">
        <f ca="1" t="shared" si="204"/>
        <v>0</v>
      </c>
      <c r="S373" s="118">
        <f ca="1" t="shared" si="204"/>
        <v>940</v>
      </c>
      <c r="T373" s="118">
        <f ca="1" t="shared" si="204"/>
        <v>0</v>
      </c>
      <c r="U373" s="118">
        <f ca="1" t="shared" si="204"/>
        <v>8</v>
      </c>
      <c r="V373" s="118">
        <f ca="1" t="shared" si="204"/>
        <v>104713</v>
      </c>
      <c r="W373" s="118">
        <f t="shared" si="205"/>
        <v>0</v>
      </c>
      <c r="X373" s="150"/>
      <c r="Z373" s="140" t="str">
        <f>IF($C373="B","",VLOOKUP($C373,orig_alloc!$A$13:$B$227,2,FALSE))</f>
        <v>WTD NET DIST SUBSTATIONS PLANT RATIOS</v>
      </c>
      <c r="AA373" s="141"/>
      <c r="AE373" s="141"/>
      <c r="AF373" s="141"/>
    </row>
    <row r="374" spans="1:32" ht="20.25">
      <c r="A374" s="148" t="s">
        <v>205</v>
      </c>
      <c r="B374" s="149" t="s">
        <v>564</v>
      </c>
      <c r="C374" s="148" t="s">
        <v>863</v>
      </c>
      <c r="D374" s="201">
        <f>508240+3929706+147609</f>
        <v>4585555</v>
      </c>
      <c r="E374" s="219">
        <f t="shared" si="202"/>
        <v>2103862</v>
      </c>
      <c r="F374" s="118">
        <f ca="1" t="shared" si="203"/>
        <v>1253977</v>
      </c>
      <c r="G374" s="118">
        <f ca="1" t="shared" si="203"/>
        <v>1188</v>
      </c>
      <c r="H374" s="118">
        <f ca="1" t="shared" si="203"/>
        <v>4898</v>
      </c>
      <c r="I374" s="118">
        <f ca="1" t="shared" si="203"/>
        <v>16552</v>
      </c>
      <c r="J374" s="118">
        <f ca="1" t="shared" si="203"/>
        <v>491</v>
      </c>
      <c r="K374" s="118">
        <f ca="1" t="shared" si="203"/>
        <v>749109</v>
      </c>
      <c r="L374" s="118">
        <f ca="1" t="shared" si="203"/>
        <v>8283</v>
      </c>
      <c r="M374" s="118">
        <f ca="1" t="shared" si="203"/>
        <v>357615</v>
      </c>
      <c r="N374" s="118">
        <f ca="1" t="shared" si="203"/>
        <v>16465</v>
      </c>
      <c r="O374" s="118">
        <f ca="1" t="shared" si="203"/>
        <v>30900</v>
      </c>
      <c r="P374" s="118">
        <f ca="1" t="shared" si="204"/>
        <v>0</v>
      </c>
      <c r="Q374" s="118">
        <f ca="1" t="shared" si="204"/>
        <v>0</v>
      </c>
      <c r="R374" s="118">
        <f ca="1" t="shared" si="204"/>
        <v>0</v>
      </c>
      <c r="S374" s="118">
        <f ca="1" t="shared" si="204"/>
        <v>41837</v>
      </c>
      <c r="T374" s="118">
        <f ca="1" t="shared" si="204"/>
        <v>0</v>
      </c>
      <c r="U374" s="118">
        <f ca="1" t="shared" si="204"/>
        <v>378</v>
      </c>
      <c r="V374" s="118">
        <f ca="1" t="shared" si="204"/>
        <v>4585555</v>
      </c>
      <c r="W374" s="118">
        <f t="shared" si="205"/>
        <v>0</v>
      </c>
      <c r="X374" s="150"/>
      <c r="Z374" s="140" t="str">
        <f>IF($C374="B","",VLOOKUP($C374,orig_alloc!$A$13:$B$227,2,FALSE))</f>
        <v>WTD NET DIST LINES  - PRI/SEC RATIOS</v>
      </c>
      <c r="AA374" s="141"/>
      <c r="AE374" s="141"/>
      <c r="AF374" s="141"/>
    </row>
    <row r="375" spans="1:32" ht="20.25">
      <c r="A375" s="148" t="s">
        <v>351</v>
      </c>
      <c r="B375" s="149" t="s">
        <v>565</v>
      </c>
      <c r="C375" s="148" t="s">
        <v>864</v>
      </c>
      <c r="D375" s="201">
        <v>192300</v>
      </c>
      <c r="E375" s="219">
        <f t="shared" si="202"/>
        <v>88228</v>
      </c>
      <c r="F375" s="118">
        <f ca="1" t="shared" si="203"/>
        <v>52587</v>
      </c>
      <c r="G375" s="118">
        <f ca="1" t="shared" si="203"/>
        <v>50</v>
      </c>
      <c r="H375" s="118">
        <f ca="1" t="shared" si="203"/>
        <v>205</v>
      </c>
      <c r="I375" s="118">
        <f ca="1" t="shared" si="203"/>
        <v>694</v>
      </c>
      <c r="J375" s="118">
        <f ca="1" t="shared" si="203"/>
        <v>21</v>
      </c>
      <c r="K375" s="118">
        <f ca="1" t="shared" si="203"/>
        <v>31415</v>
      </c>
      <c r="L375" s="118">
        <f ca="1" t="shared" si="203"/>
        <v>347</v>
      </c>
      <c r="M375" s="118">
        <f ca="1" t="shared" si="203"/>
        <v>14997</v>
      </c>
      <c r="N375" s="118">
        <f ca="1" t="shared" si="203"/>
        <v>690</v>
      </c>
      <c r="O375" s="118">
        <f ca="1" t="shared" si="203"/>
        <v>1296</v>
      </c>
      <c r="P375" s="118">
        <f ca="1" t="shared" si="204"/>
        <v>0</v>
      </c>
      <c r="Q375" s="118">
        <f ca="1" t="shared" si="204"/>
        <v>0</v>
      </c>
      <c r="R375" s="118">
        <f ca="1" t="shared" si="204"/>
        <v>0</v>
      </c>
      <c r="S375" s="118">
        <f ca="1" t="shared" si="204"/>
        <v>1754</v>
      </c>
      <c r="T375" s="118">
        <f ca="1" t="shared" si="204"/>
        <v>0</v>
      </c>
      <c r="U375" s="118">
        <f ca="1" t="shared" si="204"/>
        <v>16</v>
      </c>
      <c r="V375" s="118">
        <f ca="1" t="shared" si="204"/>
        <v>192300</v>
      </c>
      <c r="W375" s="118">
        <f t="shared" si="205"/>
        <v>0</v>
      </c>
      <c r="X375" s="150"/>
      <c r="Z375" s="140" t="str">
        <f>IF($C375="B","",VLOOKUP($C375,orig_alloc!$A$13:$B$227,2,FALSE))</f>
        <v>WTD NET DIST LINES - PRI/SEC RATIOS</v>
      </c>
      <c r="AA375" s="141"/>
      <c r="AE375" s="141"/>
      <c r="AF375" s="141"/>
    </row>
    <row r="376" spans="1:32" ht="20.25">
      <c r="A376" s="148" t="s">
        <v>353</v>
      </c>
      <c r="B376" s="149" t="s">
        <v>566</v>
      </c>
      <c r="C376" s="148" t="s">
        <v>770</v>
      </c>
      <c r="D376" s="201">
        <v>79636</v>
      </c>
      <c r="E376" s="219">
        <f t="shared" si="202"/>
        <v>52641</v>
      </c>
      <c r="F376" s="118">
        <f ca="1" t="shared" si="203"/>
        <v>17915</v>
      </c>
      <c r="G376" s="118">
        <f ca="1" t="shared" si="203"/>
        <v>18</v>
      </c>
      <c r="H376" s="118">
        <f ca="1" t="shared" si="203"/>
        <v>47</v>
      </c>
      <c r="I376" s="118">
        <f ca="1" t="shared" si="203"/>
        <v>413</v>
      </c>
      <c r="J376" s="118">
        <f ca="1" t="shared" si="203"/>
        <v>9</v>
      </c>
      <c r="K376" s="118">
        <f ca="1" t="shared" si="203"/>
        <v>8018</v>
      </c>
      <c r="L376" s="118">
        <f ca="1" t="shared" si="203"/>
        <v>148</v>
      </c>
      <c r="M376" s="118">
        <f ca="1" t="shared" si="203"/>
        <v>0</v>
      </c>
      <c r="N376" s="118">
        <f ca="1" t="shared" si="203"/>
        <v>0</v>
      </c>
      <c r="O376" s="118">
        <f ca="1" t="shared" si="203"/>
        <v>0</v>
      </c>
      <c r="P376" s="118">
        <f ca="1" t="shared" si="204"/>
        <v>0</v>
      </c>
      <c r="Q376" s="118">
        <f ca="1" t="shared" si="204"/>
        <v>0</v>
      </c>
      <c r="R376" s="118">
        <f ca="1" t="shared" si="204"/>
        <v>0</v>
      </c>
      <c r="S376" s="118">
        <f ca="1" t="shared" si="204"/>
        <v>408</v>
      </c>
      <c r="T376" s="118">
        <f ca="1" t="shared" si="204"/>
        <v>0</v>
      </c>
      <c r="U376" s="118">
        <f ca="1" t="shared" si="204"/>
        <v>19</v>
      </c>
      <c r="V376" s="118">
        <f ca="1" t="shared" si="204"/>
        <v>79636</v>
      </c>
      <c r="W376" s="118">
        <f t="shared" si="205"/>
        <v>0</v>
      </c>
      <c r="X376" s="150"/>
      <c r="Z376" s="140" t="str">
        <f>IF($C376="B","",VLOOKUP($C376,orig_alloc!$A$13:$B$227,2,FALSE))</f>
        <v>WTD NET DIST TRANSFORMERS PLT RATIOS</v>
      </c>
      <c r="AA376" s="141"/>
      <c r="AE376" s="141"/>
      <c r="AF376" s="141"/>
    </row>
    <row r="377" spans="1:32" ht="20.25">
      <c r="A377" s="148" t="s">
        <v>1231</v>
      </c>
      <c r="B377" s="149" t="s">
        <v>567</v>
      </c>
      <c r="C377" s="148" t="s">
        <v>322</v>
      </c>
      <c r="D377" s="201">
        <f>315690+24516</f>
        <v>340206</v>
      </c>
      <c r="E377" s="219">
        <f t="shared" si="202"/>
        <v>134907</v>
      </c>
      <c r="F377" s="118">
        <f ca="1" t="shared" si="203"/>
        <v>92359</v>
      </c>
      <c r="G377" s="118">
        <f ca="1" t="shared" si="203"/>
        <v>90</v>
      </c>
      <c r="H377" s="118">
        <f ca="1" t="shared" si="203"/>
        <v>555</v>
      </c>
      <c r="I377" s="118">
        <f ca="1" t="shared" si="203"/>
        <v>1251</v>
      </c>
      <c r="J377" s="118">
        <f ca="1" t="shared" si="203"/>
        <v>36</v>
      </c>
      <c r="K377" s="118">
        <f ca="1" t="shared" si="203"/>
        <v>64657</v>
      </c>
      <c r="L377" s="118">
        <f ca="1" t="shared" si="203"/>
        <v>719</v>
      </c>
      <c r="M377" s="118">
        <f ca="1" t="shared" si="203"/>
        <v>38569</v>
      </c>
      <c r="N377" s="118">
        <f ca="1" t="shared" si="203"/>
        <v>1775</v>
      </c>
      <c r="O377" s="118">
        <f ca="1" t="shared" si="203"/>
        <v>3036</v>
      </c>
      <c r="P377" s="118">
        <f ca="1" t="shared" si="204"/>
        <v>0</v>
      </c>
      <c r="Q377" s="118">
        <f ca="1" t="shared" si="204"/>
        <v>0</v>
      </c>
      <c r="R377" s="118">
        <f ca="1" t="shared" si="204"/>
        <v>0</v>
      </c>
      <c r="S377" s="118">
        <f ca="1" t="shared" si="204"/>
        <v>2223</v>
      </c>
      <c r="T377" s="118">
        <f ca="1" t="shared" si="204"/>
        <v>0</v>
      </c>
      <c r="U377" s="118">
        <f ca="1" t="shared" si="204"/>
        <v>29</v>
      </c>
      <c r="V377" s="118">
        <f ca="1" t="shared" si="204"/>
        <v>340206</v>
      </c>
      <c r="W377" s="118">
        <f t="shared" si="205"/>
        <v>0</v>
      </c>
      <c r="X377" s="150"/>
      <c r="Z377" s="140" t="str">
        <f>IF($C377="B","",VLOOKUP($C377,orig_alloc!$A$13:$B$227,2,FALSE))</f>
        <v>DISTRIBUTION KWH</v>
      </c>
      <c r="AA377" s="141"/>
      <c r="AE377" s="141"/>
      <c r="AF377" s="141"/>
    </row>
    <row r="378" spans="1:32" ht="20.25">
      <c r="A378" s="148" t="s">
        <v>357</v>
      </c>
      <c r="B378" s="149" t="s">
        <v>568</v>
      </c>
      <c r="C378" s="148" t="s">
        <v>772</v>
      </c>
      <c r="D378" s="201">
        <f>270352+165418</f>
        <v>435770</v>
      </c>
      <c r="E378" s="219">
        <f t="shared" si="202"/>
        <v>376621</v>
      </c>
      <c r="F378" s="118">
        <f ca="1" t="shared" si="203"/>
        <v>51578</v>
      </c>
      <c r="G378" s="118">
        <f ca="1" t="shared" si="203"/>
        <v>0</v>
      </c>
      <c r="H378" s="118">
        <f ca="1" t="shared" si="203"/>
        <v>0</v>
      </c>
      <c r="I378" s="118">
        <f ca="1" t="shared" si="203"/>
        <v>1521</v>
      </c>
      <c r="J378" s="118">
        <f ca="1" t="shared" si="203"/>
        <v>127</v>
      </c>
      <c r="K378" s="118">
        <f ca="1" t="shared" si="203"/>
        <v>3947</v>
      </c>
      <c r="L378" s="118">
        <f ca="1" t="shared" si="203"/>
        <v>0</v>
      </c>
      <c r="M378" s="118">
        <f ca="1" t="shared" si="203"/>
        <v>1334</v>
      </c>
      <c r="N378" s="118">
        <f ca="1" t="shared" si="203"/>
        <v>0</v>
      </c>
      <c r="O378" s="118">
        <f ca="1" t="shared" si="203"/>
        <v>151</v>
      </c>
      <c r="P378" s="118">
        <f ca="1" t="shared" si="204"/>
        <v>0</v>
      </c>
      <c r="Q378" s="118">
        <f ca="1" t="shared" si="204"/>
        <v>464</v>
      </c>
      <c r="R378" s="118">
        <f ca="1" t="shared" si="204"/>
        <v>0</v>
      </c>
      <c r="S378" s="118">
        <f ca="1" t="shared" si="204"/>
        <v>27</v>
      </c>
      <c r="T378" s="118">
        <f ca="1" t="shared" si="204"/>
        <v>0</v>
      </c>
      <c r="U378" s="118">
        <f ca="1" t="shared" si="204"/>
        <v>0</v>
      </c>
      <c r="V378" s="118">
        <f ca="1" t="shared" si="204"/>
        <v>435770</v>
      </c>
      <c r="W378" s="118">
        <f t="shared" si="205"/>
        <v>0</v>
      </c>
      <c r="X378" s="150"/>
      <c r="Z378" s="140" t="str">
        <f>IF($C378="B","",VLOOKUP($C378,orig_alloc!$A$13:$B$227,2,FALSE))</f>
        <v>WTD NET METERS PLANT RATIOS</v>
      </c>
      <c r="AA378" s="141"/>
      <c r="AE378" s="141"/>
      <c r="AF378" s="141"/>
    </row>
    <row r="379" spans="1:32" ht="20.25">
      <c r="A379" s="148" t="s">
        <v>361</v>
      </c>
      <c r="B379" s="149" t="s">
        <v>569</v>
      </c>
      <c r="C379" s="148" t="s">
        <v>773</v>
      </c>
      <c r="D379" s="201">
        <v>0</v>
      </c>
      <c r="E379" s="219">
        <f t="shared" si="202"/>
        <v>0</v>
      </c>
      <c r="F379" s="118">
        <f ca="1" t="shared" si="203"/>
        <v>0</v>
      </c>
      <c r="G379" s="118">
        <f ca="1" t="shared" si="203"/>
        <v>0</v>
      </c>
      <c r="H379" s="118">
        <f ca="1" t="shared" si="203"/>
        <v>0</v>
      </c>
      <c r="I379" s="118">
        <f ca="1" t="shared" si="203"/>
        <v>0</v>
      </c>
      <c r="J379" s="118">
        <f ca="1" t="shared" si="203"/>
        <v>0</v>
      </c>
      <c r="K379" s="118">
        <f ca="1" t="shared" si="203"/>
        <v>0</v>
      </c>
      <c r="L379" s="118">
        <f ca="1" t="shared" si="203"/>
        <v>0</v>
      </c>
      <c r="M379" s="118">
        <f ca="1" t="shared" si="203"/>
        <v>0</v>
      </c>
      <c r="N379" s="118">
        <f ca="1" t="shared" si="203"/>
        <v>0</v>
      </c>
      <c r="O379" s="118">
        <f ca="1" t="shared" si="203"/>
        <v>0</v>
      </c>
      <c r="P379" s="118">
        <f ca="1" t="shared" si="204"/>
        <v>0</v>
      </c>
      <c r="Q379" s="118">
        <f ca="1" t="shared" si="204"/>
        <v>0</v>
      </c>
      <c r="R379" s="118">
        <f ca="1" t="shared" si="204"/>
        <v>0</v>
      </c>
      <c r="S379" s="118">
        <f ca="1" t="shared" si="204"/>
        <v>0</v>
      </c>
      <c r="T379" s="118">
        <f ca="1" t="shared" si="204"/>
        <v>0</v>
      </c>
      <c r="U379" s="118">
        <f ca="1" t="shared" si="204"/>
        <v>0</v>
      </c>
      <c r="V379" s="118">
        <f ca="1" t="shared" si="204"/>
        <v>0</v>
      </c>
      <c r="W379" s="118">
        <f t="shared" si="205"/>
        <v>0</v>
      </c>
      <c r="X379" s="150"/>
      <c r="Z379" s="140" t="str">
        <f>IF($C379="B","",VLOOKUP($C379,orig_alloc!$A$13:$B$227,2,FALSE))</f>
        <v>WTD NET STREET LIGHT PLANT RATIOS</v>
      </c>
      <c r="AA379" s="141"/>
      <c r="AE379" s="141"/>
      <c r="AF379" s="141"/>
    </row>
    <row r="380" spans="1:32" ht="20.25">
      <c r="A380" s="148" t="s">
        <v>1230</v>
      </c>
      <c r="B380" s="149" t="s">
        <v>750</v>
      </c>
      <c r="C380" s="148" t="s">
        <v>318</v>
      </c>
      <c r="D380" s="201">
        <f>429530+235900+289614</f>
        <v>955044</v>
      </c>
      <c r="E380" s="219">
        <f t="shared" si="202"/>
        <v>493814</v>
      </c>
      <c r="F380" s="118">
        <f ca="1" t="shared" si="203"/>
        <v>212328</v>
      </c>
      <c r="G380" s="118">
        <f ca="1" t="shared" si="203"/>
        <v>209</v>
      </c>
      <c r="H380" s="118">
        <f ca="1" t="shared" si="203"/>
        <v>854</v>
      </c>
      <c r="I380" s="118">
        <f ca="1" t="shared" si="203"/>
        <v>4061</v>
      </c>
      <c r="J380" s="118">
        <f ca="1" t="shared" si="203"/>
        <v>96</v>
      </c>
      <c r="K380" s="118">
        <f ca="1" t="shared" si="203"/>
        <v>117256</v>
      </c>
      <c r="L380" s="118">
        <f ca="1" t="shared" si="203"/>
        <v>1715</v>
      </c>
      <c r="M380" s="118">
        <f ca="1" t="shared" si="203"/>
        <v>75248</v>
      </c>
      <c r="N380" s="118">
        <f ca="1" t="shared" si="203"/>
        <v>3613</v>
      </c>
      <c r="O380" s="118">
        <f ca="1" t="shared" si="203"/>
        <v>5595</v>
      </c>
      <c r="P380" s="118">
        <f ca="1" t="shared" si="204"/>
        <v>0</v>
      </c>
      <c r="Q380" s="118">
        <f ca="1" t="shared" si="204"/>
        <v>33226</v>
      </c>
      <c r="R380" s="118">
        <f ca="1" t="shared" si="204"/>
        <v>1927</v>
      </c>
      <c r="S380" s="118">
        <f ca="1" t="shared" si="204"/>
        <v>4946</v>
      </c>
      <c r="T380" s="118">
        <f ca="1" t="shared" si="204"/>
        <v>0</v>
      </c>
      <c r="U380" s="118">
        <f ca="1" t="shared" si="204"/>
        <v>156</v>
      </c>
      <c r="V380" s="118">
        <f ca="1" t="shared" si="204"/>
        <v>955044</v>
      </c>
      <c r="W380" s="118">
        <f t="shared" si="205"/>
        <v>0</v>
      </c>
      <c r="X380" s="150"/>
      <c r="Z380" s="140" t="str">
        <f>IF($C380="B","",VLOOKUP($C380,orig_alloc!$A$13:$B$227,2,FALSE))</f>
        <v>TOTAL KW (AVERAGE  &amp;  EXCESS)</v>
      </c>
      <c r="AA380" s="141"/>
      <c r="AE380" s="141"/>
      <c r="AF380" s="141"/>
    </row>
    <row r="381" spans="1:32" ht="20.25">
      <c r="A381" s="148" t="s">
        <v>647</v>
      </c>
      <c r="B381" s="149" t="s">
        <v>1229</v>
      </c>
      <c r="C381" s="148" t="s">
        <v>318</v>
      </c>
      <c r="D381" s="201">
        <v>-1624</v>
      </c>
      <c r="E381" s="219">
        <f t="shared" si="202"/>
        <v>-842</v>
      </c>
      <c r="F381" s="118">
        <f ca="1" t="shared" si="203"/>
        <v>-361</v>
      </c>
      <c r="G381" s="118">
        <f ca="1" t="shared" si="203"/>
        <v>0</v>
      </c>
      <c r="H381" s="118">
        <f ca="1" t="shared" si="203"/>
        <v>-1</v>
      </c>
      <c r="I381" s="118">
        <f ca="1" t="shared" si="203"/>
        <v>-7</v>
      </c>
      <c r="J381" s="118">
        <f ca="1" t="shared" si="203"/>
        <v>0</v>
      </c>
      <c r="K381" s="118">
        <f ca="1" t="shared" si="203"/>
        <v>-199</v>
      </c>
      <c r="L381" s="118">
        <f ca="1" t="shared" si="203"/>
        <v>-3</v>
      </c>
      <c r="M381" s="118">
        <f ca="1" t="shared" si="203"/>
        <v>-128</v>
      </c>
      <c r="N381" s="118">
        <f ca="1" t="shared" si="203"/>
        <v>-6</v>
      </c>
      <c r="O381" s="118">
        <f ca="1" t="shared" si="203"/>
        <v>-10</v>
      </c>
      <c r="P381" s="118">
        <f ca="1" t="shared" si="204"/>
        <v>0</v>
      </c>
      <c r="Q381" s="118">
        <f ca="1" t="shared" si="204"/>
        <v>-56</v>
      </c>
      <c r="R381" s="118">
        <f ca="1" t="shared" si="204"/>
        <v>-3</v>
      </c>
      <c r="S381" s="118">
        <f ca="1" t="shared" si="204"/>
        <v>-8</v>
      </c>
      <c r="T381" s="118">
        <f ca="1" t="shared" si="204"/>
        <v>0</v>
      </c>
      <c r="U381" s="118">
        <f ca="1" t="shared" si="204"/>
        <v>0</v>
      </c>
      <c r="V381" s="118">
        <f ca="1" t="shared" si="204"/>
        <v>-1624</v>
      </c>
      <c r="W381" s="118">
        <f t="shared" si="205"/>
        <v>0</v>
      </c>
      <c r="X381" s="150"/>
      <c r="Z381" s="140" t="str">
        <f>IF($C381="B","",VLOOKUP($C381,orig_alloc!$A$13:$B$227,2,FALSE))</f>
        <v>TOTAL KW (AVERAGE  &amp;  EXCESS)</v>
      </c>
      <c r="AA381" s="141"/>
      <c r="AE381" s="141"/>
      <c r="AF381" s="141"/>
    </row>
    <row r="382" spans="1:32" ht="20.25">
      <c r="A382" s="148" t="s">
        <v>1280</v>
      </c>
      <c r="B382" s="149" t="s">
        <v>1232</v>
      </c>
      <c r="C382" s="148" t="s">
        <v>331</v>
      </c>
      <c r="D382" s="201">
        <v>38724</v>
      </c>
      <c r="E382" s="219">
        <f t="shared" si="202"/>
        <v>20073</v>
      </c>
      <c r="F382" s="118">
        <f ca="1" t="shared" si="203"/>
        <v>9565</v>
      </c>
      <c r="G382" s="118">
        <f ca="1" t="shared" si="203"/>
        <v>9</v>
      </c>
      <c r="H382" s="118">
        <f ca="1" t="shared" si="203"/>
        <v>35</v>
      </c>
      <c r="I382" s="118">
        <f ca="1" t="shared" si="203"/>
        <v>145</v>
      </c>
      <c r="J382" s="118">
        <f ca="1" t="shared" si="203"/>
        <v>5</v>
      </c>
      <c r="K382" s="118">
        <f ca="1" t="shared" si="203"/>
        <v>5326</v>
      </c>
      <c r="L382" s="118">
        <f ca="1" t="shared" si="203"/>
        <v>63</v>
      </c>
      <c r="M382" s="118">
        <f ca="1" t="shared" si="203"/>
        <v>2360</v>
      </c>
      <c r="N382" s="118">
        <f ca="1" t="shared" si="203"/>
        <v>108</v>
      </c>
      <c r="O382" s="118">
        <f ca="1" t="shared" si="203"/>
        <v>204</v>
      </c>
      <c r="P382" s="118">
        <f ca="1" t="shared" si="204"/>
        <v>0</v>
      </c>
      <c r="Q382" s="118">
        <f ca="1" t="shared" si="204"/>
        <v>3</v>
      </c>
      <c r="R382" s="118">
        <f ca="1" t="shared" si="204"/>
        <v>0</v>
      </c>
      <c r="S382" s="118">
        <f ca="1" t="shared" si="204"/>
        <v>824</v>
      </c>
      <c r="T382" s="118">
        <f ca="1" t="shared" si="204"/>
        <v>0</v>
      </c>
      <c r="U382" s="118">
        <f ca="1" t="shared" si="204"/>
        <v>4</v>
      </c>
      <c r="V382" s="118">
        <f ca="1" t="shared" si="204"/>
        <v>38724</v>
      </c>
      <c r="W382" s="118">
        <f t="shared" si="205"/>
        <v>0</v>
      </c>
      <c r="X382" s="150"/>
      <c r="Z382" s="140" t="str">
        <f>IF($C382="B","",VLOOKUP($C382,orig_alloc!$A$13:$B$227,2,FALSE))</f>
        <v>WTD NET TOTAL DIST PLANT RATIOS</v>
      </c>
      <c r="AA382" s="141"/>
      <c r="AE382" s="141"/>
      <c r="AF382" s="141"/>
    </row>
    <row r="383" spans="1:32" ht="20.25">
      <c r="A383" s="240" t="s">
        <v>570</v>
      </c>
      <c r="B383" s="149" t="s">
        <v>252</v>
      </c>
      <c r="C383" s="132"/>
      <c r="D383" s="202">
        <f aca="true" t="shared" si="206" ref="D383:W383">SUM(D372:D382)</f>
        <v>6730324</v>
      </c>
      <c r="E383" s="202">
        <f t="shared" si="206"/>
        <v>3316552</v>
      </c>
      <c r="F383" s="202">
        <f t="shared" si="206"/>
        <v>1718109</v>
      </c>
      <c r="G383" s="202">
        <f t="shared" si="206"/>
        <v>1591</v>
      </c>
      <c r="H383" s="202">
        <f t="shared" si="206"/>
        <v>6703</v>
      </c>
      <c r="I383" s="202">
        <f t="shared" si="206"/>
        <v>25002</v>
      </c>
      <c r="J383" s="202">
        <f t="shared" si="206"/>
        <v>796</v>
      </c>
      <c r="K383" s="202">
        <f t="shared" si="206"/>
        <v>996352</v>
      </c>
      <c r="L383" s="202">
        <f t="shared" si="206"/>
        <v>11458</v>
      </c>
      <c r="M383" s="202">
        <f t="shared" si="206"/>
        <v>499556</v>
      </c>
      <c r="N383" s="202">
        <f t="shared" si="206"/>
        <v>23085</v>
      </c>
      <c r="O383" s="202">
        <f t="shared" si="206"/>
        <v>41998</v>
      </c>
      <c r="P383" s="202">
        <f t="shared" si="206"/>
        <v>0</v>
      </c>
      <c r="Q383" s="202">
        <f t="shared" si="206"/>
        <v>33637</v>
      </c>
      <c r="R383" s="202">
        <f t="shared" si="206"/>
        <v>1924</v>
      </c>
      <c r="S383" s="202">
        <f t="shared" si="206"/>
        <v>52951</v>
      </c>
      <c r="T383" s="202">
        <f t="shared" si="206"/>
        <v>0</v>
      </c>
      <c r="U383" s="202">
        <f t="shared" si="206"/>
        <v>610</v>
      </c>
      <c r="V383" s="202">
        <f t="shared" si="206"/>
        <v>6730324</v>
      </c>
      <c r="W383" s="202">
        <f t="shared" si="206"/>
        <v>0</v>
      </c>
      <c r="X383" s="150"/>
      <c r="Z383" s="140">
        <f>IF($C383="B","",VLOOKUP($C383,orig_alloc!$A$13:$B$227,2,FALSE))</f>
      </c>
      <c r="AA383" s="141"/>
      <c r="AE383" s="141"/>
      <c r="AF383" s="141"/>
    </row>
    <row r="384" spans="1:32" ht="20.25">
      <c r="A384" s="132"/>
      <c r="B384" s="149"/>
      <c r="C384" s="132"/>
      <c r="D384" s="118"/>
      <c r="E384" s="118"/>
      <c r="F384" s="118"/>
      <c r="G384" s="118"/>
      <c r="H384" s="118"/>
      <c r="I384" s="118"/>
      <c r="J384" s="118"/>
      <c r="K384" s="133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50"/>
      <c r="Z384" s="140">
        <f>IF($C384="B","",VLOOKUP($C384,orig_alloc!$A$13:$B$227,2,FALSE))</f>
      </c>
      <c r="AA384" s="141"/>
      <c r="AE384" s="141"/>
      <c r="AF384" s="141"/>
    </row>
    <row r="385" spans="1:32" ht="20.25">
      <c r="A385" s="132" t="s">
        <v>571</v>
      </c>
      <c r="B385" s="149"/>
      <c r="C385" s="132"/>
      <c r="D385" s="118"/>
      <c r="E385" s="118"/>
      <c r="F385" s="118"/>
      <c r="G385" s="118"/>
      <c r="H385" s="118"/>
      <c r="I385" s="118"/>
      <c r="J385" s="118"/>
      <c r="K385" s="133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50"/>
      <c r="Z385" s="140">
        <f>IF($C385="B","",VLOOKUP($C385,orig_alloc!$A$13:$B$227,2,FALSE))</f>
      </c>
      <c r="AA385" s="141"/>
      <c r="AE385" s="141"/>
      <c r="AF385" s="141"/>
    </row>
    <row r="386" spans="1:32" ht="20.25">
      <c r="A386" s="148" t="s">
        <v>1061</v>
      </c>
      <c r="B386" s="149" t="s">
        <v>572</v>
      </c>
      <c r="C386" s="148" t="s">
        <v>470</v>
      </c>
      <c r="D386" s="201">
        <f>54326+3670030</f>
        <v>3724356</v>
      </c>
      <c r="E386" s="219">
        <f>V386-SUM(F386:U386)</f>
        <v>3289384</v>
      </c>
      <c r="F386" s="118">
        <f aca="true" ca="1" t="shared" si="207" ref="F386:O390">ROUND($D386*VLOOKUP($C386,IF(LEFT($C386,1)="K",INDIRECT("TABLE"),INDIRECT("TABLE2")),F$9+1),0)</f>
        <v>409408</v>
      </c>
      <c r="G386" s="118">
        <f ca="1" t="shared" si="207"/>
        <v>405</v>
      </c>
      <c r="H386" s="118">
        <f ca="1" t="shared" si="207"/>
        <v>2508</v>
      </c>
      <c r="I386" s="118">
        <f ca="1" t="shared" si="207"/>
        <v>3965</v>
      </c>
      <c r="J386" s="118">
        <f ca="1" t="shared" si="207"/>
        <v>631</v>
      </c>
      <c r="K386" s="118">
        <f ca="1" t="shared" si="207"/>
        <v>6857</v>
      </c>
      <c r="L386" s="118">
        <f ca="1" t="shared" si="207"/>
        <v>213</v>
      </c>
      <c r="M386" s="118">
        <f ca="1" t="shared" si="207"/>
        <v>1204</v>
      </c>
      <c r="N386" s="118">
        <f ca="1" t="shared" si="207"/>
        <v>175</v>
      </c>
      <c r="O386" s="118">
        <f ca="1" t="shared" si="207"/>
        <v>458</v>
      </c>
      <c r="P386" s="118">
        <f aca="true" ca="1" t="shared" si="208" ref="P386:V390">ROUND($D386*VLOOKUP($C386,IF(LEFT($C386,1)="K",INDIRECT("TABLE"),INDIRECT("TABLE2")),P$9+1),0)</f>
        <v>0</v>
      </c>
      <c r="Q386" s="118">
        <f ca="1" t="shared" si="208"/>
        <v>443</v>
      </c>
      <c r="R386" s="118">
        <f ca="1" t="shared" si="208"/>
        <v>137</v>
      </c>
      <c r="S386" s="118">
        <f ca="1" t="shared" si="208"/>
        <v>8187</v>
      </c>
      <c r="T386" s="118">
        <f ca="1" t="shared" si="208"/>
        <v>0</v>
      </c>
      <c r="U386" s="118">
        <f ca="1" t="shared" si="208"/>
        <v>381</v>
      </c>
      <c r="V386" s="118">
        <f ca="1" t="shared" si="208"/>
        <v>3724356</v>
      </c>
      <c r="W386" s="118">
        <f>D386-V386</f>
        <v>0</v>
      </c>
      <c r="X386" s="150"/>
      <c r="Z386" s="140" t="str">
        <f>IF($C386="B","",VLOOKUP($C386,orig_alloc!$A$13:$B$227,2,FALSE))</f>
        <v>CUSTOMER ACCOUNTS 901-3, 905</v>
      </c>
      <c r="AA386" s="141"/>
      <c r="AE386" s="141"/>
      <c r="AF386" s="141"/>
    </row>
    <row r="387" spans="1:32" ht="20.25">
      <c r="A387" s="148" t="s">
        <v>1281</v>
      </c>
      <c r="B387" s="149" t="s">
        <v>573</v>
      </c>
      <c r="C387" s="148" t="s">
        <v>881</v>
      </c>
      <c r="D387" s="201">
        <f>-2289942-11085-500-97055</f>
        <v>-2398582</v>
      </c>
      <c r="E387" s="219">
        <f>V387-SUM(F387:U387)</f>
        <v>-2145129</v>
      </c>
      <c r="F387" s="118">
        <f ca="1" t="shared" si="207"/>
        <v>-224829</v>
      </c>
      <c r="G387" s="118">
        <f ca="1" t="shared" si="207"/>
        <v>0</v>
      </c>
      <c r="H387" s="118">
        <f ca="1" t="shared" si="207"/>
        <v>0</v>
      </c>
      <c r="I387" s="118">
        <f ca="1" t="shared" si="207"/>
        <v>0</v>
      </c>
      <c r="J387" s="118">
        <f ca="1" t="shared" si="207"/>
        <v>0</v>
      </c>
      <c r="K387" s="118">
        <f ca="1" t="shared" si="207"/>
        <v>-28590</v>
      </c>
      <c r="L387" s="118">
        <f ca="1" t="shared" si="207"/>
        <v>0</v>
      </c>
      <c r="M387" s="118">
        <f ca="1" t="shared" si="207"/>
        <v>0</v>
      </c>
      <c r="N387" s="118">
        <f ca="1" t="shared" si="207"/>
        <v>0</v>
      </c>
      <c r="O387" s="118">
        <f ca="1" t="shared" si="207"/>
        <v>0</v>
      </c>
      <c r="P387" s="118">
        <f ca="1" t="shared" si="208"/>
        <v>0</v>
      </c>
      <c r="Q387" s="118">
        <f ca="1" t="shared" si="208"/>
        <v>0</v>
      </c>
      <c r="R387" s="118">
        <f ca="1" t="shared" si="208"/>
        <v>0</v>
      </c>
      <c r="S387" s="118">
        <f ca="1" t="shared" si="208"/>
        <v>-34</v>
      </c>
      <c r="T387" s="118">
        <f ca="1" t="shared" si="208"/>
        <v>0</v>
      </c>
      <c r="U387" s="118">
        <f ca="1" t="shared" si="208"/>
        <v>0</v>
      </c>
      <c r="V387" s="118">
        <f ca="1" t="shared" si="208"/>
        <v>-2398582</v>
      </c>
      <c r="W387" s="118">
        <f>D387-V387</f>
        <v>0</v>
      </c>
      <c r="X387" s="150"/>
      <c r="Z387" s="140" t="str">
        <f>IF($C387="B","",VLOOKUP($C387,orig_alloc!$A$13:$B$227,2,FALSE))</f>
        <v>UNCOLLECTIBLE ACCOUNT 904</v>
      </c>
      <c r="AA387" s="141"/>
      <c r="AE387" s="141"/>
      <c r="AF387" s="141"/>
    </row>
    <row r="388" spans="1:32" ht="20.25">
      <c r="A388" s="148" t="s">
        <v>878</v>
      </c>
      <c r="B388" s="305" t="s">
        <v>574</v>
      </c>
      <c r="C388" s="311" t="s">
        <v>470</v>
      </c>
      <c r="D388" s="201">
        <v>1067382</v>
      </c>
      <c r="E388" s="219">
        <f>V388-SUM(F388:U388)</f>
        <v>942723</v>
      </c>
      <c r="F388" s="118">
        <f ca="1" t="shared" si="207"/>
        <v>117334</v>
      </c>
      <c r="G388" s="118">
        <f ca="1" t="shared" si="207"/>
        <v>116</v>
      </c>
      <c r="H388" s="118">
        <f ca="1" t="shared" si="207"/>
        <v>719</v>
      </c>
      <c r="I388" s="118">
        <f ca="1" t="shared" si="207"/>
        <v>1136</v>
      </c>
      <c r="J388" s="118">
        <f ca="1" t="shared" si="207"/>
        <v>181</v>
      </c>
      <c r="K388" s="118">
        <f ca="1" t="shared" si="207"/>
        <v>1965</v>
      </c>
      <c r="L388" s="118">
        <f ca="1" t="shared" si="207"/>
        <v>61</v>
      </c>
      <c r="M388" s="118">
        <f ca="1" t="shared" si="207"/>
        <v>345</v>
      </c>
      <c r="N388" s="118">
        <f ca="1" t="shared" si="207"/>
        <v>50</v>
      </c>
      <c r="O388" s="118">
        <f ca="1" t="shared" si="207"/>
        <v>131</v>
      </c>
      <c r="P388" s="118">
        <f ca="1" t="shared" si="208"/>
        <v>0</v>
      </c>
      <c r="Q388" s="118">
        <f ca="1" t="shared" si="208"/>
        <v>127</v>
      </c>
      <c r="R388" s="118">
        <f ca="1" t="shared" si="208"/>
        <v>39</v>
      </c>
      <c r="S388" s="118">
        <f ca="1" t="shared" si="208"/>
        <v>2346</v>
      </c>
      <c r="T388" s="118">
        <f ca="1" t="shared" si="208"/>
        <v>0</v>
      </c>
      <c r="U388" s="118">
        <f ca="1" t="shared" si="208"/>
        <v>109</v>
      </c>
      <c r="V388" s="118">
        <f ca="1" t="shared" si="208"/>
        <v>1067382</v>
      </c>
      <c r="W388" s="118">
        <f>D388-V388</f>
        <v>0</v>
      </c>
      <c r="X388" s="150"/>
      <c r="Z388" s="140" t="str">
        <f>IF($C388="B","",VLOOKUP($C388,orig_alloc!$A$13:$B$227,2,FALSE))</f>
        <v>CUSTOMER ACCOUNTS 901-3, 905</v>
      </c>
      <c r="AA388" s="141"/>
      <c r="AE388" s="141"/>
      <c r="AF388" s="141"/>
    </row>
    <row r="389" spans="1:32" ht="20.25">
      <c r="A389" s="148" t="s">
        <v>1308</v>
      </c>
      <c r="B389" s="149" t="s">
        <v>575</v>
      </c>
      <c r="C389" s="148" t="s">
        <v>881</v>
      </c>
      <c r="D389" s="201">
        <f>3157234+255521</f>
        <v>3412755</v>
      </c>
      <c r="E389" s="219">
        <f>V389-SUM(F389:U389)</f>
        <v>3052137</v>
      </c>
      <c r="F389" s="118">
        <f ca="1" t="shared" si="207"/>
        <v>319891</v>
      </c>
      <c r="G389" s="118">
        <f ca="1" t="shared" si="207"/>
        <v>0</v>
      </c>
      <c r="H389" s="118">
        <f ca="1" t="shared" si="207"/>
        <v>0</v>
      </c>
      <c r="I389" s="118">
        <f ca="1" t="shared" si="207"/>
        <v>0</v>
      </c>
      <c r="J389" s="118">
        <f ca="1" t="shared" si="207"/>
        <v>0</v>
      </c>
      <c r="K389" s="118">
        <f ca="1" t="shared" si="207"/>
        <v>40679</v>
      </c>
      <c r="L389" s="118">
        <f ca="1" t="shared" si="207"/>
        <v>0</v>
      </c>
      <c r="M389" s="118">
        <f ca="1" t="shared" si="207"/>
        <v>0</v>
      </c>
      <c r="N389" s="118">
        <f ca="1" t="shared" si="207"/>
        <v>0</v>
      </c>
      <c r="O389" s="118">
        <f ca="1" t="shared" si="207"/>
        <v>0</v>
      </c>
      <c r="P389" s="118">
        <f ca="1" t="shared" si="208"/>
        <v>0</v>
      </c>
      <c r="Q389" s="118">
        <f ca="1" t="shared" si="208"/>
        <v>0</v>
      </c>
      <c r="R389" s="118">
        <f ca="1" t="shared" si="208"/>
        <v>0</v>
      </c>
      <c r="S389" s="118">
        <f ca="1" t="shared" si="208"/>
        <v>48</v>
      </c>
      <c r="T389" s="118">
        <f ca="1" t="shared" si="208"/>
        <v>0</v>
      </c>
      <c r="U389" s="118">
        <f ca="1" t="shared" si="208"/>
        <v>0</v>
      </c>
      <c r="V389" s="118">
        <f ca="1" t="shared" si="208"/>
        <v>3412755</v>
      </c>
      <c r="W389" s="118">
        <f>D389-V389</f>
        <v>0</v>
      </c>
      <c r="X389" s="150"/>
      <c r="Z389" s="140" t="str">
        <f>IF($C389="B","",VLOOKUP($C389,orig_alloc!$A$13:$B$227,2,FALSE))</f>
        <v>UNCOLLECTIBLE ACCOUNT 904</v>
      </c>
      <c r="AA389" s="141"/>
      <c r="AE389" s="141"/>
      <c r="AF389" s="141"/>
    </row>
    <row r="390" spans="1:32" ht="20.25">
      <c r="A390" s="148" t="s">
        <v>1270</v>
      </c>
      <c r="B390" s="149" t="s">
        <v>1233</v>
      </c>
      <c r="C390" s="148" t="s">
        <v>470</v>
      </c>
      <c r="D390" s="201">
        <f>-17453+268</f>
        <v>-17185</v>
      </c>
      <c r="E390" s="219">
        <f>V390-SUM(F390:U390)</f>
        <v>-15176</v>
      </c>
      <c r="F390" s="118">
        <f ca="1" t="shared" si="207"/>
        <v>-1889</v>
      </c>
      <c r="G390" s="118">
        <f ca="1" t="shared" si="207"/>
        <v>-2</v>
      </c>
      <c r="H390" s="118">
        <f ca="1" t="shared" si="207"/>
        <v>-12</v>
      </c>
      <c r="I390" s="118">
        <f ca="1" t="shared" si="207"/>
        <v>-18</v>
      </c>
      <c r="J390" s="118">
        <f ca="1" t="shared" si="207"/>
        <v>-3</v>
      </c>
      <c r="K390" s="118">
        <f ca="1" t="shared" si="207"/>
        <v>-32</v>
      </c>
      <c r="L390" s="118">
        <f ca="1" t="shared" si="207"/>
        <v>-1</v>
      </c>
      <c r="M390" s="118">
        <f ca="1" t="shared" si="207"/>
        <v>-6</v>
      </c>
      <c r="N390" s="118">
        <f ca="1" t="shared" si="207"/>
        <v>-1</v>
      </c>
      <c r="O390" s="118">
        <f ca="1" t="shared" si="207"/>
        <v>-2</v>
      </c>
      <c r="P390" s="118">
        <f ca="1" t="shared" si="208"/>
        <v>0</v>
      </c>
      <c r="Q390" s="118">
        <f ca="1" t="shared" si="208"/>
        <v>-2</v>
      </c>
      <c r="R390" s="118">
        <f ca="1" t="shared" si="208"/>
        <v>-1</v>
      </c>
      <c r="S390" s="118">
        <f ca="1" t="shared" si="208"/>
        <v>-38</v>
      </c>
      <c r="T390" s="118">
        <f ca="1" t="shared" si="208"/>
        <v>0</v>
      </c>
      <c r="U390" s="118">
        <f ca="1" t="shared" si="208"/>
        <v>-2</v>
      </c>
      <c r="V390" s="118">
        <f ca="1" t="shared" si="208"/>
        <v>-17185</v>
      </c>
      <c r="W390" s="118">
        <f>D390-V390</f>
        <v>0</v>
      </c>
      <c r="X390" s="150"/>
      <c r="Z390" s="140" t="str">
        <f>IF($C390="B","",VLOOKUP($C390,orig_alloc!$A$13:$B$227,2,FALSE))</f>
        <v>CUSTOMER ACCOUNTS 901-3, 905</v>
      </c>
      <c r="AA390" s="141"/>
      <c r="AE390" s="141"/>
      <c r="AF390" s="141"/>
    </row>
    <row r="391" spans="1:32" ht="20.25">
      <c r="A391" s="240" t="s">
        <v>576</v>
      </c>
      <c r="B391" s="149" t="s">
        <v>253</v>
      </c>
      <c r="C391" s="132"/>
      <c r="D391" s="202">
        <f aca="true" t="shared" si="209" ref="D391:W391">SUM(D385:D390)</f>
        <v>5788726</v>
      </c>
      <c r="E391" s="202">
        <f t="shared" si="209"/>
        <v>5123939</v>
      </c>
      <c r="F391" s="202">
        <f t="shared" si="209"/>
        <v>619915</v>
      </c>
      <c r="G391" s="202">
        <f t="shared" si="209"/>
        <v>519</v>
      </c>
      <c r="H391" s="202">
        <f t="shared" si="209"/>
        <v>3215</v>
      </c>
      <c r="I391" s="202">
        <f t="shared" si="209"/>
        <v>5083</v>
      </c>
      <c r="J391" s="202">
        <f t="shared" si="209"/>
        <v>809</v>
      </c>
      <c r="K391" s="202">
        <f t="shared" si="209"/>
        <v>20879</v>
      </c>
      <c r="L391" s="202">
        <f t="shared" si="209"/>
        <v>273</v>
      </c>
      <c r="M391" s="202">
        <f t="shared" si="209"/>
        <v>1543</v>
      </c>
      <c r="N391" s="202">
        <f t="shared" si="209"/>
        <v>224</v>
      </c>
      <c r="O391" s="202">
        <f t="shared" si="209"/>
        <v>587</v>
      </c>
      <c r="P391" s="202">
        <f t="shared" si="209"/>
        <v>0</v>
      </c>
      <c r="Q391" s="202">
        <f t="shared" si="209"/>
        <v>568</v>
      </c>
      <c r="R391" s="202">
        <f t="shared" si="209"/>
        <v>175</v>
      </c>
      <c r="S391" s="202">
        <f t="shared" si="209"/>
        <v>10509</v>
      </c>
      <c r="T391" s="202">
        <f t="shared" si="209"/>
        <v>0</v>
      </c>
      <c r="U391" s="202">
        <f t="shared" si="209"/>
        <v>488</v>
      </c>
      <c r="V391" s="202">
        <f t="shared" si="209"/>
        <v>5788726</v>
      </c>
      <c r="W391" s="202">
        <f t="shared" si="209"/>
        <v>0</v>
      </c>
      <c r="X391" s="150"/>
      <c r="Z391" s="140">
        <f>IF($C391="B","",VLOOKUP($C391,orig_alloc!$A$13:$B$227,2,FALSE))</f>
      </c>
      <c r="AA391" s="141"/>
      <c r="AE391" s="141"/>
      <c r="AF391" s="141"/>
    </row>
    <row r="392" spans="1:32" ht="20.25">
      <c r="A392" s="132"/>
      <c r="B392" s="149"/>
      <c r="C392" s="132"/>
      <c r="D392" s="226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50"/>
      <c r="Z392" s="140">
        <f>IF($C392="B","",VLOOKUP($C392,orig_alloc!$A$13:$B$227,2,FALSE))</f>
      </c>
      <c r="AA392" s="141"/>
      <c r="AE392" s="141"/>
      <c r="AF392" s="141"/>
    </row>
    <row r="393" spans="1:32" ht="20.25">
      <c r="A393" s="132" t="s">
        <v>577</v>
      </c>
      <c r="B393" s="290" t="s">
        <v>506</v>
      </c>
      <c r="C393" s="132"/>
      <c r="D393" s="118"/>
      <c r="E393" s="118"/>
      <c r="F393" s="118"/>
      <c r="G393" s="118"/>
      <c r="H393" s="118"/>
      <c r="I393" s="118"/>
      <c r="J393" s="118"/>
      <c r="K393" s="133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50"/>
      <c r="Z393" s="140">
        <f>IF($C393="B","",VLOOKUP($C393,orig_alloc!$A$13:$B$227,2,FALSE))</f>
      </c>
      <c r="AA393" s="141"/>
      <c r="AE393" s="141"/>
      <c r="AF393" s="141"/>
    </row>
    <row r="394" spans="1:32" ht="20.25">
      <c r="A394" s="148" t="s">
        <v>577</v>
      </c>
      <c r="B394" s="149" t="s">
        <v>578</v>
      </c>
      <c r="C394" s="148" t="s">
        <v>882</v>
      </c>
      <c r="D394" s="201">
        <f>72746+499355</f>
        <v>572101</v>
      </c>
      <c r="E394" s="219">
        <f>V394-SUM(F394:U394)</f>
        <v>378366</v>
      </c>
      <c r="F394" s="118">
        <f aca="true" ca="1" t="shared" si="210" ref="F394:O395">ROUND($D394*VLOOKUP($C394,IF(LEFT($C394,1)="K",INDIRECT("TABLE"),INDIRECT("TABLE2")),F$9+1),0)</f>
        <v>178448</v>
      </c>
      <c r="G394" s="118">
        <f ca="1" t="shared" si="210"/>
        <v>142</v>
      </c>
      <c r="H394" s="118">
        <f ca="1" t="shared" si="210"/>
        <v>2169</v>
      </c>
      <c r="I394" s="118">
        <f ca="1" t="shared" si="210"/>
        <v>1746</v>
      </c>
      <c r="J394" s="118">
        <f ca="1" t="shared" si="210"/>
        <v>405</v>
      </c>
      <c r="K394" s="118">
        <f ca="1" t="shared" si="210"/>
        <v>2574</v>
      </c>
      <c r="L394" s="118">
        <f ca="1" t="shared" si="210"/>
        <v>88</v>
      </c>
      <c r="M394" s="118">
        <f ca="1" t="shared" si="210"/>
        <v>475</v>
      </c>
      <c r="N394" s="118">
        <f ca="1" t="shared" si="210"/>
        <v>70</v>
      </c>
      <c r="O394" s="118">
        <f ca="1" t="shared" si="210"/>
        <v>177</v>
      </c>
      <c r="P394" s="118">
        <f aca="true" ca="1" t="shared" si="211" ref="P394:V395">ROUND($D394*VLOOKUP($C394,IF(LEFT($C394,1)="K",INDIRECT("TABLE"),INDIRECT("TABLE2")),P$9+1),0)</f>
        <v>0</v>
      </c>
      <c r="Q394" s="118">
        <f ca="1" t="shared" si="211"/>
        <v>159</v>
      </c>
      <c r="R394" s="118">
        <f ca="1" t="shared" si="211"/>
        <v>52</v>
      </c>
      <c r="S394" s="118">
        <f ca="1" t="shared" si="211"/>
        <v>7071</v>
      </c>
      <c r="T394" s="118">
        <f ca="1" t="shared" si="211"/>
        <v>0</v>
      </c>
      <c r="U394" s="118">
        <f ca="1" t="shared" si="211"/>
        <v>159</v>
      </c>
      <c r="V394" s="118">
        <f ca="1" t="shared" si="211"/>
        <v>572101</v>
      </c>
      <c r="W394" s="118">
        <f>D394-V394</f>
        <v>0</v>
      </c>
      <c r="X394" s="150"/>
      <c r="Z394" s="140" t="str">
        <f>IF($C394="B","",VLOOKUP($C394,orig_alloc!$A$13:$B$227,2,FALSE))</f>
        <v>CUST SERVICE &amp; INFORM ACCOUNTS 908-10</v>
      </c>
      <c r="AA394" s="141"/>
      <c r="AE394" s="141"/>
      <c r="AF394" s="141"/>
    </row>
    <row r="395" spans="1:32" ht="20.25">
      <c r="A395" s="148" t="s">
        <v>1262</v>
      </c>
      <c r="B395" s="149" t="s">
        <v>579</v>
      </c>
      <c r="C395" s="148" t="s">
        <v>882</v>
      </c>
      <c r="D395" s="201">
        <v>107067</v>
      </c>
      <c r="E395" s="219">
        <f>V395-SUM(F395:U395)</f>
        <v>70810</v>
      </c>
      <c r="F395" s="118">
        <f ca="1" t="shared" si="210"/>
        <v>33396</v>
      </c>
      <c r="G395" s="118">
        <f ca="1" t="shared" si="210"/>
        <v>26</v>
      </c>
      <c r="H395" s="118">
        <f ca="1" t="shared" si="210"/>
        <v>406</v>
      </c>
      <c r="I395" s="118">
        <f ca="1" t="shared" si="210"/>
        <v>327</v>
      </c>
      <c r="J395" s="118">
        <f ca="1" t="shared" si="210"/>
        <v>76</v>
      </c>
      <c r="K395" s="118">
        <f ca="1" t="shared" si="210"/>
        <v>482</v>
      </c>
      <c r="L395" s="118">
        <f ca="1" t="shared" si="210"/>
        <v>16</v>
      </c>
      <c r="M395" s="118">
        <f ca="1" t="shared" si="210"/>
        <v>89</v>
      </c>
      <c r="N395" s="118">
        <f ca="1" t="shared" si="210"/>
        <v>13</v>
      </c>
      <c r="O395" s="118">
        <f ca="1" t="shared" si="210"/>
        <v>33</v>
      </c>
      <c r="P395" s="118">
        <f ca="1" t="shared" si="211"/>
        <v>0</v>
      </c>
      <c r="Q395" s="118">
        <f ca="1" t="shared" si="211"/>
        <v>30</v>
      </c>
      <c r="R395" s="118">
        <f ca="1" t="shared" si="211"/>
        <v>10</v>
      </c>
      <c r="S395" s="118">
        <f ca="1" t="shared" si="211"/>
        <v>1323</v>
      </c>
      <c r="T395" s="118">
        <f ca="1" t="shared" si="211"/>
        <v>0</v>
      </c>
      <c r="U395" s="118">
        <f ca="1" t="shared" si="211"/>
        <v>30</v>
      </c>
      <c r="V395" s="118">
        <f ca="1" t="shared" si="211"/>
        <v>107067</v>
      </c>
      <c r="W395" s="118">
        <f>D395-V395</f>
        <v>0</v>
      </c>
      <c r="X395" s="150"/>
      <c r="Z395" s="140" t="str">
        <f>IF($C395="B","",VLOOKUP($C395,orig_alloc!$A$13:$B$227,2,FALSE))</f>
        <v>CUST SERVICE &amp; INFORM ACCOUNTS 908-10</v>
      </c>
      <c r="AA395" s="141"/>
      <c r="AE395" s="141"/>
      <c r="AF395" s="141"/>
    </row>
    <row r="396" spans="1:32" ht="20.25">
      <c r="A396" s="148" t="s">
        <v>1363</v>
      </c>
      <c r="B396" s="149" t="s">
        <v>324</v>
      </c>
      <c r="C396" s="148" t="s">
        <v>882</v>
      </c>
      <c r="D396" s="201">
        <v>-206796</v>
      </c>
      <c r="E396" s="219">
        <f>V396-SUM(F396:U396)</f>
        <v>-136767</v>
      </c>
      <c r="F396" s="118">
        <f aca="true" ca="1" t="shared" si="212" ref="F396:P397">ROUND($D396*VLOOKUP($C396,IF(LEFT($C396,1)="K",INDIRECT("TABLE"),INDIRECT("TABLE2")),F$9+1),0)</f>
        <v>-64503</v>
      </c>
      <c r="G396" s="118">
        <f ca="1" t="shared" si="212"/>
        <v>-51</v>
      </c>
      <c r="H396" s="118">
        <f ca="1" t="shared" si="212"/>
        <v>-784</v>
      </c>
      <c r="I396" s="118">
        <f ca="1" t="shared" si="212"/>
        <v>-631</v>
      </c>
      <c r="J396" s="118">
        <f ca="1" t="shared" si="212"/>
        <v>-146</v>
      </c>
      <c r="K396" s="118">
        <f ca="1" t="shared" si="212"/>
        <v>-930</v>
      </c>
      <c r="L396" s="118">
        <f ca="1" t="shared" si="212"/>
        <v>-32</v>
      </c>
      <c r="M396" s="118">
        <f ca="1" t="shared" si="212"/>
        <v>-172</v>
      </c>
      <c r="N396" s="118">
        <f ca="1" t="shared" si="212"/>
        <v>-25</v>
      </c>
      <c r="O396" s="118">
        <f ca="1" t="shared" si="212"/>
        <v>-64</v>
      </c>
      <c r="P396" s="118">
        <f ca="1" t="shared" si="212"/>
        <v>0</v>
      </c>
      <c r="Q396" s="297">
        <f ca="1">ROUND($D396*VLOOKUP($C396,IF(LEFT($C396,1)="K",INDIRECT("TABLE"),INDIRECT("TABLE2")),Q$9+1),0)-Z396</f>
        <v>-58</v>
      </c>
      <c r="R396" s="118">
        <f aca="true" ca="1" t="shared" si="213" ref="R396:V397">ROUND($D396*VLOOKUP($C396,IF(LEFT($C396,1)="K",INDIRECT("TABLE"),INDIRECT("TABLE2")),R$9+1),0)</f>
        <v>-19</v>
      </c>
      <c r="S396" s="118">
        <f ca="1" t="shared" si="213"/>
        <v>-2556</v>
      </c>
      <c r="T396" s="118">
        <f ca="1" t="shared" si="213"/>
        <v>0</v>
      </c>
      <c r="U396" s="118">
        <f ca="1" t="shared" si="213"/>
        <v>-58</v>
      </c>
      <c r="V396" s="118">
        <f ca="1" t="shared" si="213"/>
        <v>-206796</v>
      </c>
      <c r="W396" s="118">
        <f>D396-V396</f>
        <v>0</v>
      </c>
      <c r="X396" s="150"/>
      <c r="Z396" s="140" t="str">
        <f>IF($C396="B","",VLOOKUP($C396,orig_alloc!$A$13:$B$227,2,FALSE))</f>
        <v>CUST SERVICE &amp; INFORM ACCOUNTS 908-10</v>
      </c>
      <c r="AA396" s="141"/>
      <c r="AE396" s="141"/>
      <c r="AF396" s="141"/>
    </row>
    <row r="397" spans="1:32" ht="20.25">
      <c r="A397" s="148" t="s">
        <v>1364</v>
      </c>
      <c r="B397" s="149" t="s">
        <v>325</v>
      </c>
      <c r="C397" s="148" t="s">
        <v>882</v>
      </c>
      <c r="D397" s="201">
        <v>-367326</v>
      </c>
      <c r="E397" s="219">
        <f>V397-SUM(F397:U397)</f>
        <v>-242935</v>
      </c>
      <c r="F397" s="118">
        <f ca="1" t="shared" si="212"/>
        <v>-114575</v>
      </c>
      <c r="G397" s="118">
        <f ca="1" t="shared" si="212"/>
        <v>-91</v>
      </c>
      <c r="H397" s="118">
        <f ca="1" t="shared" si="212"/>
        <v>-1393</v>
      </c>
      <c r="I397" s="118">
        <f ca="1" t="shared" si="212"/>
        <v>-1121</v>
      </c>
      <c r="J397" s="118">
        <f ca="1" t="shared" si="212"/>
        <v>-260</v>
      </c>
      <c r="K397" s="118">
        <f ca="1" t="shared" si="212"/>
        <v>-1653</v>
      </c>
      <c r="L397" s="118">
        <f ca="1" t="shared" si="212"/>
        <v>-56</v>
      </c>
      <c r="M397" s="118">
        <f ca="1" t="shared" si="212"/>
        <v>-305</v>
      </c>
      <c r="N397" s="118">
        <f ca="1" t="shared" si="212"/>
        <v>-45</v>
      </c>
      <c r="O397" s="118">
        <f ca="1" t="shared" si="212"/>
        <v>-114</v>
      </c>
      <c r="P397" s="118">
        <f ca="1" t="shared" si="212"/>
        <v>0</v>
      </c>
      <c r="Q397" s="118">
        <f ca="1">ROUND($D397*VLOOKUP($C397,IF(LEFT($C397,1)="K",INDIRECT("TABLE"),INDIRECT("TABLE2")),Q$9+1),0)</f>
        <v>-102</v>
      </c>
      <c r="R397" s="118">
        <f ca="1" t="shared" si="213"/>
        <v>-34</v>
      </c>
      <c r="S397" s="118">
        <f ca="1" t="shared" si="213"/>
        <v>-4540</v>
      </c>
      <c r="T397" s="118">
        <f ca="1" t="shared" si="213"/>
        <v>0</v>
      </c>
      <c r="U397" s="118">
        <f ca="1" t="shared" si="213"/>
        <v>-102</v>
      </c>
      <c r="V397" s="118">
        <f ca="1" t="shared" si="213"/>
        <v>-367326</v>
      </c>
      <c r="W397" s="118">
        <f>D397-V397</f>
        <v>0</v>
      </c>
      <c r="X397" s="150"/>
      <c r="Z397" s="140" t="str">
        <f>IF($C397="B","",VLOOKUP($C397,orig_alloc!$A$13:$B$227,2,FALSE))</f>
        <v>CUST SERVICE &amp; INFORM ACCOUNTS 908-10</v>
      </c>
      <c r="AA397" s="141"/>
      <c r="AE397" s="141"/>
      <c r="AF397" s="141"/>
    </row>
    <row r="398" spans="1:32" ht="20.25">
      <c r="A398" s="240" t="s">
        <v>1065</v>
      </c>
      <c r="B398" s="149" t="s">
        <v>580</v>
      </c>
      <c r="C398" s="132"/>
      <c r="D398" s="202">
        <f aca="true" t="shared" si="214" ref="D398:W398">SUM(D393:D397)</f>
        <v>105046</v>
      </c>
      <c r="E398" s="202">
        <f t="shared" si="214"/>
        <v>69474</v>
      </c>
      <c r="F398" s="202">
        <f t="shared" si="214"/>
        <v>32766</v>
      </c>
      <c r="G398" s="202">
        <f t="shared" si="214"/>
        <v>26</v>
      </c>
      <c r="H398" s="202">
        <f t="shared" si="214"/>
        <v>398</v>
      </c>
      <c r="I398" s="202">
        <f t="shared" si="214"/>
        <v>321</v>
      </c>
      <c r="J398" s="202">
        <f t="shared" si="214"/>
        <v>75</v>
      </c>
      <c r="K398" s="202">
        <f t="shared" si="214"/>
        <v>473</v>
      </c>
      <c r="L398" s="202">
        <f t="shared" si="214"/>
        <v>16</v>
      </c>
      <c r="M398" s="202">
        <f t="shared" si="214"/>
        <v>87</v>
      </c>
      <c r="N398" s="202">
        <f t="shared" si="214"/>
        <v>13</v>
      </c>
      <c r="O398" s="202">
        <f t="shared" si="214"/>
        <v>32</v>
      </c>
      <c r="P398" s="202">
        <f t="shared" si="214"/>
        <v>0</v>
      </c>
      <c r="Q398" s="202">
        <f t="shared" si="214"/>
        <v>29</v>
      </c>
      <c r="R398" s="202">
        <f t="shared" si="214"/>
        <v>9</v>
      </c>
      <c r="S398" s="202">
        <f t="shared" si="214"/>
        <v>1298</v>
      </c>
      <c r="T398" s="202">
        <f t="shared" si="214"/>
        <v>0</v>
      </c>
      <c r="U398" s="202">
        <f t="shared" si="214"/>
        <v>29</v>
      </c>
      <c r="V398" s="202">
        <f t="shared" si="214"/>
        <v>105046</v>
      </c>
      <c r="W398" s="202">
        <f t="shared" si="214"/>
        <v>0</v>
      </c>
      <c r="X398" s="150"/>
      <c r="Z398" s="140">
        <f>IF($C398="B","",VLOOKUP($C398,orig_alloc!$A$13:$B$227,2,FALSE))</f>
      </c>
      <c r="AA398" s="141"/>
      <c r="AE398" s="141"/>
      <c r="AF398" s="141"/>
    </row>
    <row r="399" spans="1:32" ht="20.25">
      <c r="A399" s="132"/>
      <c r="B399" s="149"/>
      <c r="C399" s="132"/>
      <c r="D399" s="118"/>
      <c r="E399" s="118"/>
      <c r="F399" s="118"/>
      <c r="G399" s="118"/>
      <c r="H399" s="118"/>
      <c r="I399" s="118"/>
      <c r="J399" s="118"/>
      <c r="K399" s="133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50"/>
      <c r="Z399" s="140">
        <f>IF($C399="B","",VLOOKUP($C399,orig_alloc!$A$13:$B$227,2,FALSE))</f>
      </c>
      <c r="AA399" s="141"/>
      <c r="AE399" s="141"/>
      <c r="AF399" s="141"/>
    </row>
    <row r="400" spans="1:32" ht="20.25">
      <c r="A400" s="132" t="s">
        <v>371</v>
      </c>
      <c r="B400" s="290"/>
      <c r="C400" s="132"/>
      <c r="D400" s="118"/>
      <c r="E400" s="118"/>
      <c r="F400" s="118"/>
      <c r="G400" s="118"/>
      <c r="H400" s="118"/>
      <c r="I400" s="118"/>
      <c r="J400" s="118"/>
      <c r="K400" s="133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50"/>
      <c r="Z400" s="140">
        <f>IF($C400="B","",VLOOKUP($C400,orig_alloc!$A$13:$B$227,2,FALSE))</f>
      </c>
      <c r="AA400" s="141"/>
      <c r="AE400" s="141"/>
      <c r="AF400" s="141"/>
    </row>
    <row r="401" spans="1:32" ht="20.25">
      <c r="A401" s="148" t="s">
        <v>727</v>
      </c>
      <c r="B401" s="149" t="s">
        <v>581</v>
      </c>
      <c r="C401" s="148" t="s">
        <v>883</v>
      </c>
      <c r="D401" s="201">
        <f>2023204-2018144</f>
        <v>5060</v>
      </c>
      <c r="E401" s="219">
        <f>V401-SUM(F401:U401)</f>
        <v>3435</v>
      </c>
      <c r="F401" s="118">
        <f aca="true" ca="1" t="shared" si="215" ref="F401:O403">ROUND($D401*VLOOKUP($C401,IF(LEFT($C401,1)="K",INDIRECT("TABLE"),INDIRECT("TABLE2")),F$9+1),0)</f>
        <v>1498</v>
      </c>
      <c r="G401" s="118">
        <f ca="1" t="shared" si="215"/>
        <v>1</v>
      </c>
      <c r="H401" s="118">
        <f ca="1" t="shared" si="215"/>
        <v>18</v>
      </c>
      <c r="I401" s="118">
        <f ca="1" t="shared" si="215"/>
        <v>15</v>
      </c>
      <c r="J401" s="118">
        <f ca="1" t="shared" si="215"/>
        <v>3</v>
      </c>
      <c r="K401" s="118">
        <f ca="1" t="shared" si="215"/>
        <v>22</v>
      </c>
      <c r="L401" s="118">
        <f ca="1" t="shared" si="215"/>
        <v>1</v>
      </c>
      <c r="M401" s="118">
        <f ca="1" t="shared" si="215"/>
        <v>4</v>
      </c>
      <c r="N401" s="118">
        <f ca="1" t="shared" si="215"/>
        <v>1</v>
      </c>
      <c r="O401" s="118">
        <f ca="1" t="shared" si="215"/>
        <v>1</v>
      </c>
      <c r="P401" s="118">
        <f aca="true" ca="1" t="shared" si="216" ref="P401:V403">ROUND($D401*VLOOKUP($C401,IF(LEFT($C401,1)="K",INDIRECT("TABLE"),INDIRECT("TABLE2")),P$9+1),0)</f>
        <v>0</v>
      </c>
      <c r="Q401" s="118">
        <f ca="1" t="shared" si="216"/>
        <v>1</v>
      </c>
      <c r="R401" s="118">
        <f ca="1" t="shared" si="216"/>
        <v>0</v>
      </c>
      <c r="S401" s="118">
        <f ca="1" t="shared" si="216"/>
        <v>59</v>
      </c>
      <c r="T401" s="118">
        <f ca="1" t="shared" si="216"/>
        <v>0</v>
      </c>
      <c r="U401" s="118">
        <f ca="1" t="shared" si="216"/>
        <v>1</v>
      </c>
      <c r="V401" s="118">
        <f ca="1" t="shared" si="216"/>
        <v>5060</v>
      </c>
      <c r="W401" s="118">
        <f>D401-V401</f>
        <v>0</v>
      </c>
      <c r="X401" s="150"/>
      <c r="Z401" s="140" t="str">
        <f>IF($C401="B","",VLOOKUP($C401,orig_alloc!$A$13:$B$227,2,FALSE))</f>
        <v>SALES ACCOUNTS 911, 913</v>
      </c>
      <c r="AA401" s="141"/>
      <c r="AE401" s="141"/>
      <c r="AF401" s="141"/>
    </row>
    <row r="402" spans="1:32" ht="20.25" hidden="1">
      <c r="A402" s="148" t="s">
        <v>879</v>
      </c>
      <c r="B402" s="149" t="s">
        <v>582</v>
      </c>
      <c r="C402" s="148" t="s">
        <v>318</v>
      </c>
      <c r="D402" s="201">
        <v>0</v>
      </c>
      <c r="E402" s="219">
        <f>V402-SUM(F402:U402)</f>
        <v>0</v>
      </c>
      <c r="F402" s="118">
        <f ca="1" t="shared" si="215"/>
        <v>0</v>
      </c>
      <c r="G402" s="118">
        <f ca="1" t="shared" si="215"/>
        <v>0</v>
      </c>
      <c r="H402" s="118">
        <f ca="1" t="shared" si="215"/>
        <v>0</v>
      </c>
      <c r="I402" s="118">
        <f ca="1" t="shared" si="215"/>
        <v>0</v>
      </c>
      <c r="J402" s="118">
        <f ca="1" t="shared" si="215"/>
        <v>0</v>
      </c>
      <c r="K402" s="118">
        <f ca="1" t="shared" si="215"/>
        <v>0</v>
      </c>
      <c r="L402" s="118">
        <f ca="1" t="shared" si="215"/>
        <v>0</v>
      </c>
      <c r="M402" s="118">
        <f ca="1" t="shared" si="215"/>
        <v>0</v>
      </c>
      <c r="N402" s="118">
        <f ca="1" t="shared" si="215"/>
        <v>0</v>
      </c>
      <c r="O402" s="118">
        <f ca="1" t="shared" si="215"/>
        <v>0</v>
      </c>
      <c r="P402" s="118">
        <f ca="1" t="shared" si="216"/>
        <v>0</v>
      </c>
      <c r="Q402" s="118">
        <f ca="1" t="shared" si="216"/>
        <v>0</v>
      </c>
      <c r="R402" s="118">
        <f ca="1" t="shared" si="216"/>
        <v>0</v>
      </c>
      <c r="S402" s="118">
        <f ca="1" t="shared" si="216"/>
        <v>0</v>
      </c>
      <c r="T402" s="118">
        <f ca="1" t="shared" si="216"/>
        <v>0</v>
      </c>
      <c r="U402" s="118">
        <f ca="1" t="shared" si="216"/>
        <v>0</v>
      </c>
      <c r="V402" s="118">
        <f ca="1" t="shared" si="216"/>
        <v>0</v>
      </c>
      <c r="W402" s="118">
        <f>D402-V402</f>
        <v>0</v>
      </c>
      <c r="X402" s="150"/>
      <c r="Z402" s="140" t="str">
        <f>IF($C402="B","",VLOOKUP($C402,orig_alloc!$A$13:$B$227,2,FALSE))</f>
        <v>TOTAL KW (AVERAGE  &amp;  EXCESS)</v>
      </c>
      <c r="AA402" s="141"/>
      <c r="AE402" s="141"/>
      <c r="AF402" s="141"/>
    </row>
    <row r="403" spans="1:32" ht="20.25">
      <c r="A403" s="301" t="s">
        <v>1234</v>
      </c>
      <c r="B403" s="149" t="s">
        <v>583</v>
      </c>
      <c r="C403" s="148" t="s">
        <v>883</v>
      </c>
      <c r="D403" s="201">
        <v>-4332</v>
      </c>
      <c r="E403" s="219">
        <f>V403-SUM(F403:U403)</f>
        <v>-2940</v>
      </c>
      <c r="F403" s="118">
        <f ca="1" t="shared" si="215"/>
        <v>-1283</v>
      </c>
      <c r="G403" s="118">
        <f ca="1" t="shared" si="215"/>
        <v>-1</v>
      </c>
      <c r="H403" s="118">
        <f ca="1" t="shared" si="215"/>
        <v>-16</v>
      </c>
      <c r="I403" s="118">
        <f ca="1" t="shared" si="215"/>
        <v>-13</v>
      </c>
      <c r="J403" s="118">
        <f ca="1" t="shared" si="215"/>
        <v>-3</v>
      </c>
      <c r="K403" s="118">
        <f ca="1" t="shared" si="215"/>
        <v>-18</v>
      </c>
      <c r="L403" s="118">
        <f ca="1" t="shared" si="215"/>
        <v>-1</v>
      </c>
      <c r="M403" s="118">
        <f ca="1" t="shared" si="215"/>
        <v>-3</v>
      </c>
      <c r="N403" s="118">
        <f ca="1" t="shared" si="215"/>
        <v>0</v>
      </c>
      <c r="O403" s="118">
        <f ca="1" t="shared" si="215"/>
        <v>-1</v>
      </c>
      <c r="P403" s="118">
        <f ca="1" t="shared" si="216"/>
        <v>0</v>
      </c>
      <c r="Q403" s="118">
        <f ca="1" t="shared" si="216"/>
        <v>-1</v>
      </c>
      <c r="R403" s="118">
        <f ca="1" t="shared" si="216"/>
        <v>0</v>
      </c>
      <c r="S403" s="118">
        <f ca="1" t="shared" si="216"/>
        <v>-51</v>
      </c>
      <c r="T403" s="118">
        <f ca="1" t="shared" si="216"/>
        <v>0</v>
      </c>
      <c r="U403" s="118">
        <f ca="1" t="shared" si="216"/>
        <v>-1</v>
      </c>
      <c r="V403" s="118">
        <f ca="1" t="shared" si="216"/>
        <v>-4332</v>
      </c>
      <c r="W403" s="118">
        <f>D403-V403</f>
        <v>0</v>
      </c>
      <c r="X403" s="150"/>
      <c r="Z403" s="140" t="str">
        <f>IF($C403="B","",VLOOKUP($C403,orig_alloc!$A$13:$B$227,2,FALSE))</f>
        <v>SALES ACCOUNTS 911, 913</v>
      </c>
      <c r="AA403" s="141"/>
      <c r="AE403" s="141"/>
      <c r="AF403" s="141"/>
    </row>
    <row r="404" spans="1:32" ht="20.25">
      <c r="A404" s="132" t="s">
        <v>584</v>
      </c>
      <c r="B404" s="149" t="s">
        <v>254</v>
      </c>
      <c r="C404" s="132"/>
      <c r="D404" s="202">
        <f aca="true" t="shared" si="217" ref="D404:W404">SUM(D400:D403)</f>
        <v>728</v>
      </c>
      <c r="E404" s="202">
        <f t="shared" si="217"/>
        <v>495</v>
      </c>
      <c r="F404" s="202">
        <f t="shared" si="217"/>
        <v>215</v>
      </c>
      <c r="G404" s="202">
        <f t="shared" si="217"/>
        <v>0</v>
      </c>
      <c r="H404" s="202">
        <f t="shared" si="217"/>
        <v>2</v>
      </c>
      <c r="I404" s="202">
        <f t="shared" si="217"/>
        <v>2</v>
      </c>
      <c r="J404" s="202">
        <f t="shared" si="217"/>
        <v>0</v>
      </c>
      <c r="K404" s="202">
        <f t="shared" si="217"/>
        <v>4</v>
      </c>
      <c r="L404" s="202">
        <f t="shared" si="217"/>
        <v>0</v>
      </c>
      <c r="M404" s="202">
        <f t="shared" si="217"/>
        <v>1</v>
      </c>
      <c r="N404" s="202">
        <f t="shared" si="217"/>
        <v>1</v>
      </c>
      <c r="O404" s="202">
        <f t="shared" si="217"/>
        <v>0</v>
      </c>
      <c r="P404" s="202">
        <f t="shared" si="217"/>
        <v>0</v>
      </c>
      <c r="Q404" s="202">
        <f t="shared" si="217"/>
        <v>0</v>
      </c>
      <c r="R404" s="202">
        <f t="shared" si="217"/>
        <v>0</v>
      </c>
      <c r="S404" s="202">
        <f t="shared" si="217"/>
        <v>8</v>
      </c>
      <c r="T404" s="202">
        <f t="shared" si="217"/>
        <v>0</v>
      </c>
      <c r="U404" s="202">
        <f t="shared" si="217"/>
        <v>0</v>
      </c>
      <c r="V404" s="202">
        <f t="shared" si="217"/>
        <v>728</v>
      </c>
      <c r="W404" s="202">
        <f t="shared" si="217"/>
        <v>0</v>
      </c>
      <c r="X404" s="150"/>
      <c r="Z404" s="140">
        <f>IF($C404="B","",VLOOKUP($C404,orig_alloc!$A$13:$B$227,2,FALSE))</f>
      </c>
      <c r="AA404" s="141"/>
      <c r="AE404" s="141"/>
      <c r="AF404" s="141"/>
    </row>
    <row r="405" spans="1:32" ht="20.25">
      <c r="A405" s="132"/>
      <c r="B405" s="149"/>
      <c r="C405" s="132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50"/>
      <c r="Z405" s="140">
        <f>IF($C405="B","",VLOOKUP($C405,orig_alloc!$A$13:$B$227,2,FALSE))</f>
      </c>
      <c r="AA405" s="141"/>
      <c r="AE405" s="141"/>
      <c r="AF405" s="141"/>
    </row>
    <row r="406" spans="1:32" ht="20.25">
      <c r="A406" s="132" t="s">
        <v>585</v>
      </c>
      <c r="B406" s="149"/>
      <c r="C406" s="132"/>
      <c r="D406" s="118">
        <f aca="true" t="shared" si="218" ref="D406:U406">D404+D398+D391+D383+D369+D362</f>
        <v>173388415</v>
      </c>
      <c r="E406" s="118">
        <f t="shared" si="218"/>
        <v>74697154</v>
      </c>
      <c r="F406" s="118">
        <f t="shared" si="218"/>
        <v>42901722</v>
      </c>
      <c r="G406" s="118">
        <f t="shared" si="218"/>
        <v>19795</v>
      </c>
      <c r="H406" s="118">
        <f t="shared" si="218"/>
        <v>237666</v>
      </c>
      <c r="I406" s="118">
        <f t="shared" si="218"/>
        <v>624474</v>
      </c>
      <c r="J406" s="118">
        <f t="shared" si="218"/>
        <v>17910</v>
      </c>
      <c r="K406" s="118">
        <f t="shared" si="218"/>
        <v>28198138</v>
      </c>
      <c r="L406" s="118">
        <f t="shared" si="218"/>
        <v>154942</v>
      </c>
      <c r="M406" s="118">
        <f t="shared" si="218"/>
        <v>16916477</v>
      </c>
      <c r="N406" s="118">
        <f t="shared" si="218"/>
        <v>353331</v>
      </c>
      <c r="O406" s="118">
        <f t="shared" si="218"/>
        <v>1322123</v>
      </c>
      <c r="P406" s="118">
        <f t="shared" si="218"/>
        <v>0</v>
      </c>
      <c r="Q406" s="118">
        <f t="shared" si="218"/>
        <v>6711352</v>
      </c>
      <c r="R406" s="118">
        <f t="shared" si="218"/>
        <v>182091</v>
      </c>
      <c r="S406" s="118">
        <f t="shared" si="218"/>
        <v>1034094</v>
      </c>
      <c r="T406" s="118">
        <f t="shared" si="218"/>
        <v>0</v>
      </c>
      <c r="U406" s="118">
        <f t="shared" si="218"/>
        <v>17146</v>
      </c>
      <c r="V406" s="118">
        <f>SUM(E406:U406)</f>
        <v>173388415</v>
      </c>
      <c r="W406" s="118">
        <f>D406-V406</f>
        <v>0</v>
      </c>
      <c r="X406" s="150"/>
      <c r="Z406" s="140">
        <f>IF($C406="B","",VLOOKUP($C406,orig_alloc!$A$13:$B$227,2,FALSE))</f>
      </c>
      <c r="AA406" s="141"/>
      <c r="AE406" s="141"/>
      <c r="AF406" s="141"/>
    </row>
    <row r="407" spans="1:32" ht="20.25">
      <c r="A407" s="132"/>
      <c r="B407" s="149"/>
      <c r="C407" s="132"/>
      <c r="D407" s="118"/>
      <c r="E407" s="118"/>
      <c r="F407" s="118"/>
      <c r="G407" s="118"/>
      <c r="H407" s="118"/>
      <c r="I407" s="118"/>
      <c r="J407" s="118"/>
      <c r="K407" s="133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50"/>
      <c r="Z407" s="140">
        <f>IF($C407="B","",VLOOKUP($C407,orig_alloc!$A$13:$B$227,2,FALSE))</f>
      </c>
      <c r="AA407" s="141"/>
      <c r="AE407" s="141"/>
      <c r="AF407" s="141"/>
    </row>
    <row r="408" spans="1:32" ht="20.25">
      <c r="A408" s="281" t="s">
        <v>586</v>
      </c>
      <c r="B408" s="290"/>
      <c r="C408" s="132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50"/>
      <c r="Z408" s="140">
        <f>IF($C408="B","",VLOOKUP($C408,orig_alloc!$A$13:$B$227,2,FALSE))</f>
      </c>
      <c r="AA408" s="141"/>
      <c r="AE408" s="141"/>
      <c r="AF408" s="141"/>
    </row>
    <row r="409" spans="1:32" ht="20.25">
      <c r="A409" s="148" t="s">
        <v>587</v>
      </c>
      <c r="B409" s="149"/>
      <c r="C409" s="132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50"/>
      <c r="Z409" s="140">
        <f>IF($C409="B","",VLOOKUP($C409,orig_alloc!$A$13:$B$227,2,FALSE))</f>
      </c>
      <c r="AA409" s="141"/>
      <c r="AE409" s="141"/>
      <c r="AF409" s="141"/>
    </row>
    <row r="410" spans="1:32" ht="20.25">
      <c r="A410" s="132" t="s">
        <v>376</v>
      </c>
      <c r="B410" s="149" t="s">
        <v>588</v>
      </c>
      <c r="C410" s="148" t="s">
        <v>248</v>
      </c>
      <c r="D410" s="118">
        <f>backup!H13</f>
        <v>10928785</v>
      </c>
      <c r="E410" s="219">
        <f aca="true" t="shared" si="219" ref="E410:E416">V410-SUM(F410:U410)</f>
        <v>5650847</v>
      </c>
      <c r="F410" s="118">
        <f aca="true" ca="1" t="shared" si="220" ref="F410:O416">ROUND($D410*VLOOKUP($C410,IF(LEFT($C410,1)="K",INDIRECT("TABLE"),INDIRECT("TABLE2")),F$9+1),0)</f>
        <v>2429720</v>
      </c>
      <c r="G410" s="118">
        <f ca="1" t="shared" si="220"/>
        <v>2387</v>
      </c>
      <c r="H410" s="118">
        <f ca="1" t="shared" si="220"/>
        <v>9773</v>
      </c>
      <c r="I410" s="118">
        <f ca="1" t="shared" si="220"/>
        <v>46466</v>
      </c>
      <c r="J410" s="118">
        <f ca="1" t="shared" si="220"/>
        <v>1093</v>
      </c>
      <c r="K410" s="118">
        <f ca="1" t="shared" si="220"/>
        <v>1341791</v>
      </c>
      <c r="L410" s="118">
        <f ca="1" t="shared" si="220"/>
        <v>19622</v>
      </c>
      <c r="M410" s="118">
        <f ca="1" t="shared" si="220"/>
        <v>861075</v>
      </c>
      <c r="N410" s="118">
        <f ca="1" t="shared" si="220"/>
        <v>41341</v>
      </c>
      <c r="O410" s="118">
        <f ca="1" t="shared" si="220"/>
        <v>64028</v>
      </c>
      <c r="P410" s="118">
        <f aca="true" ca="1" t="shared" si="221" ref="P410:V416">ROUND($D410*VLOOKUP($C410,IF(LEFT($C410,1)="K",INDIRECT("TABLE"),INDIRECT("TABLE2")),P$9+1),0)</f>
        <v>0</v>
      </c>
      <c r="Q410" s="118">
        <f ca="1" t="shared" si="221"/>
        <v>380208</v>
      </c>
      <c r="R410" s="118">
        <f ca="1" t="shared" si="221"/>
        <v>22046</v>
      </c>
      <c r="S410" s="118">
        <f ca="1" t="shared" si="221"/>
        <v>56604</v>
      </c>
      <c r="T410" s="118">
        <f ca="1" t="shared" si="221"/>
        <v>0</v>
      </c>
      <c r="U410" s="118">
        <f ca="1" t="shared" si="221"/>
        <v>1784</v>
      </c>
      <c r="V410" s="118">
        <f ca="1" t="shared" si="221"/>
        <v>10928785</v>
      </c>
      <c r="W410" s="118">
        <f aca="true" t="shared" si="222" ref="W410:W434">D410-V410</f>
        <v>0</v>
      </c>
      <c r="X410" s="150"/>
      <c r="Z410" s="140" t="str">
        <f>IF($C410="B","",VLOOKUP($C410,orig_alloc!$A$13:$B$227,2,FALSE))</f>
        <v>WTD PROD DEMAND O&amp;M EXP RATIOS</v>
      </c>
      <c r="AA410" s="141"/>
      <c r="AE410" s="141"/>
      <c r="AF410" s="141"/>
    </row>
    <row r="411" spans="1:32" ht="20.25">
      <c r="A411" s="132" t="s">
        <v>377</v>
      </c>
      <c r="B411" s="149" t="s">
        <v>544</v>
      </c>
      <c r="C411" s="148" t="s">
        <v>757</v>
      </c>
      <c r="D411" s="118">
        <f>backup!H14</f>
        <v>4745687</v>
      </c>
      <c r="E411" s="219">
        <f t="shared" si="219"/>
        <v>1807919</v>
      </c>
      <c r="F411" s="118">
        <f ca="1" t="shared" si="220"/>
        <v>1237705</v>
      </c>
      <c r="G411" s="118">
        <f ca="1" t="shared" si="220"/>
        <v>371</v>
      </c>
      <c r="H411" s="118">
        <f ca="1" t="shared" si="220"/>
        <v>7431</v>
      </c>
      <c r="I411" s="118">
        <f ca="1" t="shared" si="220"/>
        <v>16766</v>
      </c>
      <c r="J411" s="118">
        <f ca="1" t="shared" si="220"/>
        <v>480</v>
      </c>
      <c r="K411" s="118">
        <f ca="1" t="shared" si="220"/>
        <v>866462</v>
      </c>
      <c r="L411" s="118">
        <f ca="1" t="shared" si="220"/>
        <v>2974</v>
      </c>
      <c r="M411" s="118">
        <f ca="1" t="shared" si="220"/>
        <v>516863</v>
      </c>
      <c r="N411" s="118">
        <f ca="1" t="shared" si="220"/>
        <v>7346</v>
      </c>
      <c r="O411" s="118">
        <f ca="1" t="shared" si="220"/>
        <v>40679</v>
      </c>
      <c r="P411" s="118">
        <f ca="1" t="shared" si="221"/>
        <v>0</v>
      </c>
      <c r="Q411" s="118">
        <f ca="1" t="shared" si="221"/>
        <v>206445</v>
      </c>
      <c r="R411" s="118">
        <f ca="1" t="shared" si="221"/>
        <v>4070</v>
      </c>
      <c r="S411" s="118">
        <f ca="1" t="shared" si="221"/>
        <v>29791</v>
      </c>
      <c r="T411" s="118">
        <f ca="1" t="shared" si="221"/>
        <v>0</v>
      </c>
      <c r="U411" s="118">
        <f ca="1" t="shared" si="221"/>
        <v>385</v>
      </c>
      <c r="V411" s="118">
        <f ca="1" t="shared" si="221"/>
        <v>4745687</v>
      </c>
      <c r="W411" s="118">
        <f t="shared" si="222"/>
        <v>0</v>
      </c>
      <c r="X411" s="150"/>
      <c r="Z411" s="140" t="str">
        <f>IF($C411="B","",VLOOKUP($C411,orig_alloc!$A$13:$B$227,2,FALSE))</f>
        <v>WTD PROD ENERGY O&amp;M EXP RATIOS</v>
      </c>
      <c r="AA411" s="141"/>
      <c r="AE411" s="141"/>
      <c r="AF411" s="141"/>
    </row>
    <row r="412" spans="1:32" ht="20.25">
      <c r="A412" s="132" t="s">
        <v>314</v>
      </c>
      <c r="B412" s="149" t="s">
        <v>545</v>
      </c>
      <c r="C412" s="148" t="s">
        <v>250</v>
      </c>
      <c r="D412" s="118">
        <f>backup!H15</f>
        <v>700565</v>
      </c>
      <c r="E412" s="219">
        <f t="shared" si="219"/>
        <v>362237</v>
      </c>
      <c r="F412" s="118">
        <f ca="1" t="shared" si="220"/>
        <v>155752</v>
      </c>
      <c r="G412" s="118">
        <f ca="1" t="shared" si="220"/>
        <v>153</v>
      </c>
      <c r="H412" s="118">
        <f ca="1" t="shared" si="220"/>
        <v>626</v>
      </c>
      <c r="I412" s="118">
        <f ca="1" t="shared" si="220"/>
        <v>2979</v>
      </c>
      <c r="J412" s="118">
        <f ca="1" t="shared" si="220"/>
        <v>70</v>
      </c>
      <c r="K412" s="118">
        <f ca="1" t="shared" si="220"/>
        <v>86012</v>
      </c>
      <c r="L412" s="118">
        <f ca="1" t="shared" si="220"/>
        <v>1258</v>
      </c>
      <c r="M412" s="118">
        <f ca="1" t="shared" si="220"/>
        <v>55197</v>
      </c>
      <c r="N412" s="118">
        <f ca="1" t="shared" si="220"/>
        <v>2650</v>
      </c>
      <c r="O412" s="118">
        <f ca="1" t="shared" si="220"/>
        <v>4104</v>
      </c>
      <c r="P412" s="118">
        <f ca="1" t="shared" si="221"/>
        <v>0</v>
      </c>
      <c r="Q412" s="118">
        <f ca="1" t="shared" si="221"/>
        <v>24372</v>
      </c>
      <c r="R412" s="118">
        <f ca="1" t="shared" si="221"/>
        <v>1413</v>
      </c>
      <c r="S412" s="118">
        <f ca="1" t="shared" si="221"/>
        <v>3628</v>
      </c>
      <c r="T412" s="118">
        <f ca="1" t="shared" si="221"/>
        <v>0</v>
      </c>
      <c r="U412" s="118">
        <f ca="1" t="shared" si="221"/>
        <v>114</v>
      </c>
      <c r="V412" s="118">
        <f ca="1" t="shared" si="221"/>
        <v>700565</v>
      </c>
      <c r="W412" s="118">
        <f t="shared" si="222"/>
        <v>0</v>
      </c>
      <c r="X412" s="150"/>
      <c r="Z412" s="140" t="str">
        <f>IF($C412="B","",VLOOKUP($C412,orig_alloc!$A$13:$B$227,2,FALSE))</f>
        <v>WTD TRANS O&amp;M EXP RATIOS</v>
      </c>
      <c r="AA412" s="141"/>
      <c r="AE412" s="141"/>
      <c r="AF412" s="141"/>
    </row>
    <row r="413" spans="1:32" ht="20.25">
      <c r="A413" s="132" t="s">
        <v>378</v>
      </c>
      <c r="B413" s="149" t="s">
        <v>589</v>
      </c>
      <c r="C413" s="148" t="s">
        <v>252</v>
      </c>
      <c r="D413" s="118">
        <f>backup!H16</f>
        <v>4565482</v>
      </c>
      <c r="E413" s="219">
        <f t="shared" si="219"/>
        <v>2249768</v>
      </c>
      <c r="F413" s="118">
        <f ca="1" t="shared" si="220"/>
        <v>1165471</v>
      </c>
      <c r="G413" s="118">
        <f ca="1" t="shared" si="220"/>
        <v>1079</v>
      </c>
      <c r="H413" s="118">
        <f ca="1" t="shared" si="220"/>
        <v>4547</v>
      </c>
      <c r="I413" s="118">
        <f ca="1" t="shared" si="220"/>
        <v>16960</v>
      </c>
      <c r="J413" s="118">
        <f ca="1" t="shared" si="220"/>
        <v>540</v>
      </c>
      <c r="K413" s="118">
        <f ca="1" t="shared" si="220"/>
        <v>675870</v>
      </c>
      <c r="L413" s="118">
        <f ca="1" t="shared" si="220"/>
        <v>7772</v>
      </c>
      <c r="M413" s="118">
        <f ca="1" t="shared" si="220"/>
        <v>338871</v>
      </c>
      <c r="N413" s="118">
        <f ca="1" t="shared" si="220"/>
        <v>15660</v>
      </c>
      <c r="O413" s="118">
        <f ca="1" t="shared" si="220"/>
        <v>28489</v>
      </c>
      <c r="P413" s="118">
        <f ca="1" t="shared" si="221"/>
        <v>0</v>
      </c>
      <c r="Q413" s="118">
        <f ca="1" t="shared" si="221"/>
        <v>22817</v>
      </c>
      <c r="R413" s="118">
        <f ca="1" t="shared" si="221"/>
        <v>1305</v>
      </c>
      <c r="S413" s="118">
        <f ca="1" t="shared" si="221"/>
        <v>35919</v>
      </c>
      <c r="T413" s="118">
        <f ca="1" t="shared" si="221"/>
        <v>0</v>
      </c>
      <c r="U413" s="118">
        <f ca="1" t="shared" si="221"/>
        <v>414</v>
      </c>
      <c r="V413" s="118">
        <f ca="1" t="shared" si="221"/>
        <v>4565482</v>
      </c>
      <c r="W413" s="118">
        <f t="shared" si="222"/>
        <v>0</v>
      </c>
      <c r="X413" s="150"/>
      <c r="Z413" s="140" t="str">
        <f>IF($C413="B","",VLOOKUP($C413,orig_alloc!$A$13:$B$227,2,FALSE))</f>
        <v>WTD DIST O&amp;M EXP RATIOS</v>
      </c>
      <c r="AA413" s="141"/>
      <c r="AE413" s="141"/>
      <c r="AF413" s="141"/>
    </row>
    <row r="414" spans="1:32" ht="20.25">
      <c r="A414" s="132" t="s">
        <v>571</v>
      </c>
      <c r="B414" s="149" t="s">
        <v>590</v>
      </c>
      <c r="C414" s="148" t="s">
        <v>253</v>
      </c>
      <c r="D414" s="118">
        <f>backup!H17</f>
        <v>4521829</v>
      </c>
      <c r="E414" s="219">
        <f t="shared" si="219"/>
        <v>4002534</v>
      </c>
      <c r="F414" s="118">
        <f ca="1" t="shared" si="220"/>
        <v>484243</v>
      </c>
      <c r="G414" s="118">
        <f ca="1" t="shared" si="220"/>
        <v>405</v>
      </c>
      <c r="H414" s="118">
        <f ca="1" t="shared" si="220"/>
        <v>2511</v>
      </c>
      <c r="I414" s="118">
        <f ca="1" t="shared" si="220"/>
        <v>3971</v>
      </c>
      <c r="J414" s="118">
        <f ca="1" t="shared" si="220"/>
        <v>632</v>
      </c>
      <c r="K414" s="118">
        <f ca="1" t="shared" si="220"/>
        <v>16310</v>
      </c>
      <c r="L414" s="118">
        <f ca="1" t="shared" si="220"/>
        <v>213</v>
      </c>
      <c r="M414" s="118">
        <f ca="1" t="shared" si="220"/>
        <v>1205</v>
      </c>
      <c r="N414" s="118">
        <f ca="1" t="shared" si="220"/>
        <v>175</v>
      </c>
      <c r="O414" s="118">
        <f ca="1" t="shared" si="220"/>
        <v>459</v>
      </c>
      <c r="P414" s="118">
        <f ca="1" t="shared" si="221"/>
        <v>0</v>
      </c>
      <c r="Q414" s="118">
        <f ca="1" t="shared" si="221"/>
        <v>444</v>
      </c>
      <c r="R414" s="118">
        <f ca="1" t="shared" si="221"/>
        <v>137</v>
      </c>
      <c r="S414" s="118">
        <f ca="1" t="shared" si="221"/>
        <v>8209</v>
      </c>
      <c r="T414" s="118">
        <f ca="1" t="shared" si="221"/>
        <v>0</v>
      </c>
      <c r="U414" s="118">
        <f ca="1" t="shared" si="221"/>
        <v>381</v>
      </c>
      <c r="V414" s="118">
        <f ca="1" t="shared" si="221"/>
        <v>4521829</v>
      </c>
      <c r="W414" s="118">
        <f t="shared" si="222"/>
        <v>0</v>
      </c>
      <c r="X414" s="150"/>
      <c r="Z414" s="140" t="str">
        <f>IF($C414="B","",VLOOKUP($C414,orig_alloc!$A$13:$B$227,2,FALSE))</f>
        <v>WTD CUST ACCT O&amp;M EXP RATIOS</v>
      </c>
      <c r="AA414" s="141"/>
      <c r="AE414" s="141"/>
      <c r="AF414" s="141"/>
    </row>
    <row r="415" spans="1:32" ht="20.25">
      <c r="A415" s="132" t="s">
        <v>577</v>
      </c>
      <c r="B415" s="149" t="s">
        <v>592</v>
      </c>
      <c r="C415" s="148" t="s">
        <v>580</v>
      </c>
      <c r="D415" s="118">
        <f>backup!H18</f>
        <v>521351</v>
      </c>
      <c r="E415" s="219">
        <f t="shared" si="219"/>
        <v>344804</v>
      </c>
      <c r="F415" s="118">
        <f ca="1" t="shared" si="220"/>
        <v>162620</v>
      </c>
      <c r="G415" s="118">
        <f ca="1" t="shared" si="220"/>
        <v>129</v>
      </c>
      <c r="H415" s="118">
        <f ca="1" t="shared" si="220"/>
        <v>1975</v>
      </c>
      <c r="I415" s="118">
        <f ca="1" t="shared" si="220"/>
        <v>1593</v>
      </c>
      <c r="J415" s="118">
        <f ca="1" t="shared" si="220"/>
        <v>372</v>
      </c>
      <c r="K415" s="118">
        <f ca="1" t="shared" si="220"/>
        <v>2348</v>
      </c>
      <c r="L415" s="118">
        <f ca="1" t="shared" si="220"/>
        <v>79</v>
      </c>
      <c r="M415" s="118">
        <f ca="1" t="shared" si="220"/>
        <v>432</v>
      </c>
      <c r="N415" s="118">
        <f ca="1" t="shared" si="220"/>
        <v>65</v>
      </c>
      <c r="O415" s="118">
        <f ca="1" t="shared" si="220"/>
        <v>159</v>
      </c>
      <c r="P415" s="118">
        <f ca="1" t="shared" si="221"/>
        <v>0</v>
      </c>
      <c r="Q415" s="118">
        <f ca="1" t="shared" si="221"/>
        <v>144</v>
      </c>
      <c r="R415" s="118">
        <f ca="1" t="shared" si="221"/>
        <v>45</v>
      </c>
      <c r="S415" s="118">
        <f ca="1" t="shared" si="221"/>
        <v>6442</v>
      </c>
      <c r="T415" s="118">
        <f ca="1" t="shared" si="221"/>
        <v>0</v>
      </c>
      <c r="U415" s="118">
        <f ca="1" t="shared" si="221"/>
        <v>144</v>
      </c>
      <c r="V415" s="118">
        <f ca="1" t="shared" si="221"/>
        <v>521351</v>
      </c>
      <c r="W415" s="118">
        <f t="shared" si="222"/>
        <v>0</v>
      </c>
      <c r="X415" s="150"/>
      <c r="Z415" s="140" t="str">
        <f>IF($C415="B","",VLOOKUP($C415,orig_alloc!$A$13:$B$227,2,FALSE))</f>
        <v>WTD CUST SERV &amp; INFO O&amp;M  EXP RATIOS</v>
      </c>
      <c r="AA415" s="141"/>
      <c r="AE415" s="141"/>
      <c r="AF415" s="141"/>
    </row>
    <row r="416" spans="1:32" ht="20.25">
      <c r="A416" s="132" t="s">
        <v>371</v>
      </c>
      <c r="B416" s="149" t="s">
        <v>594</v>
      </c>
      <c r="C416" s="148" t="s">
        <v>254</v>
      </c>
      <c r="D416" s="118">
        <f>backup!H19</f>
        <v>0</v>
      </c>
      <c r="E416" s="219">
        <f t="shared" si="219"/>
        <v>0</v>
      </c>
      <c r="F416" s="118">
        <f ca="1" t="shared" si="220"/>
        <v>0</v>
      </c>
      <c r="G416" s="118">
        <f ca="1" t="shared" si="220"/>
        <v>0</v>
      </c>
      <c r="H416" s="118">
        <f ca="1" t="shared" si="220"/>
        <v>0</v>
      </c>
      <c r="I416" s="118">
        <f ca="1" t="shared" si="220"/>
        <v>0</v>
      </c>
      <c r="J416" s="118">
        <f ca="1" t="shared" si="220"/>
        <v>0</v>
      </c>
      <c r="K416" s="118">
        <f ca="1" t="shared" si="220"/>
        <v>0</v>
      </c>
      <c r="L416" s="118">
        <f ca="1" t="shared" si="220"/>
        <v>0</v>
      </c>
      <c r="M416" s="118">
        <f ca="1" t="shared" si="220"/>
        <v>0</v>
      </c>
      <c r="N416" s="118">
        <f ca="1" t="shared" si="220"/>
        <v>0</v>
      </c>
      <c r="O416" s="118">
        <f ca="1" t="shared" si="220"/>
        <v>0</v>
      </c>
      <c r="P416" s="118">
        <f ca="1" t="shared" si="221"/>
        <v>0</v>
      </c>
      <c r="Q416" s="118">
        <f ca="1" t="shared" si="221"/>
        <v>0</v>
      </c>
      <c r="R416" s="118">
        <f ca="1" t="shared" si="221"/>
        <v>0</v>
      </c>
      <c r="S416" s="118">
        <f ca="1" t="shared" si="221"/>
        <v>0</v>
      </c>
      <c r="T416" s="118">
        <f ca="1" t="shared" si="221"/>
        <v>0</v>
      </c>
      <c r="U416" s="118">
        <f ca="1" t="shared" si="221"/>
        <v>0</v>
      </c>
      <c r="V416" s="118">
        <f ca="1" t="shared" si="221"/>
        <v>0</v>
      </c>
      <c r="W416" s="118">
        <f t="shared" si="222"/>
        <v>0</v>
      </c>
      <c r="X416" s="150"/>
      <c r="Z416" s="140" t="str">
        <f>IF($C416="B","",VLOOKUP($C416,orig_alloc!$A$13:$B$227,2,FALSE))</f>
        <v>WTD SALES O&amp;M EXP RATIOS</v>
      </c>
      <c r="AA416" s="141"/>
      <c r="AE416" s="141"/>
      <c r="AF416" s="141"/>
    </row>
    <row r="417" spans="1:32" ht="20.25">
      <c r="A417" s="148" t="s">
        <v>893</v>
      </c>
      <c r="B417" s="149" t="s">
        <v>546</v>
      </c>
      <c r="C417" s="191"/>
      <c r="D417" s="227">
        <f aca="true" t="shared" si="223" ref="D417:U417">SUM(D410:D416)</f>
        <v>25983699</v>
      </c>
      <c r="E417" s="202">
        <f t="shared" si="223"/>
        <v>14418109</v>
      </c>
      <c r="F417" s="202">
        <f t="shared" si="223"/>
        <v>5635511</v>
      </c>
      <c r="G417" s="202">
        <f t="shared" si="223"/>
        <v>4524</v>
      </c>
      <c r="H417" s="202">
        <f t="shared" si="223"/>
        <v>26863</v>
      </c>
      <c r="I417" s="202">
        <f t="shared" si="223"/>
        <v>88735</v>
      </c>
      <c r="J417" s="202">
        <f t="shared" si="223"/>
        <v>3187</v>
      </c>
      <c r="K417" s="202">
        <f t="shared" si="223"/>
        <v>2988793</v>
      </c>
      <c r="L417" s="202">
        <f t="shared" si="223"/>
        <v>31918</v>
      </c>
      <c r="M417" s="202">
        <f t="shared" si="223"/>
        <v>1773643</v>
      </c>
      <c r="N417" s="202">
        <f t="shared" si="223"/>
        <v>67237</v>
      </c>
      <c r="O417" s="202">
        <f t="shared" si="223"/>
        <v>137918</v>
      </c>
      <c r="P417" s="202">
        <f t="shared" si="223"/>
        <v>0</v>
      </c>
      <c r="Q417" s="202">
        <f t="shared" si="223"/>
        <v>634430</v>
      </c>
      <c r="R417" s="202">
        <f t="shared" si="223"/>
        <v>29016</v>
      </c>
      <c r="S417" s="202">
        <f t="shared" si="223"/>
        <v>140593</v>
      </c>
      <c r="T417" s="202">
        <f t="shared" si="223"/>
        <v>0</v>
      </c>
      <c r="U417" s="202">
        <f t="shared" si="223"/>
        <v>3222</v>
      </c>
      <c r="V417" s="202">
        <f>SUM(E417:U417)</f>
        <v>25983699</v>
      </c>
      <c r="W417" s="202">
        <f t="shared" si="222"/>
        <v>0</v>
      </c>
      <c r="X417" s="150"/>
      <c r="Z417" s="140">
        <f>IF($C417="B","",VLOOKUP($C417,orig_alloc!$A$13:$B$227,2,FALSE))</f>
      </c>
      <c r="AA417" s="141"/>
      <c r="AE417" s="141"/>
      <c r="AF417" s="141"/>
    </row>
    <row r="418" spans="1:32" ht="20.25" hidden="1">
      <c r="A418" s="148" t="s">
        <v>755</v>
      </c>
      <c r="B418" s="149" t="s">
        <v>595</v>
      </c>
      <c r="C418" s="148" t="s">
        <v>328</v>
      </c>
      <c r="D418" s="201">
        <v>0</v>
      </c>
      <c r="E418" s="219">
        <f aca="true" t="shared" si="224" ref="E418:E433">V418-SUM(F418:U418)</f>
        <v>0</v>
      </c>
      <c r="F418" s="118">
        <f aca="true" ca="1" t="shared" si="225" ref="F418:O427">ROUND($D418*VLOOKUP($C418,IF(LEFT($C418,1)="K",INDIRECT("TABLE"),INDIRECT("TABLE2")),F$9+1),0)</f>
        <v>0</v>
      </c>
      <c r="G418" s="118">
        <f ca="1" t="shared" si="225"/>
        <v>0</v>
      </c>
      <c r="H418" s="118">
        <f ca="1" t="shared" si="225"/>
        <v>0</v>
      </c>
      <c r="I418" s="118">
        <f ca="1" t="shared" si="225"/>
        <v>0</v>
      </c>
      <c r="J418" s="118">
        <f ca="1" t="shared" si="225"/>
        <v>0</v>
      </c>
      <c r="K418" s="118">
        <f ca="1" t="shared" si="225"/>
        <v>0</v>
      </c>
      <c r="L418" s="118">
        <f ca="1" t="shared" si="225"/>
        <v>0</v>
      </c>
      <c r="M418" s="118">
        <f ca="1" t="shared" si="225"/>
        <v>0</v>
      </c>
      <c r="N418" s="118">
        <f ca="1" t="shared" si="225"/>
        <v>0</v>
      </c>
      <c r="O418" s="118">
        <f ca="1" t="shared" si="225"/>
        <v>0</v>
      </c>
      <c r="P418" s="118">
        <f aca="true" ca="1" t="shared" si="226" ref="P418:V427">ROUND($D418*VLOOKUP($C418,IF(LEFT($C418,1)="K",INDIRECT("TABLE"),INDIRECT("TABLE2")),P$9+1),0)</f>
        <v>0</v>
      </c>
      <c r="Q418" s="118">
        <f ca="1" t="shared" si="226"/>
        <v>0</v>
      </c>
      <c r="R418" s="118">
        <f ca="1" t="shared" si="226"/>
        <v>0</v>
      </c>
      <c r="S418" s="118">
        <f ca="1" t="shared" si="226"/>
        <v>0</v>
      </c>
      <c r="T418" s="118">
        <f ca="1" t="shared" si="226"/>
        <v>0</v>
      </c>
      <c r="U418" s="118">
        <f ca="1" t="shared" si="226"/>
        <v>0</v>
      </c>
      <c r="V418" s="118">
        <f ca="1" t="shared" si="226"/>
        <v>0</v>
      </c>
      <c r="W418" s="118">
        <f t="shared" si="222"/>
        <v>0</v>
      </c>
      <c r="X418" s="150"/>
      <c r="Z418" s="140" t="str">
        <f>IF($C418="B","",VLOOKUP($C418,orig_alloc!$A$13:$B$227,2,FALSE))</f>
        <v>WTD NET PLANT RATIOS</v>
      </c>
      <c r="AA418" s="141"/>
      <c r="AE418" s="141"/>
      <c r="AF418" s="141"/>
    </row>
    <row r="419" spans="1:32" ht="20.25">
      <c r="A419" s="148" t="s">
        <v>593</v>
      </c>
      <c r="B419" s="149" t="s">
        <v>596</v>
      </c>
      <c r="C419" s="148" t="s">
        <v>546</v>
      </c>
      <c r="D419" s="201">
        <v>78333</v>
      </c>
      <c r="E419" s="219">
        <f t="shared" si="224"/>
        <v>43465</v>
      </c>
      <c r="F419" s="118">
        <f ca="1" t="shared" si="225"/>
        <v>16989</v>
      </c>
      <c r="G419" s="118">
        <f ca="1" t="shared" si="225"/>
        <v>14</v>
      </c>
      <c r="H419" s="118">
        <f ca="1" t="shared" si="225"/>
        <v>81</v>
      </c>
      <c r="I419" s="118">
        <f ca="1" t="shared" si="225"/>
        <v>268</v>
      </c>
      <c r="J419" s="118">
        <f ca="1" t="shared" si="225"/>
        <v>10</v>
      </c>
      <c r="K419" s="118">
        <f ca="1" t="shared" si="225"/>
        <v>9010</v>
      </c>
      <c r="L419" s="118">
        <f ca="1" t="shared" si="225"/>
        <v>96</v>
      </c>
      <c r="M419" s="118">
        <f ca="1" t="shared" si="225"/>
        <v>5347</v>
      </c>
      <c r="N419" s="118">
        <f ca="1" t="shared" si="225"/>
        <v>203</v>
      </c>
      <c r="O419" s="118">
        <f ca="1" t="shared" si="225"/>
        <v>416</v>
      </c>
      <c r="P419" s="118">
        <f ca="1" t="shared" si="226"/>
        <v>0</v>
      </c>
      <c r="Q419" s="118">
        <f ca="1" t="shared" si="226"/>
        <v>1913</v>
      </c>
      <c r="R419" s="118">
        <f ca="1" t="shared" si="226"/>
        <v>87</v>
      </c>
      <c r="S419" s="118">
        <f ca="1" t="shared" si="226"/>
        <v>424</v>
      </c>
      <c r="T419" s="118">
        <f ca="1" t="shared" si="226"/>
        <v>0</v>
      </c>
      <c r="U419" s="118">
        <f ca="1" t="shared" si="226"/>
        <v>10</v>
      </c>
      <c r="V419" s="118">
        <f ca="1" t="shared" si="226"/>
        <v>78333</v>
      </c>
      <c r="W419" s="118">
        <f t="shared" si="222"/>
        <v>0</v>
      </c>
      <c r="X419" s="150"/>
      <c r="Z419" s="140" t="str">
        <f>IF($C419="B","",VLOOKUP($C419,orig_alloc!$A$13:$B$227,2,FALSE))</f>
        <v>WTD A&amp;G EXPENSE UNADJUSTED</v>
      </c>
      <c r="AA419" s="141"/>
      <c r="AE419" s="141"/>
      <c r="AF419" s="141"/>
    </row>
    <row r="420" spans="1:32" ht="20.25" hidden="1">
      <c r="A420" s="148" t="s">
        <v>728</v>
      </c>
      <c r="B420" s="149" t="s">
        <v>597</v>
      </c>
      <c r="C420" s="148" t="s">
        <v>546</v>
      </c>
      <c r="D420" s="201">
        <v>0</v>
      </c>
      <c r="E420" s="219">
        <f t="shared" si="224"/>
        <v>0</v>
      </c>
      <c r="F420" s="118">
        <f ca="1" t="shared" si="225"/>
        <v>0</v>
      </c>
      <c r="G420" s="118">
        <f ca="1" t="shared" si="225"/>
        <v>0</v>
      </c>
      <c r="H420" s="118">
        <f ca="1" t="shared" si="225"/>
        <v>0</v>
      </c>
      <c r="I420" s="118">
        <f ca="1" t="shared" si="225"/>
        <v>0</v>
      </c>
      <c r="J420" s="118">
        <f ca="1" t="shared" si="225"/>
        <v>0</v>
      </c>
      <c r="K420" s="118">
        <f ca="1" t="shared" si="225"/>
        <v>0</v>
      </c>
      <c r="L420" s="118">
        <f ca="1" t="shared" si="225"/>
        <v>0</v>
      </c>
      <c r="M420" s="118">
        <f ca="1" t="shared" si="225"/>
        <v>0</v>
      </c>
      <c r="N420" s="118">
        <f ca="1" t="shared" si="225"/>
        <v>0</v>
      </c>
      <c r="O420" s="118">
        <f ca="1" t="shared" si="225"/>
        <v>0</v>
      </c>
      <c r="P420" s="118">
        <f ca="1" t="shared" si="226"/>
        <v>0</v>
      </c>
      <c r="Q420" s="118">
        <f ca="1" t="shared" si="226"/>
        <v>0</v>
      </c>
      <c r="R420" s="118">
        <f ca="1" t="shared" si="226"/>
        <v>0</v>
      </c>
      <c r="S420" s="118">
        <f ca="1" t="shared" si="226"/>
        <v>0</v>
      </c>
      <c r="T420" s="118">
        <f ca="1" t="shared" si="226"/>
        <v>0</v>
      </c>
      <c r="U420" s="118">
        <f ca="1" t="shared" si="226"/>
        <v>0</v>
      </c>
      <c r="V420" s="118">
        <f ca="1" t="shared" si="226"/>
        <v>0</v>
      </c>
      <c r="W420" s="118">
        <f t="shared" si="222"/>
        <v>0</v>
      </c>
      <c r="X420" s="150"/>
      <c r="Z420" s="140" t="str">
        <f>IF($C420="B","",VLOOKUP($C420,orig_alloc!$A$13:$B$227,2,FALSE))</f>
        <v>WTD A&amp;G EXPENSE UNADJUSTED</v>
      </c>
      <c r="AA420" s="141"/>
      <c r="AE420" s="141"/>
      <c r="AF420" s="141"/>
    </row>
    <row r="421" spans="1:32" ht="20.25" hidden="1">
      <c r="A421" s="148" t="s">
        <v>833</v>
      </c>
      <c r="B421" s="149" t="s">
        <v>598</v>
      </c>
      <c r="C421" s="148" t="s">
        <v>546</v>
      </c>
      <c r="D421" s="201">
        <v>0</v>
      </c>
      <c r="E421" s="219">
        <f t="shared" si="224"/>
        <v>0</v>
      </c>
      <c r="F421" s="118">
        <f ca="1" t="shared" si="225"/>
        <v>0</v>
      </c>
      <c r="G421" s="118">
        <f ca="1" t="shared" si="225"/>
        <v>0</v>
      </c>
      <c r="H421" s="118">
        <f ca="1" t="shared" si="225"/>
        <v>0</v>
      </c>
      <c r="I421" s="118">
        <f ca="1" t="shared" si="225"/>
        <v>0</v>
      </c>
      <c r="J421" s="118">
        <f ca="1" t="shared" si="225"/>
        <v>0</v>
      </c>
      <c r="K421" s="118">
        <f ca="1" t="shared" si="225"/>
        <v>0</v>
      </c>
      <c r="L421" s="118">
        <f ca="1" t="shared" si="225"/>
        <v>0</v>
      </c>
      <c r="M421" s="118">
        <f ca="1" t="shared" si="225"/>
        <v>0</v>
      </c>
      <c r="N421" s="118">
        <f ca="1" t="shared" si="225"/>
        <v>0</v>
      </c>
      <c r="O421" s="118">
        <f ca="1" t="shared" si="225"/>
        <v>0</v>
      </c>
      <c r="P421" s="118">
        <f ca="1" t="shared" si="226"/>
        <v>0</v>
      </c>
      <c r="Q421" s="118">
        <f ca="1" t="shared" si="226"/>
        <v>0</v>
      </c>
      <c r="R421" s="118">
        <f ca="1" t="shared" si="226"/>
        <v>0</v>
      </c>
      <c r="S421" s="118">
        <f ca="1" t="shared" si="226"/>
        <v>0</v>
      </c>
      <c r="T421" s="118">
        <f ca="1" t="shared" si="226"/>
        <v>0</v>
      </c>
      <c r="U421" s="118">
        <f ca="1" t="shared" si="226"/>
        <v>0</v>
      </c>
      <c r="V421" s="118">
        <f ca="1" t="shared" si="226"/>
        <v>0</v>
      </c>
      <c r="W421" s="118">
        <f t="shared" si="222"/>
        <v>0</v>
      </c>
      <c r="X421" s="150"/>
      <c r="Z421" s="140" t="str">
        <f>IF($C421="B","",VLOOKUP($C421,orig_alloc!$A$13:$B$227,2,FALSE))</f>
        <v>WTD A&amp;G EXPENSE UNADJUSTED</v>
      </c>
      <c r="AA421" s="141"/>
      <c r="AE421" s="141"/>
      <c r="AF421" s="141"/>
    </row>
    <row r="422" spans="1:32" ht="20.25" hidden="1">
      <c r="A422" s="148" t="s">
        <v>591</v>
      </c>
      <c r="B422" s="149" t="s">
        <v>756</v>
      </c>
      <c r="C422" s="148" t="s">
        <v>546</v>
      </c>
      <c r="D422" s="201">
        <v>0</v>
      </c>
      <c r="E422" s="219">
        <f t="shared" si="224"/>
        <v>0</v>
      </c>
      <c r="F422" s="118">
        <f ca="1" t="shared" si="225"/>
        <v>0</v>
      </c>
      <c r="G422" s="118">
        <f ca="1" t="shared" si="225"/>
        <v>0</v>
      </c>
      <c r="H422" s="118">
        <f ca="1" t="shared" si="225"/>
        <v>0</v>
      </c>
      <c r="I422" s="118">
        <f ca="1" t="shared" si="225"/>
        <v>0</v>
      </c>
      <c r="J422" s="118">
        <f ca="1" t="shared" si="225"/>
        <v>0</v>
      </c>
      <c r="K422" s="118">
        <f ca="1" t="shared" si="225"/>
        <v>0</v>
      </c>
      <c r="L422" s="118">
        <f ca="1" t="shared" si="225"/>
        <v>0</v>
      </c>
      <c r="M422" s="118">
        <f ca="1" t="shared" si="225"/>
        <v>0</v>
      </c>
      <c r="N422" s="118">
        <f ca="1" t="shared" si="225"/>
        <v>0</v>
      </c>
      <c r="O422" s="118">
        <f ca="1" t="shared" si="225"/>
        <v>0</v>
      </c>
      <c r="P422" s="118">
        <f ca="1" t="shared" si="226"/>
        <v>0</v>
      </c>
      <c r="Q422" s="118">
        <f ca="1" t="shared" si="226"/>
        <v>0</v>
      </c>
      <c r="R422" s="118">
        <f ca="1" t="shared" si="226"/>
        <v>0</v>
      </c>
      <c r="S422" s="118">
        <f ca="1" t="shared" si="226"/>
        <v>0</v>
      </c>
      <c r="T422" s="118">
        <f ca="1" t="shared" si="226"/>
        <v>0</v>
      </c>
      <c r="U422" s="118">
        <f ca="1" t="shared" si="226"/>
        <v>0</v>
      </c>
      <c r="V422" s="118">
        <f ca="1" t="shared" si="226"/>
        <v>0</v>
      </c>
      <c r="W422" s="118">
        <f t="shared" si="222"/>
        <v>0</v>
      </c>
      <c r="X422" s="150"/>
      <c r="Z422" s="140" t="str">
        <f>IF($C422="B","",VLOOKUP($C422,orig_alloc!$A$13:$B$227,2,FALSE))</f>
        <v>WTD A&amp;G EXPENSE UNADJUSTED</v>
      </c>
      <c r="AA422" s="141"/>
      <c r="AE422" s="141"/>
      <c r="AF422" s="141"/>
    </row>
    <row r="423" spans="1:32" ht="20.25" hidden="1">
      <c r="A423" s="148" t="s">
        <v>729</v>
      </c>
      <c r="B423" s="149" t="s">
        <v>600</v>
      </c>
      <c r="C423" s="148" t="s">
        <v>546</v>
      </c>
      <c r="D423" s="201">
        <v>0</v>
      </c>
      <c r="E423" s="219">
        <f t="shared" si="224"/>
        <v>0</v>
      </c>
      <c r="F423" s="118">
        <f ca="1" t="shared" si="225"/>
        <v>0</v>
      </c>
      <c r="G423" s="118">
        <f ca="1" t="shared" si="225"/>
        <v>0</v>
      </c>
      <c r="H423" s="118">
        <f ca="1" t="shared" si="225"/>
        <v>0</v>
      </c>
      <c r="I423" s="118">
        <f ca="1" t="shared" si="225"/>
        <v>0</v>
      </c>
      <c r="J423" s="118">
        <f ca="1" t="shared" si="225"/>
        <v>0</v>
      </c>
      <c r="K423" s="118">
        <f ca="1" t="shared" si="225"/>
        <v>0</v>
      </c>
      <c r="L423" s="118">
        <f ca="1" t="shared" si="225"/>
        <v>0</v>
      </c>
      <c r="M423" s="118">
        <f ca="1" t="shared" si="225"/>
        <v>0</v>
      </c>
      <c r="N423" s="118">
        <f ca="1" t="shared" si="225"/>
        <v>0</v>
      </c>
      <c r="O423" s="118">
        <f ca="1" t="shared" si="225"/>
        <v>0</v>
      </c>
      <c r="P423" s="118">
        <f ca="1" t="shared" si="226"/>
        <v>0</v>
      </c>
      <c r="Q423" s="118">
        <f ca="1" t="shared" si="226"/>
        <v>0</v>
      </c>
      <c r="R423" s="118">
        <f ca="1" t="shared" si="226"/>
        <v>0</v>
      </c>
      <c r="S423" s="118">
        <f ca="1" t="shared" si="226"/>
        <v>0</v>
      </c>
      <c r="T423" s="118">
        <f ca="1" t="shared" si="226"/>
        <v>0</v>
      </c>
      <c r="U423" s="118">
        <f ca="1" t="shared" si="226"/>
        <v>0</v>
      </c>
      <c r="V423" s="118">
        <f ca="1" t="shared" si="226"/>
        <v>0</v>
      </c>
      <c r="W423" s="118">
        <f t="shared" si="222"/>
        <v>0</v>
      </c>
      <c r="X423" s="150"/>
      <c r="Z423" s="140" t="str">
        <f>IF($C423="B","",VLOOKUP($C423,orig_alloc!$A$13:$B$227,2,FALSE))</f>
        <v>WTD A&amp;G EXPENSE UNADJUSTED</v>
      </c>
      <c r="AA423" s="141"/>
      <c r="AE423" s="141"/>
      <c r="AF423" s="141"/>
    </row>
    <row r="424" spans="1:32" ht="20.25" hidden="1">
      <c r="A424" s="148" t="s">
        <v>730</v>
      </c>
      <c r="B424" s="149" t="s">
        <v>602</v>
      </c>
      <c r="C424" s="148" t="s">
        <v>546</v>
      </c>
      <c r="D424" s="201">
        <v>0</v>
      </c>
      <c r="E424" s="219">
        <f t="shared" si="224"/>
        <v>0</v>
      </c>
      <c r="F424" s="118">
        <f ca="1" t="shared" si="225"/>
        <v>0</v>
      </c>
      <c r="G424" s="118">
        <f ca="1" t="shared" si="225"/>
        <v>0</v>
      </c>
      <c r="H424" s="118">
        <f ca="1" t="shared" si="225"/>
        <v>0</v>
      </c>
      <c r="I424" s="118">
        <f ca="1" t="shared" si="225"/>
        <v>0</v>
      </c>
      <c r="J424" s="118">
        <f ca="1" t="shared" si="225"/>
        <v>0</v>
      </c>
      <c r="K424" s="118">
        <f ca="1" t="shared" si="225"/>
        <v>0</v>
      </c>
      <c r="L424" s="118">
        <f ca="1" t="shared" si="225"/>
        <v>0</v>
      </c>
      <c r="M424" s="118">
        <f ca="1" t="shared" si="225"/>
        <v>0</v>
      </c>
      <c r="N424" s="118">
        <f ca="1" t="shared" si="225"/>
        <v>0</v>
      </c>
      <c r="O424" s="118">
        <f ca="1" t="shared" si="225"/>
        <v>0</v>
      </c>
      <c r="P424" s="118">
        <f ca="1" t="shared" si="226"/>
        <v>0</v>
      </c>
      <c r="Q424" s="118">
        <f ca="1" t="shared" si="226"/>
        <v>0</v>
      </c>
      <c r="R424" s="118">
        <f ca="1" t="shared" si="226"/>
        <v>0</v>
      </c>
      <c r="S424" s="118">
        <f ca="1" t="shared" si="226"/>
        <v>0</v>
      </c>
      <c r="T424" s="118">
        <f ca="1" t="shared" si="226"/>
        <v>0</v>
      </c>
      <c r="U424" s="118">
        <f ca="1" t="shared" si="226"/>
        <v>0</v>
      </c>
      <c r="V424" s="118">
        <f ca="1" t="shared" si="226"/>
        <v>0</v>
      </c>
      <c r="W424" s="118">
        <f t="shared" si="222"/>
        <v>0</v>
      </c>
      <c r="X424" s="150"/>
      <c r="Z424" s="140" t="str">
        <f>IF($C424="B","",VLOOKUP($C424,orig_alloc!$A$13:$B$227,2,FALSE))</f>
        <v>WTD A&amp;G EXPENSE UNADJUSTED</v>
      </c>
      <c r="AA424" s="141"/>
      <c r="AE424" s="141"/>
      <c r="AF424" s="141"/>
    </row>
    <row r="425" spans="1:32" ht="20.25" hidden="1">
      <c r="A425" s="148" t="s">
        <v>599</v>
      </c>
      <c r="B425" s="149" t="s">
        <v>604</v>
      </c>
      <c r="C425" s="148" t="s">
        <v>546</v>
      </c>
      <c r="D425" s="201">
        <v>0</v>
      </c>
      <c r="E425" s="219">
        <f t="shared" si="224"/>
        <v>0</v>
      </c>
      <c r="F425" s="118">
        <f ca="1" t="shared" si="225"/>
        <v>0</v>
      </c>
      <c r="G425" s="118">
        <f ca="1" t="shared" si="225"/>
        <v>0</v>
      </c>
      <c r="H425" s="118">
        <f ca="1" t="shared" si="225"/>
        <v>0</v>
      </c>
      <c r="I425" s="118">
        <f ca="1" t="shared" si="225"/>
        <v>0</v>
      </c>
      <c r="J425" s="118">
        <f ca="1" t="shared" si="225"/>
        <v>0</v>
      </c>
      <c r="K425" s="118">
        <f ca="1" t="shared" si="225"/>
        <v>0</v>
      </c>
      <c r="L425" s="118">
        <f ca="1" t="shared" si="225"/>
        <v>0</v>
      </c>
      <c r="M425" s="118">
        <f ca="1" t="shared" si="225"/>
        <v>0</v>
      </c>
      <c r="N425" s="118">
        <f ca="1" t="shared" si="225"/>
        <v>0</v>
      </c>
      <c r="O425" s="118">
        <f ca="1" t="shared" si="225"/>
        <v>0</v>
      </c>
      <c r="P425" s="118">
        <f ca="1" t="shared" si="226"/>
        <v>0</v>
      </c>
      <c r="Q425" s="118">
        <f ca="1" t="shared" si="226"/>
        <v>0</v>
      </c>
      <c r="R425" s="118">
        <f ca="1" t="shared" si="226"/>
        <v>0</v>
      </c>
      <c r="S425" s="118">
        <f ca="1" t="shared" si="226"/>
        <v>0</v>
      </c>
      <c r="T425" s="118">
        <f ca="1" t="shared" si="226"/>
        <v>0</v>
      </c>
      <c r="U425" s="118">
        <f ca="1" t="shared" si="226"/>
        <v>0</v>
      </c>
      <c r="V425" s="118">
        <f ca="1" t="shared" si="226"/>
        <v>0</v>
      </c>
      <c r="W425" s="118">
        <f t="shared" si="222"/>
        <v>0</v>
      </c>
      <c r="X425" s="150"/>
      <c r="Z425" s="140" t="str">
        <f>IF($C425="B","",VLOOKUP($C425,orig_alloc!$A$13:$B$227,2,FALSE))</f>
        <v>WTD A&amp;G EXPENSE UNADJUSTED</v>
      </c>
      <c r="AA425" s="141"/>
      <c r="AE425" s="141"/>
      <c r="AF425" s="141"/>
    </row>
    <row r="426" spans="1:32" ht="20.25">
      <c r="A426" s="148" t="s">
        <v>1271</v>
      </c>
      <c r="B426" s="149" t="s">
        <v>605</v>
      </c>
      <c r="C426" s="148" t="s">
        <v>546</v>
      </c>
      <c r="D426" s="201">
        <v>-129507</v>
      </c>
      <c r="E426" s="219">
        <f t="shared" si="224"/>
        <v>-71862</v>
      </c>
      <c r="F426" s="118">
        <f ca="1" t="shared" si="225"/>
        <v>-28088</v>
      </c>
      <c r="G426" s="118">
        <f ca="1" t="shared" si="225"/>
        <v>-23</v>
      </c>
      <c r="H426" s="118">
        <f ca="1" t="shared" si="225"/>
        <v>-134</v>
      </c>
      <c r="I426" s="118">
        <f ca="1" t="shared" si="225"/>
        <v>-442</v>
      </c>
      <c r="J426" s="118">
        <f ca="1" t="shared" si="225"/>
        <v>-16</v>
      </c>
      <c r="K426" s="118">
        <f ca="1" t="shared" si="225"/>
        <v>-14897</v>
      </c>
      <c r="L426" s="118">
        <f ca="1" t="shared" si="225"/>
        <v>-159</v>
      </c>
      <c r="M426" s="118">
        <f ca="1" t="shared" si="225"/>
        <v>-8840</v>
      </c>
      <c r="N426" s="118">
        <f ca="1" t="shared" si="225"/>
        <v>-335</v>
      </c>
      <c r="O426" s="118">
        <f ca="1" t="shared" si="225"/>
        <v>-687</v>
      </c>
      <c r="P426" s="118">
        <f ca="1" t="shared" si="226"/>
        <v>0</v>
      </c>
      <c r="Q426" s="118">
        <f ca="1" t="shared" si="226"/>
        <v>-3162</v>
      </c>
      <c r="R426" s="118">
        <f ca="1" t="shared" si="226"/>
        <v>-145</v>
      </c>
      <c r="S426" s="118">
        <f ca="1" t="shared" si="226"/>
        <v>-701</v>
      </c>
      <c r="T426" s="118">
        <f ca="1" t="shared" si="226"/>
        <v>0</v>
      </c>
      <c r="U426" s="118">
        <f ca="1" t="shared" si="226"/>
        <v>-16</v>
      </c>
      <c r="V426" s="118">
        <f ca="1" t="shared" si="226"/>
        <v>-129507</v>
      </c>
      <c r="W426" s="118">
        <f t="shared" si="222"/>
        <v>0</v>
      </c>
      <c r="X426" s="150"/>
      <c r="Z426" s="140" t="str">
        <f>IF($C426="B","",VLOOKUP($C426,orig_alloc!$A$13:$B$227,2,FALSE))</f>
        <v>WTD A&amp;G EXPENSE UNADJUSTED</v>
      </c>
      <c r="AA426" s="141"/>
      <c r="AE426" s="141"/>
      <c r="AF426" s="141"/>
    </row>
    <row r="427" spans="1:32" ht="20.25">
      <c r="A427" s="148" t="s">
        <v>1349</v>
      </c>
      <c r="B427" s="149" t="s">
        <v>606</v>
      </c>
      <c r="C427" s="148" t="s">
        <v>546</v>
      </c>
      <c r="D427" s="201">
        <v>82589</v>
      </c>
      <c r="E427" s="219">
        <f t="shared" si="224"/>
        <v>45829</v>
      </c>
      <c r="F427" s="118">
        <f ca="1" t="shared" si="225"/>
        <v>17912</v>
      </c>
      <c r="G427" s="118">
        <f ca="1" t="shared" si="225"/>
        <v>14</v>
      </c>
      <c r="H427" s="118">
        <f ca="1" t="shared" si="225"/>
        <v>85</v>
      </c>
      <c r="I427" s="118">
        <f ca="1" t="shared" si="225"/>
        <v>282</v>
      </c>
      <c r="J427" s="118">
        <f ca="1" t="shared" si="225"/>
        <v>10</v>
      </c>
      <c r="K427" s="118">
        <f ca="1" t="shared" si="225"/>
        <v>9500</v>
      </c>
      <c r="L427" s="118">
        <f ca="1" t="shared" si="225"/>
        <v>101</v>
      </c>
      <c r="M427" s="118">
        <f ca="1" t="shared" si="225"/>
        <v>5638</v>
      </c>
      <c r="N427" s="118">
        <f ca="1" t="shared" si="225"/>
        <v>214</v>
      </c>
      <c r="O427" s="118">
        <f ca="1" t="shared" si="225"/>
        <v>438</v>
      </c>
      <c r="P427" s="118">
        <f ca="1" t="shared" si="226"/>
        <v>0</v>
      </c>
      <c r="Q427" s="118">
        <f ca="1" t="shared" si="226"/>
        <v>2017</v>
      </c>
      <c r="R427" s="118">
        <f ca="1" t="shared" si="226"/>
        <v>92</v>
      </c>
      <c r="S427" s="118">
        <f ca="1" t="shared" si="226"/>
        <v>447</v>
      </c>
      <c r="T427" s="118">
        <f ca="1" t="shared" si="226"/>
        <v>0</v>
      </c>
      <c r="U427" s="118">
        <f ca="1" t="shared" si="226"/>
        <v>10</v>
      </c>
      <c r="V427" s="118">
        <f ca="1" t="shared" si="226"/>
        <v>82589</v>
      </c>
      <c r="W427" s="118">
        <f t="shared" si="222"/>
        <v>0</v>
      </c>
      <c r="X427" s="150"/>
      <c r="Z427" s="140" t="str">
        <f>IF($C427="B","",VLOOKUP($C427,orig_alloc!$A$13:$B$227,2,FALSE))</f>
        <v>WTD A&amp;G EXPENSE UNADJUSTED</v>
      </c>
      <c r="AA427" s="141"/>
      <c r="AE427" s="141"/>
      <c r="AF427" s="141"/>
    </row>
    <row r="428" spans="1:32" ht="20.25" hidden="1">
      <c r="A428" s="148" t="s">
        <v>601</v>
      </c>
      <c r="B428" s="149" t="s">
        <v>607</v>
      </c>
      <c r="C428" s="148" t="s">
        <v>546</v>
      </c>
      <c r="D428" s="201">
        <v>0</v>
      </c>
      <c r="E428" s="219">
        <f t="shared" si="224"/>
        <v>0</v>
      </c>
      <c r="F428" s="118">
        <f aca="true" ca="1" t="shared" si="227" ref="F428:O433">ROUND($D428*VLOOKUP($C428,IF(LEFT($C428,1)="K",INDIRECT("TABLE"),INDIRECT("TABLE2")),F$9+1),0)</f>
        <v>0</v>
      </c>
      <c r="G428" s="118">
        <f ca="1" t="shared" si="227"/>
        <v>0</v>
      </c>
      <c r="H428" s="118">
        <f ca="1" t="shared" si="227"/>
        <v>0</v>
      </c>
      <c r="I428" s="118">
        <f ca="1" t="shared" si="227"/>
        <v>0</v>
      </c>
      <c r="J428" s="118">
        <f ca="1" t="shared" si="227"/>
        <v>0</v>
      </c>
      <c r="K428" s="118">
        <f ca="1" t="shared" si="227"/>
        <v>0</v>
      </c>
      <c r="L428" s="118">
        <f ca="1" t="shared" si="227"/>
        <v>0</v>
      </c>
      <c r="M428" s="118">
        <f ca="1" t="shared" si="227"/>
        <v>0</v>
      </c>
      <c r="N428" s="118">
        <f ca="1" t="shared" si="227"/>
        <v>0</v>
      </c>
      <c r="O428" s="118">
        <f ca="1" t="shared" si="227"/>
        <v>0</v>
      </c>
      <c r="P428" s="118">
        <f aca="true" ca="1" t="shared" si="228" ref="P428:V433">ROUND($D428*VLOOKUP($C428,IF(LEFT($C428,1)="K",INDIRECT("TABLE"),INDIRECT("TABLE2")),P$9+1),0)</f>
        <v>0</v>
      </c>
      <c r="Q428" s="118">
        <f ca="1" t="shared" si="228"/>
        <v>0</v>
      </c>
      <c r="R428" s="118">
        <f ca="1" t="shared" si="228"/>
        <v>0</v>
      </c>
      <c r="S428" s="118">
        <f ca="1" t="shared" si="228"/>
        <v>0</v>
      </c>
      <c r="T428" s="118">
        <f ca="1" t="shared" si="228"/>
        <v>0</v>
      </c>
      <c r="U428" s="118">
        <f ca="1" t="shared" si="228"/>
        <v>0</v>
      </c>
      <c r="V428" s="118">
        <f ca="1" t="shared" si="228"/>
        <v>0</v>
      </c>
      <c r="W428" s="118">
        <f t="shared" si="222"/>
        <v>0</v>
      </c>
      <c r="X428" s="150"/>
      <c r="Z428" s="140" t="str">
        <f>IF($C428="B","",VLOOKUP($C428,orig_alloc!$A$13:$B$227,2,FALSE))</f>
        <v>WTD A&amp;G EXPENSE UNADJUSTED</v>
      </c>
      <c r="AA428" s="141"/>
      <c r="AE428" s="141"/>
      <c r="AF428" s="141"/>
    </row>
    <row r="429" spans="1:32" ht="20.25" hidden="1">
      <c r="A429" s="148" t="s">
        <v>1309</v>
      </c>
      <c r="B429" s="149" t="s">
        <v>547</v>
      </c>
      <c r="C429" s="148" t="s">
        <v>546</v>
      </c>
      <c r="D429" s="201">
        <v>0</v>
      </c>
      <c r="E429" s="219">
        <f t="shared" si="224"/>
        <v>0</v>
      </c>
      <c r="F429" s="118">
        <f ca="1" t="shared" si="227"/>
        <v>0</v>
      </c>
      <c r="G429" s="118">
        <f ca="1" t="shared" si="227"/>
        <v>0</v>
      </c>
      <c r="H429" s="118">
        <f ca="1" t="shared" si="227"/>
        <v>0</v>
      </c>
      <c r="I429" s="118">
        <f ca="1" t="shared" si="227"/>
        <v>0</v>
      </c>
      <c r="J429" s="118">
        <f ca="1" t="shared" si="227"/>
        <v>0</v>
      </c>
      <c r="K429" s="118">
        <f ca="1" t="shared" si="227"/>
        <v>0</v>
      </c>
      <c r="L429" s="118">
        <f ca="1" t="shared" si="227"/>
        <v>0</v>
      </c>
      <c r="M429" s="118">
        <f ca="1" t="shared" si="227"/>
        <v>0</v>
      </c>
      <c r="N429" s="118">
        <f ca="1" t="shared" si="227"/>
        <v>0</v>
      </c>
      <c r="O429" s="118">
        <f ca="1" t="shared" si="227"/>
        <v>0</v>
      </c>
      <c r="P429" s="118">
        <f ca="1" t="shared" si="228"/>
        <v>0</v>
      </c>
      <c r="Q429" s="118">
        <f ca="1" t="shared" si="228"/>
        <v>0</v>
      </c>
      <c r="R429" s="118">
        <f ca="1" t="shared" si="228"/>
        <v>0</v>
      </c>
      <c r="S429" s="118">
        <f ca="1" t="shared" si="228"/>
        <v>0</v>
      </c>
      <c r="T429" s="118">
        <f ca="1" t="shared" si="228"/>
        <v>0</v>
      </c>
      <c r="U429" s="118">
        <f ca="1" t="shared" si="228"/>
        <v>0</v>
      </c>
      <c r="V429" s="118">
        <f ca="1" t="shared" si="228"/>
        <v>0</v>
      </c>
      <c r="W429" s="118">
        <f t="shared" si="222"/>
        <v>0</v>
      </c>
      <c r="X429" s="150"/>
      <c r="Z429" s="140" t="str">
        <f>IF($C429="B","",VLOOKUP($C429,orig_alloc!$A$13:$B$227,2,FALSE))</f>
        <v>WTD A&amp;G EXPENSE UNADJUSTED</v>
      </c>
      <c r="AA429" s="141"/>
      <c r="AE429" s="141"/>
      <c r="AF429" s="141"/>
    </row>
    <row r="430" spans="1:32" ht="20.25" hidden="1">
      <c r="A430" s="148" t="s">
        <v>603</v>
      </c>
      <c r="B430" s="149" t="s">
        <v>548</v>
      </c>
      <c r="C430" s="148" t="s">
        <v>546</v>
      </c>
      <c r="D430" s="201">
        <v>0</v>
      </c>
      <c r="E430" s="219">
        <f t="shared" si="224"/>
        <v>0</v>
      </c>
      <c r="F430" s="118">
        <f ca="1" t="shared" si="227"/>
        <v>0</v>
      </c>
      <c r="G430" s="118">
        <f ca="1" t="shared" si="227"/>
        <v>0</v>
      </c>
      <c r="H430" s="118">
        <f ca="1" t="shared" si="227"/>
        <v>0</v>
      </c>
      <c r="I430" s="118">
        <f ca="1" t="shared" si="227"/>
        <v>0</v>
      </c>
      <c r="J430" s="118">
        <f ca="1" t="shared" si="227"/>
        <v>0</v>
      </c>
      <c r="K430" s="118">
        <f ca="1" t="shared" si="227"/>
        <v>0</v>
      </c>
      <c r="L430" s="118">
        <f ca="1" t="shared" si="227"/>
        <v>0</v>
      </c>
      <c r="M430" s="118">
        <f ca="1" t="shared" si="227"/>
        <v>0</v>
      </c>
      <c r="N430" s="118">
        <f ca="1" t="shared" si="227"/>
        <v>0</v>
      </c>
      <c r="O430" s="118">
        <f ca="1" t="shared" si="227"/>
        <v>0</v>
      </c>
      <c r="P430" s="118">
        <f ca="1" t="shared" si="228"/>
        <v>0</v>
      </c>
      <c r="Q430" s="118">
        <f ca="1" t="shared" si="228"/>
        <v>0</v>
      </c>
      <c r="R430" s="118">
        <f ca="1" t="shared" si="228"/>
        <v>0</v>
      </c>
      <c r="S430" s="118">
        <f ca="1" t="shared" si="228"/>
        <v>0</v>
      </c>
      <c r="T430" s="118">
        <f ca="1" t="shared" si="228"/>
        <v>0</v>
      </c>
      <c r="U430" s="118">
        <f ca="1" t="shared" si="228"/>
        <v>0</v>
      </c>
      <c r="V430" s="118">
        <f ca="1" t="shared" si="228"/>
        <v>0</v>
      </c>
      <c r="W430" s="118">
        <f t="shared" si="222"/>
        <v>0</v>
      </c>
      <c r="X430" s="150"/>
      <c r="Z430" s="140" t="str">
        <f>IF($C430="B","",VLOOKUP($C430,orig_alloc!$A$13:$B$227,2,FALSE))</f>
        <v>WTD A&amp;G EXPENSE UNADJUSTED</v>
      </c>
      <c r="AA430" s="141"/>
      <c r="AE430" s="141"/>
      <c r="AF430" s="141"/>
    </row>
    <row r="431" spans="1:32" ht="20.25">
      <c r="A431" s="148" t="s">
        <v>1273</v>
      </c>
      <c r="B431" s="149" t="s">
        <v>549</v>
      </c>
      <c r="C431" s="148" t="s">
        <v>546</v>
      </c>
      <c r="D431" s="201">
        <v>806020</v>
      </c>
      <c r="E431" s="219">
        <f t="shared" si="224"/>
        <v>447253</v>
      </c>
      <c r="F431" s="118">
        <f ca="1" t="shared" si="227"/>
        <v>174815</v>
      </c>
      <c r="G431" s="118">
        <f ca="1" t="shared" si="227"/>
        <v>140</v>
      </c>
      <c r="H431" s="118">
        <f ca="1" t="shared" si="227"/>
        <v>833</v>
      </c>
      <c r="I431" s="118">
        <f ca="1" t="shared" si="227"/>
        <v>2753</v>
      </c>
      <c r="J431" s="118">
        <f ca="1" t="shared" si="227"/>
        <v>99</v>
      </c>
      <c r="K431" s="118">
        <f ca="1" t="shared" si="227"/>
        <v>92713</v>
      </c>
      <c r="L431" s="118">
        <f ca="1" t="shared" si="227"/>
        <v>990</v>
      </c>
      <c r="M431" s="118">
        <f ca="1" t="shared" si="227"/>
        <v>55019</v>
      </c>
      <c r="N431" s="118">
        <f ca="1" t="shared" si="227"/>
        <v>2086</v>
      </c>
      <c r="O431" s="118">
        <f ca="1" t="shared" si="227"/>
        <v>4278</v>
      </c>
      <c r="P431" s="118">
        <f ca="1" t="shared" si="228"/>
        <v>0</v>
      </c>
      <c r="Q431" s="118">
        <f ca="1" t="shared" si="228"/>
        <v>19680</v>
      </c>
      <c r="R431" s="118">
        <f ca="1" t="shared" si="228"/>
        <v>900</v>
      </c>
      <c r="S431" s="118">
        <f ca="1" t="shared" si="228"/>
        <v>4361</v>
      </c>
      <c r="T431" s="118">
        <f ca="1" t="shared" si="228"/>
        <v>0</v>
      </c>
      <c r="U431" s="118">
        <f ca="1" t="shared" si="228"/>
        <v>100</v>
      </c>
      <c r="V431" s="118">
        <f ca="1" t="shared" si="228"/>
        <v>806020</v>
      </c>
      <c r="W431" s="118">
        <f t="shared" si="222"/>
        <v>0</v>
      </c>
      <c r="X431" s="150"/>
      <c r="Z431" s="140" t="str">
        <f>IF($C431="B","",VLOOKUP($C431,orig_alloc!$A$13:$B$227,2,FALSE))</f>
        <v>WTD A&amp;G EXPENSE UNADJUSTED</v>
      </c>
      <c r="AA431" s="141"/>
      <c r="AE431" s="141"/>
      <c r="AF431" s="141"/>
    </row>
    <row r="432" spans="1:35" ht="20.25">
      <c r="A432" s="148" t="s">
        <v>734</v>
      </c>
      <c r="B432" s="149" t="s">
        <v>550</v>
      </c>
      <c r="C432" s="148" t="s">
        <v>546</v>
      </c>
      <c r="D432" s="201">
        <v>0</v>
      </c>
      <c r="E432" s="219">
        <f t="shared" si="224"/>
        <v>0</v>
      </c>
      <c r="F432" s="118">
        <f ca="1" t="shared" si="227"/>
        <v>0</v>
      </c>
      <c r="G432" s="118">
        <f ca="1" t="shared" si="227"/>
        <v>0</v>
      </c>
      <c r="H432" s="118">
        <f ca="1" t="shared" si="227"/>
        <v>0</v>
      </c>
      <c r="I432" s="118">
        <f ca="1" t="shared" si="227"/>
        <v>0</v>
      </c>
      <c r="J432" s="118">
        <f ca="1" t="shared" si="227"/>
        <v>0</v>
      </c>
      <c r="K432" s="118">
        <f ca="1" t="shared" si="227"/>
        <v>0</v>
      </c>
      <c r="L432" s="118">
        <f ca="1" t="shared" si="227"/>
        <v>0</v>
      </c>
      <c r="M432" s="118">
        <f ca="1" t="shared" si="227"/>
        <v>0</v>
      </c>
      <c r="N432" s="118">
        <f ca="1" t="shared" si="227"/>
        <v>0</v>
      </c>
      <c r="O432" s="118">
        <f ca="1" t="shared" si="227"/>
        <v>0</v>
      </c>
      <c r="P432" s="118">
        <f ca="1" t="shared" si="228"/>
        <v>0</v>
      </c>
      <c r="Q432" s="118">
        <f ca="1" t="shared" si="228"/>
        <v>0</v>
      </c>
      <c r="R432" s="118">
        <f ca="1" t="shared" si="228"/>
        <v>0</v>
      </c>
      <c r="S432" s="118">
        <f ca="1" t="shared" si="228"/>
        <v>0</v>
      </c>
      <c r="T432" s="118">
        <f ca="1" t="shared" si="228"/>
        <v>0</v>
      </c>
      <c r="U432" s="118">
        <f ca="1" t="shared" si="228"/>
        <v>0</v>
      </c>
      <c r="V432" s="118">
        <f ca="1" t="shared" si="228"/>
        <v>0</v>
      </c>
      <c r="W432" s="118">
        <f t="shared" si="222"/>
        <v>0</v>
      </c>
      <c r="X432" s="150"/>
      <c r="Z432" s="140" t="str">
        <f>IF($C432="B","",VLOOKUP($C432,orig_alloc!$A$13:$B$227,2,FALSE))</f>
        <v>WTD A&amp;G EXPENSE UNADJUSTED</v>
      </c>
      <c r="AA432" s="141"/>
      <c r="AE432" s="141"/>
      <c r="AF432" s="148"/>
      <c r="AG432" s="149"/>
      <c r="AH432" s="150"/>
      <c r="AI432" s="148"/>
    </row>
    <row r="433" spans="1:35" ht="20.25">
      <c r="A433" s="148" t="s">
        <v>1272</v>
      </c>
      <c r="B433" s="149" t="s">
        <v>475</v>
      </c>
      <c r="C433" s="148" t="s">
        <v>546</v>
      </c>
      <c r="D433" s="201">
        <v>-2510033</v>
      </c>
      <c r="E433" s="219">
        <f t="shared" si="224"/>
        <v>-1392795</v>
      </c>
      <c r="F433" s="118">
        <f ca="1" t="shared" si="227"/>
        <v>-544392</v>
      </c>
      <c r="G433" s="118">
        <f ca="1" t="shared" si="227"/>
        <v>-437</v>
      </c>
      <c r="H433" s="118">
        <f ca="1" t="shared" si="227"/>
        <v>-2595</v>
      </c>
      <c r="I433" s="118">
        <f ca="1" t="shared" si="227"/>
        <v>-8572</v>
      </c>
      <c r="J433" s="118">
        <f ca="1" t="shared" si="227"/>
        <v>-308</v>
      </c>
      <c r="K433" s="118">
        <f ca="1" t="shared" si="227"/>
        <v>-288718</v>
      </c>
      <c r="L433" s="118">
        <f ca="1" t="shared" si="227"/>
        <v>-3083</v>
      </c>
      <c r="M433" s="118">
        <f ca="1" t="shared" si="227"/>
        <v>-171334</v>
      </c>
      <c r="N433" s="118">
        <f ca="1" t="shared" si="227"/>
        <v>-6495</v>
      </c>
      <c r="O433" s="118">
        <f ca="1" t="shared" si="227"/>
        <v>-13323</v>
      </c>
      <c r="P433" s="118">
        <f ca="1" t="shared" si="228"/>
        <v>0</v>
      </c>
      <c r="Q433" s="118">
        <f ca="1" t="shared" si="228"/>
        <v>-61286</v>
      </c>
      <c r="R433" s="118">
        <f ca="1" t="shared" si="228"/>
        <v>-2803</v>
      </c>
      <c r="S433" s="118">
        <f ca="1" t="shared" si="228"/>
        <v>-13581</v>
      </c>
      <c r="T433" s="118">
        <f ca="1" t="shared" si="228"/>
        <v>0</v>
      </c>
      <c r="U433" s="118">
        <f ca="1" t="shared" si="228"/>
        <v>-311</v>
      </c>
      <c r="V433" s="118">
        <f ca="1" t="shared" si="228"/>
        <v>-2510033</v>
      </c>
      <c r="W433" s="118">
        <f t="shared" si="222"/>
        <v>0</v>
      </c>
      <c r="X433" s="150"/>
      <c r="Z433" s="140" t="str">
        <f>IF($C433="B","",VLOOKUP($C433,orig_alloc!$A$13:$B$227,2,FALSE))</f>
        <v>WTD A&amp;G EXPENSE UNADJUSTED</v>
      </c>
      <c r="AA433" s="141"/>
      <c r="AE433" s="141"/>
      <c r="AF433" s="148"/>
      <c r="AG433" s="149"/>
      <c r="AH433" s="132"/>
      <c r="AI433" s="148"/>
    </row>
    <row r="434" spans="1:32" ht="20.25">
      <c r="A434" s="240" t="s">
        <v>608</v>
      </c>
      <c r="B434" s="149" t="s">
        <v>551</v>
      </c>
      <c r="C434" s="132"/>
      <c r="D434" s="202">
        <f aca="true" t="shared" si="229" ref="D434:U434">SUM(D417:D433)</f>
        <v>24311101</v>
      </c>
      <c r="E434" s="202">
        <f t="shared" si="229"/>
        <v>13489999</v>
      </c>
      <c r="F434" s="202">
        <f t="shared" si="229"/>
        <v>5272747</v>
      </c>
      <c r="G434" s="202">
        <f t="shared" si="229"/>
        <v>4232</v>
      </c>
      <c r="H434" s="202">
        <f t="shared" si="229"/>
        <v>25133</v>
      </c>
      <c r="I434" s="202">
        <f t="shared" si="229"/>
        <v>83024</v>
      </c>
      <c r="J434" s="202">
        <f t="shared" si="229"/>
        <v>2982</v>
      </c>
      <c r="K434" s="202">
        <f t="shared" si="229"/>
        <v>2796401</v>
      </c>
      <c r="L434" s="202">
        <f t="shared" si="229"/>
        <v>29863</v>
      </c>
      <c r="M434" s="202">
        <f t="shared" si="229"/>
        <v>1659473</v>
      </c>
      <c r="N434" s="202">
        <f t="shared" si="229"/>
        <v>62910</v>
      </c>
      <c r="O434" s="202">
        <f t="shared" si="229"/>
        <v>129040</v>
      </c>
      <c r="P434" s="202">
        <f t="shared" si="229"/>
        <v>0</v>
      </c>
      <c r="Q434" s="202">
        <f t="shared" si="229"/>
        <v>593592</v>
      </c>
      <c r="R434" s="202">
        <f t="shared" si="229"/>
        <v>27147</v>
      </c>
      <c r="S434" s="202">
        <f t="shared" si="229"/>
        <v>131543</v>
      </c>
      <c r="T434" s="202">
        <f t="shared" si="229"/>
        <v>0</v>
      </c>
      <c r="U434" s="202">
        <f t="shared" si="229"/>
        <v>3015</v>
      </c>
      <c r="V434" s="202">
        <f>SUM(E434:U434)</f>
        <v>24311101</v>
      </c>
      <c r="W434" s="202">
        <f t="shared" si="222"/>
        <v>0</v>
      </c>
      <c r="X434" s="150"/>
      <c r="Z434" s="140">
        <f>IF($C434="B","",VLOOKUP($C434,orig_alloc!$A$13:$B$227,2,FALSE))</f>
      </c>
      <c r="AA434" s="141"/>
      <c r="AE434" s="141"/>
      <c r="AF434" s="141"/>
    </row>
    <row r="435" spans="1:32" ht="20.25">
      <c r="A435" s="132"/>
      <c r="B435" s="149"/>
      <c r="C435" s="132"/>
      <c r="D435" s="118"/>
      <c r="E435" s="118"/>
      <c r="F435" s="118"/>
      <c r="G435" s="118"/>
      <c r="H435" s="118"/>
      <c r="I435" s="118"/>
      <c r="J435" s="118"/>
      <c r="K435" s="133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50"/>
      <c r="Z435" s="140">
        <f>IF($C435="B","",VLOOKUP($C435,orig_alloc!$A$13:$B$227,2,FALSE))</f>
      </c>
      <c r="AA435" s="141"/>
      <c r="AE435" s="141"/>
      <c r="AF435" s="141"/>
    </row>
    <row r="436" spans="1:32" ht="20.25">
      <c r="A436" s="132" t="s">
        <v>609</v>
      </c>
      <c r="B436" s="149" t="s">
        <v>257</v>
      </c>
      <c r="C436" s="312"/>
      <c r="D436" s="118">
        <f aca="true" t="shared" si="230" ref="D436:U436">D434+D406</f>
        <v>197699516</v>
      </c>
      <c r="E436" s="118">
        <f t="shared" si="230"/>
        <v>88187153</v>
      </c>
      <c r="F436" s="118">
        <f t="shared" si="230"/>
        <v>48174469</v>
      </c>
      <c r="G436" s="118">
        <f t="shared" si="230"/>
        <v>24027</v>
      </c>
      <c r="H436" s="118">
        <f t="shared" si="230"/>
        <v>262799</v>
      </c>
      <c r="I436" s="118">
        <f t="shared" si="230"/>
        <v>707498</v>
      </c>
      <c r="J436" s="118">
        <f t="shared" si="230"/>
        <v>20892</v>
      </c>
      <c r="K436" s="118">
        <f t="shared" si="230"/>
        <v>30994539</v>
      </c>
      <c r="L436" s="118">
        <f t="shared" si="230"/>
        <v>184805</v>
      </c>
      <c r="M436" s="118">
        <f t="shared" si="230"/>
        <v>18575950</v>
      </c>
      <c r="N436" s="118">
        <f t="shared" si="230"/>
        <v>416241</v>
      </c>
      <c r="O436" s="118">
        <f t="shared" si="230"/>
        <v>1451163</v>
      </c>
      <c r="P436" s="118">
        <f t="shared" si="230"/>
        <v>0</v>
      </c>
      <c r="Q436" s="118">
        <f t="shared" si="230"/>
        <v>7304944</v>
      </c>
      <c r="R436" s="118">
        <f t="shared" si="230"/>
        <v>209238</v>
      </c>
      <c r="S436" s="118">
        <f t="shared" si="230"/>
        <v>1165637</v>
      </c>
      <c r="T436" s="118">
        <f t="shared" si="230"/>
        <v>0</v>
      </c>
      <c r="U436" s="118">
        <f t="shared" si="230"/>
        <v>20161</v>
      </c>
      <c r="V436" s="118">
        <f>SUM(E436:U436)</f>
        <v>197699516</v>
      </c>
      <c r="W436" s="118">
        <f>W434+W406</f>
        <v>0</v>
      </c>
      <c r="X436" s="150"/>
      <c r="Z436" s="140">
        <f>IF($C436="B","",VLOOKUP($C436,orig_alloc!$A$13:$B$227,2,FALSE))</f>
      </c>
      <c r="AA436" s="141"/>
      <c r="AE436" s="141"/>
      <c r="AF436" s="141"/>
    </row>
    <row r="437" spans="1:32" ht="20.25">
      <c r="A437" s="132"/>
      <c r="B437" s="149"/>
      <c r="C437" s="132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50"/>
      <c r="Z437" s="140">
        <f>IF($C437="B","",VLOOKUP($C437,orig_alloc!$A$13:$B$227,2,FALSE))</f>
      </c>
      <c r="AA437" s="141"/>
      <c r="AE437" s="141"/>
      <c r="AF437" s="141"/>
    </row>
    <row r="438" spans="1:32" ht="20.25">
      <c r="A438" s="289" t="s">
        <v>610</v>
      </c>
      <c r="B438" s="290" t="s">
        <v>611</v>
      </c>
      <c r="C438" s="132"/>
      <c r="D438" s="118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50"/>
      <c r="Z438" s="140">
        <f>IF($C438="B","",VLOOKUP($C438,orig_alloc!$A$13:$B$227,2,FALSE))</f>
      </c>
      <c r="AA438" s="141"/>
      <c r="AE438" s="141"/>
      <c r="AF438" s="141"/>
    </row>
    <row r="439" spans="1:32" ht="20.25">
      <c r="A439" s="132" t="s">
        <v>612</v>
      </c>
      <c r="B439" s="149"/>
      <c r="C439" s="132"/>
      <c r="D439" s="118"/>
      <c r="E439" s="118"/>
      <c r="F439" s="118"/>
      <c r="G439" s="118"/>
      <c r="H439" s="118"/>
      <c r="I439" s="118"/>
      <c r="J439" s="118"/>
      <c r="K439" s="133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50"/>
      <c r="Z439" s="140">
        <f>IF($C439="B","",VLOOKUP($C439,orig_alloc!$A$13:$B$227,2,FALSE))</f>
      </c>
      <c r="AA439" s="141"/>
      <c r="AE439" s="141"/>
      <c r="AF439" s="141"/>
    </row>
    <row r="440" spans="1:32" ht="20.25">
      <c r="A440" s="148" t="s">
        <v>613</v>
      </c>
      <c r="B440" s="149" t="s">
        <v>614</v>
      </c>
      <c r="C440" s="148" t="s">
        <v>329</v>
      </c>
      <c r="D440" s="201">
        <f>15890000+6456000</f>
        <v>22346000</v>
      </c>
      <c r="E440" s="219">
        <f>V440-SUM(F440:U440)</f>
        <v>11554243</v>
      </c>
      <c r="F440" s="118">
        <f aca="true" ca="1" t="shared" si="231" ref="F440:O441">ROUND($D440*VLOOKUP($C440,IF(LEFT($C440,1)="K",INDIRECT("TABLE"),INDIRECT("TABLE2")),F$9+1),0)</f>
        <v>4968029</v>
      </c>
      <c r="G440" s="118">
        <f ca="1" t="shared" si="231"/>
        <v>4880</v>
      </c>
      <c r="H440" s="118">
        <f ca="1" t="shared" si="231"/>
        <v>19983</v>
      </c>
      <c r="I440" s="118">
        <f ca="1" t="shared" si="231"/>
        <v>95009</v>
      </c>
      <c r="J440" s="118">
        <f ca="1" t="shared" si="231"/>
        <v>2235</v>
      </c>
      <c r="K440" s="118">
        <f ca="1" t="shared" si="231"/>
        <v>2743549</v>
      </c>
      <c r="L440" s="118">
        <f ca="1" t="shared" si="231"/>
        <v>40120</v>
      </c>
      <c r="M440" s="118">
        <f ca="1" t="shared" si="231"/>
        <v>1760634</v>
      </c>
      <c r="N440" s="118">
        <f ca="1" t="shared" si="231"/>
        <v>84530</v>
      </c>
      <c r="O440" s="118">
        <f ca="1" t="shared" si="231"/>
        <v>130917</v>
      </c>
      <c r="P440" s="118">
        <f aca="true" ca="1" t="shared" si="232" ref="P440:V441">ROUND($D440*VLOOKUP($C440,IF(LEFT($C440,1)="K",INDIRECT("TABLE"),INDIRECT("TABLE2")),P$9+1),0)</f>
        <v>0</v>
      </c>
      <c r="Q440" s="118">
        <f ca="1" t="shared" si="232"/>
        <v>777410</v>
      </c>
      <c r="R440" s="118">
        <f ca="1" t="shared" si="232"/>
        <v>45077</v>
      </c>
      <c r="S440" s="118">
        <f ca="1" t="shared" si="232"/>
        <v>115737</v>
      </c>
      <c r="T440" s="118">
        <f ca="1" t="shared" si="232"/>
        <v>0</v>
      </c>
      <c r="U440" s="118">
        <f ca="1" t="shared" si="232"/>
        <v>3647</v>
      </c>
      <c r="V440" s="118">
        <f ca="1" t="shared" si="232"/>
        <v>22346000</v>
      </c>
      <c r="W440" s="118">
        <f>D440-V440</f>
        <v>0</v>
      </c>
      <c r="X440" s="150"/>
      <c r="Z440" s="140" t="str">
        <f>IF($C440="B","",VLOOKUP($C440,orig_alloc!$A$13:$B$227,2,FALSE))</f>
        <v>WTD NET PROD PLANT RATIOS</v>
      </c>
      <c r="AA440" s="141"/>
      <c r="AE440" s="141"/>
      <c r="AF440" s="141"/>
    </row>
    <row r="441" spans="1:32" ht="20.25">
      <c r="A441" s="148" t="s">
        <v>1297</v>
      </c>
      <c r="B441" s="149" t="s">
        <v>552</v>
      </c>
      <c r="C441" s="148" t="s">
        <v>329</v>
      </c>
      <c r="D441" s="201">
        <v>0</v>
      </c>
      <c r="E441" s="219">
        <f>V441-SUM(F441:U441)</f>
        <v>0</v>
      </c>
      <c r="F441" s="118">
        <f ca="1" t="shared" si="231"/>
        <v>0</v>
      </c>
      <c r="G441" s="118">
        <f ca="1" t="shared" si="231"/>
        <v>0</v>
      </c>
      <c r="H441" s="118">
        <f ca="1" t="shared" si="231"/>
        <v>0</v>
      </c>
      <c r="I441" s="118">
        <f ca="1" t="shared" si="231"/>
        <v>0</v>
      </c>
      <c r="J441" s="118">
        <f ca="1" t="shared" si="231"/>
        <v>0</v>
      </c>
      <c r="K441" s="118">
        <f ca="1" t="shared" si="231"/>
        <v>0</v>
      </c>
      <c r="L441" s="118">
        <f ca="1" t="shared" si="231"/>
        <v>0</v>
      </c>
      <c r="M441" s="118">
        <f ca="1" t="shared" si="231"/>
        <v>0</v>
      </c>
      <c r="N441" s="118">
        <f ca="1" t="shared" si="231"/>
        <v>0</v>
      </c>
      <c r="O441" s="118">
        <f ca="1" t="shared" si="231"/>
        <v>0</v>
      </c>
      <c r="P441" s="118">
        <f ca="1" t="shared" si="232"/>
        <v>0</v>
      </c>
      <c r="Q441" s="118">
        <f ca="1" t="shared" si="232"/>
        <v>0</v>
      </c>
      <c r="R441" s="118">
        <f ca="1" t="shared" si="232"/>
        <v>0</v>
      </c>
      <c r="S441" s="118">
        <f ca="1" t="shared" si="232"/>
        <v>0</v>
      </c>
      <c r="T441" s="118">
        <f ca="1" t="shared" si="232"/>
        <v>0</v>
      </c>
      <c r="U441" s="118">
        <f ca="1" t="shared" si="232"/>
        <v>0</v>
      </c>
      <c r="V441" s="118">
        <f ca="1" t="shared" si="232"/>
        <v>0</v>
      </c>
      <c r="W441" s="118">
        <f>D441-V441</f>
        <v>0</v>
      </c>
      <c r="X441" s="150"/>
      <c r="Z441" s="140" t="str">
        <f>IF($C441="B","",VLOOKUP($C441,orig_alloc!$A$13:$B$227,2,FALSE))</f>
        <v>WTD NET PROD PLANT RATIOS</v>
      </c>
      <c r="AA441" s="141"/>
      <c r="AE441" s="141"/>
      <c r="AF441" s="141"/>
    </row>
    <row r="442" spans="1:32" ht="20.25">
      <c r="A442" s="240" t="s">
        <v>615</v>
      </c>
      <c r="B442" s="149" t="s">
        <v>260</v>
      </c>
      <c r="C442" s="132"/>
      <c r="D442" s="202">
        <f aca="true" t="shared" si="233" ref="D442:W442">SUM(D440:D441)</f>
        <v>22346000</v>
      </c>
      <c r="E442" s="202">
        <f t="shared" si="233"/>
        <v>11554243</v>
      </c>
      <c r="F442" s="202">
        <f t="shared" si="233"/>
        <v>4968029</v>
      </c>
      <c r="G442" s="202">
        <f t="shared" si="233"/>
        <v>4880</v>
      </c>
      <c r="H442" s="202">
        <f t="shared" si="233"/>
        <v>19983</v>
      </c>
      <c r="I442" s="202">
        <f t="shared" si="233"/>
        <v>95009</v>
      </c>
      <c r="J442" s="202">
        <f t="shared" si="233"/>
        <v>2235</v>
      </c>
      <c r="K442" s="202">
        <f t="shared" si="233"/>
        <v>2743549</v>
      </c>
      <c r="L442" s="202">
        <f t="shared" si="233"/>
        <v>40120</v>
      </c>
      <c r="M442" s="202">
        <f t="shared" si="233"/>
        <v>1760634</v>
      </c>
      <c r="N442" s="202">
        <f t="shared" si="233"/>
        <v>84530</v>
      </c>
      <c r="O442" s="202">
        <f t="shared" si="233"/>
        <v>130917</v>
      </c>
      <c r="P442" s="202">
        <f t="shared" si="233"/>
        <v>0</v>
      </c>
      <c r="Q442" s="202">
        <f t="shared" si="233"/>
        <v>777410</v>
      </c>
      <c r="R442" s="202">
        <f t="shared" si="233"/>
        <v>45077</v>
      </c>
      <c r="S442" s="202">
        <f t="shared" si="233"/>
        <v>115737</v>
      </c>
      <c r="T442" s="202">
        <f t="shared" si="233"/>
        <v>0</v>
      </c>
      <c r="U442" s="202">
        <f t="shared" si="233"/>
        <v>3647</v>
      </c>
      <c r="V442" s="202">
        <f t="shared" si="233"/>
        <v>22346000</v>
      </c>
      <c r="W442" s="202">
        <f t="shared" si="233"/>
        <v>0</v>
      </c>
      <c r="X442" s="150"/>
      <c r="Z442" s="140">
        <f>IF($C442="B","",VLOOKUP($C442,orig_alloc!$A$13:$B$227,2,FALSE))</f>
      </c>
      <c r="AA442" s="141"/>
      <c r="AE442" s="141"/>
      <c r="AF442" s="141"/>
    </row>
    <row r="443" spans="1:32" ht="20.25">
      <c r="A443" s="132"/>
      <c r="B443" s="149"/>
      <c r="C443" s="132"/>
      <c r="D443" s="118"/>
      <c r="E443" s="118"/>
      <c r="F443" s="118"/>
      <c r="G443" s="118"/>
      <c r="H443" s="118"/>
      <c r="I443" s="118"/>
      <c r="J443" s="118"/>
      <c r="K443" s="133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50"/>
      <c r="Z443" s="140">
        <f>IF($C443="B","",VLOOKUP($C443,orig_alloc!$A$13:$B$227,2,FALSE))</f>
      </c>
      <c r="AA443" s="141"/>
      <c r="AE443" s="141"/>
      <c r="AF443" s="141"/>
    </row>
    <row r="444" spans="1:32" ht="20.25">
      <c r="A444" s="132" t="s">
        <v>616</v>
      </c>
      <c r="B444" s="149"/>
      <c r="C444" s="132"/>
      <c r="D444" s="118"/>
      <c r="E444" s="118"/>
      <c r="F444" s="118"/>
      <c r="G444" s="118"/>
      <c r="H444" s="118"/>
      <c r="I444" s="118"/>
      <c r="J444" s="118"/>
      <c r="K444" s="133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50"/>
      <c r="Z444" s="140">
        <f>IF($C444="B","",VLOOKUP($C444,orig_alloc!$A$13:$B$227,2,FALSE))</f>
      </c>
      <c r="AA444" s="141"/>
      <c r="AE444" s="141"/>
      <c r="AF444" s="141"/>
    </row>
    <row r="445" spans="1:32" ht="20.25">
      <c r="A445" s="132" t="s">
        <v>617</v>
      </c>
      <c r="B445" s="149" t="s">
        <v>553</v>
      </c>
      <c r="C445" s="148" t="s">
        <v>330</v>
      </c>
      <c r="D445" s="201">
        <v>540000</v>
      </c>
      <c r="E445" s="219">
        <f>V445-SUM(F445:U445)</f>
        <v>279213</v>
      </c>
      <c r="F445" s="118">
        <f aca="true" ca="1" t="shared" si="234" ref="F445:O446">ROUND($D445*VLOOKUP($C445,IF(LEFT($C445,1)="K",INDIRECT("TABLE"),INDIRECT("TABLE2")),F$9+1),0)</f>
        <v>120054</v>
      </c>
      <c r="G445" s="118">
        <f ca="1" t="shared" si="234"/>
        <v>118</v>
      </c>
      <c r="H445" s="118">
        <f ca="1" t="shared" si="234"/>
        <v>483</v>
      </c>
      <c r="I445" s="118">
        <f ca="1" t="shared" si="234"/>
        <v>2296</v>
      </c>
      <c r="J445" s="118">
        <f ca="1" t="shared" si="234"/>
        <v>54</v>
      </c>
      <c r="K445" s="118">
        <f ca="1" t="shared" si="234"/>
        <v>66299</v>
      </c>
      <c r="L445" s="118">
        <f ca="1" t="shared" si="234"/>
        <v>970</v>
      </c>
      <c r="M445" s="118">
        <f ca="1" t="shared" si="234"/>
        <v>42546</v>
      </c>
      <c r="N445" s="118">
        <f ca="1" t="shared" si="234"/>
        <v>2043</v>
      </c>
      <c r="O445" s="118">
        <f ca="1" t="shared" si="234"/>
        <v>3164</v>
      </c>
      <c r="P445" s="118">
        <f aca="true" ca="1" t="shared" si="235" ref="P445:V446">ROUND($D445*VLOOKUP($C445,IF(LEFT($C445,1)="K",INDIRECT("TABLE"),INDIRECT("TABLE2")),P$9+1),0)</f>
        <v>0</v>
      </c>
      <c r="Q445" s="118">
        <f ca="1" t="shared" si="235"/>
        <v>18786</v>
      </c>
      <c r="R445" s="118">
        <f ca="1" t="shared" si="235"/>
        <v>1089</v>
      </c>
      <c r="S445" s="118">
        <f ca="1" t="shared" si="235"/>
        <v>2797</v>
      </c>
      <c r="T445" s="118">
        <f ca="1" t="shared" si="235"/>
        <v>0</v>
      </c>
      <c r="U445" s="118">
        <f ca="1" t="shared" si="235"/>
        <v>88</v>
      </c>
      <c r="V445" s="118">
        <f ca="1" t="shared" si="235"/>
        <v>540000</v>
      </c>
      <c r="W445" s="118">
        <f>D445-V445</f>
        <v>0</v>
      </c>
      <c r="X445" s="150"/>
      <c r="Z445" s="140" t="str">
        <f>IF($C445="B","",VLOOKUP($C445,orig_alloc!$A$13:$B$227,2,FALSE))</f>
        <v>WTD NET TRANS PLANT RATIOS</v>
      </c>
      <c r="AA445" s="141"/>
      <c r="AE445" s="141"/>
      <c r="AF445" s="141"/>
    </row>
    <row r="446" spans="1:32" ht="20.25">
      <c r="A446" s="148" t="s">
        <v>1298</v>
      </c>
      <c r="B446" s="149" t="s">
        <v>554</v>
      </c>
      <c r="C446" s="148" t="s">
        <v>330</v>
      </c>
      <c r="D446" s="201">
        <v>0</v>
      </c>
      <c r="E446" s="219">
        <f>V446-SUM(F446:U446)</f>
        <v>0</v>
      </c>
      <c r="F446" s="118">
        <f ca="1" t="shared" si="234"/>
        <v>0</v>
      </c>
      <c r="G446" s="118">
        <f ca="1" t="shared" si="234"/>
        <v>0</v>
      </c>
      <c r="H446" s="118">
        <f ca="1" t="shared" si="234"/>
        <v>0</v>
      </c>
      <c r="I446" s="118">
        <f ca="1" t="shared" si="234"/>
        <v>0</v>
      </c>
      <c r="J446" s="118">
        <f ca="1" t="shared" si="234"/>
        <v>0</v>
      </c>
      <c r="K446" s="118">
        <f ca="1" t="shared" si="234"/>
        <v>0</v>
      </c>
      <c r="L446" s="118">
        <f ca="1" t="shared" si="234"/>
        <v>0</v>
      </c>
      <c r="M446" s="118">
        <f ca="1" t="shared" si="234"/>
        <v>0</v>
      </c>
      <c r="N446" s="118">
        <f ca="1" t="shared" si="234"/>
        <v>0</v>
      </c>
      <c r="O446" s="118">
        <f ca="1" t="shared" si="234"/>
        <v>0</v>
      </c>
      <c r="P446" s="118">
        <f ca="1" t="shared" si="235"/>
        <v>0</v>
      </c>
      <c r="Q446" s="118">
        <f ca="1" t="shared" si="235"/>
        <v>0</v>
      </c>
      <c r="R446" s="118">
        <f ca="1" t="shared" si="235"/>
        <v>0</v>
      </c>
      <c r="S446" s="118">
        <f ca="1" t="shared" si="235"/>
        <v>0</v>
      </c>
      <c r="T446" s="118">
        <f ca="1" t="shared" si="235"/>
        <v>0</v>
      </c>
      <c r="U446" s="118">
        <f ca="1" t="shared" si="235"/>
        <v>0</v>
      </c>
      <c r="V446" s="118">
        <f ca="1" t="shared" si="235"/>
        <v>0</v>
      </c>
      <c r="W446" s="118">
        <f>D446-V446</f>
        <v>0</v>
      </c>
      <c r="X446" s="150"/>
      <c r="Z446" s="140" t="str">
        <f>IF($C446="B","",VLOOKUP($C446,orig_alloc!$A$13:$B$227,2,FALSE))</f>
        <v>WTD NET TRANS PLANT RATIOS</v>
      </c>
      <c r="AA446" s="141"/>
      <c r="AE446" s="141"/>
      <c r="AF446" s="141"/>
    </row>
    <row r="447" spans="1:32" ht="20.25">
      <c r="A447" s="240" t="s">
        <v>618</v>
      </c>
      <c r="B447" s="149" t="s">
        <v>262</v>
      </c>
      <c r="C447" s="148"/>
      <c r="D447" s="202">
        <f aca="true" t="shared" si="236" ref="D447:W447">SUM(D445:D446)</f>
        <v>540000</v>
      </c>
      <c r="E447" s="202">
        <f t="shared" si="236"/>
        <v>279213</v>
      </c>
      <c r="F447" s="202">
        <f t="shared" si="236"/>
        <v>120054</v>
      </c>
      <c r="G447" s="202">
        <f t="shared" si="236"/>
        <v>118</v>
      </c>
      <c r="H447" s="202">
        <f t="shared" si="236"/>
        <v>483</v>
      </c>
      <c r="I447" s="202">
        <f t="shared" si="236"/>
        <v>2296</v>
      </c>
      <c r="J447" s="202">
        <f t="shared" si="236"/>
        <v>54</v>
      </c>
      <c r="K447" s="202">
        <f t="shared" si="236"/>
        <v>66299</v>
      </c>
      <c r="L447" s="202">
        <f t="shared" si="236"/>
        <v>970</v>
      </c>
      <c r="M447" s="202">
        <f t="shared" si="236"/>
        <v>42546</v>
      </c>
      <c r="N447" s="202">
        <f t="shared" si="236"/>
        <v>2043</v>
      </c>
      <c r="O447" s="202">
        <f t="shared" si="236"/>
        <v>3164</v>
      </c>
      <c r="P447" s="202">
        <f t="shared" si="236"/>
        <v>0</v>
      </c>
      <c r="Q447" s="202">
        <f t="shared" si="236"/>
        <v>18786</v>
      </c>
      <c r="R447" s="202">
        <f t="shared" si="236"/>
        <v>1089</v>
      </c>
      <c r="S447" s="202">
        <f t="shared" si="236"/>
        <v>2797</v>
      </c>
      <c r="T447" s="202">
        <f t="shared" si="236"/>
        <v>0</v>
      </c>
      <c r="U447" s="202">
        <f t="shared" si="236"/>
        <v>88</v>
      </c>
      <c r="V447" s="202">
        <f t="shared" si="236"/>
        <v>540000</v>
      </c>
      <c r="W447" s="202">
        <f t="shared" si="236"/>
        <v>0</v>
      </c>
      <c r="X447" s="150"/>
      <c r="Z447" s="140">
        <f>IF($C447="B","",VLOOKUP($C447,orig_alloc!$A$13:$B$227,2,FALSE))</f>
      </c>
      <c r="AA447" s="141"/>
      <c r="AE447" s="141"/>
      <c r="AF447" s="141"/>
    </row>
    <row r="448" spans="1:32" ht="20.25">
      <c r="A448" s="132"/>
      <c r="B448" s="149"/>
      <c r="C448" s="132"/>
      <c r="D448" s="118"/>
      <c r="E448" s="118"/>
      <c r="F448" s="118"/>
      <c r="G448" s="118"/>
      <c r="H448" s="118"/>
      <c r="I448" s="118"/>
      <c r="J448" s="118"/>
      <c r="K448" s="133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50"/>
      <c r="Z448" s="140">
        <f>IF($C448="B","",VLOOKUP($C448,orig_alloc!$A$13:$B$227,2,FALSE))</f>
      </c>
      <c r="AA448" s="141"/>
      <c r="AE448" s="141"/>
      <c r="AF448" s="141"/>
    </row>
    <row r="449" spans="1:32" ht="20.25">
      <c r="A449" s="132" t="s">
        <v>619</v>
      </c>
      <c r="B449" s="149"/>
      <c r="C449" s="148"/>
      <c r="D449" s="118"/>
      <c r="E449" s="118"/>
      <c r="F449" s="118"/>
      <c r="G449" s="118"/>
      <c r="H449" s="118"/>
      <c r="I449" s="118"/>
      <c r="J449" s="118"/>
      <c r="K449" s="133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50"/>
      <c r="Z449" s="140">
        <f>IF($C449="B","",VLOOKUP($C449,orig_alloc!$A$13:$B$227,2,FALSE))</f>
      </c>
      <c r="AA449" s="141"/>
      <c r="AE449" s="141"/>
      <c r="AF449" s="141"/>
    </row>
    <row r="450" spans="1:32" ht="20.25">
      <c r="A450" s="148" t="s">
        <v>620</v>
      </c>
      <c r="B450" s="149" t="s">
        <v>621</v>
      </c>
      <c r="C450" s="148" t="s">
        <v>331</v>
      </c>
      <c r="D450" s="201">
        <f>9195000+362220</f>
        <v>9557220</v>
      </c>
      <c r="E450" s="219">
        <f>V450-SUM(F450:U450)</f>
        <v>4954329</v>
      </c>
      <c r="F450" s="118">
        <f aca="true" ca="1" t="shared" si="237" ref="F450:U451">ROUND($D450*VLOOKUP($C450,IF(LEFT($C450,1)="K",INDIRECT("TABLE"),INDIRECT("TABLE2")),F$9+1),0)</f>
        <v>2360639</v>
      </c>
      <c r="G450" s="118">
        <f ca="1" t="shared" si="237"/>
        <v>2158</v>
      </c>
      <c r="H450" s="118">
        <f ca="1" t="shared" si="237"/>
        <v>8716</v>
      </c>
      <c r="I450" s="118">
        <f ca="1" t="shared" si="237"/>
        <v>35801</v>
      </c>
      <c r="J450" s="118">
        <f ca="1" t="shared" si="237"/>
        <v>1149</v>
      </c>
      <c r="K450" s="118">
        <f ca="1" t="shared" si="237"/>
        <v>1314411</v>
      </c>
      <c r="L450" s="118">
        <f ca="1" t="shared" si="237"/>
        <v>15483</v>
      </c>
      <c r="M450" s="118">
        <f ca="1" t="shared" si="237"/>
        <v>582405</v>
      </c>
      <c r="N450" s="118">
        <f ca="1" t="shared" si="237"/>
        <v>26729</v>
      </c>
      <c r="O450" s="118">
        <f ca="1" t="shared" si="237"/>
        <v>50374</v>
      </c>
      <c r="P450" s="118">
        <f ca="1" t="shared" si="237"/>
        <v>0</v>
      </c>
      <c r="Q450" s="118">
        <f ca="1" t="shared" si="237"/>
        <v>657</v>
      </c>
      <c r="R450" s="118">
        <f ca="1" t="shared" si="237"/>
        <v>0</v>
      </c>
      <c r="S450" s="118">
        <f ca="1" t="shared" si="237"/>
        <v>203416</v>
      </c>
      <c r="T450" s="118">
        <f ca="1" t="shared" si="237"/>
        <v>0</v>
      </c>
      <c r="U450" s="118">
        <f ca="1" t="shared" si="237"/>
        <v>953</v>
      </c>
      <c r="V450" s="118">
        <f ca="1">ROUND($D450*VLOOKUP($C450,IF(LEFT($C450,1)="K",INDIRECT("TABLE"),INDIRECT("TABLE2")),V$9+1),0)+Z450</f>
        <v>9557220</v>
      </c>
      <c r="W450" s="118">
        <f>D450-V450</f>
        <v>0</v>
      </c>
      <c r="X450" s="150"/>
      <c r="Z450" s="140" t="str">
        <f>IF($C450="B","",VLOOKUP($C450,orig_alloc!$A$13:$B$227,2,FALSE))</f>
        <v>WTD NET TOTAL DIST PLANT RATIOS</v>
      </c>
      <c r="AA450" s="141"/>
      <c r="AE450" s="141"/>
      <c r="AF450" s="141"/>
    </row>
    <row r="451" spans="1:32" ht="20.25">
      <c r="A451" s="148" t="s">
        <v>1298</v>
      </c>
      <c r="B451" s="149" t="s">
        <v>555</v>
      </c>
      <c r="C451" s="148" t="s">
        <v>331</v>
      </c>
      <c r="D451" s="201">
        <v>0</v>
      </c>
      <c r="E451" s="219">
        <f>V451-SUM(F451:U451)</f>
        <v>0</v>
      </c>
      <c r="F451" s="118">
        <f ca="1" t="shared" si="237"/>
        <v>0</v>
      </c>
      <c r="G451" s="118">
        <f ca="1" t="shared" si="237"/>
        <v>0</v>
      </c>
      <c r="H451" s="118">
        <f ca="1" t="shared" si="237"/>
        <v>0</v>
      </c>
      <c r="I451" s="118">
        <f ca="1" t="shared" si="237"/>
        <v>0</v>
      </c>
      <c r="J451" s="118">
        <f ca="1" t="shared" si="237"/>
        <v>0</v>
      </c>
      <c r="K451" s="118">
        <f ca="1" t="shared" si="237"/>
        <v>0</v>
      </c>
      <c r="L451" s="118">
        <f ca="1" t="shared" si="237"/>
        <v>0</v>
      </c>
      <c r="M451" s="118">
        <f ca="1" t="shared" si="237"/>
        <v>0</v>
      </c>
      <c r="N451" s="118">
        <f ca="1" t="shared" si="237"/>
        <v>0</v>
      </c>
      <c r="O451" s="118">
        <f ca="1" t="shared" si="237"/>
        <v>0</v>
      </c>
      <c r="P451" s="118">
        <f ca="1" t="shared" si="237"/>
        <v>0</v>
      </c>
      <c r="Q451" s="118">
        <f ca="1" t="shared" si="237"/>
        <v>0</v>
      </c>
      <c r="R451" s="118">
        <f ca="1" t="shared" si="237"/>
        <v>0</v>
      </c>
      <c r="S451" s="118">
        <f ca="1" t="shared" si="237"/>
        <v>0</v>
      </c>
      <c r="T451" s="118">
        <f ca="1" t="shared" si="237"/>
        <v>0</v>
      </c>
      <c r="U451" s="118">
        <f ca="1" t="shared" si="237"/>
        <v>0</v>
      </c>
      <c r="V451" s="118">
        <f ca="1">ROUND($D451*VLOOKUP($C451,IF(LEFT($C451,1)="K",INDIRECT("TABLE"),INDIRECT("TABLE2")),V$9+1),0)</f>
        <v>0</v>
      </c>
      <c r="W451" s="118">
        <f>D451-V451</f>
        <v>0</v>
      </c>
      <c r="X451" s="150"/>
      <c r="Z451" s="140" t="str">
        <f>IF($C451="B","",VLOOKUP($C451,orig_alloc!$A$13:$B$227,2,FALSE))</f>
        <v>WTD NET TOTAL DIST PLANT RATIOS</v>
      </c>
      <c r="AA451" s="141"/>
      <c r="AE451" s="141"/>
      <c r="AF451" s="141"/>
    </row>
    <row r="452" spans="1:32" ht="20.25">
      <c r="A452" s="240" t="s">
        <v>622</v>
      </c>
      <c r="B452" s="149" t="s">
        <v>264</v>
      </c>
      <c r="C452" s="132"/>
      <c r="D452" s="202">
        <f aca="true" t="shared" si="238" ref="D452:W452">SUM(D450:D451)</f>
        <v>9557220</v>
      </c>
      <c r="E452" s="202">
        <f t="shared" si="238"/>
        <v>4954329</v>
      </c>
      <c r="F452" s="202">
        <f t="shared" si="238"/>
        <v>2360639</v>
      </c>
      <c r="G452" s="202">
        <f t="shared" si="238"/>
        <v>2158</v>
      </c>
      <c r="H452" s="202">
        <f t="shared" si="238"/>
        <v>8716</v>
      </c>
      <c r="I452" s="202">
        <f t="shared" si="238"/>
        <v>35801</v>
      </c>
      <c r="J452" s="202">
        <f t="shared" si="238"/>
        <v>1149</v>
      </c>
      <c r="K452" s="202">
        <f t="shared" si="238"/>
        <v>1314411</v>
      </c>
      <c r="L452" s="202">
        <f t="shared" si="238"/>
        <v>15483</v>
      </c>
      <c r="M452" s="202">
        <f t="shared" si="238"/>
        <v>582405</v>
      </c>
      <c r="N452" s="202">
        <f t="shared" si="238"/>
        <v>26729</v>
      </c>
      <c r="O452" s="202">
        <f t="shared" si="238"/>
        <v>50374</v>
      </c>
      <c r="P452" s="202">
        <f t="shared" si="238"/>
        <v>0</v>
      </c>
      <c r="Q452" s="202">
        <f t="shared" si="238"/>
        <v>657</v>
      </c>
      <c r="R452" s="202">
        <f t="shared" si="238"/>
        <v>0</v>
      </c>
      <c r="S452" s="202">
        <f t="shared" si="238"/>
        <v>203416</v>
      </c>
      <c r="T452" s="202">
        <f t="shared" si="238"/>
        <v>0</v>
      </c>
      <c r="U452" s="202">
        <f t="shared" si="238"/>
        <v>953</v>
      </c>
      <c r="V452" s="202">
        <f t="shared" si="238"/>
        <v>9557220</v>
      </c>
      <c r="W452" s="202">
        <f t="shared" si="238"/>
        <v>0</v>
      </c>
      <c r="X452" s="150"/>
      <c r="Z452" s="140">
        <f>IF($C452="B","",VLOOKUP($C452,orig_alloc!$A$13:$B$227,2,FALSE))</f>
      </c>
      <c r="AA452" s="141"/>
      <c r="AE452" s="141"/>
      <c r="AF452" s="141"/>
    </row>
    <row r="453" spans="1:32" ht="20.25">
      <c r="A453" s="132"/>
      <c r="B453" s="149"/>
      <c r="C453" s="132"/>
      <c r="D453" s="118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50"/>
      <c r="Z453" s="140">
        <f>IF($C453="B","",VLOOKUP($C453,orig_alloc!$A$13:$B$227,2,FALSE))</f>
      </c>
      <c r="AA453" s="141"/>
      <c r="AE453" s="141"/>
      <c r="AF453" s="141"/>
    </row>
    <row r="454" spans="1:32" ht="20.25">
      <c r="A454" s="132" t="s">
        <v>623</v>
      </c>
      <c r="B454" s="149"/>
      <c r="C454" s="132"/>
      <c r="D454" s="118"/>
      <c r="E454" s="118"/>
      <c r="F454" s="118"/>
      <c r="G454" s="118"/>
      <c r="H454" s="118"/>
      <c r="I454" s="118"/>
      <c r="J454" s="118"/>
      <c r="K454" s="133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50"/>
      <c r="Z454" s="140">
        <f>IF($C454="B","",VLOOKUP($C454,orig_alloc!$A$13:$B$227,2,FALSE))</f>
      </c>
      <c r="AA454" s="141"/>
      <c r="AE454" s="141"/>
      <c r="AF454" s="141"/>
    </row>
    <row r="455" spans="1:32" ht="20.25">
      <c r="A455" s="302" t="s">
        <v>624</v>
      </c>
      <c r="B455" s="149" t="s">
        <v>625</v>
      </c>
      <c r="C455" s="148" t="s">
        <v>626</v>
      </c>
      <c r="D455" s="201">
        <v>99000</v>
      </c>
      <c r="E455" s="219">
        <f>V455-SUM(F455:U455)</f>
        <v>54943</v>
      </c>
      <c r="F455" s="118">
        <f aca="true" ca="1" t="shared" si="239" ref="F455:V455">ROUND($D455*VLOOKUP($C455,IF(LEFT($C455,1)="K",INDIRECT("TABLE"),INDIRECT("TABLE2")),F$9+1),0)</f>
        <v>21466</v>
      </c>
      <c r="G455" s="118">
        <f ca="1" t="shared" si="239"/>
        <v>17</v>
      </c>
      <c r="H455" s="118">
        <f ca="1" t="shared" si="239"/>
        <v>102</v>
      </c>
      <c r="I455" s="118">
        <f ca="1" t="shared" si="239"/>
        <v>338</v>
      </c>
      <c r="J455" s="118">
        <f ca="1" t="shared" si="239"/>
        <v>12</v>
      </c>
      <c r="K455" s="118">
        <f ca="1" t="shared" si="239"/>
        <v>11385</v>
      </c>
      <c r="L455" s="118">
        <f ca="1" t="shared" si="239"/>
        <v>122</v>
      </c>
      <c r="M455" s="118">
        <f ca="1" t="shared" si="239"/>
        <v>6757</v>
      </c>
      <c r="N455" s="118">
        <f ca="1" t="shared" si="239"/>
        <v>256</v>
      </c>
      <c r="O455" s="118">
        <f ca="1" t="shared" si="239"/>
        <v>526</v>
      </c>
      <c r="P455" s="118">
        <f ca="1" t="shared" si="239"/>
        <v>0</v>
      </c>
      <c r="Q455" s="118">
        <f ca="1" t="shared" si="239"/>
        <v>2418</v>
      </c>
      <c r="R455" s="118">
        <f ca="1" t="shared" si="239"/>
        <v>111</v>
      </c>
      <c r="S455" s="118">
        <f ca="1" t="shared" si="239"/>
        <v>535</v>
      </c>
      <c r="T455" s="118">
        <f ca="1" t="shared" si="239"/>
        <v>0</v>
      </c>
      <c r="U455" s="118">
        <f ca="1" t="shared" si="239"/>
        <v>12</v>
      </c>
      <c r="V455" s="118">
        <f ca="1" t="shared" si="239"/>
        <v>99000</v>
      </c>
      <c r="W455" s="118">
        <f>D455-V455</f>
        <v>0</v>
      </c>
      <c r="X455" s="150"/>
      <c r="Z455" s="140" t="str">
        <f>IF($C455="B","",VLOOKUP($C455,orig_alloc!$A$13:$B$227,2,FALSE))</f>
        <v>WTD NET G &amp; I PLT RATIOS</v>
      </c>
      <c r="AA455" s="141"/>
      <c r="AE455" s="141"/>
      <c r="AF455" s="141"/>
    </row>
    <row r="456" spans="1:32" ht="20.25">
      <c r="A456" s="148" t="s">
        <v>1298</v>
      </c>
      <c r="B456" s="149" t="s">
        <v>556</v>
      </c>
      <c r="C456" s="148" t="s">
        <v>626</v>
      </c>
      <c r="D456" s="201">
        <v>0</v>
      </c>
      <c r="E456" s="219">
        <f>V456-SUM(F456:U456)</f>
        <v>0</v>
      </c>
      <c r="F456" s="118">
        <f aca="true" ca="1" t="shared" si="240" ref="F456:U456">ROUND($D456*VLOOKUP($C456,IF(LEFT($C456,1)="K",INDIRECT("TABLE"),INDIRECT("TABLE2")),F$9+1),0)</f>
        <v>0</v>
      </c>
      <c r="G456" s="118">
        <f ca="1" t="shared" si="240"/>
        <v>0</v>
      </c>
      <c r="H456" s="118">
        <f ca="1" t="shared" si="240"/>
        <v>0</v>
      </c>
      <c r="I456" s="118">
        <f ca="1" t="shared" si="240"/>
        <v>0</v>
      </c>
      <c r="J456" s="118">
        <f ca="1" t="shared" si="240"/>
        <v>0</v>
      </c>
      <c r="K456" s="118">
        <f ca="1" t="shared" si="240"/>
        <v>0</v>
      </c>
      <c r="L456" s="118">
        <f ca="1" t="shared" si="240"/>
        <v>0</v>
      </c>
      <c r="M456" s="118">
        <f ca="1" t="shared" si="240"/>
        <v>0</v>
      </c>
      <c r="N456" s="118">
        <f ca="1" t="shared" si="240"/>
        <v>0</v>
      </c>
      <c r="O456" s="118">
        <f ca="1" t="shared" si="240"/>
        <v>0</v>
      </c>
      <c r="P456" s="118">
        <f ca="1" t="shared" si="240"/>
        <v>0</v>
      </c>
      <c r="Q456" s="118">
        <f ca="1" t="shared" si="240"/>
        <v>0</v>
      </c>
      <c r="R456" s="118">
        <f ca="1" t="shared" si="240"/>
        <v>0</v>
      </c>
      <c r="S456" s="118">
        <f ca="1" t="shared" si="240"/>
        <v>0</v>
      </c>
      <c r="T456" s="118">
        <f ca="1" t="shared" si="240"/>
        <v>0</v>
      </c>
      <c r="U456" s="118">
        <f ca="1" t="shared" si="240"/>
        <v>0</v>
      </c>
      <c r="V456" s="118">
        <f ca="1">ROUND($D456*VLOOKUP($C456,IF(LEFT($C456,1)="K",INDIRECT("TABLE"),INDIRECT("TABLE2")),V$9+1),0)+Z456</f>
        <v>0</v>
      </c>
      <c r="W456" s="118">
        <f>D456-V456</f>
        <v>0</v>
      </c>
      <c r="X456" s="150"/>
      <c r="Z456" s="140" t="str">
        <f>IF($C456="B","",VLOOKUP($C456,orig_alloc!$A$13:$B$227,2,FALSE))</f>
        <v>WTD NET G &amp; I PLT RATIOS</v>
      </c>
      <c r="AA456" s="141"/>
      <c r="AE456" s="141"/>
      <c r="AF456" s="141"/>
    </row>
    <row r="457" spans="1:32" ht="20.25">
      <c r="A457" s="240" t="s">
        <v>627</v>
      </c>
      <c r="B457" s="149" t="s">
        <v>266</v>
      </c>
      <c r="C457" s="148"/>
      <c r="D457" s="202">
        <f aca="true" t="shared" si="241" ref="D457:W457">SUM(D455:D456)</f>
        <v>99000</v>
      </c>
      <c r="E457" s="202">
        <f t="shared" si="241"/>
        <v>54943</v>
      </c>
      <c r="F457" s="202">
        <f t="shared" si="241"/>
        <v>21466</v>
      </c>
      <c r="G457" s="202">
        <f t="shared" si="241"/>
        <v>17</v>
      </c>
      <c r="H457" s="202">
        <f t="shared" si="241"/>
        <v>102</v>
      </c>
      <c r="I457" s="202">
        <f t="shared" si="241"/>
        <v>338</v>
      </c>
      <c r="J457" s="202">
        <f t="shared" si="241"/>
        <v>12</v>
      </c>
      <c r="K457" s="202">
        <f t="shared" si="241"/>
        <v>11385</v>
      </c>
      <c r="L457" s="202">
        <f t="shared" si="241"/>
        <v>122</v>
      </c>
      <c r="M457" s="202">
        <f t="shared" si="241"/>
        <v>6757</v>
      </c>
      <c r="N457" s="202">
        <f t="shared" si="241"/>
        <v>256</v>
      </c>
      <c r="O457" s="202">
        <f t="shared" si="241"/>
        <v>526</v>
      </c>
      <c r="P457" s="202">
        <f t="shared" si="241"/>
        <v>0</v>
      </c>
      <c r="Q457" s="202">
        <f t="shared" si="241"/>
        <v>2418</v>
      </c>
      <c r="R457" s="202">
        <f t="shared" si="241"/>
        <v>111</v>
      </c>
      <c r="S457" s="202">
        <f t="shared" si="241"/>
        <v>535</v>
      </c>
      <c r="T457" s="202">
        <f t="shared" si="241"/>
        <v>0</v>
      </c>
      <c r="U457" s="202">
        <f t="shared" si="241"/>
        <v>12</v>
      </c>
      <c r="V457" s="202">
        <f t="shared" si="241"/>
        <v>99000</v>
      </c>
      <c r="W457" s="202">
        <f t="shared" si="241"/>
        <v>0</v>
      </c>
      <c r="X457" s="150"/>
      <c r="Z457" s="140">
        <f>IF($C457="B","",VLOOKUP($C457,orig_alloc!$A$13:$B$227,2,FALSE))</f>
      </c>
      <c r="AA457" s="141"/>
      <c r="AE457" s="141"/>
      <c r="AF457" s="141"/>
    </row>
    <row r="458" spans="1:32" ht="20.25">
      <c r="A458" s="132"/>
      <c r="B458" s="149"/>
      <c r="C458" s="132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50"/>
      <c r="Z458" s="140">
        <f>IF($C458="B","",VLOOKUP($C458,orig_alloc!$A$13:$B$227,2,FALSE))</f>
      </c>
      <c r="AA458" s="141"/>
      <c r="AE458" s="141"/>
      <c r="AF458" s="141"/>
    </row>
    <row r="459" spans="1:32" ht="20.25">
      <c r="A459" s="132" t="s">
        <v>628</v>
      </c>
      <c r="B459" s="149"/>
      <c r="C459" s="132"/>
      <c r="D459" s="118"/>
      <c r="E459" s="118"/>
      <c r="F459" s="118"/>
      <c r="G459" s="118"/>
      <c r="H459" s="118"/>
      <c r="I459" s="118"/>
      <c r="J459" s="118"/>
      <c r="K459" s="133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50"/>
      <c r="Z459" s="140">
        <f>IF($C459="B","",VLOOKUP($C459,orig_alloc!$A$13:$B$227,2,FALSE))</f>
      </c>
      <c r="AA459" s="141"/>
      <c r="AE459" s="141"/>
      <c r="AF459" s="141"/>
    </row>
    <row r="460" spans="1:32" ht="20.25">
      <c r="A460" s="148" t="s">
        <v>629</v>
      </c>
      <c r="B460" s="149" t="s">
        <v>630</v>
      </c>
      <c r="C460" s="148" t="s">
        <v>631</v>
      </c>
      <c r="D460" s="201">
        <v>630000</v>
      </c>
      <c r="E460" s="219">
        <f>V460-SUM(F460:U460)</f>
        <v>349564</v>
      </c>
      <c r="F460" s="118">
        <f aca="true" ca="1" t="shared" si="242" ref="F460:O461">ROUND($D460*VLOOKUP($C460,IF(LEFT($C460,1)="K",INDIRECT("TABLE"),INDIRECT("TABLE2")),F$9+1),0)</f>
        <v>136646</v>
      </c>
      <c r="G460" s="118">
        <f ca="1" t="shared" si="242"/>
        <v>110</v>
      </c>
      <c r="H460" s="118">
        <f ca="1" t="shared" si="242"/>
        <v>651</v>
      </c>
      <c r="I460" s="118">
        <f ca="1" t="shared" si="242"/>
        <v>2152</v>
      </c>
      <c r="J460" s="118">
        <f ca="1" t="shared" si="242"/>
        <v>77</v>
      </c>
      <c r="K460" s="118">
        <f ca="1" t="shared" si="242"/>
        <v>72474</v>
      </c>
      <c r="L460" s="118">
        <f ca="1" t="shared" si="242"/>
        <v>774</v>
      </c>
      <c r="M460" s="118">
        <f ca="1" t="shared" si="242"/>
        <v>43007</v>
      </c>
      <c r="N460" s="118">
        <f ca="1" t="shared" si="242"/>
        <v>1630</v>
      </c>
      <c r="O460" s="118">
        <f ca="1" t="shared" si="242"/>
        <v>3344</v>
      </c>
      <c r="P460" s="118">
        <f aca="true" ca="1" t="shared" si="243" ref="P460:V461">ROUND($D460*VLOOKUP($C460,IF(LEFT($C460,1)="K",INDIRECT("TABLE"),INDIRECT("TABLE2")),P$9+1),0)</f>
        <v>0</v>
      </c>
      <c r="Q460" s="118">
        <f ca="1" t="shared" si="243"/>
        <v>15381</v>
      </c>
      <c r="R460" s="118">
        <f ca="1" t="shared" si="243"/>
        <v>703</v>
      </c>
      <c r="S460" s="118">
        <f ca="1" t="shared" si="243"/>
        <v>3409</v>
      </c>
      <c r="T460" s="118">
        <f ca="1" t="shared" si="243"/>
        <v>0</v>
      </c>
      <c r="U460" s="118">
        <f ca="1" t="shared" si="243"/>
        <v>78</v>
      </c>
      <c r="V460" s="118">
        <f ca="1" t="shared" si="243"/>
        <v>630000</v>
      </c>
      <c r="W460" s="118">
        <f>D460-V460</f>
        <v>0</v>
      </c>
      <c r="X460" s="150"/>
      <c r="Z460" s="140" t="str">
        <f>IF($C460="B","",VLOOKUP($C460,orig_alloc!$A$13:$B$227,2,FALSE))</f>
        <v>WTD NET C &amp; O PLANT RATIOS</v>
      </c>
      <c r="AA460" s="141"/>
      <c r="AE460" s="141"/>
      <c r="AF460" s="141"/>
    </row>
    <row r="461" spans="1:32" ht="20.25">
      <c r="A461" s="148" t="s">
        <v>1298</v>
      </c>
      <c r="B461" s="149" t="s">
        <v>557</v>
      </c>
      <c r="C461" s="148" t="s">
        <v>631</v>
      </c>
      <c r="D461" s="201">
        <v>0</v>
      </c>
      <c r="E461" s="219">
        <f>V461-SUM(F461:U461)</f>
        <v>0</v>
      </c>
      <c r="F461" s="118">
        <f ca="1" t="shared" si="242"/>
        <v>0</v>
      </c>
      <c r="G461" s="118">
        <f ca="1" t="shared" si="242"/>
        <v>0</v>
      </c>
      <c r="H461" s="118">
        <f ca="1" t="shared" si="242"/>
        <v>0</v>
      </c>
      <c r="I461" s="118">
        <f ca="1" t="shared" si="242"/>
        <v>0</v>
      </c>
      <c r="J461" s="118">
        <f ca="1" t="shared" si="242"/>
        <v>0</v>
      </c>
      <c r="K461" s="118">
        <f ca="1" t="shared" si="242"/>
        <v>0</v>
      </c>
      <c r="L461" s="118">
        <f ca="1" t="shared" si="242"/>
        <v>0</v>
      </c>
      <c r="M461" s="118">
        <f ca="1" t="shared" si="242"/>
        <v>0</v>
      </c>
      <c r="N461" s="118">
        <f ca="1" t="shared" si="242"/>
        <v>0</v>
      </c>
      <c r="O461" s="118">
        <f ca="1" t="shared" si="242"/>
        <v>0</v>
      </c>
      <c r="P461" s="118">
        <f ca="1" t="shared" si="243"/>
        <v>0</v>
      </c>
      <c r="Q461" s="118">
        <f ca="1" t="shared" si="243"/>
        <v>0</v>
      </c>
      <c r="R461" s="118">
        <f ca="1" t="shared" si="243"/>
        <v>0</v>
      </c>
      <c r="S461" s="118">
        <f ca="1" t="shared" si="243"/>
        <v>0</v>
      </c>
      <c r="T461" s="118">
        <f ca="1" t="shared" si="243"/>
        <v>0</v>
      </c>
      <c r="U461" s="118">
        <f ca="1" t="shared" si="243"/>
        <v>0</v>
      </c>
      <c r="V461" s="118">
        <f ca="1" t="shared" si="243"/>
        <v>0</v>
      </c>
      <c r="W461" s="118">
        <f>D461-V461</f>
        <v>0</v>
      </c>
      <c r="X461" s="150"/>
      <c r="Z461" s="140" t="str">
        <f>IF($C461="B","",VLOOKUP($C461,orig_alloc!$A$13:$B$227,2,FALSE))</f>
        <v>WTD NET C &amp; O PLANT RATIOS</v>
      </c>
      <c r="AA461" s="141"/>
      <c r="AE461" s="141"/>
      <c r="AF461" s="141"/>
    </row>
    <row r="462" spans="1:32" ht="20.25">
      <c r="A462" s="240" t="s">
        <v>632</v>
      </c>
      <c r="B462" s="149" t="s">
        <v>268</v>
      </c>
      <c r="C462" s="148"/>
      <c r="D462" s="202">
        <f aca="true" t="shared" si="244" ref="D462:W462">SUM(D460:D461)</f>
        <v>630000</v>
      </c>
      <c r="E462" s="202">
        <f t="shared" si="244"/>
        <v>349564</v>
      </c>
      <c r="F462" s="202">
        <f t="shared" si="244"/>
        <v>136646</v>
      </c>
      <c r="G462" s="202">
        <f t="shared" si="244"/>
        <v>110</v>
      </c>
      <c r="H462" s="202">
        <f t="shared" si="244"/>
        <v>651</v>
      </c>
      <c r="I462" s="202">
        <f t="shared" si="244"/>
        <v>2152</v>
      </c>
      <c r="J462" s="202">
        <f t="shared" si="244"/>
        <v>77</v>
      </c>
      <c r="K462" s="202">
        <f t="shared" si="244"/>
        <v>72474</v>
      </c>
      <c r="L462" s="202">
        <f t="shared" si="244"/>
        <v>774</v>
      </c>
      <c r="M462" s="202">
        <f t="shared" si="244"/>
        <v>43007</v>
      </c>
      <c r="N462" s="202">
        <f t="shared" si="244"/>
        <v>1630</v>
      </c>
      <c r="O462" s="202">
        <f t="shared" si="244"/>
        <v>3344</v>
      </c>
      <c r="P462" s="202">
        <f t="shared" si="244"/>
        <v>0</v>
      </c>
      <c r="Q462" s="202">
        <f t="shared" si="244"/>
        <v>15381</v>
      </c>
      <c r="R462" s="202">
        <f t="shared" si="244"/>
        <v>703</v>
      </c>
      <c r="S462" s="202">
        <f t="shared" si="244"/>
        <v>3409</v>
      </c>
      <c r="T462" s="202">
        <f t="shared" si="244"/>
        <v>0</v>
      </c>
      <c r="U462" s="202">
        <f t="shared" si="244"/>
        <v>78</v>
      </c>
      <c r="V462" s="202">
        <f t="shared" si="244"/>
        <v>630000</v>
      </c>
      <c r="W462" s="202">
        <f t="shared" si="244"/>
        <v>0</v>
      </c>
      <c r="X462" s="150"/>
      <c r="Z462" s="140">
        <f>IF($C462="B","",VLOOKUP($C462,orig_alloc!$A$13:$B$227,2,FALSE))</f>
      </c>
      <c r="AA462" s="141"/>
      <c r="AE462" s="141"/>
      <c r="AF462" s="141"/>
    </row>
    <row r="463" spans="1:32" ht="20.25">
      <c r="A463" s="132"/>
      <c r="B463" s="149"/>
      <c r="C463" s="132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50"/>
      <c r="Z463" s="140">
        <f>IF($C463="B","",VLOOKUP($C463,orig_alloc!$A$13:$B$227,2,FALSE))</f>
      </c>
      <c r="AA463" s="141"/>
      <c r="AE463" s="141"/>
      <c r="AF463" s="141"/>
    </row>
    <row r="464" spans="1:32" ht="20.25">
      <c r="A464" s="132" t="s">
        <v>633</v>
      </c>
      <c r="B464" s="149" t="s">
        <v>270</v>
      </c>
      <c r="C464" s="132"/>
      <c r="D464" s="118">
        <f aca="true" t="shared" si="245" ref="D464:W464">D462+D457+D452+D447+D442</f>
        <v>33172220</v>
      </c>
      <c r="E464" s="118">
        <f t="shared" si="245"/>
        <v>17192292</v>
      </c>
      <c r="F464" s="118">
        <f t="shared" si="245"/>
        <v>7606834</v>
      </c>
      <c r="G464" s="118">
        <f t="shared" si="245"/>
        <v>7283</v>
      </c>
      <c r="H464" s="118">
        <f t="shared" si="245"/>
        <v>29935</v>
      </c>
      <c r="I464" s="118">
        <f t="shared" si="245"/>
        <v>135596</v>
      </c>
      <c r="J464" s="118">
        <f t="shared" si="245"/>
        <v>3527</v>
      </c>
      <c r="K464" s="118">
        <f t="shared" si="245"/>
        <v>4208118</v>
      </c>
      <c r="L464" s="118">
        <f t="shared" si="245"/>
        <v>57469</v>
      </c>
      <c r="M464" s="118">
        <f t="shared" si="245"/>
        <v>2435349</v>
      </c>
      <c r="N464" s="118">
        <f t="shared" si="245"/>
        <v>115188</v>
      </c>
      <c r="O464" s="118">
        <f t="shared" si="245"/>
        <v>188325</v>
      </c>
      <c r="P464" s="118">
        <f t="shared" si="245"/>
        <v>0</v>
      </c>
      <c r="Q464" s="118">
        <f t="shared" si="245"/>
        <v>814652</v>
      </c>
      <c r="R464" s="118">
        <f t="shared" si="245"/>
        <v>46980</v>
      </c>
      <c r="S464" s="118">
        <f t="shared" si="245"/>
        <v>325894</v>
      </c>
      <c r="T464" s="118">
        <f t="shared" si="245"/>
        <v>0</v>
      </c>
      <c r="U464" s="118">
        <f t="shared" si="245"/>
        <v>4778</v>
      </c>
      <c r="V464" s="118">
        <f t="shared" si="245"/>
        <v>33172220</v>
      </c>
      <c r="W464" s="118">
        <f t="shared" si="245"/>
        <v>0</v>
      </c>
      <c r="X464" s="150"/>
      <c r="Z464" s="140">
        <f>IF($C464="B","",VLOOKUP($C464,orig_alloc!$A$13:$B$227,2,FALSE))</f>
      </c>
      <c r="AA464" s="141"/>
      <c r="AE464" s="141"/>
      <c r="AF464" s="141"/>
    </row>
    <row r="465" spans="1:32" ht="20.25">
      <c r="A465" s="132"/>
      <c r="B465" s="149"/>
      <c r="C465" s="132"/>
      <c r="D465" s="118"/>
      <c r="E465" s="133"/>
      <c r="F465" s="133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133"/>
      <c r="R465" s="226"/>
      <c r="S465" s="133"/>
      <c r="T465" s="226"/>
      <c r="U465" s="133"/>
      <c r="V465" s="133"/>
      <c r="W465" s="133"/>
      <c r="X465" s="150"/>
      <c r="Z465" s="140">
        <f>IF($C465="B","",VLOOKUP($C465,orig_alloc!$A$13:$B$227,2,FALSE))</f>
      </c>
      <c r="AA465" s="141"/>
      <c r="AE465" s="141"/>
      <c r="AF465" s="141"/>
    </row>
    <row r="466" spans="1:32" ht="20.25">
      <c r="A466" s="281" t="s">
        <v>634</v>
      </c>
      <c r="B466" s="290" t="s">
        <v>635</v>
      </c>
      <c r="C466" s="132"/>
      <c r="D466" s="118"/>
      <c r="E466" s="118"/>
      <c r="F466" s="118"/>
      <c r="G466" s="118"/>
      <c r="H466" s="118"/>
      <c r="I466" s="118"/>
      <c r="J466" s="118"/>
      <c r="K466" s="133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50"/>
      <c r="Z466" s="140">
        <f>IF($C466="B","",VLOOKUP($C466,orig_alloc!$A$13:$B$227,2,FALSE))</f>
      </c>
      <c r="AA466" s="141"/>
      <c r="AE466" s="141"/>
      <c r="AF466" s="141"/>
    </row>
    <row r="467" spans="1:32" ht="20.25">
      <c r="A467" s="132" t="s">
        <v>636</v>
      </c>
      <c r="B467" s="149"/>
      <c r="C467" s="132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50"/>
      <c r="Z467" s="140">
        <f>IF($C467="B","",VLOOKUP($C467,orig_alloc!$A$13:$B$227,2,FALSE))</f>
      </c>
      <c r="AA467" s="141"/>
      <c r="AB467" s="141"/>
      <c r="AE467" s="141"/>
      <c r="AF467" s="141"/>
    </row>
    <row r="468" spans="1:32" ht="20.25">
      <c r="A468" s="148" t="s">
        <v>1182</v>
      </c>
      <c r="B468" s="149" t="s">
        <v>637</v>
      </c>
      <c r="C468" s="148" t="s">
        <v>329</v>
      </c>
      <c r="D468" s="228">
        <f>750000+1877784</f>
        <v>2627784</v>
      </c>
      <c r="E468" s="219">
        <f>V468-SUM(F468:U468)</f>
        <v>1358724</v>
      </c>
      <c r="F468" s="118">
        <f aca="true" ca="1" t="shared" si="246" ref="F468:O471">ROUND($D468*VLOOKUP($C468,IF(LEFT($C468,1)="K",INDIRECT("TABLE"),INDIRECT("TABLE2")),F$9+1),0)</f>
        <v>584217</v>
      </c>
      <c r="G468" s="118">
        <f ca="1" t="shared" si="246"/>
        <v>574</v>
      </c>
      <c r="H468" s="118">
        <f ca="1" t="shared" si="246"/>
        <v>2350</v>
      </c>
      <c r="I468" s="118">
        <f ca="1" t="shared" si="246"/>
        <v>11173</v>
      </c>
      <c r="J468" s="118">
        <f ca="1" t="shared" si="246"/>
        <v>263</v>
      </c>
      <c r="K468" s="118">
        <f ca="1" t="shared" si="246"/>
        <v>322628</v>
      </c>
      <c r="L468" s="118">
        <f ca="1" t="shared" si="246"/>
        <v>4718</v>
      </c>
      <c r="M468" s="118">
        <f ca="1" t="shared" si="246"/>
        <v>207042</v>
      </c>
      <c r="N468" s="118">
        <f ca="1" t="shared" si="246"/>
        <v>9940</v>
      </c>
      <c r="O468" s="118">
        <f ca="1" t="shared" si="246"/>
        <v>15395</v>
      </c>
      <c r="P468" s="118">
        <f aca="true" ca="1" t="shared" si="247" ref="P468:V471">ROUND($D468*VLOOKUP($C468,IF(LEFT($C468,1)="K",INDIRECT("TABLE"),INDIRECT("TABLE2")),P$9+1),0)</f>
        <v>0</v>
      </c>
      <c r="Q468" s="118">
        <f ca="1" t="shared" si="247"/>
        <v>91420</v>
      </c>
      <c r="R468" s="118">
        <f ca="1" t="shared" si="247"/>
        <v>5301</v>
      </c>
      <c r="S468" s="118">
        <f ca="1" t="shared" si="247"/>
        <v>13610</v>
      </c>
      <c r="T468" s="118">
        <f ca="1" t="shared" si="247"/>
        <v>0</v>
      </c>
      <c r="U468" s="118">
        <f ca="1" t="shared" si="247"/>
        <v>429</v>
      </c>
      <c r="V468" s="118">
        <f ca="1" t="shared" si="247"/>
        <v>2627784</v>
      </c>
      <c r="W468" s="118">
        <f>D468-V468</f>
        <v>0</v>
      </c>
      <c r="X468" s="150"/>
      <c r="Z468" s="140" t="str">
        <f>IF($C468="B","",VLOOKUP($C468,orig_alloc!$A$13:$B$227,2,FALSE))</f>
        <v>WTD NET PROD PLANT RATIOS</v>
      </c>
      <c r="AA468" s="141"/>
      <c r="AB468" s="148"/>
      <c r="AE468" s="141"/>
      <c r="AF468" s="141"/>
    </row>
    <row r="469" spans="1:32" ht="20.25">
      <c r="A469" s="148" t="s">
        <v>314</v>
      </c>
      <c r="B469" s="149" t="s">
        <v>1183</v>
      </c>
      <c r="C469" s="148" t="s">
        <v>330</v>
      </c>
      <c r="D469" s="228">
        <v>271224</v>
      </c>
      <c r="E469" s="219">
        <f>V469-SUM(F469:U469)</f>
        <v>140239</v>
      </c>
      <c r="F469" s="118">
        <f ca="1" t="shared" si="246"/>
        <v>60299</v>
      </c>
      <c r="G469" s="118">
        <f ca="1" t="shared" si="246"/>
        <v>59</v>
      </c>
      <c r="H469" s="118">
        <f ca="1" t="shared" si="246"/>
        <v>243</v>
      </c>
      <c r="I469" s="118">
        <f ca="1" t="shared" si="246"/>
        <v>1153</v>
      </c>
      <c r="J469" s="118">
        <f ca="1" t="shared" si="246"/>
        <v>27</v>
      </c>
      <c r="K469" s="118">
        <f ca="1" t="shared" si="246"/>
        <v>33300</v>
      </c>
      <c r="L469" s="118">
        <f ca="1" t="shared" si="246"/>
        <v>487</v>
      </c>
      <c r="M469" s="118">
        <f ca="1" t="shared" si="246"/>
        <v>21370</v>
      </c>
      <c r="N469" s="118">
        <f ca="1" t="shared" si="246"/>
        <v>1026</v>
      </c>
      <c r="O469" s="118">
        <f ca="1" t="shared" si="246"/>
        <v>1589</v>
      </c>
      <c r="P469" s="118">
        <f ca="1" t="shared" si="247"/>
        <v>0</v>
      </c>
      <c r="Q469" s="118">
        <f ca="1" t="shared" si="247"/>
        <v>9436</v>
      </c>
      <c r="R469" s="118">
        <f ca="1" t="shared" si="247"/>
        <v>547</v>
      </c>
      <c r="S469" s="118">
        <f ca="1" t="shared" si="247"/>
        <v>1405</v>
      </c>
      <c r="T469" s="118">
        <f ca="1" t="shared" si="247"/>
        <v>0</v>
      </c>
      <c r="U469" s="118">
        <f ca="1" t="shared" si="247"/>
        <v>44</v>
      </c>
      <c r="V469" s="118">
        <f ca="1" t="shared" si="247"/>
        <v>271224</v>
      </c>
      <c r="W469" s="118">
        <f>D469-V469</f>
        <v>0</v>
      </c>
      <c r="X469" s="150"/>
      <c r="Z469" s="140" t="str">
        <f>IF($C469="B","",VLOOKUP($C469,orig_alloc!$A$13:$B$227,2,FALSE))</f>
        <v>WTD NET TRANS PLANT RATIOS</v>
      </c>
      <c r="AA469" s="141"/>
      <c r="AB469" s="148"/>
      <c r="AE469" s="141"/>
      <c r="AF469" s="141"/>
    </row>
    <row r="470" spans="1:32" ht="20.25">
      <c r="A470" s="148" t="s">
        <v>313</v>
      </c>
      <c r="B470" s="149" t="s">
        <v>558</v>
      </c>
      <c r="C470" s="148" t="s">
        <v>331</v>
      </c>
      <c r="D470" s="228">
        <f>2726532+69605</f>
        <v>2796137</v>
      </c>
      <c r="E470" s="219">
        <f>V470-SUM(F470:U470)</f>
        <v>1449478</v>
      </c>
      <c r="F470" s="118">
        <f ca="1" t="shared" si="246"/>
        <v>690648</v>
      </c>
      <c r="G470" s="118">
        <f ca="1" t="shared" si="246"/>
        <v>631</v>
      </c>
      <c r="H470" s="118">
        <f ca="1" t="shared" si="246"/>
        <v>2550</v>
      </c>
      <c r="I470" s="118">
        <f ca="1" t="shared" si="246"/>
        <v>10474</v>
      </c>
      <c r="J470" s="118">
        <f ca="1" t="shared" si="246"/>
        <v>336</v>
      </c>
      <c r="K470" s="118">
        <f ca="1" t="shared" si="246"/>
        <v>384555</v>
      </c>
      <c r="L470" s="118">
        <f ca="1" t="shared" si="246"/>
        <v>4530</v>
      </c>
      <c r="M470" s="118">
        <f ca="1" t="shared" si="246"/>
        <v>170393</v>
      </c>
      <c r="N470" s="118">
        <f ca="1" t="shared" si="246"/>
        <v>7820</v>
      </c>
      <c r="O470" s="118">
        <f ca="1" t="shared" si="246"/>
        <v>14738</v>
      </c>
      <c r="P470" s="118">
        <f ca="1" t="shared" si="247"/>
        <v>0</v>
      </c>
      <c r="Q470" s="118">
        <f ca="1" t="shared" si="247"/>
        <v>192</v>
      </c>
      <c r="R470" s="118">
        <f ca="1" t="shared" si="247"/>
        <v>0</v>
      </c>
      <c r="S470" s="118">
        <f ca="1" t="shared" si="247"/>
        <v>59513</v>
      </c>
      <c r="T470" s="118">
        <f ca="1" t="shared" si="247"/>
        <v>0</v>
      </c>
      <c r="U470" s="118">
        <f ca="1" t="shared" si="247"/>
        <v>279</v>
      </c>
      <c r="V470" s="118">
        <f ca="1" t="shared" si="247"/>
        <v>2796137</v>
      </c>
      <c r="W470" s="118">
        <f>D470-V470</f>
        <v>0</v>
      </c>
      <c r="X470" s="150"/>
      <c r="Z470" s="140" t="str">
        <f>IF($C470="B","",VLOOKUP($C470,orig_alloc!$A$13:$B$227,2,FALSE))</f>
        <v>WTD NET TOTAL DIST PLANT RATIOS</v>
      </c>
      <c r="AA470" s="141"/>
      <c r="AB470" s="148"/>
      <c r="AE470" s="141"/>
      <c r="AF470" s="141"/>
    </row>
    <row r="471" spans="1:32" ht="20.25">
      <c r="A471" s="148" t="s">
        <v>316</v>
      </c>
      <c r="B471" s="149" t="s">
        <v>559</v>
      </c>
      <c r="C471" s="148" t="s">
        <v>328</v>
      </c>
      <c r="D471" s="118">
        <v>0</v>
      </c>
      <c r="E471" s="219">
        <f>V471-SUM(F471:U471)</f>
        <v>0</v>
      </c>
      <c r="F471" s="118">
        <f ca="1" t="shared" si="246"/>
        <v>0</v>
      </c>
      <c r="G471" s="118">
        <f ca="1" t="shared" si="246"/>
        <v>0</v>
      </c>
      <c r="H471" s="118">
        <f ca="1" t="shared" si="246"/>
        <v>0</v>
      </c>
      <c r="I471" s="118">
        <f ca="1" t="shared" si="246"/>
        <v>0</v>
      </c>
      <c r="J471" s="118">
        <f ca="1" t="shared" si="246"/>
        <v>0</v>
      </c>
      <c r="K471" s="118">
        <f ca="1" t="shared" si="246"/>
        <v>0</v>
      </c>
      <c r="L471" s="118">
        <f ca="1" t="shared" si="246"/>
        <v>0</v>
      </c>
      <c r="M471" s="118">
        <f ca="1" t="shared" si="246"/>
        <v>0</v>
      </c>
      <c r="N471" s="118">
        <f ca="1" t="shared" si="246"/>
        <v>0</v>
      </c>
      <c r="O471" s="118">
        <f ca="1" t="shared" si="246"/>
        <v>0</v>
      </c>
      <c r="P471" s="118">
        <f ca="1" t="shared" si="247"/>
        <v>0</v>
      </c>
      <c r="Q471" s="118">
        <f ca="1" t="shared" si="247"/>
        <v>0</v>
      </c>
      <c r="R471" s="118">
        <f ca="1" t="shared" si="247"/>
        <v>0</v>
      </c>
      <c r="S471" s="118">
        <f ca="1" t="shared" si="247"/>
        <v>0</v>
      </c>
      <c r="T471" s="118">
        <f ca="1" t="shared" si="247"/>
        <v>0</v>
      </c>
      <c r="U471" s="118">
        <f ca="1" t="shared" si="247"/>
        <v>0</v>
      </c>
      <c r="V471" s="118">
        <f ca="1" t="shared" si="247"/>
        <v>0</v>
      </c>
      <c r="W471" s="118">
        <f>D471-V471</f>
        <v>0</v>
      </c>
      <c r="X471" s="150"/>
      <c r="Z471" s="140" t="str">
        <f>IF($C471="B","",VLOOKUP($C471,orig_alloc!$A$13:$B$227,2,FALSE))</f>
        <v>WTD NET PLANT RATIOS</v>
      </c>
      <c r="AA471" s="141"/>
      <c r="AB471" s="148"/>
      <c r="AE471" s="141"/>
      <c r="AF471" s="141"/>
    </row>
    <row r="472" spans="1:32" ht="20.25">
      <c r="A472" s="240" t="s">
        <v>638</v>
      </c>
      <c r="B472" s="149" t="s">
        <v>273</v>
      </c>
      <c r="C472" s="132"/>
      <c r="D472" s="202">
        <f aca="true" t="shared" si="248" ref="D472:W472">SUM(D467:D471)</f>
        <v>5695145</v>
      </c>
      <c r="E472" s="202">
        <f t="shared" si="248"/>
        <v>2948441</v>
      </c>
      <c r="F472" s="202">
        <f t="shared" si="248"/>
        <v>1335164</v>
      </c>
      <c r="G472" s="202">
        <f t="shared" si="248"/>
        <v>1264</v>
      </c>
      <c r="H472" s="202">
        <f t="shared" si="248"/>
        <v>5143</v>
      </c>
      <c r="I472" s="202">
        <f t="shared" si="248"/>
        <v>22800</v>
      </c>
      <c r="J472" s="202">
        <f t="shared" si="248"/>
        <v>626</v>
      </c>
      <c r="K472" s="202">
        <f t="shared" si="248"/>
        <v>740483</v>
      </c>
      <c r="L472" s="202">
        <f t="shared" si="248"/>
        <v>9735</v>
      </c>
      <c r="M472" s="202">
        <f t="shared" si="248"/>
        <v>398805</v>
      </c>
      <c r="N472" s="202">
        <f t="shared" si="248"/>
        <v>18786</v>
      </c>
      <c r="O472" s="202">
        <f t="shared" si="248"/>
        <v>31722</v>
      </c>
      <c r="P472" s="202">
        <f t="shared" si="248"/>
        <v>0</v>
      </c>
      <c r="Q472" s="202">
        <f t="shared" si="248"/>
        <v>101048</v>
      </c>
      <c r="R472" s="202">
        <f t="shared" si="248"/>
        <v>5848</v>
      </c>
      <c r="S472" s="202">
        <f t="shared" si="248"/>
        <v>74528</v>
      </c>
      <c r="T472" s="202">
        <f t="shared" si="248"/>
        <v>0</v>
      </c>
      <c r="U472" s="202">
        <f t="shared" si="248"/>
        <v>752</v>
      </c>
      <c r="V472" s="202">
        <f t="shared" si="248"/>
        <v>5695145</v>
      </c>
      <c r="W472" s="202">
        <f t="shared" si="248"/>
        <v>0</v>
      </c>
      <c r="X472" s="150"/>
      <c r="Z472" s="140">
        <f>IF($C472="B","",VLOOKUP($C472,orig_alloc!$A$13:$B$227,2,FALSE))</f>
      </c>
      <c r="AA472" s="141"/>
      <c r="AE472" s="141"/>
      <c r="AF472" s="141"/>
    </row>
    <row r="473" spans="1:32" ht="20.25">
      <c r="A473" s="132"/>
      <c r="B473" s="149"/>
      <c r="C473" s="132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18"/>
      <c r="W473" s="118"/>
      <c r="X473" s="150"/>
      <c r="Z473" s="140">
        <f>IF($C473="B","",VLOOKUP($C473,orig_alloc!$A$13:$B$227,2,FALSE))</f>
      </c>
      <c r="AA473" s="141"/>
      <c r="AE473" s="141"/>
      <c r="AF473" s="141"/>
    </row>
    <row r="474" spans="1:32" ht="20.25">
      <c r="A474" s="132" t="s">
        <v>639</v>
      </c>
      <c r="B474" s="149"/>
      <c r="C474" s="132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18"/>
      <c r="W474" s="118"/>
      <c r="X474" s="150"/>
      <c r="Z474" s="140">
        <f>IF($C474="B","",VLOOKUP($C474,orig_alloc!$A$13:$B$227,2,FALSE))</f>
      </c>
      <c r="AA474" s="141"/>
      <c r="AE474" s="141"/>
      <c r="AF474" s="141"/>
    </row>
    <row r="475" spans="1:32" ht="20.25">
      <c r="A475" s="148" t="s">
        <v>835</v>
      </c>
      <c r="B475" s="149" t="s">
        <v>644</v>
      </c>
      <c r="C475" s="148" t="s">
        <v>546</v>
      </c>
      <c r="D475" s="201">
        <f>2098016+26887-230278-7804</f>
        <v>1886821</v>
      </c>
      <c r="E475" s="219">
        <f aca="true" t="shared" si="249" ref="E475:E482">V475-SUM(F475:U475)</f>
        <v>1046979</v>
      </c>
      <c r="F475" s="118">
        <f aca="true" ca="1" t="shared" si="250" ref="F475:O482">ROUND($D475*VLOOKUP($C475,IF(LEFT($C475,1)="K",INDIRECT("TABLE"),INDIRECT("TABLE2")),F$9+1),0)</f>
        <v>409226</v>
      </c>
      <c r="G475" s="118">
        <f ca="1" t="shared" si="250"/>
        <v>329</v>
      </c>
      <c r="H475" s="118">
        <f ca="1" t="shared" si="250"/>
        <v>1951</v>
      </c>
      <c r="I475" s="118">
        <f ca="1" t="shared" si="250"/>
        <v>6444</v>
      </c>
      <c r="J475" s="118">
        <f ca="1" t="shared" si="250"/>
        <v>231</v>
      </c>
      <c r="K475" s="118">
        <f ca="1" t="shared" si="250"/>
        <v>217033</v>
      </c>
      <c r="L475" s="118">
        <f ca="1" t="shared" si="250"/>
        <v>2318</v>
      </c>
      <c r="M475" s="118">
        <f ca="1" t="shared" si="250"/>
        <v>128794</v>
      </c>
      <c r="N475" s="118">
        <f ca="1" t="shared" si="250"/>
        <v>4882</v>
      </c>
      <c r="O475" s="118">
        <f ca="1" t="shared" si="250"/>
        <v>10015</v>
      </c>
      <c r="P475" s="118">
        <f aca="true" ca="1" t="shared" si="251" ref="P475:V482">ROUND($D475*VLOOKUP($C475,IF(LEFT($C475,1)="K",INDIRECT("TABLE"),INDIRECT("TABLE2")),P$9+1),0)</f>
        <v>0</v>
      </c>
      <c r="Q475" s="118">
        <f ca="1" t="shared" si="251"/>
        <v>46069</v>
      </c>
      <c r="R475" s="118">
        <f ca="1" t="shared" si="251"/>
        <v>2107</v>
      </c>
      <c r="S475" s="118">
        <f ca="1" t="shared" si="251"/>
        <v>10209</v>
      </c>
      <c r="T475" s="118">
        <f ca="1" t="shared" si="251"/>
        <v>0</v>
      </c>
      <c r="U475" s="118">
        <f ca="1" t="shared" si="251"/>
        <v>234</v>
      </c>
      <c r="V475" s="118">
        <f ca="1" t="shared" si="251"/>
        <v>1886821</v>
      </c>
      <c r="W475" s="118">
        <f aca="true" t="shared" si="252" ref="W475:W482">D475-V475</f>
        <v>0</v>
      </c>
      <c r="X475" s="150"/>
      <c r="Z475" s="140" t="str">
        <f>IF($C475="B","",VLOOKUP($C475,orig_alloc!$A$13:$B$227,2,FALSE))</f>
        <v>WTD A&amp;G EXPENSE UNADJUSTED</v>
      </c>
      <c r="AA475" s="141"/>
      <c r="AE475" s="141"/>
      <c r="AF475" s="141"/>
    </row>
    <row r="476" spans="1:32" ht="20.25">
      <c r="A476" s="148" t="s">
        <v>834</v>
      </c>
      <c r="B476" s="149" t="s">
        <v>642</v>
      </c>
      <c r="C476" s="148" t="s">
        <v>546</v>
      </c>
      <c r="D476" s="201">
        <v>0</v>
      </c>
      <c r="E476" s="219">
        <f t="shared" si="249"/>
        <v>0</v>
      </c>
      <c r="F476" s="118">
        <f ca="1" t="shared" si="250"/>
        <v>0</v>
      </c>
      <c r="G476" s="118">
        <f ca="1" t="shared" si="250"/>
        <v>0</v>
      </c>
      <c r="H476" s="118">
        <f ca="1" t="shared" si="250"/>
        <v>0</v>
      </c>
      <c r="I476" s="118">
        <f ca="1" t="shared" si="250"/>
        <v>0</v>
      </c>
      <c r="J476" s="118">
        <f ca="1" t="shared" si="250"/>
        <v>0</v>
      </c>
      <c r="K476" s="118">
        <f ca="1" t="shared" si="250"/>
        <v>0</v>
      </c>
      <c r="L476" s="118">
        <f ca="1" t="shared" si="250"/>
        <v>0</v>
      </c>
      <c r="M476" s="118">
        <f ca="1" t="shared" si="250"/>
        <v>0</v>
      </c>
      <c r="N476" s="118">
        <f ca="1" t="shared" si="250"/>
        <v>0</v>
      </c>
      <c r="O476" s="118">
        <f ca="1" t="shared" si="250"/>
        <v>0</v>
      </c>
      <c r="P476" s="118">
        <f ca="1" t="shared" si="251"/>
        <v>0</v>
      </c>
      <c r="Q476" s="118">
        <f ca="1" t="shared" si="251"/>
        <v>0</v>
      </c>
      <c r="R476" s="118">
        <f ca="1" t="shared" si="251"/>
        <v>0</v>
      </c>
      <c r="S476" s="118">
        <f ca="1" t="shared" si="251"/>
        <v>0</v>
      </c>
      <c r="T476" s="118">
        <f ca="1" t="shared" si="251"/>
        <v>0</v>
      </c>
      <c r="U476" s="118">
        <f ca="1" t="shared" si="251"/>
        <v>0</v>
      </c>
      <c r="V476" s="118">
        <f ca="1" t="shared" si="251"/>
        <v>0</v>
      </c>
      <c r="W476" s="118">
        <f t="shared" si="252"/>
        <v>0</v>
      </c>
      <c r="X476" s="150"/>
      <c r="Z476" s="140" t="str">
        <f>IF($C476="B","",VLOOKUP($C476,orig_alloc!$A$13:$B$227,2,FALSE))</f>
        <v>WTD A&amp;G EXPENSE UNADJUSTED</v>
      </c>
      <c r="AA476" s="141"/>
      <c r="AE476" s="141"/>
      <c r="AF476" s="141"/>
    </row>
    <row r="477" spans="1:32" ht="20.25">
      <c r="A477" s="148" t="s">
        <v>1307</v>
      </c>
      <c r="B477" s="149" t="s">
        <v>643</v>
      </c>
      <c r="C477" s="148" t="s">
        <v>320</v>
      </c>
      <c r="D477" s="201">
        <f>-29509</f>
        <v>-29509</v>
      </c>
      <c r="E477" s="219">
        <f t="shared" si="249"/>
        <v>-11165</v>
      </c>
      <c r="F477" s="118">
        <f ca="1" t="shared" si="250"/>
        <v>-7643</v>
      </c>
      <c r="G477" s="118">
        <f ca="1" t="shared" si="250"/>
        <v>-7</v>
      </c>
      <c r="H477" s="118">
        <f ca="1" t="shared" si="250"/>
        <v>-46</v>
      </c>
      <c r="I477" s="118">
        <f ca="1" t="shared" si="250"/>
        <v>-104</v>
      </c>
      <c r="J477" s="118">
        <f ca="1" t="shared" si="250"/>
        <v>-3</v>
      </c>
      <c r="K477" s="118">
        <f ca="1" t="shared" si="250"/>
        <v>-5350</v>
      </c>
      <c r="L477" s="118">
        <f ca="1" t="shared" si="250"/>
        <v>-59</v>
      </c>
      <c r="M477" s="118">
        <f ca="1" t="shared" si="250"/>
        <v>-3192</v>
      </c>
      <c r="N477" s="118">
        <f ca="1" t="shared" si="250"/>
        <v>-147</v>
      </c>
      <c r="O477" s="118">
        <f ca="1" t="shared" si="250"/>
        <v>-251</v>
      </c>
      <c r="P477" s="118">
        <f ca="1" t="shared" si="251"/>
        <v>0</v>
      </c>
      <c r="Q477" s="118">
        <f ca="1" t="shared" si="251"/>
        <v>-1275</v>
      </c>
      <c r="R477" s="118">
        <f ca="1" t="shared" si="251"/>
        <v>-81</v>
      </c>
      <c r="S477" s="118">
        <f ca="1" t="shared" si="251"/>
        <v>-184</v>
      </c>
      <c r="T477" s="118">
        <f ca="1" t="shared" si="251"/>
        <v>0</v>
      </c>
      <c r="U477" s="313">
        <f ca="1" t="shared" si="251"/>
        <v>-2</v>
      </c>
      <c r="V477" s="313">
        <f ca="1" t="shared" si="251"/>
        <v>-29509</v>
      </c>
      <c r="W477" s="313">
        <f t="shared" si="252"/>
        <v>0</v>
      </c>
      <c r="X477" s="150"/>
      <c r="Z477" s="140" t="str">
        <f>IF($C477="B","",VLOOKUP($C477,orig_alloc!$A$13:$B$227,2,FALSE))</f>
        <v>TOTAL KWH</v>
      </c>
      <c r="AA477" s="141"/>
      <c r="AE477" s="141"/>
      <c r="AF477" s="141"/>
    </row>
    <row r="478" spans="1:32" ht="20.25">
      <c r="A478" s="148" t="s">
        <v>640</v>
      </c>
      <c r="B478" s="149" t="s">
        <v>641</v>
      </c>
      <c r="C478" s="148" t="s">
        <v>546</v>
      </c>
      <c r="D478" s="201">
        <v>7804</v>
      </c>
      <c r="E478" s="219">
        <f t="shared" si="249"/>
        <v>4329</v>
      </c>
      <c r="F478" s="118">
        <f ca="1" t="shared" si="250"/>
        <v>1693</v>
      </c>
      <c r="G478" s="118">
        <f ca="1" t="shared" si="250"/>
        <v>1</v>
      </c>
      <c r="H478" s="118">
        <f ca="1" t="shared" si="250"/>
        <v>8</v>
      </c>
      <c r="I478" s="118">
        <f ca="1" t="shared" si="250"/>
        <v>27</v>
      </c>
      <c r="J478" s="118">
        <f ca="1" t="shared" si="250"/>
        <v>1</v>
      </c>
      <c r="K478" s="118">
        <f ca="1" t="shared" si="250"/>
        <v>898</v>
      </c>
      <c r="L478" s="118">
        <f ca="1" t="shared" si="250"/>
        <v>10</v>
      </c>
      <c r="M478" s="118">
        <f ca="1" t="shared" si="250"/>
        <v>533</v>
      </c>
      <c r="N478" s="118">
        <f ca="1" t="shared" si="250"/>
        <v>20</v>
      </c>
      <c r="O478" s="118">
        <f ca="1" t="shared" si="250"/>
        <v>41</v>
      </c>
      <c r="P478" s="118">
        <f ca="1" t="shared" si="251"/>
        <v>0</v>
      </c>
      <c r="Q478" s="118">
        <f ca="1" t="shared" si="251"/>
        <v>191</v>
      </c>
      <c r="R478" s="118">
        <f ca="1" t="shared" si="251"/>
        <v>9</v>
      </c>
      <c r="S478" s="118">
        <f ca="1" t="shared" si="251"/>
        <v>42</v>
      </c>
      <c r="T478" s="118">
        <f ca="1" t="shared" si="251"/>
        <v>0</v>
      </c>
      <c r="U478" s="118">
        <f ca="1" t="shared" si="251"/>
        <v>1</v>
      </c>
      <c r="V478" s="118">
        <f ca="1" t="shared" si="251"/>
        <v>7804</v>
      </c>
      <c r="W478" s="118">
        <f t="shared" si="252"/>
        <v>0</v>
      </c>
      <c r="X478" s="150"/>
      <c r="Z478" s="140" t="str">
        <f>IF($C478="B","",VLOOKUP($C478,orig_alloc!$A$13:$B$227,2,FALSE))</f>
        <v>WTD A&amp;G EXPENSE UNADJUSTED</v>
      </c>
      <c r="AA478" s="141"/>
      <c r="AE478" s="141"/>
      <c r="AF478" s="141"/>
    </row>
    <row r="479" spans="1:32" ht="20.25">
      <c r="A479" s="148" t="s">
        <v>1279</v>
      </c>
      <c r="B479" s="149" t="s">
        <v>642</v>
      </c>
      <c r="C479" s="148" t="s">
        <v>801</v>
      </c>
      <c r="D479" s="201">
        <v>-152</v>
      </c>
      <c r="E479" s="219">
        <f t="shared" si="249"/>
        <v>-64</v>
      </c>
      <c r="F479" s="118">
        <f ca="1" t="shared" si="250"/>
        <v>-43</v>
      </c>
      <c r="G479" s="118">
        <f ca="1" t="shared" si="250"/>
        <v>0</v>
      </c>
      <c r="H479" s="118">
        <f ca="1" t="shared" si="250"/>
        <v>0</v>
      </c>
      <c r="I479" s="118">
        <f ca="1" t="shared" si="250"/>
        <v>0</v>
      </c>
      <c r="J479" s="118">
        <f ca="1" t="shared" si="250"/>
        <v>0</v>
      </c>
      <c r="K479" s="118">
        <f ca="1" t="shared" si="250"/>
        <v>-25</v>
      </c>
      <c r="L479" s="118">
        <f ca="1" t="shared" si="250"/>
        <v>0</v>
      </c>
      <c r="M479" s="118">
        <f ca="1" t="shared" si="250"/>
        <v>-13</v>
      </c>
      <c r="N479" s="118">
        <f ca="1" t="shared" si="250"/>
        <v>0</v>
      </c>
      <c r="O479" s="118">
        <f ca="1" t="shared" si="250"/>
        <v>-1</v>
      </c>
      <c r="P479" s="118">
        <f ca="1" t="shared" si="251"/>
        <v>0</v>
      </c>
      <c r="Q479" s="118">
        <f ca="1" t="shared" si="251"/>
        <v>-5</v>
      </c>
      <c r="R479" s="118">
        <f ca="1" t="shared" si="251"/>
        <v>0</v>
      </c>
      <c r="S479" s="118">
        <f ca="1" t="shared" si="251"/>
        <v>-1</v>
      </c>
      <c r="T479" s="118">
        <f ca="1" t="shared" si="251"/>
        <v>0</v>
      </c>
      <c r="U479" s="118">
        <f ca="1" t="shared" si="251"/>
        <v>0</v>
      </c>
      <c r="V479" s="118">
        <f ca="1" t="shared" si="251"/>
        <v>-152</v>
      </c>
      <c r="W479" s="118">
        <f t="shared" si="252"/>
        <v>0</v>
      </c>
      <c r="X479" s="150"/>
      <c r="Z479" s="140" t="str">
        <f>IF($C479="B","",VLOOKUP($C479,orig_alloc!$A$13:$B$227,2,FALSE))</f>
        <v>JUR. PRESENT REVENUE RATIOS</v>
      </c>
      <c r="AA479" s="141"/>
      <c r="AE479" s="141"/>
      <c r="AF479" s="141"/>
    </row>
    <row r="480" spans="1:32" ht="20.25">
      <c r="A480" s="148" t="s">
        <v>1280</v>
      </c>
      <c r="B480" s="149" t="s">
        <v>643</v>
      </c>
      <c r="C480" s="148" t="s">
        <v>546</v>
      </c>
      <c r="D480" s="201">
        <v>81</v>
      </c>
      <c r="E480" s="219">
        <f t="shared" si="249"/>
        <v>46</v>
      </c>
      <c r="F480" s="118">
        <f ca="1" t="shared" si="250"/>
        <v>18</v>
      </c>
      <c r="G480" s="118">
        <f ca="1" t="shared" si="250"/>
        <v>0</v>
      </c>
      <c r="H480" s="118">
        <f ca="1" t="shared" si="250"/>
        <v>0</v>
      </c>
      <c r="I480" s="118">
        <f ca="1" t="shared" si="250"/>
        <v>0</v>
      </c>
      <c r="J480" s="118">
        <f ca="1" t="shared" si="250"/>
        <v>0</v>
      </c>
      <c r="K480" s="118">
        <f ca="1" t="shared" si="250"/>
        <v>9</v>
      </c>
      <c r="L480" s="118">
        <f ca="1" t="shared" si="250"/>
        <v>0</v>
      </c>
      <c r="M480" s="118">
        <f ca="1" t="shared" si="250"/>
        <v>6</v>
      </c>
      <c r="N480" s="118">
        <f ca="1" t="shared" si="250"/>
        <v>0</v>
      </c>
      <c r="O480" s="118">
        <f ca="1" t="shared" si="250"/>
        <v>0</v>
      </c>
      <c r="P480" s="118">
        <f ca="1" t="shared" si="251"/>
        <v>0</v>
      </c>
      <c r="Q480" s="118">
        <f ca="1" t="shared" si="251"/>
        <v>2</v>
      </c>
      <c r="R480" s="118">
        <f ca="1" t="shared" si="251"/>
        <v>0</v>
      </c>
      <c r="S480" s="118">
        <f ca="1" t="shared" si="251"/>
        <v>0</v>
      </c>
      <c r="T480" s="118">
        <f ca="1" t="shared" si="251"/>
        <v>0</v>
      </c>
      <c r="U480" s="313">
        <f ca="1" t="shared" si="251"/>
        <v>0</v>
      </c>
      <c r="V480" s="313">
        <f ca="1" t="shared" si="251"/>
        <v>81</v>
      </c>
      <c r="W480" s="313">
        <f t="shared" si="252"/>
        <v>0</v>
      </c>
      <c r="X480" s="150"/>
      <c r="Z480" s="140" t="str">
        <f>IF($C480="B","",VLOOKUP($C480,orig_alloc!$A$13:$B$227,2,FALSE))</f>
        <v>WTD A&amp;G EXPENSE UNADJUSTED</v>
      </c>
      <c r="AA480" s="141"/>
      <c r="AE480" s="141"/>
      <c r="AF480" s="141"/>
    </row>
    <row r="481" spans="1:32" ht="20.25">
      <c r="A481" s="148" t="s">
        <v>734</v>
      </c>
      <c r="B481" s="149" t="s">
        <v>644</v>
      </c>
      <c r="C481" s="148" t="s">
        <v>546</v>
      </c>
      <c r="D481" s="201">
        <v>0</v>
      </c>
      <c r="E481" s="219">
        <f t="shared" si="249"/>
        <v>0</v>
      </c>
      <c r="F481" s="118">
        <f ca="1" t="shared" si="250"/>
        <v>0</v>
      </c>
      <c r="G481" s="118">
        <f ca="1" t="shared" si="250"/>
        <v>0</v>
      </c>
      <c r="H481" s="118">
        <f ca="1" t="shared" si="250"/>
        <v>0</v>
      </c>
      <c r="I481" s="118">
        <f ca="1" t="shared" si="250"/>
        <v>0</v>
      </c>
      <c r="J481" s="118">
        <f ca="1" t="shared" si="250"/>
        <v>0</v>
      </c>
      <c r="K481" s="118">
        <f ca="1" t="shared" si="250"/>
        <v>0</v>
      </c>
      <c r="L481" s="118">
        <f ca="1" t="shared" si="250"/>
        <v>0</v>
      </c>
      <c r="M481" s="118">
        <f ca="1" t="shared" si="250"/>
        <v>0</v>
      </c>
      <c r="N481" s="118">
        <f ca="1" t="shared" si="250"/>
        <v>0</v>
      </c>
      <c r="O481" s="118">
        <f ca="1" t="shared" si="250"/>
        <v>0</v>
      </c>
      <c r="P481" s="118">
        <f ca="1" t="shared" si="251"/>
        <v>0</v>
      </c>
      <c r="Q481" s="118">
        <f ca="1" t="shared" si="251"/>
        <v>0</v>
      </c>
      <c r="R481" s="118">
        <f ca="1" t="shared" si="251"/>
        <v>0</v>
      </c>
      <c r="S481" s="118">
        <f ca="1" t="shared" si="251"/>
        <v>0</v>
      </c>
      <c r="T481" s="118">
        <f ca="1" t="shared" si="251"/>
        <v>0</v>
      </c>
      <c r="U481" s="313">
        <f ca="1" t="shared" si="251"/>
        <v>0</v>
      </c>
      <c r="V481" s="313">
        <f ca="1" t="shared" si="251"/>
        <v>0</v>
      </c>
      <c r="W481" s="313">
        <f t="shared" si="252"/>
        <v>0</v>
      </c>
      <c r="X481" s="150"/>
      <c r="Z481" s="140" t="str">
        <f>IF($C481="B","",VLOOKUP($C481,orig_alloc!$A$13:$B$227,2,FALSE))</f>
        <v>WTD A&amp;G EXPENSE UNADJUSTED</v>
      </c>
      <c r="AA481" s="141"/>
      <c r="AE481" s="141"/>
      <c r="AF481" s="141"/>
    </row>
    <row r="482" spans="1:32" ht="20.25">
      <c r="A482" s="148" t="s">
        <v>879</v>
      </c>
      <c r="B482" s="149" t="s">
        <v>645</v>
      </c>
      <c r="C482" s="148" t="s">
        <v>883</v>
      </c>
      <c r="D482" s="201">
        <v>-3370</v>
      </c>
      <c r="E482" s="219">
        <f t="shared" si="249"/>
        <v>-2287</v>
      </c>
      <c r="F482" s="118">
        <f ca="1" t="shared" si="250"/>
        <v>-998</v>
      </c>
      <c r="G482" s="118">
        <f ca="1" t="shared" si="250"/>
        <v>-1</v>
      </c>
      <c r="H482" s="118">
        <f ca="1" t="shared" si="250"/>
        <v>-12</v>
      </c>
      <c r="I482" s="118">
        <f ca="1" t="shared" si="250"/>
        <v>-10</v>
      </c>
      <c r="J482" s="118">
        <f ca="1" t="shared" si="250"/>
        <v>-2</v>
      </c>
      <c r="K482" s="118">
        <f ca="1" t="shared" si="250"/>
        <v>-14</v>
      </c>
      <c r="L482" s="118">
        <f ca="1" t="shared" si="250"/>
        <v>0</v>
      </c>
      <c r="M482" s="118">
        <f ca="1" t="shared" si="250"/>
        <v>-3</v>
      </c>
      <c r="N482" s="118">
        <f ca="1" t="shared" si="250"/>
        <v>0</v>
      </c>
      <c r="O482" s="118">
        <f ca="1" t="shared" si="250"/>
        <v>-1</v>
      </c>
      <c r="P482" s="118">
        <f ca="1" t="shared" si="251"/>
        <v>0</v>
      </c>
      <c r="Q482" s="118">
        <f ca="1" t="shared" si="251"/>
        <v>-1</v>
      </c>
      <c r="R482" s="118">
        <f ca="1" t="shared" si="251"/>
        <v>0</v>
      </c>
      <c r="S482" s="118">
        <f ca="1" t="shared" si="251"/>
        <v>-40</v>
      </c>
      <c r="T482" s="118">
        <f ca="1" t="shared" si="251"/>
        <v>0</v>
      </c>
      <c r="U482" s="118">
        <f ca="1" t="shared" si="251"/>
        <v>-1</v>
      </c>
      <c r="V482" s="118">
        <f ca="1" t="shared" si="251"/>
        <v>-3370</v>
      </c>
      <c r="W482" s="118">
        <f t="shared" si="252"/>
        <v>0</v>
      </c>
      <c r="X482" s="150"/>
      <c r="Z482" s="140" t="str">
        <f>IF($C482="B","",VLOOKUP($C482,orig_alloc!$A$13:$B$227,2,FALSE))</f>
        <v>SALES ACCOUNTS 911, 913</v>
      </c>
      <c r="AA482" s="141"/>
      <c r="AE482" s="141"/>
      <c r="AF482" s="141"/>
    </row>
    <row r="483" spans="1:32" ht="20.25">
      <c r="A483" s="240" t="s">
        <v>646</v>
      </c>
      <c r="B483" s="149" t="s">
        <v>652</v>
      </c>
      <c r="C483" s="132"/>
      <c r="D483" s="202">
        <f aca="true" t="shared" si="253" ref="D483:W483">SUM(D474:D482)</f>
        <v>1861675</v>
      </c>
      <c r="E483" s="202">
        <f t="shared" si="253"/>
        <v>1037838</v>
      </c>
      <c r="F483" s="202">
        <f t="shared" si="253"/>
        <v>402253</v>
      </c>
      <c r="G483" s="202">
        <f t="shared" si="253"/>
        <v>322</v>
      </c>
      <c r="H483" s="202">
        <f t="shared" si="253"/>
        <v>1901</v>
      </c>
      <c r="I483" s="202">
        <f t="shared" si="253"/>
        <v>6357</v>
      </c>
      <c r="J483" s="202">
        <f t="shared" si="253"/>
        <v>227</v>
      </c>
      <c r="K483" s="202">
        <f t="shared" si="253"/>
        <v>212551</v>
      </c>
      <c r="L483" s="202">
        <f t="shared" si="253"/>
        <v>2269</v>
      </c>
      <c r="M483" s="202">
        <f t="shared" si="253"/>
        <v>126125</v>
      </c>
      <c r="N483" s="202">
        <f t="shared" si="253"/>
        <v>4755</v>
      </c>
      <c r="O483" s="202">
        <f t="shared" si="253"/>
        <v>9803</v>
      </c>
      <c r="P483" s="202">
        <f t="shared" si="253"/>
        <v>0</v>
      </c>
      <c r="Q483" s="202">
        <f t="shared" si="253"/>
        <v>44981</v>
      </c>
      <c r="R483" s="202">
        <f t="shared" si="253"/>
        <v>2035</v>
      </c>
      <c r="S483" s="202">
        <f t="shared" si="253"/>
        <v>10026</v>
      </c>
      <c r="T483" s="202">
        <f t="shared" si="253"/>
        <v>0</v>
      </c>
      <c r="U483" s="202">
        <f t="shared" si="253"/>
        <v>232</v>
      </c>
      <c r="V483" s="202">
        <f t="shared" si="253"/>
        <v>1861675</v>
      </c>
      <c r="W483" s="202">
        <f t="shared" si="253"/>
        <v>0</v>
      </c>
      <c r="X483" s="150"/>
      <c r="Z483" s="140">
        <f>IF($C483="B","",VLOOKUP($C483,orig_alloc!$A$13:$B$227,2,FALSE))</f>
      </c>
      <c r="AA483" s="141"/>
      <c r="AE483" s="141"/>
      <c r="AF483" s="141"/>
    </row>
    <row r="484" spans="1:32" ht="20.25">
      <c r="A484" s="132"/>
      <c r="B484" s="149"/>
      <c r="C484" s="132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18"/>
      <c r="W484" s="118"/>
      <c r="X484" s="150"/>
      <c r="Z484" s="140">
        <f>IF($C484="B","",VLOOKUP($C484,orig_alloc!$A$13:$B$227,2,FALSE))</f>
      </c>
      <c r="AA484" s="141"/>
      <c r="AE484" s="141"/>
      <c r="AF484" s="141"/>
    </row>
    <row r="485" spans="1:32" ht="20.25">
      <c r="A485" s="132" t="s">
        <v>647</v>
      </c>
      <c r="B485" s="149"/>
      <c r="C485" s="132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50"/>
      <c r="Z485" s="140">
        <f>IF($C485="B","",VLOOKUP($C485,orig_alloc!$A$13:$B$227,2,FALSE))</f>
      </c>
      <c r="AA485" s="141"/>
      <c r="AE485" s="141"/>
      <c r="AF485" s="141"/>
    </row>
    <row r="486" spans="1:32" ht="20.25" hidden="1">
      <c r="A486" s="148" t="s">
        <v>648</v>
      </c>
      <c r="B486" s="149" t="s">
        <v>649</v>
      </c>
      <c r="C486" s="148" t="s">
        <v>889</v>
      </c>
      <c r="D486" s="201">
        <v>0</v>
      </c>
      <c r="E486" s="219">
        <f>V486-SUM(F486:U486)</f>
        <v>0</v>
      </c>
      <c r="F486" s="118">
        <f aca="true" ca="1" t="shared" si="254" ref="F486:O487">ROUND($D486*VLOOKUP($C486,IF(LEFT($C486,1)="K",INDIRECT("TABLE"),INDIRECT("TABLE2")),F$9+1),0)</f>
        <v>0</v>
      </c>
      <c r="G486" s="118">
        <f ca="1" t="shared" si="254"/>
        <v>0</v>
      </c>
      <c r="H486" s="118">
        <f ca="1" t="shared" si="254"/>
        <v>0</v>
      </c>
      <c r="I486" s="118">
        <f ca="1" t="shared" si="254"/>
        <v>0</v>
      </c>
      <c r="J486" s="118">
        <f ca="1" t="shared" si="254"/>
        <v>0</v>
      </c>
      <c r="K486" s="118">
        <f ca="1" t="shared" si="254"/>
        <v>0</v>
      </c>
      <c r="L486" s="118">
        <f ca="1" t="shared" si="254"/>
        <v>0</v>
      </c>
      <c r="M486" s="118">
        <f ca="1" t="shared" si="254"/>
        <v>0</v>
      </c>
      <c r="N486" s="118">
        <f ca="1" t="shared" si="254"/>
        <v>0</v>
      </c>
      <c r="O486" s="118">
        <f ca="1" t="shared" si="254"/>
        <v>0</v>
      </c>
      <c r="P486" s="118">
        <f aca="true" ca="1" t="shared" si="255" ref="P486:V487">ROUND($D486*VLOOKUP($C486,IF(LEFT($C486,1)="K",INDIRECT("TABLE"),INDIRECT("TABLE2")),P$9+1),0)</f>
        <v>0</v>
      </c>
      <c r="Q486" s="118">
        <f ca="1" t="shared" si="255"/>
        <v>0</v>
      </c>
      <c r="R486" s="118">
        <f ca="1" t="shared" si="255"/>
        <v>0</v>
      </c>
      <c r="S486" s="118">
        <f ca="1" t="shared" si="255"/>
        <v>0</v>
      </c>
      <c r="T486" s="118">
        <f ca="1" t="shared" si="255"/>
        <v>0</v>
      </c>
      <c r="U486" s="118">
        <f ca="1" t="shared" si="255"/>
        <v>0</v>
      </c>
      <c r="V486" s="118">
        <f ca="1" t="shared" si="255"/>
        <v>0</v>
      </c>
      <c r="W486" s="118">
        <f>D486-V486</f>
        <v>0</v>
      </c>
      <c r="X486" s="150"/>
      <c r="Z486" s="140" t="str">
        <f>IF($C486="B","",VLOOKUP($C486,orig_alloc!$A$13:$B$227,2,FALSE))</f>
        <v>WTD UNCOLLECTIBLE ACCOUNT O&amp;M</v>
      </c>
      <c r="AA486" s="141"/>
      <c r="AE486" s="141"/>
      <c r="AF486" s="141"/>
    </row>
    <row r="487" spans="1:32" ht="20.25">
      <c r="A487" s="148" t="s">
        <v>1066</v>
      </c>
      <c r="B487" s="149" t="s">
        <v>650</v>
      </c>
      <c r="C487" s="148" t="s">
        <v>801</v>
      </c>
      <c r="D487" s="201">
        <v>77689</v>
      </c>
      <c r="E487" s="219">
        <f>V487-SUM(F487:U487)</f>
        <v>31886</v>
      </c>
      <c r="F487" s="118">
        <f ca="1" t="shared" si="254"/>
        <v>21785</v>
      </c>
      <c r="G487" s="118">
        <f ca="1" t="shared" si="254"/>
        <v>23</v>
      </c>
      <c r="H487" s="118">
        <f ca="1" t="shared" si="254"/>
        <v>154</v>
      </c>
      <c r="I487" s="118">
        <f ca="1" t="shared" si="254"/>
        <v>227</v>
      </c>
      <c r="J487" s="118">
        <f ca="1" t="shared" si="254"/>
        <v>11</v>
      </c>
      <c r="K487" s="118">
        <f ca="1" t="shared" si="254"/>
        <v>12533</v>
      </c>
      <c r="L487" s="118">
        <f ca="1" t="shared" si="254"/>
        <v>112</v>
      </c>
      <c r="M487" s="118">
        <f ca="1" t="shared" si="254"/>
        <v>6486</v>
      </c>
      <c r="N487" s="118">
        <f ca="1" t="shared" si="254"/>
        <v>256</v>
      </c>
      <c r="O487" s="118">
        <f ca="1" t="shared" si="254"/>
        <v>576</v>
      </c>
      <c r="P487" s="118">
        <f ca="1" t="shared" si="255"/>
        <v>0</v>
      </c>
      <c r="Q487" s="118">
        <f ca="1" t="shared" si="255"/>
        <v>2787</v>
      </c>
      <c r="R487" s="118">
        <f ca="1" t="shared" si="255"/>
        <v>132</v>
      </c>
      <c r="S487" s="118">
        <f ca="1" t="shared" si="255"/>
        <v>717</v>
      </c>
      <c r="T487" s="118">
        <f ca="1" t="shared" si="255"/>
        <v>0</v>
      </c>
      <c r="U487" s="118">
        <f ca="1" t="shared" si="255"/>
        <v>4</v>
      </c>
      <c r="V487" s="118">
        <f ca="1" t="shared" si="255"/>
        <v>77689</v>
      </c>
      <c r="W487" s="118">
        <f>D487-V487</f>
        <v>0</v>
      </c>
      <c r="X487" s="150"/>
      <c r="Z487" s="140" t="str">
        <f>IF($C487="B","",VLOOKUP($C487,orig_alloc!$A$13:$B$227,2,FALSE))</f>
        <v>JUR. PRESENT REVENUE RATIOS</v>
      </c>
      <c r="AA487" s="141"/>
      <c r="AE487" s="141"/>
      <c r="AF487" s="141"/>
    </row>
    <row r="488" spans="1:32" ht="20.25">
      <c r="A488" s="240" t="s">
        <v>651</v>
      </c>
      <c r="B488" s="149" t="s">
        <v>276</v>
      </c>
      <c r="C488" s="132"/>
      <c r="D488" s="202">
        <f aca="true" t="shared" si="256" ref="D488:W488">SUM(D485:D487)</f>
        <v>77689</v>
      </c>
      <c r="E488" s="202">
        <f t="shared" si="256"/>
        <v>31886</v>
      </c>
      <c r="F488" s="202">
        <f t="shared" si="256"/>
        <v>21785</v>
      </c>
      <c r="G488" s="202">
        <f t="shared" si="256"/>
        <v>23</v>
      </c>
      <c r="H488" s="202">
        <f t="shared" si="256"/>
        <v>154</v>
      </c>
      <c r="I488" s="202">
        <f t="shared" si="256"/>
        <v>227</v>
      </c>
      <c r="J488" s="202">
        <f t="shared" si="256"/>
        <v>11</v>
      </c>
      <c r="K488" s="202">
        <f t="shared" si="256"/>
        <v>12533</v>
      </c>
      <c r="L488" s="202">
        <f t="shared" si="256"/>
        <v>112</v>
      </c>
      <c r="M488" s="202">
        <f t="shared" si="256"/>
        <v>6486</v>
      </c>
      <c r="N488" s="202">
        <f t="shared" si="256"/>
        <v>256</v>
      </c>
      <c r="O488" s="202">
        <f t="shared" si="256"/>
        <v>576</v>
      </c>
      <c r="P488" s="202">
        <f t="shared" si="256"/>
        <v>0</v>
      </c>
      <c r="Q488" s="202">
        <f t="shared" si="256"/>
        <v>2787</v>
      </c>
      <c r="R488" s="202">
        <f t="shared" si="256"/>
        <v>132</v>
      </c>
      <c r="S488" s="202">
        <f t="shared" si="256"/>
        <v>717</v>
      </c>
      <c r="T488" s="202">
        <f t="shared" si="256"/>
        <v>0</v>
      </c>
      <c r="U488" s="202">
        <f t="shared" si="256"/>
        <v>4</v>
      </c>
      <c r="V488" s="202">
        <f t="shared" si="256"/>
        <v>77689</v>
      </c>
      <c r="W488" s="202">
        <f t="shared" si="256"/>
        <v>0</v>
      </c>
      <c r="X488" s="150"/>
      <c r="Z488" s="140">
        <f>IF($C488="B","",VLOOKUP($C488,orig_alloc!$A$13:$B$227,2,FALSE))</f>
      </c>
      <c r="AA488" s="141"/>
      <c r="AE488" s="141"/>
      <c r="AF488" s="141"/>
    </row>
    <row r="489" spans="1:32" ht="20.25">
      <c r="A489" s="132"/>
      <c r="B489" s="149"/>
      <c r="C489" s="132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50"/>
      <c r="Z489" s="140">
        <f>IF($C489="B","",VLOOKUP($C489,orig_alloc!$A$13:$B$227,2,FALSE))</f>
      </c>
      <c r="AA489" s="141"/>
      <c r="AE489" s="141"/>
      <c r="AF489" s="141"/>
    </row>
    <row r="490" spans="1:32" ht="20.25">
      <c r="A490" s="132" t="s">
        <v>653</v>
      </c>
      <c r="B490" s="149" t="s">
        <v>655</v>
      </c>
      <c r="C490" s="132"/>
      <c r="D490" s="118">
        <f aca="true" t="shared" si="257" ref="D490:W490">D483+D472+D488</f>
        <v>7634509</v>
      </c>
      <c r="E490" s="118">
        <f t="shared" si="257"/>
        <v>4018165</v>
      </c>
      <c r="F490" s="118">
        <f t="shared" si="257"/>
        <v>1759202</v>
      </c>
      <c r="G490" s="118">
        <f t="shared" si="257"/>
        <v>1609</v>
      </c>
      <c r="H490" s="118">
        <f t="shared" si="257"/>
        <v>7198</v>
      </c>
      <c r="I490" s="118">
        <f t="shared" si="257"/>
        <v>29384</v>
      </c>
      <c r="J490" s="118">
        <f t="shared" si="257"/>
        <v>864</v>
      </c>
      <c r="K490" s="118">
        <f t="shared" si="257"/>
        <v>965567</v>
      </c>
      <c r="L490" s="118">
        <f t="shared" si="257"/>
        <v>12116</v>
      </c>
      <c r="M490" s="118">
        <f t="shared" si="257"/>
        <v>531416</v>
      </c>
      <c r="N490" s="118">
        <f t="shared" si="257"/>
        <v>23797</v>
      </c>
      <c r="O490" s="118">
        <f t="shared" si="257"/>
        <v>42101</v>
      </c>
      <c r="P490" s="118">
        <f t="shared" si="257"/>
        <v>0</v>
      </c>
      <c r="Q490" s="118">
        <f t="shared" si="257"/>
        <v>148816</v>
      </c>
      <c r="R490" s="118">
        <f t="shared" si="257"/>
        <v>8015</v>
      </c>
      <c r="S490" s="118">
        <f t="shared" si="257"/>
        <v>85271</v>
      </c>
      <c r="T490" s="118">
        <f t="shared" si="257"/>
        <v>0</v>
      </c>
      <c r="U490" s="118">
        <f t="shared" si="257"/>
        <v>988</v>
      </c>
      <c r="V490" s="118">
        <f t="shared" si="257"/>
        <v>7634509</v>
      </c>
      <c r="W490" s="118">
        <f t="shared" si="257"/>
        <v>0</v>
      </c>
      <c r="X490" s="150"/>
      <c r="Z490" s="140">
        <f>IF($C490="B","",VLOOKUP($C490,orig_alloc!$A$13:$B$227,2,FALSE))</f>
      </c>
      <c r="AA490" s="141"/>
      <c r="AE490" s="141"/>
      <c r="AF490" s="141"/>
    </row>
    <row r="491" spans="1:32" ht="20.25">
      <c r="A491" s="132"/>
      <c r="B491" s="149"/>
      <c r="C491" s="132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18"/>
      <c r="W491" s="118"/>
      <c r="X491" s="150"/>
      <c r="Z491" s="140">
        <f>IF($C491="B","",VLOOKUP($C491,orig_alloc!$A$13:$B$227,2,FALSE))</f>
      </c>
      <c r="AA491" s="141"/>
      <c r="AE491" s="141"/>
      <c r="AF491" s="141"/>
    </row>
    <row r="492" spans="1:32" ht="20.25">
      <c r="A492" s="132" t="s">
        <v>496</v>
      </c>
      <c r="B492" s="149"/>
      <c r="C492" s="132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18"/>
      <c r="W492" s="118"/>
      <c r="X492" s="150"/>
      <c r="Z492" s="140">
        <f>IF($C492="B","",VLOOKUP($C492,orig_alloc!$A$13:$B$227,2,FALSE))</f>
      </c>
      <c r="AA492" s="141"/>
      <c r="AE492" s="141"/>
      <c r="AF492" s="141"/>
    </row>
    <row r="493" spans="1:32" ht="20.25">
      <c r="A493" s="240" t="s">
        <v>654</v>
      </c>
      <c r="B493" s="149" t="s">
        <v>257</v>
      </c>
      <c r="C493" s="132"/>
      <c r="D493" s="118">
        <f aca="true" t="shared" si="258" ref="D493:W493">D436</f>
        <v>197699516</v>
      </c>
      <c r="E493" s="118">
        <f t="shared" si="258"/>
        <v>88187153</v>
      </c>
      <c r="F493" s="118">
        <f t="shared" si="258"/>
        <v>48174469</v>
      </c>
      <c r="G493" s="118">
        <f t="shared" si="258"/>
        <v>24027</v>
      </c>
      <c r="H493" s="118">
        <f t="shared" si="258"/>
        <v>262799</v>
      </c>
      <c r="I493" s="118">
        <f t="shared" si="258"/>
        <v>707498</v>
      </c>
      <c r="J493" s="118">
        <f t="shared" si="258"/>
        <v>20892</v>
      </c>
      <c r="K493" s="118">
        <f t="shared" si="258"/>
        <v>30994539</v>
      </c>
      <c r="L493" s="118">
        <f t="shared" si="258"/>
        <v>184805</v>
      </c>
      <c r="M493" s="118">
        <f t="shared" si="258"/>
        <v>18575950</v>
      </c>
      <c r="N493" s="118">
        <f t="shared" si="258"/>
        <v>416241</v>
      </c>
      <c r="O493" s="118">
        <f t="shared" si="258"/>
        <v>1451163</v>
      </c>
      <c r="P493" s="118">
        <f t="shared" si="258"/>
        <v>0</v>
      </c>
      <c r="Q493" s="118">
        <f t="shared" si="258"/>
        <v>7304944</v>
      </c>
      <c r="R493" s="118">
        <f t="shared" si="258"/>
        <v>209238</v>
      </c>
      <c r="S493" s="118">
        <f t="shared" si="258"/>
        <v>1165637</v>
      </c>
      <c r="T493" s="118">
        <f t="shared" si="258"/>
        <v>0</v>
      </c>
      <c r="U493" s="118">
        <f t="shared" si="258"/>
        <v>20161</v>
      </c>
      <c r="V493" s="118">
        <f t="shared" si="258"/>
        <v>197699516</v>
      </c>
      <c r="W493" s="118">
        <f t="shared" si="258"/>
        <v>0</v>
      </c>
      <c r="X493" s="150"/>
      <c r="Z493" s="140">
        <f>IF($C493="B","",VLOOKUP($C493,orig_alloc!$A$13:$B$227,2,FALSE))</f>
      </c>
      <c r="AA493" s="141"/>
      <c r="AE493" s="141"/>
      <c r="AF493" s="141"/>
    </row>
    <row r="494" spans="1:32" ht="20.25">
      <c r="A494" s="132" t="s">
        <v>633</v>
      </c>
      <c r="B494" s="149" t="s">
        <v>270</v>
      </c>
      <c r="C494" s="132"/>
      <c r="D494" s="118">
        <f aca="true" t="shared" si="259" ref="D494:W494">D464</f>
        <v>33172220</v>
      </c>
      <c r="E494" s="118">
        <f t="shared" si="259"/>
        <v>17192292</v>
      </c>
      <c r="F494" s="118">
        <f t="shared" si="259"/>
        <v>7606834</v>
      </c>
      <c r="G494" s="118">
        <f t="shared" si="259"/>
        <v>7283</v>
      </c>
      <c r="H494" s="118">
        <f t="shared" si="259"/>
        <v>29935</v>
      </c>
      <c r="I494" s="118">
        <f t="shared" si="259"/>
        <v>135596</v>
      </c>
      <c r="J494" s="118">
        <f t="shared" si="259"/>
        <v>3527</v>
      </c>
      <c r="K494" s="118">
        <f t="shared" si="259"/>
        <v>4208118</v>
      </c>
      <c r="L494" s="118">
        <f t="shared" si="259"/>
        <v>57469</v>
      </c>
      <c r="M494" s="118">
        <f t="shared" si="259"/>
        <v>2435349</v>
      </c>
      <c r="N494" s="118">
        <f t="shared" si="259"/>
        <v>115188</v>
      </c>
      <c r="O494" s="118">
        <f t="shared" si="259"/>
        <v>188325</v>
      </c>
      <c r="P494" s="118">
        <f t="shared" si="259"/>
        <v>0</v>
      </c>
      <c r="Q494" s="118">
        <f t="shared" si="259"/>
        <v>814652</v>
      </c>
      <c r="R494" s="118">
        <f t="shared" si="259"/>
        <v>46980</v>
      </c>
      <c r="S494" s="118">
        <f t="shared" si="259"/>
        <v>325894</v>
      </c>
      <c r="T494" s="118">
        <f t="shared" si="259"/>
        <v>0</v>
      </c>
      <c r="U494" s="118">
        <f t="shared" si="259"/>
        <v>4778</v>
      </c>
      <c r="V494" s="118">
        <f t="shared" si="259"/>
        <v>33172220</v>
      </c>
      <c r="W494" s="118">
        <f t="shared" si="259"/>
        <v>0</v>
      </c>
      <c r="X494" s="150"/>
      <c r="Z494" s="140">
        <f>IF($C494="B","",VLOOKUP($C494,orig_alloc!$A$13:$B$227,2,FALSE))</f>
      </c>
      <c r="AA494" s="141"/>
      <c r="AE494" s="141"/>
      <c r="AF494" s="141"/>
    </row>
    <row r="495" spans="1:32" ht="20.25">
      <c r="A495" s="132" t="s">
        <v>653</v>
      </c>
      <c r="B495" s="149" t="s">
        <v>276</v>
      </c>
      <c r="C495" s="132"/>
      <c r="D495" s="118">
        <f aca="true" t="shared" si="260" ref="D495:W495">D490</f>
        <v>7634509</v>
      </c>
      <c r="E495" s="118">
        <f t="shared" si="260"/>
        <v>4018165</v>
      </c>
      <c r="F495" s="118">
        <f t="shared" si="260"/>
        <v>1759202</v>
      </c>
      <c r="G495" s="118">
        <f t="shared" si="260"/>
        <v>1609</v>
      </c>
      <c r="H495" s="118">
        <f t="shared" si="260"/>
        <v>7198</v>
      </c>
      <c r="I495" s="118">
        <f t="shared" si="260"/>
        <v>29384</v>
      </c>
      <c r="J495" s="118">
        <f t="shared" si="260"/>
        <v>864</v>
      </c>
      <c r="K495" s="118">
        <f t="shared" si="260"/>
        <v>965567</v>
      </c>
      <c r="L495" s="118">
        <f t="shared" si="260"/>
        <v>12116</v>
      </c>
      <c r="M495" s="118">
        <f t="shared" si="260"/>
        <v>531416</v>
      </c>
      <c r="N495" s="118">
        <f t="shared" si="260"/>
        <v>23797</v>
      </c>
      <c r="O495" s="118">
        <f t="shared" si="260"/>
        <v>42101</v>
      </c>
      <c r="P495" s="118">
        <f t="shared" si="260"/>
        <v>0</v>
      </c>
      <c r="Q495" s="118">
        <f t="shared" si="260"/>
        <v>148816</v>
      </c>
      <c r="R495" s="118">
        <f t="shared" si="260"/>
        <v>8015</v>
      </c>
      <c r="S495" s="118">
        <f t="shared" si="260"/>
        <v>85271</v>
      </c>
      <c r="T495" s="118">
        <f t="shared" si="260"/>
        <v>0</v>
      </c>
      <c r="U495" s="118">
        <f t="shared" si="260"/>
        <v>988</v>
      </c>
      <c r="V495" s="118">
        <f t="shared" si="260"/>
        <v>7634509</v>
      </c>
      <c r="W495" s="118">
        <f t="shared" si="260"/>
        <v>0</v>
      </c>
      <c r="X495" s="150"/>
      <c r="Z495" s="140">
        <f>IF($C495="B","",VLOOKUP($C495,orig_alloc!$A$13:$B$227,2,FALSE))</f>
      </c>
      <c r="AA495" s="141"/>
      <c r="AE495" s="141"/>
      <c r="AF495" s="141"/>
    </row>
    <row r="496" spans="1:32" ht="20.25">
      <c r="A496" s="240" t="s">
        <v>1326</v>
      </c>
      <c r="B496" s="149" t="s">
        <v>278</v>
      </c>
      <c r="C496" s="132"/>
      <c r="D496" s="202">
        <f aca="true" t="shared" si="261" ref="D496:W496">SUM(D492:D495)</f>
        <v>238506245</v>
      </c>
      <c r="E496" s="202">
        <f t="shared" si="261"/>
        <v>109397610</v>
      </c>
      <c r="F496" s="202">
        <f t="shared" si="261"/>
        <v>57540505</v>
      </c>
      <c r="G496" s="202">
        <f t="shared" si="261"/>
        <v>32919</v>
      </c>
      <c r="H496" s="202">
        <f t="shared" si="261"/>
        <v>299932</v>
      </c>
      <c r="I496" s="202">
        <f t="shared" si="261"/>
        <v>872478</v>
      </c>
      <c r="J496" s="202">
        <f t="shared" si="261"/>
        <v>25283</v>
      </c>
      <c r="K496" s="202">
        <f t="shared" si="261"/>
        <v>36168224</v>
      </c>
      <c r="L496" s="202">
        <f t="shared" si="261"/>
        <v>254390</v>
      </c>
      <c r="M496" s="202">
        <f t="shared" si="261"/>
        <v>21542715</v>
      </c>
      <c r="N496" s="202">
        <f t="shared" si="261"/>
        <v>555226</v>
      </c>
      <c r="O496" s="202">
        <f t="shared" si="261"/>
        <v>1681589</v>
      </c>
      <c r="P496" s="202">
        <f t="shared" si="261"/>
        <v>0</v>
      </c>
      <c r="Q496" s="202">
        <f t="shared" si="261"/>
        <v>8268412</v>
      </c>
      <c r="R496" s="202">
        <f t="shared" si="261"/>
        <v>264233</v>
      </c>
      <c r="S496" s="202">
        <f t="shared" si="261"/>
        <v>1576802</v>
      </c>
      <c r="T496" s="202">
        <f t="shared" si="261"/>
        <v>0</v>
      </c>
      <c r="U496" s="202">
        <f t="shared" si="261"/>
        <v>25927</v>
      </c>
      <c r="V496" s="202">
        <f t="shared" si="261"/>
        <v>238506245</v>
      </c>
      <c r="W496" s="202">
        <f t="shared" si="261"/>
        <v>0</v>
      </c>
      <c r="X496" s="150"/>
      <c r="Z496" s="140">
        <f>IF($C496="B","",VLOOKUP($C496,orig_alloc!$A$13:$B$227,2,FALSE))</f>
      </c>
      <c r="AA496" s="141"/>
      <c r="AE496" s="141"/>
      <c r="AF496" s="141"/>
    </row>
    <row r="497" spans="1:32" ht="20.25">
      <c r="A497" s="132"/>
      <c r="B497" s="149"/>
      <c r="C497" s="132"/>
      <c r="D497" s="118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50"/>
      <c r="Z497" s="140">
        <f>IF($C497="B","",VLOOKUP($C497,orig_alloc!$A$13:$B$227,2,FALSE))</f>
      </c>
      <c r="AA497" s="141"/>
      <c r="AE497" s="141"/>
      <c r="AF497" s="141"/>
    </row>
    <row r="498" spans="1:32" ht="20.25">
      <c r="A498" s="277" t="s">
        <v>657</v>
      </c>
      <c r="B498" s="290" t="s">
        <v>658</v>
      </c>
      <c r="C498" s="132"/>
      <c r="D498" s="118"/>
      <c r="E498" s="118"/>
      <c r="F498" s="118"/>
      <c r="G498" s="118"/>
      <c r="H498" s="118"/>
      <c r="I498" s="118"/>
      <c r="J498" s="118"/>
      <c r="K498" s="133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50"/>
      <c r="Z498" s="140">
        <f>IF($C498="B","",VLOOKUP($C498,orig_alloc!$A$13:$B$227,2,FALSE))</f>
      </c>
      <c r="AA498" s="141"/>
      <c r="AE498" s="141"/>
      <c r="AF498" s="141"/>
    </row>
    <row r="499" spans="1:32" ht="20.25">
      <c r="A499" s="132" t="s">
        <v>659</v>
      </c>
      <c r="B499" s="149"/>
      <c r="C499" s="132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50"/>
      <c r="Z499" s="140">
        <f>IF($C499="B","",VLOOKUP($C499,orig_alloc!$A$13:$B$227,2,FALSE))</f>
      </c>
      <c r="AA499" s="141"/>
      <c r="AE499" s="141"/>
      <c r="AF499" s="141"/>
    </row>
    <row r="500" spans="1:32" ht="20.25">
      <c r="A500" s="132" t="s">
        <v>660</v>
      </c>
      <c r="B500" s="149"/>
      <c r="C500" s="132"/>
      <c r="D500" s="133"/>
      <c r="E500" s="133"/>
      <c r="F500" s="314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50"/>
      <c r="Z500" s="140">
        <f>IF($C500="B","",VLOOKUP($C500,orig_alloc!$A$13:$B$227,2,FALSE))</f>
      </c>
      <c r="AA500" s="141"/>
      <c r="AE500" s="141"/>
      <c r="AF500" s="141"/>
    </row>
    <row r="501" spans="1:32" ht="20.25">
      <c r="A501" s="132" t="s">
        <v>662</v>
      </c>
      <c r="B501" s="149" t="s">
        <v>663</v>
      </c>
      <c r="C501" s="203" t="s">
        <v>328</v>
      </c>
      <c r="D501" s="272">
        <v>16237028</v>
      </c>
      <c r="E501" s="219">
        <f>V501-SUM(F501:U501)</f>
        <v>8415317</v>
      </c>
      <c r="F501" s="118">
        <f aca="true" ca="1" t="shared" si="262" ref="F501:V501">ROUND($D501*VLOOKUP($C501,IF(LEFT($C501,1)="K",INDIRECT("TABLE"),INDIRECT("TABLE2")),F$9+1),0)</f>
        <v>3731597</v>
      </c>
      <c r="G501" s="118">
        <f ca="1" t="shared" si="262"/>
        <v>3568</v>
      </c>
      <c r="H501" s="118">
        <f ca="1" t="shared" si="262"/>
        <v>14657</v>
      </c>
      <c r="I501" s="118">
        <f ca="1" t="shared" si="262"/>
        <v>66211</v>
      </c>
      <c r="J501" s="118">
        <f ca="1" t="shared" si="262"/>
        <v>1733</v>
      </c>
      <c r="K501" s="118">
        <f ca="1" t="shared" si="262"/>
        <v>2064736</v>
      </c>
      <c r="L501" s="118">
        <f ca="1" t="shared" si="262"/>
        <v>28077</v>
      </c>
      <c r="M501" s="118">
        <f ca="1" t="shared" si="262"/>
        <v>1186227</v>
      </c>
      <c r="N501" s="118">
        <f ca="1" t="shared" si="262"/>
        <v>56066</v>
      </c>
      <c r="O501" s="118">
        <f ca="1" t="shared" si="262"/>
        <v>91990</v>
      </c>
      <c r="P501" s="118">
        <f ca="1" t="shared" si="262"/>
        <v>0</v>
      </c>
      <c r="Q501" s="118">
        <f ca="1" t="shared" si="262"/>
        <v>387341</v>
      </c>
      <c r="R501" s="118">
        <f ca="1" t="shared" si="262"/>
        <v>22336</v>
      </c>
      <c r="S501" s="118">
        <f ca="1" t="shared" si="262"/>
        <v>164853</v>
      </c>
      <c r="T501" s="118">
        <f ca="1" t="shared" si="262"/>
        <v>0</v>
      </c>
      <c r="U501" s="118">
        <f ca="1" t="shared" si="262"/>
        <v>2319</v>
      </c>
      <c r="V501" s="118">
        <f ca="1" t="shared" si="262"/>
        <v>16237028</v>
      </c>
      <c r="W501" s="118">
        <f>D501-V501</f>
        <v>0</v>
      </c>
      <c r="X501" s="150"/>
      <c r="Z501" s="140" t="str">
        <f>IF($C501="B","",VLOOKUP($C501,orig_alloc!$A$13:$B$227,2,FALSE))</f>
        <v>WTD NET PLANT RATIOS</v>
      </c>
      <c r="AA501" s="141"/>
      <c r="AE501" s="141"/>
      <c r="AF501" s="141"/>
    </row>
    <row r="502" spans="1:32" ht="20.25">
      <c r="A502" s="240" t="s">
        <v>664</v>
      </c>
      <c r="B502" s="149" t="s">
        <v>665</v>
      </c>
      <c r="C502" s="132"/>
      <c r="D502" s="202">
        <f aca="true" t="shared" si="263" ref="D502:W502">D501</f>
        <v>16237028</v>
      </c>
      <c r="E502" s="202">
        <f t="shared" si="263"/>
        <v>8415317</v>
      </c>
      <c r="F502" s="202">
        <f t="shared" si="263"/>
        <v>3731597</v>
      </c>
      <c r="G502" s="202">
        <f t="shared" si="263"/>
        <v>3568</v>
      </c>
      <c r="H502" s="202">
        <f t="shared" si="263"/>
        <v>14657</v>
      </c>
      <c r="I502" s="202">
        <f t="shared" si="263"/>
        <v>66211</v>
      </c>
      <c r="J502" s="202">
        <f t="shared" si="263"/>
        <v>1733</v>
      </c>
      <c r="K502" s="202">
        <f t="shared" si="263"/>
        <v>2064736</v>
      </c>
      <c r="L502" s="202">
        <f t="shared" si="263"/>
        <v>28077</v>
      </c>
      <c r="M502" s="202">
        <f t="shared" si="263"/>
        <v>1186227</v>
      </c>
      <c r="N502" s="202">
        <f t="shared" si="263"/>
        <v>56066</v>
      </c>
      <c r="O502" s="202">
        <f t="shared" si="263"/>
        <v>91990</v>
      </c>
      <c r="P502" s="202">
        <f t="shared" si="263"/>
        <v>0</v>
      </c>
      <c r="Q502" s="202">
        <f t="shared" si="263"/>
        <v>387341</v>
      </c>
      <c r="R502" s="202">
        <f t="shared" si="263"/>
        <v>22336</v>
      </c>
      <c r="S502" s="202">
        <f t="shared" si="263"/>
        <v>164853</v>
      </c>
      <c r="T502" s="202">
        <f t="shared" si="263"/>
        <v>0</v>
      </c>
      <c r="U502" s="202">
        <f t="shared" si="263"/>
        <v>2319</v>
      </c>
      <c r="V502" s="202">
        <f t="shared" si="263"/>
        <v>16237028</v>
      </c>
      <c r="W502" s="202">
        <f t="shared" si="263"/>
        <v>0</v>
      </c>
      <c r="X502" s="150"/>
      <c r="Z502" s="140">
        <f>IF($C502="B","",VLOOKUP($C502,orig_alloc!$A$13:$B$227,2,FALSE))</f>
      </c>
      <c r="AA502" s="141"/>
      <c r="AE502" s="141"/>
      <c r="AF502" s="141"/>
    </row>
    <row r="503" spans="1:32" ht="20.25">
      <c r="A503" s="132"/>
      <c r="B503" s="149"/>
      <c r="C503" s="132"/>
      <c r="D503" s="133"/>
      <c r="E503" s="133"/>
      <c r="F503" s="133"/>
      <c r="G503" s="315"/>
      <c r="H503" s="315"/>
      <c r="I503" s="315"/>
      <c r="J503" s="315"/>
      <c r="K503" s="133"/>
      <c r="L503" s="315"/>
      <c r="M503" s="315"/>
      <c r="N503" s="315"/>
      <c r="O503" s="315"/>
      <c r="P503" s="315"/>
      <c r="Q503" s="133"/>
      <c r="R503" s="315"/>
      <c r="S503" s="315"/>
      <c r="T503" s="315"/>
      <c r="U503" s="133"/>
      <c r="V503" s="133"/>
      <c r="W503" s="133"/>
      <c r="X503" s="150"/>
      <c r="Z503" s="140">
        <f>IF($C503="B","",VLOOKUP($C503,orig_alloc!$A$13:$B$227,2,FALSE))</f>
      </c>
      <c r="AA503" s="141"/>
      <c r="AE503" s="141"/>
      <c r="AF503" s="141"/>
    </row>
    <row r="504" spans="1:32" ht="20.25">
      <c r="A504" s="132" t="s">
        <v>666</v>
      </c>
      <c r="B504" s="149"/>
      <c r="C504" s="132"/>
      <c r="D504" s="133"/>
      <c r="E504" s="133"/>
      <c r="F504" s="133"/>
      <c r="G504" s="316"/>
      <c r="H504" s="316"/>
      <c r="I504" s="316"/>
      <c r="J504" s="316"/>
      <c r="K504" s="133"/>
      <c r="L504" s="316"/>
      <c r="M504" s="316"/>
      <c r="N504" s="316"/>
      <c r="O504" s="316"/>
      <c r="P504" s="316"/>
      <c r="Q504" s="133"/>
      <c r="R504" s="316"/>
      <c r="S504" s="316"/>
      <c r="T504" s="316"/>
      <c r="U504" s="133"/>
      <c r="V504" s="133"/>
      <c r="W504" s="133"/>
      <c r="X504" s="150"/>
      <c r="Z504" s="140">
        <f>IF($C504="B","",VLOOKUP($C504,orig_alloc!$A$13:$B$227,2,FALSE))</f>
      </c>
      <c r="AA504" s="141"/>
      <c r="AE504" s="141"/>
      <c r="AF504" s="141"/>
    </row>
    <row r="505" spans="1:32" ht="20.25">
      <c r="A505" s="148" t="s">
        <v>731</v>
      </c>
      <c r="B505" s="149" t="s">
        <v>667</v>
      </c>
      <c r="C505" s="148" t="s">
        <v>270</v>
      </c>
      <c r="D505" s="201">
        <v>3190632</v>
      </c>
      <c r="E505" s="219">
        <f aca="true" t="shared" si="264" ref="E505:E517">V505-SUM(F505:U505)</f>
        <v>1653620</v>
      </c>
      <c r="F505" s="118">
        <f aca="true" ca="1" t="shared" si="265" ref="F505:O517">ROUND($D505*VLOOKUP($C505,IF(LEFT($C505,1)="K",INDIRECT("TABLE"),INDIRECT("TABLE2")),F$9+1),0)</f>
        <v>731655</v>
      </c>
      <c r="G505" s="118">
        <f ca="1" t="shared" si="265"/>
        <v>701</v>
      </c>
      <c r="H505" s="118">
        <f ca="1" t="shared" si="265"/>
        <v>2879</v>
      </c>
      <c r="I505" s="118">
        <f ca="1" t="shared" si="265"/>
        <v>13042</v>
      </c>
      <c r="J505" s="118">
        <f ca="1" t="shared" si="265"/>
        <v>339</v>
      </c>
      <c r="K505" s="118">
        <f ca="1" t="shared" si="265"/>
        <v>404753</v>
      </c>
      <c r="L505" s="118">
        <f ca="1" t="shared" si="265"/>
        <v>5528</v>
      </c>
      <c r="M505" s="118">
        <f ca="1" t="shared" si="265"/>
        <v>234241</v>
      </c>
      <c r="N505" s="118">
        <f ca="1" t="shared" si="265"/>
        <v>11079</v>
      </c>
      <c r="O505" s="118">
        <f ca="1" t="shared" si="265"/>
        <v>18114</v>
      </c>
      <c r="P505" s="118">
        <f aca="true" ca="1" t="shared" si="266" ref="P505:V517">ROUND($D505*VLOOKUP($C505,IF(LEFT($C505,1)="K",INDIRECT("TABLE"),INDIRECT("TABLE2")),P$9+1),0)</f>
        <v>0</v>
      </c>
      <c r="Q505" s="118">
        <f ca="1" t="shared" si="266"/>
        <v>78356</v>
      </c>
      <c r="R505" s="118">
        <f ca="1" t="shared" si="266"/>
        <v>4519</v>
      </c>
      <c r="S505" s="118">
        <f ca="1" t="shared" si="266"/>
        <v>31346</v>
      </c>
      <c r="T505" s="118">
        <f ca="1" t="shared" si="266"/>
        <v>0</v>
      </c>
      <c r="U505" s="118">
        <f ca="1" t="shared" si="266"/>
        <v>460</v>
      </c>
      <c r="V505" s="118">
        <f ca="1" t="shared" si="266"/>
        <v>3190632</v>
      </c>
      <c r="W505" s="118">
        <f aca="true" t="shared" si="267" ref="W505:W517">D505-V505</f>
        <v>0</v>
      </c>
      <c r="X505" s="150"/>
      <c r="Z505" s="140" t="str">
        <f>IF($C505="B","",VLOOKUP($C505,orig_alloc!$A$13:$B$227,2,FALSE))</f>
        <v>WTD TOT DEPREC EXP RATIOS</v>
      </c>
      <c r="AA505" s="141"/>
      <c r="AE505" s="141"/>
      <c r="AF505" s="141"/>
    </row>
    <row r="506" spans="1:32" ht="20.25" hidden="1">
      <c r="A506" s="148" t="s">
        <v>836</v>
      </c>
      <c r="B506" s="149" t="s">
        <v>669</v>
      </c>
      <c r="C506" s="148" t="s">
        <v>328</v>
      </c>
      <c r="D506" s="201">
        <v>0</v>
      </c>
      <c r="E506" s="219">
        <f t="shared" si="264"/>
        <v>0</v>
      </c>
      <c r="F506" s="118">
        <f ca="1" t="shared" si="265"/>
        <v>0</v>
      </c>
      <c r="G506" s="118">
        <f ca="1" t="shared" si="265"/>
        <v>0</v>
      </c>
      <c r="H506" s="118">
        <f ca="1" t="shared" si="265"/>
        <v>0</v>
      </c>
      <c r="I506" s="118">
        <f ca="1" t="shared" si="265"/>
        <v>0</v>
      </c>
      <c r="J506" s="118">
        <f ca="1" t="shared" si="265"/>
        <v>0</v>
      </c>
      <c r="K506" s="118">
        <f ca="1" t="shared" si="265"/>
        <v>0</v>
      </c>
      <c r="L506" s="118">
        <f ca="1" t="shared" si="265"/>
        <v>0</v>
      </c>
      <c r="M506" s="118">
        <f ca="1" t="shared" si="265"/>
        <v>0</v>
      </c>
      <c r="N506" s="118">
        <f ca="1" t="shared" si="265"/>
        <v>0</v>
      </c>
      <c r="O506" s="118">
        <f ca="1" t="shared" si="265"/>
        <v>0</v>
      </c>
      <c r="P506" s="118">
        <f ca="1" t="shared" si="266"/>
        <v>0</v>
      </c>
      <c r="Q506" s="118">
        <f ca="1" t="shared" si="266"/>
        <v>0</v>
      </c>
      <c r="R506" s="118">
        <f ca="1" t="shared" si="266"/>
        <v>0</v>
      </c>
      <c r="S506" s="118">
        <f ca="1" t="shared" si="266"/>
        <v>0</v>
      </c>
      <c r="T506" s="118">
        <f ca="1" t="shared" si="266"/>
        <v>0</v>
      </c>
      <c r="U506" s="118">
        <f ca="1" t="shared" si="266"/>
        <v>0</v>
      </c>
      <c r="V506" s="118">
        <f ca="1" t="shared" si="266"/>
        <v>0</v>
      </c>
      <c r="W506" s="118">
        <f t="shared" si="267"/>
        <v>0</v>
      </c>
      <c r="X506" s="150"/>
      <c r="Z506" s="140" t="str">
        <f>IF($C506="B","",VLOOKUP($C506,orig_alloc!$A$13:$B$227,2,FALSE))</f>
        <v>WTD NET PLANT RATIOS</v>
      </c>
      <c r="AA506" s="141"/>
      <c r="AE506" s="141"/>
      <c r="AF506" s="141"/>
    </row>
    <row r="507" spans="1:32" ht="20.25">
      <c r="A507" s="148" t="s">
        <v>843</v>
      </c>
      <c r="B507" s="149" t="s">
        <v>670</v>
      </c>
      <c r="C507" s="148" t="s">
        <v>328</v>
      </c>
      <c r="D507" s="201">
        <v>-124000</v>
      </c>
      <c r="E507" s="219">
        <f t="shared" si="264"/>
        <v>-64266</v>
      </c>
      <c r="F507" s="118">
        <f ca="1" t="shared" si="265"/>
        <v>-28498</v>
      </c>
      <c r="G507" s="118">
        <f ca="1" t="shared" si="265"/>
        <v>-27</v>
      </c>
      <c r="H507" s="118">
        <f ca="1" t="shared" si="265"/>
        <v>-112</v>
      </c>
      <c r="I507" s="118">
        <f ca="1" t="shared" si="265"/>
        <v>-506</v>
      </c>
      <c r="J507" s="118">
        <f ca="1" t="shared" si="265"/>
        <v>-13</v>
      </c>
      <c r="K507" s="118">
        <f ca="1" t="shared" si="265"/>
        <v>-15768</v>
      </c>
      <c r="L507" s="118">
        <f ca="1" t="shared" si="265"/>
        <v>-214</v>
      </c>
      <c r="M507" s="118">
        <f ca="1" t="shared" si="265"/>
        <v>-9059</v>
      </c>
      <c r="N507" s="118">
        <f ca="1" t="shared" si="265"/>
        <v>-428</v>
      </c>
      <c r="O507" s="118">
        <f ca="1" t="shared" si="265"/>
        <v>-703</v>
      </c>
      <c r="P507" s="118">
        <f ca="1" t="shared" si="266"/>
        <v>0</v>
      </c>
      <c r="Q507" s="118">
        <f ca="1" t="shared" si="266"/>
        <v>-2958</v>
      </c>
      <c r="R507" s="118">
        <f ca="1" t="shared" si="266"/>
        <v>-171</v>
      </c>
      <c r="S507" s="118">
        <f ca="1" t="shared" si="266"/>
        <v>-1259</v>
      </c>
      <c r="T507" s="118">
        <f ca="1" t="shared" si="266"/>
        <v>0</v>
      </c>
      <c r="U507" s="118">
        <f ca="1" t="shared" si="266"/>
        <v>-18</v>
      </c>
      <c r="V507" s="118">
        <f ca="1" t="shared" si="266"/>
        <v>-124000</v>
      </c>
      <c r="W507" s="118">
        <f t="shared" si="267"/>
        <v>0</v>
      </c>
      <c r="X507" s="150"/>
      <c r="Z507" s="140" t="str">
        <f>IF($C507="B","",VLOOKUP($C507,orig_alloc!$A$13:$B$227,2,FALSE))</f>
        <v>WTD NET PLANT RATIOS</v>
      </c>
      <c r="AA507" s="141"/>
      <c r="AE507" s="141"/>
      <c r="AF507" s="141"/>
    </row>
    <row r="508" spans="1:32" ht="20.25" hidden="1">
      <c r="A508" s="148" t="s">
        <v>454</v>
      </c>
      <c r="B508" s="149" t="s">
        <v>671</v>
      </c>
      <c r="C508" s="148" t="s">
        <v>889</v>
      </c>
      <c r="D508" s="201">
        <v>0</v>
      </c>
      <c r="E508" s="219">
        <f t="shared" si="264"/>
        <v>0</v>
      </c>
      <c r="F508" s="118">
        <f ca="1" t="shared" si="265"/>
        <v>0</v>
      </c>
      <c r="G508" s="118">
        <f ca="1" t="shared" si="265"/>
        <v>0</v>
      </c>
      <c r="H508" s="118">
        <f ca="1" t="shared" si="265"/>
        <v>0</v>
      </c>
      <c r="I508" s="118">
        <f ca="1" t="shared" si="265"/>
        <v>0</v>
      </c>
      <c r="J508" s="118">
        <f ca="1" t="shared" si="265"/>
        <v>0</v>
      </c>
      <c r="K508" s="118">
        <f ca="1" t="shared" si="265"/>
        <v>0</v>
      </c>
      <c r="L508" s="118">
        <f ca="1" t="shared" si="265"/>
        <v>0</v>
      </c>
      <c r="M508" s="118">
        <f ca="1" t="shared" si="265"/>
        <v>0</v>
      </c>
      <c r="N508" s="118">
        <f ca="1" t="shared" si="265"/>
        <v>0</v>
      </c>
      <c r="O508" s="118">
        <f ca="1" t="shared" si="265"/>
        <v>0</v>
      </c>
      <c r="P508" s="118">
        <f ca="1" t="shared" si="266"/>
        <v>0</v>
      </c>
      <c r="Q508" s="118">
        <f ca="1" t="shared" si="266"/>
        <v>0</v>
      </c>
      <c r="R508" s="118">
        <f ca="1" t="shared" si="266"/>
        <v>0</v>
      </c>
      <c r="S508" s="118">
        <f ca="1" t="shared" si="266"/>
        <v>0</v>
      </c>
      <c r="T508" s="118">
        <f ca="1" t="shared" si="266"/>
        <v>0</v>
      </c>
      <c r="U508" s="118">
        <f ca="1" t="shared" si="266"/>
        <v>0</v>
      </c>
      <c r="V508" s="118">
        <f ca="1" t="shared" si="266"/>
        <v>0</v>
      </c>
      <c r="W508" s="118">
        <f t="shared" si="267"/>
        <v>0</v>
      </c>
      <c r="X508" s="150"/>
      <c r="Z508" s="140" t="str">
        <f>IF($C508="B","",VLOOKUP($C508,orig_alloc!$A$13:$B$227,2,FALSE))</f>
        <v>WTD UNCOLLECTIBLE ACCOUNT O&amp;M</v>
      </c>
      <c r="AA508" s="141"/>
      <c r="AE508" s="141"/>
      <c r="AF508" s="141"/>
    </row>
    <row r="509" spans="1:32" ht="20.25">
      <c r="A509" s="148" t="s">
        <v>668</v>
      </c>
      <c r="B509" s="149" t="s">
        <v>671</v>
      </c>
      <c r="C509" s="148" t="s">
        <v>270</v>
      </c>
      <c r="D509" s="201">
        <v>1519000</v>
      </c>
      <c r="E509" s="219">
        <f t="shared" si="264"/>
        <v>787257</v>
      </c>
      <c r="F509" s="118">
        <f ca="1" t="shared" si="265"/>
        <v>348327</v>
      </c>
      <c r="G509" s="118">
        <f ca="1" t="shared" si="265"/>
        <v>333</v>
      </c>
      <c r="H509" s="118">
        <f ca="1" t="shared" si="265"/>
        <v>1371</v>
      </c>
      <c r="I509" s="118">
        <f ca="1" t="shared" si="265"/>
        <v>6209</v>
      </c>
      <c r="J509" s="118">
        <f ca="1" t="shared" si="265"/>
        <v>162</v>
      </c>
      <c r="K509" s="118">
        <f ca="1" t="shared" si="265"/>
        <v>192695</v>
      </c>
      <c r="L509" s="118">
        <f ca="1" t="shared" si="265"/>
        <v>2632</v>
      </c>
      <c r="M509" s="118">
        <f ca="1" t="shared" si="265"/>
        <v>111518</v>
      </c>
      <c r="N509" s="118">
        <f ca="1" t="shared" si="265"/>
        <v>5275</v>
      </c>
      <c r="O509" s="118">
        <f ca="1" t="shared" si="265"/>
        <v>8624</v>
      </c>
      <c r="P509" s="118">
        <f ca="1" t="shared" si="266"/>
        <v>0</v>
      </c>
      <c r="Q509" s="118">
        <f ca="1" t="shared" si="266"/>
        <v>37304</v>
      </c>
      <c r="R509" s="118">
        <f ca="1" t="shared" si="266"/>
        <v>2151</v>
      </c>
      <c r="S509" s="118">
        <f ca="1" t="shared" si="266"/>
        <v>14923</v>
      </c>
      <c r="T509" s="118">
        <f ca="1" t="shared" si="266"/>
        <v>0</v>
      </c>
      <c r="U509" s="118">
        <f ca="1" t="shared" si="266"/>
        <v>219</v>
      </c>
      <c r="V509" s="118">
        <f ca="1" t="shared" si="266"/>
        <v>1519000</v>
      </c>
      <c r="W509" s="118">
        <f t="shared" si="267"/>
        <v>0</v>
      </c>
      <c r="X509" s="150"/>
      <c r="Z509" s="140" t="str">
        <f>IF($C509="B","",VLOOKUP($C509,orig_alloc!$A$13:$B$227,2,FALSE))</f>
        <v>WTD TOT DEPREC EXP RATIOS</v>
      </c>
      <c r="AA509" s="141"/>
      <c r="AE509" s="141"/>
      <c r="AF509" s="141"/>
    </row>
    <row r="510" spans="1:32" ht="20.25" hidden="1">
      <c r="A510" s="148" t="s">
        <v>838</v>
      </c>
      <c r="B510" s="149" t="s">
        <v>672</v>
      </c>
      <c r="C510" s="148" t="s">
        <v>546</v>
      </c>
      <c r="D510" s="201">
        <v>0</v>
      </c>
      <c r="E510" s="219">
        <f t="shared" si="264"/>
        <v>0</v>
      </c>
      <c r="F510" s="118">
        <f ca="1" t="shared" si="265"/>
        <v>0</v>
      </c>
      <c r="G510" s="316">
        <f ca="1" t="shared" si="265"/>
        <v>0</v>
      </c>
      <c r="H510" s="316">
        <f ca="1" t="shared" si="265"/>
        <v>0</v>
      </c>
      <c r="I510" s="316">
        <f ca="1" t="shared" si="265"/>
        <v>0</v>
      </c>
      <c r="J510" s="316">
        <f ca="1" t="shared" si="265"/>
        <v>0</v>
      </c>
      <c r="K510" s="118">
        <f ca="1" t="shared" si="265"/>
        <v>0</v>
      </c>
      <c r="L510" s="316">
        <f ca="1" t="shared" si="265"/>
        <v>0</v>
      </c>
      <c r="M510" s="316">
        <f ca="1" t="shared" si="265"/>
        <v>0</v>
      </c>
      <c r="N510" s="316">
        <f ca="1" t="shared" si="265"/>
        <v>0</v>
      </c>
      <c r="O510" s="316">
        <f ca="1" t="shared" si="265"/>
        <v>0</v>
      </c>
      <c r="P510" s="316">
        <f ca="1" t="shared" si="266"/>
        <v>0</v>
      </c>
      <c r="Q510" s="118">
        <f ca="1" t="shared" si="266"/>
        <v>0</v>
      </c>
      <c r="R510" s="316">
        <f ca="1" t="shared" si="266"/>
        <v>0</v>
      </c>
      <c r="S510" s="316">
        <f ca="1" t="shared" si="266"/>
        <v>0</v>
      </c>
      <c r="T510" s="316">
        <f ca="1" t="shared" si="266"/>
        <v>0</v>
      </c>
      <c r="U510" s="118">
        <f ca="1" t="shared" si="266"/>
        <v>0</v>
      </c>
      <c r="V510" s="118">
        <f ca="1" t="shared" si="266"/>
        <v>0</v>
      </c>
      <c r="W510" s="118">
        <f t="shared" si="267"/>
        <v>0</v>
      </c>
      <c r="X510" s="150"/>
      <c r="Z510" s="140" t="str">
        <f>IF($C510="B","",VLOOKUP($C510,orig_alloc!$A$13:$B$227,2,FALSE))</f>
        <v>WTD A&amp;G EXPENSE UNADJUSTED</v>
      </c>
      <c r="AA510" s="141"/>
      <c r="AE510" s="141"/>
      <c r="AF510" s="141"/>
    </row>
    <row r="511" spans="1:32" ht="20.25" hidden="1">
      <c r="A511" s="148" t="s">
        <v>1064</v>
      </c>
      <c r="B511" s="149" t="s">
        <v>673</v>
      </c>
      <c r="C511" s="148" t="s">
        <v>328</v>
      </c>
      <c r="D511" s="201">
        <v>0</v>
      </c>
      <c r="E511" s="219">
        <f t="shared" si="264"/>
        <v>0</v>
      </c>
      <c r="F511" s="118">
        <f ca="1" t="shared" si="265"/>
        <v>0</v>
      </c>
      <c r="G511" s="118">
        <f ca="1" t="shared" si="265"/>
        <v>0</v>
      </c>
      <c r="H511" s="118">
        <f ca="1" t="shared" si="265"/>
        <v>0</v>
      </c>
      <c r="I511" s="118">
        <f ca="1" t="shared" si="265"/>
        <v>0</v>
      </c>
      <c r="J511" s="118">
        <f ca="1" t="shared" si="265"/>
        <v>0</v>
      </c>
      <c r="K511" s="118">
        <f ca="1" t="shared" si="265"/>
        <v>0</v>
      </c>
      <c r="L511" s="118">
        <f ca="1" t="shared" si="265"/>
        <v>0</v>
      </c>
      <c r="M511" s="118">
        <f ca="1" t="shared" si="265"/>
        <v>0</v>
      </c>
      <c r="N511" s="118">
        <f ca="1" t="shared" si="265"/>
        <v>0</v>
      </c>
      <c r="O511" s="118">
        <f ca="1" t="shared" si="265"/>
        <v>0</v>
      </c>
      <c r="P511" s="118">
        <f ca="1" t="shared" si="266"/>
        <v>0</v>
      </c>
      <c r="Q511" s="118">
        <f ca="1" t="shared" si="266"/>
        <v>0</v>
      </c>
      <c r="R511" s="118">
        <f ca="1" t="shared" si="266"/>
        <v>0</v>
      </c>
      <c r="S511" s="118">
        <f ca="1" t="shared" si="266"/>
        <v>0</v>
      </c>
      <c r="T511" s="118">
        <f ca="1" t="shared" si="266"/>
        <v>0</v>
      </c>
      <c r="U511" s="118">
        <f ca="1" t="shared" si="266"/>
        <v>0</v>
      </c>
      <c r="V511" s="118">
        <f ca="1" t="shared" si="266"/>
        <v>0</v>
      </c>
      <c r="W511" s="118">
        <f t="shared" si="267"/>
        <v>0</v>
      </c>
      <c r="X511" s="150"/>
      <c r="Z511" s="140" t="str">
        <f>IF($C511="B","",VLOOKUP($C511,orig_alloc!$A$13:$B$227,2,FALSE))</f>
        <v>WTD NET PLANT RATIOS</v>
      </c>
      <c r="AA511" s="141"/>
      <c r="AE511" s="141"/>
      <c r="AF511" s="141"/>
    </row>
    <row r="512" spans="1:32" ht="20.25">
      <c r="A512" s="148" t="s">
        <v>1325</v>
      </c>
      <c r="B512" s="149" t="s">
        <v>673</v>
      </c>
      <c r="C512" s="148" t="s">
        <v>772</v>
      </c>
      <c r="D512" s="201">
        <v>758000</v>
      </c>
      <c r="E512" s="219">
        <f t="shared" si="264"/>
        <v>655116</v>
      </c>
      <c r="F512" s="118">
        <f ca="1" t="shared" si="265"/>
        <v>89717</v>
      </c>
      <c r="G512" s="118">
        <f ca="1" t="shared" si="265"/>
        <v>0</v>
      </c>
      <c r="H512" s="118">
        <f ca="1" t="shared" si="265"/>
        <v>0</v>
      </c>
      <c r="I512" s="118">
        <f ca="1" t="shared" si="265"/>
        <v>2645</v>
      </c>
      <c r="J512" s="118">
        <f ca="1" t="shared" si="265"/>
        <v>221</v>
      </c>
      <c r="K512" s="118">
        <f ca="1" t="shared" si="265"/>
        <v>6866</v>
      </c>
      <c r="L512" s="118">
        <f ca="1" t="shared" si="265"/>
        <v>0</v>
      </c>
      <c r="M512" s="118">
        <f ca="1" t="shared" si="265"/>
        <v>2320</v>
      </c>
      <c r="N512" s="118">
        <f ca="1" t="shared" si="265"/>
        <v>0</v>
      </c>
      <c r="O512" s="118">
        <f ca="1" t="shared" si="265"/>
        <v>262</v>
      </c>
      <c r="P512" s="118">
        <f ca="1" t="shared" si="266"/>
        <v>0</v>
      </c>
      <c r="Q512" s="118">
        <f ca="1" t="shared" si="266"/>
        <v>807</v>
      </c>
      <c r="R512" s="118">
        <f ca="1" t="shared" si="266"/>
        <v>0</v>
      </c>
      <c r="S512" s="118">
        <f ca="1" t="shared" si="266"/>
        <v>46</v>
      </c>
      <c r="T512" s="118">
        <f ca="1" t="shared" si="266"/>
        <v>0</v>
      </c>
      <c r="U512" s="118">
        <f ca="1" t="shared" si="266"/>
        <v>0</v>
      </c>
      <c r="V512" s="118">
        <f ca="1" t="shared" si="266"/>
        <v>758000</v>
      </c>
      <c r="W512" s="118">
        <f t="shared" si="267"/>
        <v>0</v>
      </c>
      <c r="X512" s="150"/>
      <c r="Z512" s="140" t="str">
        <f>IF($C512="B","",VLOOKUP($C512,orig_alloc!$A$13:$B$227,2,FALSE))</f>
        <v>WTD NET METERS PLANT RATIOS</v>
      </c>
      <c r="AA512" s="141"/>
      <c r="AE512" s="141"/>
      <c r="AF512" s="141"/>
    </row>
    <row r="513" spans="1:32" ht="20.25" hidden="1">
      <c r="A513" s="148" t="s">
        <v>839</v>
      </c>
      <c r="B513" s="149" t="s">
        <v>674</v>
      </c>
      <c r="C513" s="148" t="s">
        <v>589</v>
      </c>
      <c r="D513" s="201">
        <v>0</v>
      </c>
      <c r="E513" s="219">
        <f t="shared" si="264"/>
        <v>0</v>
      </c>
      <c r="F513" s="118">
        <f ca="1" t="shared" si="265"/>
        <v>0</v>
      </c>
      <c r="G513" s="118">
        <f ca="1" t="shared" si="265"/>
        <v>0</v>
      </c>
      <c r="H513" s="118">
        <f ca="1" t="shared" si="265"/>
        <v>0</v>
      </c>
      <c r="I513" s="118">
        <f ca="1" t="shared" si="265"/>
        <v>0</v>
      </c>
      <c r="J513" s="118">
        <f ca="1" t="shared" si="265"/>
        <v>0</v>
      </c>
      <c r="K513" s="118">
        <f ca="1" t="shared" si="265"/>
        <v>0</v>
      </c>
      <c r="L513" s="118">
        <f ca="1" t="shared" si="265"/>
        <v>0</v>
      </c>
      <c r="M513" s="118">
        <f ca="1" t="shared" si="265"/>
        <v>0</v>
      </c>
      <c r="N513" s="118">
        <f ca="1" t="shared" si="265"/>
        <v>0</v>
      </c>
      <c r="O513" s="118">
        <f ca="1" t="shared" si="265"/>
        <v>0</v>
      </c>
      <c r="P513" s="118">
        <f ca="1" t="shared" si="266"/>
        <v>0</v>
      </c>
      <c r="Q513" s="118">
        <f ca="1" t="shared" si="266"/>
        <v>0</v>
      </c>
      <c r="R513" s="118">
        <f ca="1" t="shared" si="266"/>
        <v>0</v>
      </c>
      <c r="S513" s="118">
        <f ca="1" t="shared" si="266"/>
        <v>0</v>
      </c>
      <c r="T513" s="118">
        <f ca="1" t="shared" si="266"/>
        <v>0</v>
      </c>
      <c r="U513" s="118">
        <f ca="1" t="shared" si="266"/>
        <v>0</v>
      </c>
      <c r="V513" s="118">
        <f ca="1" t="shared" si="266"/>
        <v>0</v>
      </c>
      <c r="W513" s="118">
        <f t="shared" si="267"/>
        <v>0</v>
      </c>
      <c r="X513" s="150"/>
      <c r="Z513" s="140" t="str">
        <f>IF($C513="B","",VLOOKUP($C513,orig_alloc!$A$13:$B$227,2,FALSE))</f>
        <v>WTD DIST A&amp;G EXP RATIOS</v>
      </c>
      <c r="AA513" s="141"/>
      <c r="AE513" s="141"/>
      <c r="AF513" s="141"/>
    </row>
    <row r="514" spans="1:32" ht="20.25" hidden="1">
      <c r="A514" s="148" t="s">
        <v>1312</v>
      </c>
      <c r="B514" s="149" t="s">
        <v>674</v>
      </c>
      <c r="C514" s="148" t="s">
        <v>328</v>
      </c>
      <c r="D514" s="201">
        <v>0</v>
      </c>
      <c r="E514" s="219">
        <f t="shared" si="264"/>
        <v>0</v>
      </c>
      <c r="F514" s="118">
        <f ca="1" t="shared" si="265"/>
        <v>0</v>
      </c>
      <c r="G514" s="118">
        <f ca="1" t="shared" si="265"/>
        <v>0</v>
      </c>
      <c r="H514" s="118">
        <f ca="1" t="shared" si="265"/>
        <v>0</v>
      </c>
      <c r="I514" s="118">
        <f ca="1" t="shared" si="265"/>
        <v>0</v>
      </c>
      <c r="J514" s="118">
        <f ca="1" t="shared" si="265"/>
        <v>0</v>
      </c>
      <c r="K514" s="118">
        <f ca="1" t="shared" si="265"/>
        <v>0</v>
      </c>
      <c r="L514" s="118">
        <f ca="1" t="shared" si="265"/>
        <v>0</v>
      </c>
      <c r="M514" s="118">
        <f ca="1" t="shared" si="265"/>
        <v>0</v>
      </c>
      <c r="N514" s="118">
        <f ca="1" t="shared" si="265"/>
        <v>0</v>
      </c>
      <c r="O514" s="118">
        <f ca="1" t="shared" si="265"/>
        <v>0</v>
      </c>
      <c r="P514" s="118">
        <f ca="1" t="shared" si="266"/>
        <v>0</v>
      </c>
      <c r="Q514" s="118">
        <f ca="1" t="shared" si="266"/>
        <v>0</v>
      </c>
      <c r="R514" s="118">
        <f ca="1" t="shared" si="266"/>
        <v>0</v>
      </c>
      <c r="S514" s="118">
        <f ca="1" t="shared" si="266"/>
        <v>0</v>
      </c>
      <c r="T514" s="118">
        <f ca="1" t="shared" si="266"/>
        <v>0</v>
      </c>
      <c r="U514" s="118">
        <f ca="1" t="shared" si="266"/>
        <v>0</v>
      </c>
      <c r="V514" s="118">
        <f ca="1" t="shared" si="266"/>
        <v>0</v>
      </c>
      <c r="W514" s="118">
        <f t="shared" si="267"/>
        <v>0</v>
      </c>
      <c r="X514" s="150"/>
      <c r="Z514" s="140" t="str">
        <f>IF($C514="B","",VLOOKUP($C514,orig_alloc!$A$13:$B$227,2,FALSE))</f>
        <v>WTD NET PLANT RATIOS</v>
      </c>
      <c r="AA514" s="141"/>
      <c r="AE514" s="141"/>
      <c r="AF514" s="141"/>
    </row>
    <row r="515" spans="1:32" ht="20.25">
      <c r="A515" s="132" t="s">
        <v>1295</v>
      </c>
      <c r="B515" s="317" t="s">
        <v>675</v>
      </c>
      <c r="C515" s="148" t="s">
        <v>328</v>
      </c>
      <c r="D515" s="201">
        <v>1423562</v>
      </c>
      <c r="E515" s="219">
        <f t="shared" si="264"/>
        <v>737803</v>
      </c>
      <c r="F515" s="118">
        <f ca="1" t="shared" si="265"/>
        <v>327163</v>
      </c>
      <c r="G515" s="118">
        <f ca="1" t="shared" si="265"/>
        <v>313</v>
      </c>
      <c r="H515" s="118">
        <f ca="1" t="shared" si="265"/>
        <v>1285</v>
      </c>
      <c r="I515" s="118">
        <f ca="1" t="shared" si="265"/>
        <v>5805</v>
      </c>
      <c r="J515" s="118">
        <f ca="1" t="shared" si="265"/>
        <v>152</v>
      </c>
      <c r="K515" s="118">
        <f ca="1" t="shared" si="265"/>
        <v>181023</v>
      </c>
      <c r="L515" s="118">
        <f ca="1" t="shared" si="265"/>
        <v>2462</v>
      </c>
      <c r="M515" s="118">
        <f ca="1" t="shared" si="265"/>
        <v>104001</v>
      </c>
      <c r="N515" s="118">
        <f ca="1" t="shared" si="265"/>
        <v>4916</v>
      </c>
      <c r="O515" s="118">
        <f ca="1" t="shared" si="265"/>
        <v>8065</v>
      </c>
      <c r="P515" s="118">
        <f ca="1" t="shared" si="266"/>
        <v>0</v>
      </c>
      <c r="Q515" s="118">
        <f ca="1" t="shared" si="266"/>
        <v>33960</v>
      </c>
      <c r="R515" s="118">
        <f ca="1" t="shared" si="266"/>
        <v>1958</v>
      </c>
      <c r="S515" s="118">
        <f ca="1" t="shared" si="266"/>
        <v>14453</v>
      </c>
      <c r="T515" s="118">
        <f ca="1" t="shared" si="266"/>
        <v>0</v>
      </c>
      <c r="U515" s="118">
        <f ca="1" t="shared" si="266"/>
        <v>203</v>
      </c>
      <c r="V515" s="118">
        <f ca="1" t="shared" si="266"/>
        <v>1423562</v>
      </c>
      <c r="W515" s="118">
        <f t="shared" si="267"/>
        <v>0</v>
      </c>
      <c r="X515" s="150"/>
      <c r="Z515" s="140" t="str">
        <f>IF($C515="B","",VLOOKUP($C515,orig_alloc!$A$13:$B$227,2,FALSE))</f>
        <v>WTD NET PLANT RATIOS</v>
      </c>
      <c r="AA515" s="141"/>
      <c r="AE515" s="141"/>
      <c r="AF515" s="141"/>
    </row>
    <row r="516" spans="1:32" ht="20.25" hidden="1">
      <c r="A516" s="148" t="s">
        <v>842</v>
      </c>
      <c r="B516" s="317" t="s">
        <v>676</v>
      </c>
      <c r="C516" s="148" t="s">
        <v>253</v>
      </c>
      <c r="D516" s="201">
        <v>0</v>
      </c>
      <c r="E516" s="219">
        <f t="shared" si="264"/>
        <v>0</v>
      </c>
      <c r="F516" s="118">
        <f ca="1" t="shared" si="265"/>
        <v>0</v>
      </c>
      <c r="G516" s="118">
        <f ca="1" t="shared" si="265"/>
        <v>0</v>
      </c>
      <c r="H516" s="118">
        <f ca="1" t="shared" si="265"/>
        <v>0</v>
      </c>
      <c r="I516" s="118">
        <f ca="1" t="shared" si="265"/>
        <v>0</v>
      </c>
      <c r="J516" s="118">
        <f ca="1" t="shared" si="265"/>
        <v>0</v>
      </c>
      <c r="K516" s="118">
        <f ca="1" t="shared" si="265"/>
        <v>0</v>
      </c>
      <c r="L516" s="118">
        <f ca="1" t="shared" si="265"/>
        <v>0</v>
      </c>
      <c r="M516" s="118">
        <f ca="1" t="shared" si="265"/>
        <v>0</v>
      </c>
      <c r="N516" s="118">
        <f ca="1" t="shared" si="265"/>
        <v>0</v>
      </c>
      <c r="O516" s="118">
        <f ca="1" t="shared" si="265"/>
        <v>0</v>
      </c>
      <c r="P516" s="118">
        <f ca="1" t="shared" si="266"/>
        <v>0</v>
      </c>
      <c r="Q516" s="118">
        <f ca="1" t="shared" si="266"/>
        <v>0</v>
      </c>
      <c r="R516" s="118">
        <f ca="1" t="shared" si="266"/>
        <v>0</v>
      </c>
      <c r="S516" s="118">
        <f ca="1" t="shared" si="266"/>
        <v>0</v>
      </c>
      <c r="T516" s="118">
        <f ca="1" t="shared" si="266"/>
        <v>0</v>
      </c>
      <c r="U516" s="118">
        <f ca="1" t="shared" si="266"/>
        <v>0</v>
      </c>
      <c r="V516" s="118">
        <f ca="1" t="shared" si="266"/>
        <v>0</v>
      </c>
      <c r="W516" s="118">
        <f t="shared" si="267"/>
        <v>0</v>
      </c>
      <c r="X516" s="150"/>
      <c r="Z516" s="140" t="str">
        <f>IF($C516="B","",VLOOKUP($C516,orig_alloc!$A$13:$B$227,2,FALSE))</f>
        <v>WTD CUST ACCT O&amp;M EXP RATIOS</v>
      </c>
      <c r="AA516" s="141"/>
      <c r="AE516" s="141"/>
      <c r="AF516" s="141"/>
    </row>
    <row r="517" spans="1:32" ht="20.25" hidden="1">
      <c r="A517" s="132" t="s">
        <v>857</v>
      </c>
      <c r="B517" s="317" t="s">
        <v>677</v>
      </c>
      <c r="C517" s="148" t="s">
        <v>328</v>
      </c>
      <c r="D517" s="201">
        <v>0</v>
      </c>
      <c r="E517" s="219">
        <f t="shared" si="264"/>
        <v>0</v>
      </c>
      <c r="F517" s="118">
        <f ca="1" t="shared" si="265"/>
        <v>0</v>
      </c>
      <c r="G517" s="118">
        <f ca="1" t="shared" si="265"/>
        <v>0</v>
      </c>
      <c r="H517" s="118">
        <f ca="1" t="shared" si="265"/>
        <v>0</v>
      </c>
      <c r="I517" s="118">
        <f ca="1" t="shared" si="265"/>
        <v>0</v>
      </c>
      <c r="J517" s="118">
        <f ca="1" t="shared" si="265"/>
        <v>0</v>
      </c>
      <c r="K517" s="118">
        <f ca="1" t="shared" si="265"/>
        <v>0</v>
      </c>
      <c r="L517" s="118">
        <f ca="1" t="shared" si="265"/>
        <v>0</v>
      </c>
      <c r="M517" s="118">
        <f ca="1" t="shared" si="265"/>
        <v>0</v>
      </c>
      <c r="N517" s="118">
        <f ca="1" t="shared" si="265"/>
        <v>0</v>
      </c>
      <c r="O517" s="118">
        <f ca="1" t="shared" si="265"/>
        <v>0</v>
      </c>
      <c r="P517" s="118">
        <f ca="1" t="shared" si="266"/>
        <v>0</v>
      </c>
      <c r="Q517" s="118">
        <f ca="1" t="shared" si="266"/>
        <v>0</v>
      </c>
      <c r="R517" s="118">
        <f ca="1" t="shared" si="266"/>
        <v>0</v>
      </c>
      <c r="S517" s="118">
        <f ca="1" t="shared" si="266"/>
        <v>0</v>
      </c>
      <c r="T517" s="118">
        <f ca="1" t="shared" si="266"/>
        <v>0</v>
      </c>
      <c r="U517" s="118">
        <f ca="1" t="shared" si="266"/>
        <v>0</v>
      </c>
      <c r="V517" s="118">
        <f ca="1" t="shared" si="266"/>
        <v>0</v>
      </c>
      <c r="W517" s="118">
        <f t="shared" si="267"/>
        <v>0</v>
      </c>
      <c r="X517" s="150"/>
      <c r="Z517" s="140" t="str">
        <f>IF($C517="B","",VLOOKUP($C517,orig_alloc!$A$13:$B$227,2,FALSE))</f>
        <v>WTD NET PLANT RATIOS</v>
      </c>
      <c r="AA517" s="141"/>
      <c r="AE517" s="141"/>
      <c r="AF517" s="141"/>
    </row>
    <row r="518" spans="1:32" ht="20.25">
      <c r="A518" s="240" t="s">
        <v>678</v>
      </c>
      <c r="B518" s="149" t="s">
        <v>560</v>
      </c>
      <c r="C518" s="132"/>
      <c r="D518" s="202">
        <f aca="true" t="shared" si="268" ref="D518:W518">SUM(D504:D517)</f>
        <v>6767194</v>
      </c>
      <c r="E518" s="202">
        <f t="shared" si="268"/>
        <v>3769530</v>
      </c>
      <c r="F518" s="202">
        <f t="shared" si="268"/>
        <v>1468364</v>
      </c>
      <c r="G518" s="202">
        <f t="shared" si="268"/>
        <v>1320</v>
      </c>
      <c r="H518" s="202">
        <f t="shared" si="268"/>
        <v>5423</v>
      </c>
      <c r="I518" s="202">
        <f t="shared" si="268"/>
        <v>27195</v>
      </c>
      <c r="J518" s="202">
        <f t="shared" si="268"/>
        <v>861</v>
      </c>
      <c r="K518" s="202">
        <f t="shared" si="268"/>
        <v>769569</v>
      </c>
      <c r="L518" s="202">
        <f t="shared" si="268"/>
        <v>10408</v>
      </c>
      <c r="M518" s="202">
        <f t="shared" si="268"/>
        <v>443021</v>
      </c>
      <c r="N518" s="202">
        <f t="shared" si="268"/>
        <v>20842</v>
      </c>
      <c r="O518" s="202">
        <f t="shared" si="268"/>
        <v>34362</v>
      </c>
      <c r="P518" s="202">
        <f t="shared" si="268"/>
        <v>0</v>
      </c>
      <c r="Q518" s="202">
        <f t="shared" si="268"/>
        <v>147469</v>
      </c>
      <c r="R518" s="202">
        <f t="shared" si="268"/>
        <v>8457</v>
      </c>
      <c r="S518" s="202">
        <f t="shared" si="268"/>
        <v>59509</v>
      </c>
      <c r="T518" s="202">
        <f t="shared" si="268"/>
        <v>0</v>
      </c>
      <c r="U518" s="202">
        <f t="shared" si="268"/>
        <v>864</v>
      </c>
      <c r="V518" s="202">
        <f t="shared" si="268"/>
        <v>6767194</v>
      </c>
      <c r="W518" s="202">
        <f t="shared" si="268"/>
        <v>0</v>
      </c>
      <c r="X518" s="150"/>
      <c r="Z518" s="140">
        <f>IF($C518="B","",VLOOKUP($C518,orig_alloc!$A$13:$B$227,2,FALSE))</f>
      </c>
      <c r="AA518" s="141"/>
      <c r="AE518" s="141"/>
      <c r="AF518" s="141"/>
    </row>
    <row r="519" spans="1:32" ht="20.25">
      <c r="A519" s="132"/>
      <c r="B519" s="149"/>
      <c r="C519" s="132"/>
      <c r="D519" s="118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18"/>
      <c r="W519" s="118"/>
      <c r="X519" s="150"/>
      <c r="Z519" s="140">
        <f>IF($C519="B","",VLOOKUP($C519,orig_alloc!$A$13:$B$227,2,FALSE))</f>
      </c>
      <c r="AA519" s="141"/>
      <c r="AE519" s="141"/>
      <c r="AF519" s="141"/>
    </row>
    <row r="520" spans="1:32" ht="20.25">
      <c r="A520" s="132" t="s">
        <v>679</v>
      </c>
      <c r="B520" s="149" t="s">
        <v>680</v>
      </c>
      <c r="C520" s="132"/>
      <c r="D520" s="118">
        <f aca="true" t="shared" si="269" ref="D520:W520">D518+D502</f>
        <v>23004222</v>
      </c>
      <c r="E520" s="118">
        <f t="shared" si="269"/>
        <v>12184847</v>
      </c>
      <c r="F520" s="118">
        <f t="shared" si="269"/>
        <v>5199961</v>
      </c>
      <c r="G520" s="118">
        <f t="shared" si="269"/>
        <v>4888</v>
      </c>
      <c r="H520" s="118">
        <f t="shared" si="269"/>
        <v>20080</v>
      </c>
      <c r="I520" s="118">
        <f t="shared" si="269"/>
        <v>93406</v>
      </c>
      <c r="J520" s="118">
        <f t="shared" si="269"/>
        <v>2594</v>
      </c>
      <c r="K520" s="118">
        <f t="shared" si="269"/>
        <v>2834305</v>
      </c>
      <c r="L520" s="118">
        <f t="shared" si="269"/>
        <v>38485</v>
      </c>
      <c r="M520" s="118">
        <f t="shared" si="269"/>
        <v>1629248</v>
      </c>
      <c r="N520" s="118">
        <f t="shared" si="269"/>
        <v>76908</v>
      </c>
      <c r="O520" s="118">
        <f t="shared" si="269"/>
        <v>126352</v>
      </c>
      <c r="P520" s="118">
        <f t="shared" si="269"/>
        <v>0</v>
      </c>
      <c r="Q520" s="118">
        <f t="shared" si="269"/>
        <v>534810</v>
      </c>
      <c r="R520" s="118">
        <f t="shared" si="269"/>
        <v>30793</v>
      </c>
      <c r="S520" s="118">
        <f t="shared" si="269"/>
        <v>224362</v>
      </c>
      <c r="T520" s="118">
        <f t="shared" si="269"/>
        <v>0</v>
      </c>
      <c r="U520" s="118">
        <f t="shared" si="269"/>
        <v>3183</v>
      </c>
      <c r="V520" s="118">
        <f t="shared" si="269"/>
        <v>23004222</v>
      </c>
      <c r="W520" s="118">
        <f t="shared" si="269"/>
        <v>0</v>
      </c>
      <c r="X520" s="150"/>
      <c r="Z520" s="140">
        <f>IF($C520="B","",VLOOKUP($C520,orig_alloc!$A$13:$B$227,2,FALSE))</f>
      </c>
      <c r="AA520" s="141"/>
      <c r="AE520" s="141"/>
      <c r="AF520" s="141"/>
    </row>
    <row r="521" spans="1:32" ht="20.25">
      <c r="A521" s="132"/>
      <c r="B521" s="149"/>
      <c r="C521" s="132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50"/>
      <c r="Z521" s="140">
        <f>IF($C521="B","",VLOOKUP($C521,orig_alloc!$A$13:$B$227,2,FALSE))</f>
      </c>
      <c r="AA521" s="141"/>
      <c r="AE521" s="141"/>
      <c r="AF521" s="141"/>
    </row>
    <row r="522" spans="1:32" ht="20.25">
      <c r="A522" s="132" t="s">
        <v>681</v>
      </c>
      <c r="B522" s="149"/>
      <c r="C522" s="132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50"/>
      <c r="Z522" s="140">
        <f>IF($C522="B","",VLOOKUP($C522,orig_alloc!$A$13:$B$227,2,FALSE))</f>
      </c>
      <c r="AA522" s="141"/>
      <c r="AE522" s="141"/>
      <c r="AF522" s="141"/>
    </row>
    <row r="523" spans="1:32" ht="20.25">
      <c r="A523" s="132"/>
      <c r="B523" s="149"/>
      <c r="C523" s="132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50"/>
      <c r="Z523" s="140">
        <f>IF($C523="B","",VLOOKUP($C523,orig_alloc!$A$13:$B$227,2,FALSE))</f>
      </c>
      <c r="AA523" s="141"/>
      <c r="AE523" s="141"/>
      <c r="AF523" s="141"/>
    </row>
    <row r="524" spans="1:32" ht="20.25">
      <c r="A524" s="132" t="s">
        <v>733</v>
      </c>
      <c r="B524" s="149"/>
      <c r="C524" s="132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50"/>
      <c r="Z524" s="140">
        <f>IF($C524="B","",VLOOKUP($C524,orig_alloc!$A$13:$B$227,2,FALSE))</f>
      </c>
      <c r="AA524" s="141"/>
      <c r="AE524" s="141"/>
      <c r="AF524" s="141"/>
    </row>
    <row r="525" spans="1:32" ht="20.25" hidden="1">
      <c r="A525" s="148" t="s">
        <v>719</v>
      </c>
      <c r="B525" s="149" t="s">
        <v>880</v>
      </c>
      <c r="C525" s="148" t="s">
        <v>270</v>
      </c>
      <c r="D525" s="241">
        <v>0</v>
      </c>
      <c r="E525" s="219">
        <f aca="true" t="shared" si="270" ref="E525:E535">V525-SUM(F525:U525)</f>
        <v>0</v>
      </c>
      <c r="F525" s="118">
        <f aca="true" ca="1" t="shared" si="271" ref="F525:O535">ROUND($D525*VLOOKUP($C525,IF(LEFT($C525,1)="K",INDIRECT("TABLE"),INDIRECT("TABLE2")),F$9+1),0)</f>
        <v>0</v>
      </c>
      <c r="G525" s="118">
        <f ca="1" t="shared" si="271"/>
        <v>0</v>
      </c>
      <c r="H525" s="118">
        <f ca="1" t="shared" si="271"/>
        <v>0</v>
      </c>
      <c r="I525" s="118">
        <f ca="1" t="shared" si="271"/>
        <v>0</v>
      </c>
      <c r="J525" s="118">
        <f ca="1" t="shared" si="271"/>
        <v>0</v>
      </c>
      <c r="K525" s="118">
        <f ca="1" t="shared" si="271"/>
        <v>0</v>
      </c>
      <c r="L525" s="118">
        <f ca="1" t="shared" si="271"/>
        <v>0</v>
      </c>
      <c r="M525" s="118">
        <f ca="1" t="shared" si="271"/>
        <v>0</v>
      </c>
      <c r="N525" s="118">
        <f ca="1" t="shared" si="271"/>
        <v>0</v>
      </c>
      <c r="O525" s="118">
        <f ca="1" t="shared" si="271"/>
        <v>0</v>
      </c>
      <c r="P525" s="118">
        <f aca="true" ca="1" t="shared" si="272" ref="P525:V535">ROUND($D525*VLOOKUP($C525,IF(LEFT($C525,1)="K",INDIRECT("TABLE"),INDIRECT("TABLE2")),P$9+1),0)</f>
        <v>0</v>
      </c>
      <c r="Q525" s="118">
        <f ca="1" t="shared" si="272"/>
        <v>0</v>
      </c>
      <c r="R525" s="118">
        <f ca="1" t="shared" si="272"/>
        <v>0</v>
      </c>
      <c r="S525" s="118">
        <f ca="1" t="shared" si="272"/>
        <v>0</v>
      </c>
      <c r="T525" s="118">
        <f ca="1" t="shared" si="272"/>
        <v>0</v>
      </c>
      <c r="U525" s="118">
        <f ca="1" t="shared" si="272"/>
        <v>0</v>
      </c>
      <c r="V525" s="118">
        <f ca="1" t="shared" si="272"/>
        <v>0</v>
      </c>
      <c r="W525" s="118">
        <f aca="true" t="shared" si="273" ref="W525:W535">D525-V525</f>
        <v>0</v>
      </c>
      <c r="X525" s="150"/>
      <c r="Z525" s="140" t="str">
        <f>IF($C525="B","",VLOOKUP($C525,orig_alloc!$A$13:$B$227,2,FALSE))</f>
        <v>WTD TOT DEPREC EXP RATIOS</v>
      </c>
      <c r="AA525" s="141"/>
      <c r="AE525" s="141"/>
      <c r="AF525" s="141"/>
    </row>
    <row r="526" spans="1:32" ht="20.25" hidden="1">
      <c r="A526" s="148" t="s">
        <v>838</v>
      </c>
      <c r="B526" s="149" t="s">
        <v>683</v>
      </c>
      <c r="C526" s="148" t="s">
        <v>797</v>
      </c>
      <c r="D526" s="241">
        <v>0</v>
      </c>
      <c r="E526" s="219">
        <f t="shared" si="270"/>
        <v>0</v>
      </c>
      <c r="F526" s="118">
        <f ca="1" t="shared" si="271"/>
        <v>0</v>
      </c>
      <c r="G526" s="118">
        <f ca="1" t="shared" si="271"/>
        <v>0</v>
      </c>
      <c r="H526" s="118">
        <f ca="1" t="shared" si="271"/>
        <v>0</v>
      </c>
      <c r="I526" s="118">
        <f ca="1" t="shared" si="271"/>
        <v>0</v>
      </c>
      <c r="J526" s="118">
        <f ca="1" t="shared" si="271"/>
        <v>0</v>
      </c>
      <c r="K526" s="118">
        <f ca="1" t="shared" si="271"/>
        <v>0</v>
      </c>
      <c r="L526" s="118">
        <f ca="1" t="shared" si="271"/>
        <v>0</v>
      </c>
      <c r="M526" s="118">
        <f ca="1" t="shared" si="271"/>
        <v>0</v>
      </c>
      <c r="N526" s="118">
        <f ca="1" t="shared" si="271"/>
        <v>0</v>
      </c>
      <c r="O526" s="118">
        <f ca="1" t="shared" si="271"/>
        <v>0</v>
      </c>
      <c r="P526" s="118">
        <f ca="1" t="shared" si="272"/>
        <v>0</v>
      </c>
      <c r="Q526" s="118">
        <f ca="1" t="shared" si="272"/>
        <v>0</v>
      </c>
      <c r="R526" s="118">
        <f ca="1" t="shared" si="272"/>
        <v>0</v>
      </c>
      <c r="S526" s="118">
        <f ca="1" t="shared" si="272"/>
        <v>0</v>
      </c>
      <c r="T526" s="118">
        <f ca="1" t="shared" si="272"/>
        <v>0</v>
      </c>
      <c r="U526" s="118">
        <f ca="1" t="shared" si="272"/>
        <v>0</v>
      </c>
      <c r="V526" s="118">
        <f ca="1" t="shared" si="272"/>
        <v>0</v>
      </c>
      <c r="W526" s="118">
        <f t="shared" si="273"/>
        <v>0</v>
      </c>
      <c r="X526" s="150"/>
      <c r="Z526" s="140" t="str">
        <f>IF($C526="B","",VLOOKUP($C526,orig_alloc!$A$13:$B$227,2,FALSE))</f>
        <v>JUR. WTD A&amp;G EXCL. REGULATORY RATIOS</v>
      </c>
      <c r="AA526" s="141"/>
      <c r="AE526" s="141"/>
      <c r="AF526" s="141"/>
    </row>
    <row r="527" spans="1:32" ht="20.25" hidden="1">
      <c r="A527" s="148" t="s">
        <v>1300</v>
      </c>
      <c r="B527" s="149" t="s">
        <v>684</v>
      </c>
      <c r="C527" s="148" t="s">
        <v>797</v>
      </c>
      <c r="D527" s="241">
        <v>0</v>
      </c>
      <c r="E527" s="219">
        <f t="shared" si="270"/>
        <v>0</v>
      </c>
      <c r="F527" s="118">
        <f ca="1" t="shared" si="271"/>
        <v>0</v>
      </c>
      <c r="G527" s="118">
        <f ca="1" t="shared" si="271"/>
        <v>0</v>
      </c>
      <c r="H527" s="118">
        <f ca="1" t="shared" si="271"/>
        <v>0</v>
      </c>
      <c r="I527" s="118">
        <f ca="1" t="shared" si="271"/>
        <v>0</v>
      </c>
      <c r="J527" s="118">
        <f ca="1" t="shared" si="271"/>
        <v>0</v>
      </c>
      <c r="K527" s="118">
        <f ca="1" t="shared" si="271"/>
        <v>0</v>
      </c>
      <c r="L527" s="118">
        <f ca="1" t="shared" si="271"/>
        <v>0</v>
      </c>
      <c r="M527" s="118">
        <f ca="1" t="shared" si="271"/>
        <v>0</v>
      </c>
      <c r="N527" s="118">
        <f ca="1" t="shared" si="271"/>
        <v>0</v>
      </c>
      <c r="O527" s="118">
        <f ca="1" t="shared" si="271"/>
        <v>0</v>
      </c>
      <c r="P527" s="118">
        <f ca="1" t="shared" si="272"/>
        <v>0</v>
      </c>
      <c r="Q527" s="118">
        <f ca="1" t="shared" si="272"/>
        <v>0</v>
      </c>
      <c r="R527" s="118">
        <f ca="1" t="shared" si="272"/>
        <v>0</v>
      </c>
      <c r="S527" s="118">
        <f ca="1" t="shared" si="272"/>
        <v>0</v>
      </c>
      <c r="T527" s="118">
        <f ca="1" t="shared" si="272"/>
        <v>0</v>
      </c>
      <c r="U527" s="118">
        <f ca="1" t="shared" si="272"/>
        <v>0</v>
      </c>
      <c r="V527" s="118">
        <f ca="1" t="shared" si="272"/>
        <v>0</v>
      </c>
      <c r="W527" s="118">
        <f t="shared" si="273"/>
        <v>0</v>
      </c>
      <c r="X527" s="150"/>
      <c r="Z527" s="140" t="str">
        <f>IF($C527="B","",VLOOKUP($C527,orig_alloc!$A$13:$B$227,2,FALSE))</f>
        <v>JUR. WTD A&amp;G EXCL. REGULATORY RATIOS</v>
      </c>
      <c r="AA527" s="141"/>
      <c r="AE527" s="141"/>
      <c r="AF527" s="141"/>
    </row>
    <row r="528" spans="1:32" ht="20.25">
      <c r="A528" s="148" t="s">
        <v>1301</v>
      </c>
      <c r="B528" s="149" t="s">
        <v>685</v>
      </c>
      <c r="C528" s="148" t="s">
        <v>270</v>
      </c>
      <c r="D528" s="241">
        <v>-75095</v>
      </c>
      <c r="E528" s="219">
        <f t="shared" si="270"/>
        <v>-38921</v>
      </c>
      <c r="F528" s="118">
        <f ca="1" t="shared" si="271"/>
        <v>-17220</v>
      </c>
      <c r="G528" s="118">
        <f ca="1" t="shared" si="271"/>
        <v>-16</v>
      </c>
      <c r="H528" s="118">
        <f ca="1" t="shared" si="271"/>
        <v>-68</v>
      </c>
      <c r="I528" s="118">
        <f ca="1" t="shared" si="271"/>
        <v>-307</v>
      </c>
      <c r="J528" s="118">
        <f ca="1" t="shared" si="271"/>
        <v>-8</v>
      </c>
      <c r="K528" s="118">
        <f ca="1" t="shared" si="271"/>
        <v>-9526</v>
      </c>
      <c r="L528" s="118">
        <f ca="1" t="shared" si="271"/>
        <v>-130</v>
      </c>
      <c r="M528" s="118">
        <f ca="1" t="shared" si="271"/>
        <v>-5513</v>
      </c>
      <c r="N528" s="118">
        <f ca="1" t="shared" si="271"/>
        <v>-261</v>
      </c>
      <c r="O528" s="118">
        <f ca="1" t="shared" si="271"/>
        <v>-426</v>
      </c>
      <c r="P528" s="118">
        <f ca="1" t="shared" si="272"/>
        <v>0</v>
      </c>
      <c r="Q528" s="118">
        <f ca="1" t="shared" si="272"/>
        <v>-1844</v>
      </c>
      <c r="R528" s="118">
        <f ca="1" t="shared" si="272"/>
        <v>-106</v>
      </c>
      <c r="S528" s="118">
        <f ca="1" t="shared" si="272"/>
        <v>-738</v>
      </c>
      <c r="T528" s="118">
        <f ca="1" t="shared" si="272"/>
        <v>0</v>
      </c>
      <c r="U528" s="118">
        <f ca="1" t="shared" si="272"/>
        <v>-11</v>
      </c>
      <c r="V528" s="118">
        <f ca="1" t="shared" si="272"/>
        <v>-75095</v>
      </c>
      <c r="W528" s="118">
        <f t="shared" si="273"/>
        <v>0</v>
      </c>
      <c r="X528" s="150"/>
      <c r="Z528" s="140" t="str">
        <f>IF($C528="B","",VLOOKUP($C528,orig_alloc!$A$13:$B$227,2,FALSE))</f>
        <v>WTD TOT DEPREC EXP RATIOS</v>
      </c>
      <c r="AA528" s="141"/>
      <c r="AE528" s="141"/>
      <c r="AF528" s="141"/>
    </row>
    <row r="529" spans="1:32" ht="20.25" hidden="1">
      <c r="A529" s="148" t="s">
        <v>454</v>
      </c>
      <c r="B529" s="149" t="s">
        <v>682</v>
      </c>
      <c r="C529" s="148" t="s">
        <v>889</v>
      </c>
      <c r="D529" s="241">
        <v>0</v>
      </c>
      <c r="E529" s="219">
        <f t="shared" si="270"/>
        <v>0</v>
      </c>
      <c r="F529" s="118">
        <f ca="1" t="shared" si="271"/>
        <v>0</v>
      </c>
      <c r="G529" s="118">
        <f ca="1" t="shared" si="271"/>
        <v>0</v>
      </c>
      <c r="H529" s="118">
        <f ca="1" t="shared" si="271"/>
        <v>0</v>
      </c>
      <c r="I529" s="118">
        <f ca="1" t="shared" si="271"/>
        <v>0</v>
      </c>
      <c r="J529" s="118">
        <f ca="1" t="shared" si="271"/>
        <v>0</v>
      </c>
      <c r="K529" s="118">
        <f ca="1" t="shared" si="271"/>
        <v>0</v>
      </c>
      <c r="L529" s="118">
        <f ca="1" t="shared" si="271"/>
        <v>0</v>
      </c>
      <c r="M529" s="118">
        <f ca="1" t="shared" si="271"/>
        <v>0</v>
      </c>
      <c r="N529" s="118">
        <f ca="1" t="shared" si="271"/>
        <v>0</v>
      </c>
      <c r="O529" s="118">
        <f ca="1" t="shared" si="271"/>
        <v>0</v>
      </c>
      <c r="P529" s="118">
        <f ca="1" t="shared" si="272"/>
        <v>0</v>
      </c>
      <c r="Q529" s="118">
        <f ca="1" t="shared" si="272"/>
        <v>0</v>
      </c>
      <c r="R529" s="118">
        <f ca="1" t="shared" si="272"/>
        <v>0</v>
      </c>
      <c r="S529" s="118">
        <f ca="1" t="shared" si="272"/>
        <v>0</v>
      </c>
      <c r="T529" s="118">
        <f ca="1" t="shared" si="272"/>
        <v>0</v>
      </c>
      <c r="U529" s="118">
        <f ca="1" t="shared" si="272"/>
        <v>0</v>
      </c>
      <c r="V529" s="118">
        <f ca="1" t="shared" si="272"/>
        <v>0</v>
      </c>
      <c r="W529" s="118">
        <f t="shared" si="273"/>
        <v>0</v>
      </c>
      <c r="X529" s="150"/>
      <c r="Z529" s="140" t="str">
        <f>IF($C529="B","",VLOOKUP($C529,orig_alloc!$A$13:$B$227,2,FALSE))</f>
        <v>WTD UNCOLLECTIBLE ACCOUNT O&amp;M</v>
      </c>
      <c r="AA529" s="141"/>
      <c r="AE529" s="141"/>
      <c r="AF529" s="141"/>
    </row>
    <row r="530" spans="1:32" ht="20.25" hidden="1">
      <c r="A530" s="148" t="s">
        <v>839</v>
      </c>
      <c r="B530" s="149" t="s">
        <v>684</v>
      </c>
      <c r="C530" s="148" t="s">
        <v>331</v>
      </c>
      <c r="D530" s="241">
        <v>0</v>
      </c>
      <c r="E530" s="219">
        <f t="shared" si="270"/>
        <v>0</v>
      </c>
      <c r="F530" s="118">
        <f ca="1" t="shared" si="271"/>
        <v>0</v>
      </c>
      <c r="G530" s="118">
        <f ca="1" t="shared" si="271"/>
        <v>0</v>
      </c>
      <c r="H530" s="118">
        <f ca="1" t="shared" si="271"/>
        <v>0</v>
      </c>
      <c r="I530" s="118">
        <f ca="1" t="shared" si="271"/>
        <v>0</v>
      </c>
      <c r="J530" s="118">
        <f ca="1" t="shared" si="271"/>
        <v>0</v>
      </c>
      <c r="K530" s="118">
        <f ca="1" t="shared" si="271"/>
        <v>0</v>
      </c>
      <c r="L530" s="118">
        <f ca="1" t="shared" si="271"/>
        <v>0</v>
      </c>
      <c r="M530" s="118">
        <f ca="1" t="shared" si="271"/>
        <v>0</v>
      </c>
      <c r="N530" s="118">
        <f ca="1" t="shared" si="271"/>
        <v>0</v>
      </c>
      <c r="O530" s="118">
        <f ca="1" t="shared" si="271"/>
        <v>0</v>
      </c>
      <c r="P530" s="118">
        <f ca="1" t="shared" si="272"/>
        <v>0</v>
      </c>
      <c r="Q530" s="118">
        <f ca="1" t="shared" si="272"/>
        <v>0</v>
      </c>
      <c r="R530" s="118">
        <f ca="1" t="shared" si="272"/>
        <v>0</v>
      </c>
      <c r="S530" s="118">
        <f ca="1" t="shared" si="272"/>
        <v>0</v>
      </c>
      <c r="T530" s="118">
        <f ca="1" t="shared" si="272"/>
        <v>0</v>
      </c>
      <c r="U530" s="118">
        <f ca="1" t="shared" si="272"/>
        <v>0</v>
      </c>
      <c r="V530" s="118">
        <f ca="1" t="shared" si="272"/>
        <v>0</v>
      </c>
      <c r="W530" s="118">
        <f t="shared" si="273"/>
        <v>0</v>
      </c>
      <c r="X530" s="150"/>
      <c r="Z530" s="140" t="str">
        <f>IF($C530="B","",VLOOKUP($C530,orig_alloc!$A$13:$B$227,2,FALSE))</f>
        <v>WTD NET TOTAL DIST PLANT RATIOS</v>
      </c>
      <c r="AA530" s="141"/>
      <c r="AE530" s="141"/>
      <c r="AF530" s="141"/>
    </row>
    <row r="531" spans="1:32" ht="20.25">
      <c r="A531" s="148" t="s">
        <v>1300</v>
      </c>
      <c r="B531" s="149" t="s">
        <v>682</v>
      </c>
      <c r="C531" s="148" t="s">
        <v>328</v>
      </c>
      <c r="D531" s="241">
        <v>-563296</v>
      </c>
      <c r="E531" s="219">
        <f t="shared" si="270"/>
        <v>-291945</v>
      </c>
      <c r="F531" s="118">
        <f ca="1" t="shared" si="271"/>
        <v>-129457</v>
      </c>
      <c r="G531" s="118">
        <f ca="1" t="shared" si="271"/>
        <v>-124</v>
      </c>
      <c r="H531" s="118">
        <f ca="1" t="shared" si="271"/>
        <v>-508</v>
      </c>
      <c r="I531" s="118">
        <f ca="1" t="shared" si="271"/>
        <v>-2297</v>
      </c>
      <c r="J531" s="118">
        <f ca="1" t="shared" si="271"/>
        <v>-60</v>
      </c>
      <c r="K531" s="118">
        <f ca="1" t="shared" si="271"/>
        <v>-71630</v>
      </c>
      <c r="L531" s="118">
        <f ca="1" t="shared" si="271"/>
        <v>-974</v>
      </c>
      <c r="M531" s="118">
        <f ca="1" t="shared" si="271"/>
        <v>-41153</v>
      </c>
      <c r="N531" s="118">
        <f ca="1" t="shared" si="271"/>
        <v>-1945</v>
      </c>
      <c r="O531" s="118">
        <f ca="1" t="shared" si="271"/>
        <v>-3191</v>
      </c>
      <c r="P531" s="118">
        <f ca="1" t="shared" si="272"/>
        <v>0</v>
      </c>
      <c r="Q531" s="118">
        <f ca="1" t="shared" si="272"/>
        <v>-13438</v>
      </c>
      <c r="R531" s="118">
        <f ca="1" t="shared" si="272"/>
        <v>-775</v>
      </c>
      <c r="S531" s="118">
        <f ca="1" t="shared" si="272"/>
        <v>-5719</v>
      </c>
      <c r="T531" s="118">
        <f ca="1" t="shared" si="272"/>
        <v>0</v>
      </c>
      <c r="U531" s="118">
        <f ca="1" t="shared" si="272"/>
        <v>-80</v>
      </c>
      <c r="V531" s="118">
        <f ca="1" t="shared" si="272"/>
        <v>-563296</v>
      </c>
      <c r="W531" s="118">
        <f t="shared" si="273"/>
        <v>0</v>
      </c>
      <c r="X531" s="150"/>
      <c r="Z531" s="140" t="str">
        <f>IF($C531="B","",VLOOKUP($C531,orig_alloc!$A$13:$B$227,2,FALSE))</f>
        <v>WTD NET PLANT RATIOS</v>
      </c>
      <c r="AA531" s="141"/>
      <c r="AE531" s="141"/>
      <c r="AF531" s="141"/>
    </row>
    <row r="532" spans="1:32" ht="20.25">
      <c r="A532" s="148" t="s">
        <v>1310</v>
      </c>
      <c r="B532" s="149" t="s">
        <v>686</v>
      </c>
      <c r="C532" s="148" t="s">
        <v>328</v>
      </c>
      <c r="D532" s="201">
        <v>0</v>
      </c>
      <c r="E532" s="219">
        <f t="shared" si="270"/>
        <v>0</v>
      </c>
      <c r="F532" s="118">
        <f ca="1" t="shared" si="271"/>
        <v>0</v>
      </c>
      <c r="G532" s="118">
        <f ca="1" t="shared" si="271"/>
        <v>0</v>
      </c>
      <c r="H532" s="118">
        <f ca="1" t="shared" si="271"/>
        <v>0</v>
      </c>
      <c r="I532" s="118">
        <f ca="1" t="shared" si="271"/>
        <v>0</v>
      </c>
      <c r="J532" s="118">
        <f ca="1" t="shared" si="271"/>
        <v>0</v>
      </c>
      <c r="K532" s="118">
        <f ca="1" t="shared" si="271"/>
        <v>0</v>
      </c>
      <c r="L532" s="118">
        <f ca="1" t="shared" si="271"/>
        <v>0</v>
      </c>
      <c r="M532" s="118">
        <f ca="1" t="shared" si="271"/>
        <v>0</v>
      </c>
      <c r="N532" s="118">
        <f ca="1" t="shared" si="271"/>
        <v>0</v>
      </c>
      <c r="O532" s="118">
        <f ca="1" t="shared" si="271"/>
        <v>0</v>
      </c>
      <c r="P532" s="118">
        <f ca="1" t="shared" si="272"/>
        <v>0</v>
      </c>
      <c r="Q532" s="118">
        <f ca="1" t="shared" si="272"/>
        <v>0</v>
      </c>
      <c r="R532" s="118">
        <f ca="1" t="shared" si="272"/>
        <v>0</v>
      </c>
      <c r="S532" s="118">
        <f ca="1" t="shared" si="272"/>
        <v>0</v>
      </c>
      <c r="T532" s="118">
        <f ca="1" t="shared" si="272"/>
        <v>0</v>
      </c>
      <c r="U532" s="118">
        <f ca="1" t="shared" si="272"/>
        <v>0</v>
      </c>
      <c r="V532" s="118">
        <f ca="1" t="shared" si="272"/>
        <v>0</v>
      </c>
      <c r="W532" s="118">
        <f t="shared" si="273"/>
        <v>0</v>
      </c>
      <c r="X532" s="150"/>
      <c r="Z532" s="140" t="str">
        <f>IF($C532="B","",VLOOKUP($C532,orig_alloc!$A$13:$B$227,2,FALSE))</f>
        <v>WTD NET PLANT RATIOS</v>
      </c>
      <c r="AA532" s="141"/>
      <c r="AE532" s="141"/>
      <c r="AF532" s="141"/>
    </row>
    <row r="533" spans="1:32" ht="20.25">
      <c r="A533" s="148" t="s">
        <v>1302</v>
      </c>
      <c r="B533" s="149" t="s">
        <v>686</v>
      </c>
      <c r="C533" s="148" t="s">
        <v>328</v>
      </c>
      <c r="D533" s="241">
        <v>2512728</v>
      </c>
      <c r="E533" s="219">
        <f t="shared" si="270"/>
        <v>1302296</v>
      </c>
      <c r="F533" s="118">
        <f ca="1" t="shared" si="271"/>
        <v>577476</v>
      </c>
      <c r="G533" s="118">
        <f ca="1" t="shared" si="271"/>
        <v>552</v>
      </c>
      <c r="H533" s="118">
        <f ca="1" t="shared" si="271"/>
        <v>2268</v>
      </c>
      <c r="I533" s="118">
        <f ca="1" t="shared" si="271"/>
        <v>10246</v>
      </c>
      <c r="J533" s="118">
        <f ca="1" t="shared" si="271"/>
        <v>268</v>
      </c>
      <c r="K533" s="118">
        <f ca="1" t="shared" si="271"/>
        <v>319524</v>
      </c>
      <c r="L533" s="118">
        <f ca="1" t="shared" si="271"/>
        <v>4345</v>
      </c>
      <c r="M533" s="118">
        <f ca="1" t="shared" si="271"/>
        <v>183572</v>
      </c>
      <c r="N533" s="118">
        <f ca="1" t="shared" si="271"/>
        <v>8676</v>
      </c>
      <c r="O533" s="118">
        <f ca="1" t="shared" si="271"/>
        <v>14236</v>
      </c>
      <c r="P533" s="118">
        <f ca="1" t="shared" si="272"/>
        <v>0</v>
      </c>
      <c r="Q533" s="118">
        <f ca="1" t="shared" si="272"/>
        <v>59942</v>
      </c>
      <c r="R533" s="118">
        <f ca="1" t="shared" si="272"/>
        <v>3457</v>
      </c>
      <c r="S533" s="118">
        <f ca="1" t="shared" si="272"/>
        <v>25511</v>
      </c>
      <c r="T533" s="118">
        <f ca="1" t="shared" si="272"/>
        <v>0</v>
      </c>
      <c r="U533" s="118">
        <f ca="1" t="shared" si="272"/>
        <v>359</v>
      </c>
      <c r="V533" s="118">
        <f ca="1" t="shared" si="272"/>
        <v>2512728</v>
      </c>
      <c r="W533" s="118">
        <f t="shared" si="273"/>
        <v>0</v>
      </c>
      <c r="X533" s="150"/>
      <c r="Z533" s="140" t="str">
        <f>IF($C533="B","",VLOOKUP($C533,orig_alloc!$A$13:$B$227,2,FALSE))</f>
        <v>WTD NET PLANT RATIOS</v>
      </c>
      <c r="AA533" s="141"/>
      <c r="AE533" s="141"/>
      <c r="AF533" s="141"/>
    </row>
    <row r="534" spans="1:32" ht="20.25" hidden="1">
      <c r="A534" s="148" t="s">
        <v>840</v>
      </c>
      <c r="B534" s="149" t="s">
        <v>688</v>
      </c>
      <c r="C534" s="148" t="s">
        <v>546</v>
      </c>
      <c r="D534" s="241">
        <v>0</v>
      </c>
      <c r="E534" s="219">
        <f t="shared" si="270"/>
        <v>0</v>
      </c>
      <c r="F534" s="118">
        <f ca="1" t="shared" si="271"/>
        <v>0</v>
      </c>
      <c r="G534" s="118">
        <f ca="1" t="shared" si="271"/>
        <v>0</v>
      </c>
      <c r="H534" s="118">
        <f ca="1" t="shared" si="271"/>
        <v>0</v>
      </c>
      <c r="I534" s="118">
        <f ca="1" t="shared" si="271"/>
        <v>0</v>
      </c>
      <c r="J534" s="118">
        <f ca="1" t="shared" si="271"/>
        <v>0</v>
      </c>
      <c r="K534" s="118">
        <f ca="1" t="shared" si="271"/>
        <v>0</v>
      </c>
      <c r="L534" s="118">
        <f ca="1" t="shared" si="271"/>
        <v>0</v>
      </c>
      <c r="M534" s="118">
        <f ca="1" t="shared" si="271"/>
        <v>0</v>
      </c>
      <c r="N534" s="118">
        <f ca="1" t="shared" si="271"/>
        <v>0</v>
      </c>
      <c r="O534" s="118">
        <f ca="1" t="shared" si="271"/>
        <v>0</v>
      </c>
      <c r="P534" s="118">
        <f ca="1" t="shared" si="272"/>
        <v>0</v>
      </c>
      <c r="Q534" s="118">
        <f ca="1" t="shared" si="272"/>
        <v>0</v>
      </c>
      <c r="R534" s="118">
        <f ca="1" t="shared" si="272"/>
        <v>0</v>
      </c>
      <c r="S534" s="118">
        <f ca="1" t="shared" si="272"/>
        <v>0</v>
      </c>
      <c r="T534" s="118">
        <f ca="1" t="shared" si="272"/>
        <v>0</v>
      </c>
      <c r="U534" s="118">
        <f ca="1" t="shared" si="272"/>
        <v>0</v>
      </c>
      <c r="V534" s="118">
        <f ca="1" t="shared" si="272"/>
        <v>0</v>
      </c>
      <c r="W534" s="118">
        <f t="shared" si="273"/>
        <v>0</v>
      </c>
      <c r="X534" s="150"/>
      <c r="Z534" s="140" t="str">
        <f>IF($C534="B","",VLOOKUP($C534,orig_alloc!$A$13:$B$227,2,FALSE))</f>
        <v>WTD A&amp;G EXPENSE UNADJUSTED</v>
      </c>
      <c r="AA534" s="141"/>
      <c r="AE534" s="141"/>
      <c r="AF534" s="141"/>
    </row>
    <row r="535" spans="1:32" ht="20.25" hidden="1">
      <c r="A535" s="148" t="s">
        <v>836</v>
      </c>
      <c r="B535" s="149" t="s">
        <v>689</v>
      </c>
      <c r="C535" s="148" t="s">
        <v>328</v>
      </c>
      <c r="D535" s="241">
        <v>0</v>
      </c>
      <c r="E535" s="219">
        <f t="shared" si="270"/>
        <v>0</v>
      </c>
      <c r="F535" s="118">
        <f ca="1" t="shared" si="271"/>
        <v>0</v>
      </c>
      <c r="G535" s="118">
        <f ca="1" t="shared" si="271"/>
        <v>0</v>
      </c>
      <c r="H535" s="118">
        <f ca="1" t="shared" si="271"/>
        <v>0</v>
      </c>
      <c r="I535" s="118">
        <f ca="1" t="shared" si="271"/>
        <v>0</v>
      </c>
      <c r="J535" s="118">
        <f ca="1" t="shared" si="271"/>
        <v>0</v>
      </c>
      <c r="K535" s="118">
        <f ca="1" t="shared" si="271"/>
        <v>0</v>
      </c>
      <c r="L535" s="118">
        <f ca="1" t="shared" si="271"/>
        <v>0</v>
      </c>
      <c r="M535" s="118">
        <f ca="1" t="shared" si="271"/>
        <v>0</v>
      </c>
      <c r="N535" s="118">
        <f ca="1" t="shared" si="271"/>
        <v>0</v>
      </c>
      <c r="O535" s="118">
        <f ca="1" t="shared" si="271"/>
        <v>0</v>
      </c>
      <c r="P535" s="118">
        <f ca="1" t="shared" si="272"/>
        <v>0</v>
      </c>
      <c r="Q535" s="118">
        <f ca="1" t="shared" si="272"/>
        <v>0</v>
      </c>
      <c r="R535" s="118">
        <f ca="1" t="shared" si="272"/>
        <v>0</v>
      </c>
      <c r="S535" s="118">
        <f ca="1" t="shared" si="272"/>
        <v>0</v>
      </c>
      <c r="T535" s="118">
        <f ca="1" t="shared" si="272"/>
        <v>0</v>
      </c>
      <c r="U535" s="118">
        <f ca="1" t="shared" si="272"/>
        <v>0</v>
      </c>
      <c r="V535" s="118">
        <f ca="1" t="shared" si="272"/>
        <v>0</v>
      </c>
      <c r="W535" s="118">
        <f t="shared" si="273"/>
        <v>0</v>
      </c>
      <c r="X535" s="150"/>
      <c r="Z535" s="140" t="str">
        <f>IF($C535="B","",VLOOKUP($C535,orig_alloc!$A$13:$B$227,2,FALSE))</f>
        <v>WTD NET PLANT RATIOS</v>
      </c>
      <c r="AA535" s="141"/>
      <c r="AE535" s="141"/>
      <c r="AF535" s="141"/>
    </row>
    <row r="536" spans="1:32" ht="20.25">
      <c r="A536" s="240" t="s">
        <v>732</v>
      </c>
      <c r="B536" s="149" t="s">
        <v>690</v>
      </c>
      <c r="C536" s="132"/>
      <c r="D536" s="202">
        <f aca="true" t="shared" si="274" ref="D536:W536">SUM(D525:D535)</f>
        <v>1874337</v>
      </c>
      <c r="E536" s="202">
        <f t="shared" si="274"/>
        <v>971430</v>
      </c>
      <c r="F536" s="202">
        <f t="shared" si="274"/>
        <v>430799</v>
      </c>
      <c r="G536" s="202">
        <f t="shared" si="274"/>
        <v>412</v>
      </c>
      <c r="H536" s="202">
        <f t="shared" si="274"/>
        <v>1692</v>
      </c>
      <c r="I536" s="202">
        <f t="shared" si="274"/>
        <v>7642</v>
      </c>
      <c r="J536" s="202">
        <f t="shared" si="274"/>
        <v>200</v>
      </c>
      <c r="K536" s="202">
        <f t="shared" si="274"/>
        <v>238368</v>
      </c>
      <c r="L536" s="202">
        <f t="shared" si="274"/>
        <v>3241</v>
      </c>
      <c r="M536" s="202">
        <f t="shared" si="274"/>
        <v>136906</v>
      </c>
      <c r="N536" s="202">
        <f t="shared" si="274"/>
        <v>6470</v>
      </c>
      <c r="O536" s="202">
        <f t="shared" si="274"/>
        <v>10619</v>
      </c>
      <c r="P536" s="202">
        <f t="shared" si="274"/>
        <v>0</v>
      </c>
      <c r="Q536" s="202">
        <f t="shared" si="274"/>
        <v>44660</v>
      </c>
      <c r="R536" s="202">
        <f t="shared" si="274"/>
        <v>2576</v>
      </c>
      <c r="S536" s="202">
        <f t="shared" si="274"/>
        <v>19054</v>
      </c>
      <c r="T536" s="202">
        <f t="shared" si="274"/>
        <v>0</v>
      </c>
      <c r="U536" s="202">
        <f t="shared" si="274"/>
        <v>268</v>
      </c>
      <c r="V536" s="202">
        <f t="shared" si="274"/>
        <v>1874337</v>
      </c>
      <c r="W536" s="202">
        <f t="shared" si="274"/>
        <v>0</v>
      </c>
      <c r="X536" s="150"/>
      <c r="Z536" s="140">
        <f>IF($C536="B","",VLOOKUP($C536,orig_alloc!$A$13:$B$227,2,FALSE))</f>
      </c>
      <c r="AA536" s="141"/>
      <c r="AE536" s="141"/>
      <c r="AF536" s="141"/>
    </row>
    <row r="537" spans="1:32" ht="20.25">
      <c r="A537" s="132"/>
      <c r="B537" s="149"/>
      <c r="C537" s="132"/>
      <c r="D537" s="118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50"/>
      <c r="Z537" s="140">
        <f>IF($C537="B","",VLOOKUP($C537,orig_alloc!$A$13:$B$227,2,FALSE))</f>
      </c>
      <c r="AA537" s="141"/>
      <c r="AE537" s="141"/>
      <c r="AF537" s="141"/>
    </row>
    <row r="538" spans="1:32" ht="20.25" hidden="1">
      <c r="A538" s="312" t="s">
        <v>657</v>
      </c>
      <c r="B538" s="149"/>
      <c r="C538" s="132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50"/>
      <c r="Z538" s="140">
        <f>IF($C538="B","",VLOOKUP($C538,orig_alloc!$A$13:$B$227,2,FALSE))</f>
      </c>
      <c r="AA538" s="141"/>
      <c r="AE538" s="141"/>
      <c r="AF538" s="141"/>
    </row>
    <row r="539" spans="1:32" ht="20.25" hidden="1">
      <c r="A539" s="132" t="s">
        <v>735</v>
      </c>
      <c r="B539" s="149"/>
      <c r="C539" s="132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50"/>
      <c r="Z539" s="140">
        <f>IF($C539="B","",VLOOKUP($C539,orig_alloc!$A$13:$B$227,2,FALSE))</f>
      </c>
      <c r="AA539" s="141"/>
      <c r="AE539" s="141"/>
      <c r="AF539" s="141"/>
    </row>
    <row r="540" spans="1:32" ht="20.25" hidden="1">
      <c r="A540" s="148" t="s">
        <v>719</v>
      </c>
      <c r="B540" s="149" t="s">
        <v>687</v>
      </c>
      <c r="C540" s="148" t="s">
        <v>270</v>
      </c>
      <c r="D540" s="201">
        <v>0</v>
      </c>
      <c r="E540" s="219">
        <f aca="true" t="shared" si="275" ref="E540:E551">V540-SUM(F540:U540)</f>
        <v>0</v>
      </c>
      <c r="F540" s="118">
        <f aca="true" ca="1" t="shared" si="276" ref="F540:O551">ROUND($D540*VLOOKUP($C540,IF(LEFT($C540,1)="K",INDIRECT("TABLE"),INDIRECT("TABLE2")),F$9+1),0)</f>
        <v>0</v>
      </c>
      <c r="G540" s="118">
        <f ca="1" t="shared" si="276"/>
        <v>0</v>
      </c>
      <c r="H540" s="118">
        <f ca="1" t="shared" si="276"/>
        <v>0</v>
      </c>
      <c r="I540" s="118">
        <f ca="1" t="shared" si="276"/>
        <v>0</v>
      </c>
      <c r="J540" s="118">
        <f ca="1" t="shared" si="276"/>
        <v>0</v>
      </c>
      <c r="K540" s="118">
        <f ca="1" t="shared" si="276"/>
        <v>0</v>
      </c>
      <c r="L540" s="118">
        <f ca="1" t="shared" si="276"/>
        <v>0</v>
      </c>
      <c r="M540" s="118">
        <f ca="1" t="shared" si="276"/>
        <v>0</v>
      </c>
      <c r="N540" s="118">
        <f ca="1" t="shared" si="276"/>
        <v>0</v>
      </c>
      <c r="O540" s="118">
        <f ca="1" t="shared" si="276"/>
        <v>0</v>
      </c>
      <c r="P540" s="118">
        <f aca="true" ca="1" t="shared" si="277" ref="P540:V551">ROUND($D540*VLOOKUP($C540,IF(LEFT($C540,1)="K",INDIRECT("TABLE"),INDIRECT("TABLE2")),P$9+1),0)</f>
        <v>0</v>
      </c>
      <c r="Q540" s="118">
        <f ca="1" t="shared" si="277"/>
        <v>0</v>
      </c>
      <c r="R540" s="118">
        <f ca="1" t="shared" si="277"/>
        <v>0</v>
      </c>
      <c r="S540" s="118">
        <f ca="1" t="shared" si="277"/>
        <v>0</v>
      </c>
      <c r="T540" s="118">
        <f ca="1" t="shared" si="277"/>
        <v>0</v>
      </c>
      <c r="U540" s="118">
        <f ca="1" t="shared" si="277"/>
        <v>0</v>
      </c>
      <c r="V540" s="118">
        <f ca="1" t="shared" si="277"/>
        <v>0</v>
      </c>
      <c r="W540" s="118">
        <f aca="true" t="shared" si="278" ref="W540:W551">D540-V540</f>
        <v>0</v>
      </c>
      <c r="X540" s="150"/>
      <c r="Z540" s="140" t="str">
        <f>IF($C540="B","",VLOOKUP($C540,orig_alloc!$A$13:$B$227,2,FALSE))</f>
        <v>WTD TOT DEPREC EXP RATIOS</v>
      </c>
      <c r="AA540" s="141"/>
      <c r="AE540" s="141"/>
      <c r="AF540" s="141"/>
    </row>
    <row r="541" spans="1:32" ht="20.25" hidden="1">
      <c r="A541" s="148" t="s">
        <v>838</v>
      </c>
      <c r="B541" s="149" t="s">
        <v>694</v>
      </c>
      <c r="C541" s="148" t="s">
        <v>546</v>
      </c>
      <c r="D541" s="201">
        <v>0</v>
      </c>
      <c r="E541" s="219">
        <f t="shared" si="275"/>
        <v>0</v>
      </c>
      <c r="F541" s="118">
        <f ca="1" t="shared" si="276"/>
        <v>0</v>
      </c>
      <c r="G541" s="118">
        <f ca="1" t="shared" si="276"/>
        <v>0</v>
      </c>
      <c r="H541" s="118">
        <f ca="1" t="shared" si="276"/>
        <v>0</v>
      </c>
      <c r="I541" s="118">
        <f ca="1" t="shared" si="276"/>
        <v>0</v>
      </c>
      <c r="J541" s="118">
        <f ca="1" t="shared" si="276"/>
        <v>0</v>
      </c>
      <c r="K541" s="118">
        <f ca="1" t="shared" si="276"/>
        <v>0</v>
      </c>
      <c r="L541" s="118">
        <f ca="1" t="shared" si="276"/>
        <v>0</v>
      </c>
      <c r="M541" s="118">
        <f ca="1" t="shared" si="276"/>
        <v>0</v>
      </c>
      <c r="N541" s="118">
        <f ca="1" t="shared" si="276"/>
        <v>0</v>
      </c>
      <c r="O541" s="118">
        <f ca="1" t="shared" si="276"/>
        <v>0</v>
      </c>
      <c r="P541" s="118">
        <f ca="1" t="shared" si="277"/>
        <v>0</v>
      </c>
      <c r="Q541" s="118">
        <f ca="1" t="shared" si="277"/>
        <v>0</v>
      </c>
      <c r="R541" s="118">
        <f ca="1" t="shared" si="277"/>
        <v>0</v>
      </c>
      <c r="S541" s="118">
        <f ca="1" t="shared" si="277"/>
        <v>0</v>
      </c>
      <c r="T541" s="118">
        <f ca="1" t="shared" si="277"/>
        <v>0</v>
      </c>
      <c r="U541" s="118">
        <f ca="1" t="shared" si="277"/>
        <v>0</v>
      </c>
      <c r="V541" s="118">
        <f ca="1" t="shared" si="277"/>
        <v>0</v>
      </c>
      <c r="W541" s="118">
        <f t="shared" si="278"/>
        <v>0</v>
      </c>
      <c r="X541" s="150"/>
      <c r="Z541" s="140" t="str">
        <f>IF($C541="B","",VLOOKUP($C541,orig_alloc!$A$13:$B$227,2,FALSE))</f>
        <v>WTD A&amp;G EXPENSE UNADJUSTED</v>
      </c>
      <c r="AA541" s="141"/>
      <c r="AE541" s="141"/>
      <c r="AF541" s="141"/>
    </row>
    <row r="542" spans="1:32" ht="20.25" hidden="1">
      <c r="A542" s="148" t="s">
        <v>841</v>
      </c>
      <c r="B542" s="149" t="s">
        <v>691</v>
      </c>
      <c r="C542" s="148" t="s">
        <v>328</v>
      </c>
      <c r="D542" s="201">
        <v>0</v>
      </c>
      <c r="E542" s="219">
        <f t="shared" si="275"/>
        <v>0</v>
      </c>
      <c r="F542" s="118">
        <f ca="1" t="shared" si="276"/>
        <v>0</v>
      </c>
      <c r="G542" s="118">
        <f ca="1" t="shared" si="276"/>
        <v>0</v>
      </c>
      <c r="H542" s="118">
        <f ca="1" t="shared" si="276"/>
        <v>0</v>
      </c>
      <c r="I542" s="118">
        <f ca="1" t="shared" si="276"/>
        <v>0</v>
      </c>
      <c r="J542" s="118">
        <f ca="1" t="shared" si="276"/>
        <v>0</v>
      </c>
      <c r="K542" s="118">
        <f ca="1" t="shared" si="276"/>
        <v>0</v>
      </c>
      <c r="L542" s="118">
        <f ca="1" t="shared" si="276"/>
        <v>0</v>
      </c>
      <c r="M542" s="118">
        <f ca="1" t="shared" si="276"/>
        <v>0</v>
      </c>
      <c r="N542" s="118">
        <f ca="1" t="shared" si="276"/>
        <v>0</v>
      </c>
      <c r="O542" s="118">
        <f ca="1" t="shared" si="276"/>
        <v>0</v>
      </c>
      <c r="P542" s="118">
        <f ca="1" t="shared" si="277"/>
        <v>0</v>
      </c>
      <c r="Q542" s="118">
        <f ca="1" t="shared" si="277"/>
        <v>0</v>
      </c>
      <c r="R542" s="118">
        <f ca="1" t="shared" si="277"/>
        <v>0</v>
      </c>
      <c r="S542" s="118">
        <f ca="1" t="shared" si="277"/>
        <v>0</v>
      </c>
      <c r="T542" s="118">
        <f ca="1" t="shared" si="277"/>
        <v>0</v>
      </c>
      <c r="U542" s="118">
        <f ca="1" t="shared" si="277"/>
        <v>0</v>
      </c>
      <c r="V542" s="118">
        <f ca="1" t="shared" si="277"/>
        <v>0</v>
      </c>
      <c r="W542" s="118">
        <f t="shared" si="278"/>
        <v>0</v>
      </c>
      <c r="X542" s="150"/>
      <c r="Z542" s="140" t="str">
        <f>IF($C542="B","",VLOOKUP($C542,orig_alloc!$A$13:$B$227,2,FALSE))</f>
        <v>WTD NET PLANT RATIOS</v>
      </c>
      <c r="AA542" s="141"/>
      <c r="AE542" s="141"/>
      <c r="AF542" s="141"/>
    </row>
    <row r="543" spans="1:32" ht="20.25" hidden="1">
      <c r="A543" s="148" t="s">
        <v>454</v>
      </c>
      <c r="B543" s="149" t="s">
        <v>693</v>
      </c>
      <c r="C543" s="148" t="s">
        <v>889</v>
      </c>
      <c r="D543" s="201">
        <v>0</v>
      </c>
      <c r="E543" s="219">
        <f t="shared" si="275"/>
        <v>0</v>
      </c>
      <c r="F543" s="118">
        <f ca="1" t="shared" si="276"/>
        <v>0</v>
      </c>
      <c r="G543" s="118">
        <f ca="1" t="shared" si="276"/>
        <v>0</v>
      </c>
      <c r="H543" s="118">
        <f ca="1" t="shared" si="276"/>
        <v>0</v>
      </c>
      <c r="I543" s="118">
        <f ca="1" t="shared" si="276"/>
        <v>0</v>
      </c>
      <c r="J543" s="118">
        <f ca="1" t="shared" si="276"/>
        <v>0</v>
      </c>
      <c r="K543" s="118">
        <f ca="1" t="shared" si="276"/>
        <v>0</v>
      </c>
      <c r="L543" s="118">
        <f ca="1" t="shared" si="276"/>
        <v>0</v>
      </c>
      <c r="M543" s="118">
        <f ca="1" t="shared" si="276"/>
        <v>0</v>
      </c>
      <c r="N543" s="118">
        <f ca="1" t="shared" si="276"/>
        <v>0</v>
      </c>
      <c r="O543" s="118">
        <f ca="1" t="shared" si="276"/>
        <v>0</v>
      </c>
      <c r="P543" s="118">
        <f ca="1" t="shared" si="277"/>
        <v>0</v>
      </c>
      <c r="Q543" s="118">
        <f ca="1" t="shared" si="277"/>
        <v>0</v>
      </c>
      <c r="R543" s="118">
        <f ca="1" t="shared" si="277"/>
        <v>0</v>
      </c>
      <c r="S543" s="118">
        <f ca="1" t="shared" si="277"/>
        <v>0</v>
      </c>
      <c r="T543" s="118">
        <f ca="1" t="shared" si="277"/>
        <v>0</v>
      </c>
      <c r="U543" s="118">
        <f ca="1" t="shared" si="277"/>
        <v>0</v>
      </c>
      <c r="V543" s="118">
        <f ca="1" t="shared" si="277"/>
        <v>0</v>
      </c>
      <c r="W543" s="118">
        <f t="shared" si="278"/>
        <v>0</v>
      </c>
      <c r="X543" s="150"/>
      <c r="Z543" s="140" t="str">
        <f>IF($C543="B","",VLOOKUP($C543,orig_alloc!$A$13:$B$227,2,FALSE))</f>
        <v>WTD UNCOLLECTIBLE ACCOUNT O&amp;M</v>
      </c>
      <c r="AA543" s="141"/>
      <c r="AE543" s="141"/>
      <c r="AF543" s="141"/>
    </row>
    <row r="544" spans="1:32" ht="20.25" hidden="1">
      <c r="A544" s="148" t="s">
        <v>1064</v>
      </c>
      <c r="B544" s="149" t="s">
        <v>692</v>
      </c>
      <c r="C544" s="148" t="s">
        <v>328</v>
      </c>
      <c r="D544" s="201">
        <v>0</v>
      </c>
      <c r="E544" s="219">
        <f t="shared" si="275"/>
        <v>0</v>
      </c>
      <c r="F544" s="118">
        <f ca="1" t="shared" si="276"/>
        <v>0</v>
      </c>
      <c r="G544" s="118">
        <f ca="1" t="shared" si="276"/>
        <v>0</v>
      </c>
      <c r="H544" s="118">
        <f ca="1" t="shared" si="276"/>
        <v>0</v>
      </c>
      <c r="I544" s="118">
        <f ca="1" t="shared" si="276"/>
        <v>0</v>
      </c>
      <c r="J544" s="118">
        <f ca="1" t="shared" si="276"/>
        <v>0</v>
      </c>
      <c r="K544" s="118">
        <f ca="1" t="shared" si="276"/>
        <v>0</v>
      </c>
      <c r="L544" s="118">
        <f ca="1" t="shared" si="276"/>
        <v>0</v>
      </c>
      <c r="M544" s="118">
        <f ca="1" t="shared" si="276"/>
        <v>0</v>
      </c>
      <c r="N544" s="118">
        <f ca="1" t="shared" si="276"/>
        <v>0</v>
      </c>
      <c r="O544" s="118">
        <f ca="1" t="shared" si="276"/>
        <v>0</v>
      </c>
      <c r="P544" s="118">
        <f ca="1" t="shared" si="277"/>
        <v>0</v>
      </c>
      <c r="Q544" s="118">
        <f ca="1" t="shared" si="277"/>
        <v>0</v>
      </c>
      <c r="R544" s="118">
        <f ca="1" t="shared" si="277"/>
        <v>0</v>
      </c>
      <c r="S544" s="118">
        <f ca="1" t="shared" si="277"/>
        <v>0</v>
      </c>
      <c r="T544" s="118">
        <f ca="1" t="shared" si="277"/>
        <v>0</v>
      </c>
      <c r="U544" s="118">
        <f ca="1" t="shared" si="277"/>
        <v>0</v>
      </c>
      <c r="V544" s="118">
        <f ca="1" t="shared" si="277"/>
        <v>0</v>
      </c>
      <c r="W544" s="118">
        <f t="shared" si="278"/>
        <v>0</v>
      </c>
      <c r="X544" s="150"/>
      <c r="Z544" s="140" t="str">
        <f>IF($C544="B","",VLOOKUP($C544,orig_alloc!$A$13:$B$227,2,FALSE))</f>
        <v>WTD NET PLANT RATIOS</v>
      </c>
      <c r="AA544" s="141"/>
      <c r="AE544" s="141"/>
      <c r="AF544" s="141"/>
    </row>
    <row r="545" spans="1:32" ht="20.25" hidden="1">
      <c r="A545" s="148" t="s">
        <v>842</v>
      </c>
      <c r="B545" s="149" t="s">
        <v>693</v>
      </c>
      <c r="C545" s="148" t="s">
        <v>253</v>
      </c>
      <c r="D545" s="201">
        <v>0</v>
      </c>
      <c r="E545" s="219">
        <f t="shared" si="275"/>
        <v>0</v>
      </c>
      <c r="F545" s="118">
        <f ca="1" t="shared" si="276"/>
        <v>0</v>
      </c>
      <c r="G545" s="118">
        <f ca="1" t="shared" si="276"/>
        <v>0</v>
      </c>
      <c r="H545" s="118">
        <f ca="1" t="shared" si="276"/>
        <v>0</v>
      </c>
      <c r="I545" s="118">
        <f ca="1" t="shared" si="276"/>
        <v>0</v>
      </c>
      <c r="J545" s="118">
        <f ca="1" t="shared" si="276"/>
        <v>0</v>
      </c>
      <c r="K545" s="118">
        <f ca="1" t="shared" si="276"/>
        <v>0</v>
      </c>
      <c r="L545" s="118">
        <f ca="1" t="shared" si="276"/>
        <v>0</v>
      </c>
      <c r="M545" s="118">
        <f ca="1" t="shared" si="276"/>
        <v>0</v>
      </c>
      <c r="N545" s="118">
        <f ca="1" t="shared" si="276"/>
        <v>0</v>
      </c>
      <c r="O545" s="118">
        <f ca="1" t="shared" si="276"/>
        <v>0</v>
      </c>
      <c r="P545" s="118">
        <f ca="1" t="shared" si="277"/>
        <v>0</v>
      </c>
      <c r="Q545" s="118">
        <f ca="1" t="shared" si="277"/>
        <v>0</v>
      </c>
      <c r="R545" s="118">
        <f ca="1" t="shared" si="277"/>
        <v>0</v>
      </c>
      <c r="S545" s="118">
        <f ca="1" t="shared" si="277"/>
        <v>0</v>
      </c>
      <c r="T545" s="118">
        <f ca="1" t="shared" si="277"/>
        <v>0</v>
      </c>
      <c r="U545" s="118">
        <f ca="1" t="shared" si="277"/>
        <v>0</v>
      </c>
      <c r="V545" s="118">
        <f ca="1" t="shared" si="277"/>
        <v>0</v>
      </c>
      <c r="W545" s="118">
        <f t="shared" si="278"/>
        <v>0</v>
      </c>
      <c r="X545" s="150"/>
      <c r="Z545" s="140" t="str">
        <f>IF($C545="B","",VLOOKUP($C545,orig_alloc!$A$13:$B$227,2,FALSE))</f>
        <v>WTD CUST ACCT O&amp;M EXP RATIOS</v>
      </c>
      <c r="AA545" s="141"/>
      <c r="AE545" s="141"/>
      <c r="AF545" s="141"/>
    </row>
    <row r="546" spans="1:32" ht="20.25" hidden="1">
      <c r="A546" s="148" t="s">
        <v>843</v>
      </c>
      <c r="B546" s="149" t="s">
        <v>694</v>
      </c>
      <c r="C546" s="148" t="s">
        <v>328</v>
      </c>
      <c r="D546" s="201">
        <v>0</v>
      </c>
      <c r="E546" s="219">
        <f t="shared" si="275"/>
        <v>0</v>
      </c>
      <c r="F546" s="118">
        <f ca="1" t="shared" si="276"/>
        <v>0</v>
      </c>
      <c r="G546" s="118">
        <f ca="1" t="shared" si="276"/>
        <v>0</v>
      </c>
      <c r="H546" s="118">
        <f ca="1" t="shared" si="276"/>
        <v>0</v>
      </c>
      <c r="I546" s="118">
        <f ca="1" t="shared" si="276"/>
        <v>0</v>
      </c>
      <c r="J546" s="118">
        <f ca="1" t="shared" si="276"/>
        <v>0</v>
      </c>
      <c r="K546" s="118">
        <f ca="1" t="shared" si="276"/>
        <v>0</v>
      </c>
      <c r="L546" s="118">
        <f ca="1" t="shared" si="276"/>
        <v>0</v>
      </c>
      <c r="M546" s="118">
        <f ca="1" t="shared" si="276"/>
        <v>0</v>
      </c>
      <c r="N546" s="118">
        <f ca="1" t="shared" si="276"/>
        <v>0</v>
      </c>
      <c r="O546" s="118">
        <f ca="1" t="shared" si="276"/>
        <v>0</v>
      </c>
      <c r="P546" s="118">
        <f ca="1" t="shared" si="277"/>
        <v>0</v>
      </c>
      <c r="Q546" s="118">
        <f ca="1" t="shared" si="277"/>
        <v>0</v>
      </c>
      <c r="R546" s="118">
        <f ca="1" t="shared" si="277"/>
        <v>0</v>
      </c>
      <c r="S546" s="118">
        <f ca="1" t="shared" si="277"/>
        <v>0</v>
      </c>
      <c r="T546" s="118">
        <f ca="1" t="shared" si="277"/>
        <v>0</v>
      </c>
      <c r="U546" s="118">
        <f ca="1" t="shared" si="277"/>
        <v>0</v>
      </c>
      <c r="V546" s="118">
        <f ca="1" t="shared" si="277"/>
        <v>0</v>
      </c>
      <c r="W546" s="118">
        <f t="shared" si="278"/>
        <v>0</v>
      </c>
      <c r="X546" s="150"/>
      <c r="Z546" s="140" t="str">
        <f>IF($C546="B","",VLOOKUP($C546,orig_alloc!$A$13:$B$227,2,FALSE))</f>
        <v>WTD NET PLANT RATIOS</v>
      </c>
      <c r="AA546" s="141"/>
      <c r="AE546" s="141"/>
      <c r="AF546" s="141"/>
    </row>
    <row r="547" spans="1:32" ht="20.25" hidden="1">
      <c r="A547" s="148" t="s">
        <v>844</v>
      </c>
      <c r="B547" s="149" t="s">
        <v>695</v>
      </c>
      <c r="C547" s="148" t="s">
        <v>328</v>
      </c>
      <c r="D547" s="201">
        <v>0</v>
      </c>
      <c r="E547" s="219">
        <f t="shared" si="275"/>
        <v>0</v>
      </c>
      <c r="F547" s="118">
        <f ca="1" t="shared" si="276"/>
        <v>0</v>
      </c>
      <c r="G547" s="118">
        <f ca="1" t="shared" si="276"/>
        <v>0</v>
      </c>
      <c r="H547" s="118">
        <f ca="1" t="shared" si="276"/>
        <v>0</v>
      </c>
      <c r="I547" s="118">
        <f ca="1" t="shared" si="276"/>
        <v>0</v>
      </c>
      <c r="J547" s="118">
        <f ca="1" t="shared" si="276"/>
        <v>0</v>
      </c>
      <c r="K547" s="118">
        <f ca="1" t="shared" si="276"/>
        <v>0</v>
      </c>
      <c r="L547" s="118">
        <f ca="1" t="shared" si="276"/>
        <v>0</v>
      </c>
      <c r="M547" s="118">
        <f ca="1" t="shared" si="276"/>
        <v>0</v>
      </c>
      <c r="N547" s="118">
        <f ca="1" t="shared" si="276"/>
        <v>0</v>
      </c>
      <c r="O547" s="118">
        <f ca="1" t="shared" si="276"/>
        <v>0</v>
      </c>
      <c r="P547" s="118">
        <f ca="1" t="shared" si="277"/>
        <v>0</v>
      </c>
      <c r="Q547" s="118">
        <f ca="1" t="shared" si="277"/>
        <v>0</v>
      </c>
      <c r="R547" s="118">
        <f ca="1" t="shared" si="277"/>
        <v>0</v>
      </c>
      <c r="S547" s="118">
        <f ca="1" t="shared" si="277"/>
        <v>0</v>
      </c>
      <c r="T547" s="118">
        <f ca="1" t="shared" si="277"/>
        <v>0</v>
      </c>
      <c r="U547" s="118">
        <f ca="1" t="shared" si="277"/>
        <v>0</v>
      </c>
      <c r="V547" s="118">
        <f ca="1" t="shared" si="277"/>
        <v>0</v>
      </c>
      <c r="W547" s="118">
        <f t="shared" si="278"/>
        <v>0</v>
      </c>
      <c r="X547" s="150"/>
      <c r="Z547" s="140" t="str">
        <f>IF($C547="B","",VLOOKUP($C547,orig_alloc!$A$13:$B$227,2,FALSE))</f>
        <v>WTD NET PLANT RATIOS</v>
      </c>
      <c r="AA547" s="141"/>
      <c r="AE547" s="141"/>
      <c r="AF547" s="141"/>
    </row>
    <row r="548" spans="1:32" ht="20.25" hidden="1">
      <c r="A548" s="148" t="s">
        <v>839</v>
      </c>
      <c r="B548" s="149" t="s">
        <v>696</v>
      </c>
      <c r="C548" s="148" t="s">
        <v>331</v>
      </c>
      <c r="D548" s="201">
        <v>0</v>
      </c>
      <c r="E548" s="219">
        <f t="shared" si="275"/>
        <v>0</v>
      </c>
      <c r="F548" s="118">
        <f ca="1" t="shared" si="276"/>
        <v>0</v>
      </c>
      <c r="G548" s="118">
        <f ca="1" t="shared" si="276"/>
        <v>0</v>
      </c>
      <c r="H548" s="118">
        <f ca="1" t="shared" si="276"/>
        <v>0</v>
      </c>
      <c r="I548" s="118">
        <f ca="1" t="shared" si="276"/>
        <v>0</v>
      </c>
      <c r="J548" s="118">
        <f ca="1" t="shared" si="276"/>
        <v>0</v>
      </c>
      <c r="K548" s="118">
        <f ca="1" t="shared" si="276"/>
        <v>0</v>
      </c>
      <c r="L548" s="118">
        <f ca="1" t="shared" si="276"/>
        <v>0</v>
      </c>
      <c r="M548" s="118">
        <f ca="1" t="shared" si="276"/>
        <v>0</v>
      </c>
      <c r="N548" s="118">
        <f ca="1" t="shared" si="276"/>
        <v>0</v>
      </c>
      <c r="O548" s="118">
        <f ca="1" t="shared" si="276"/>
        <v>0</v>
      </c>
      <c r="P548" s="118">
        <f ca="1" t="shared" si="277"/>
        <v>0</v>
      </c>
      <c r="Q548" s="118">
        <f ca="1" t="shared" si="277"/>
        <v>0</v>
      </c>
      <c r="R548" s="118">
        <f ca="1" t="shared" si="277"/>
        <v>0</v>
      </c>
      <c r="S548" s="118">
        <f ca="1" t="shared" si="277"/>
        <v>0</v>
      </c>
      <c r="T548" s="118">
        <f ca="1" t="shared" si="277"/>
        <v>0</v>
      </c>
      <c r="U548" s="118">
        <f ca="1" t="shared" si="277"/>
        <v>0</v>
      </c>
      <c r="V548" s="118">
        <f ca="1" t="shared" si="277"/>
        <v>0</v>
      </c>
      <c r="W548" s="118">
        <f t="shared" si="278"/>
        <v>0</v>
      </c>
      <c r="X548" s="150"/>
      <c r="Z548" s="140" t="str">
        <f>IF($C548="B","",VLOOKUP($C548,orig_alloc!$A$13:$B$227,2,FALSE))</f>
        <v>WTD NET TOTAL DIST PLANT RATIOS</v>
      </c>
      <c r="AA548" s="141"/>
      <c r="AE548" s="141"/>
      <c r="AF548" s="141"/>
    </row>
    <row r="549" spans="1:32" ht="20.25" hidden="1">
      <c r="A549" s="148" t="s">
        <v>840</v>
      </c>
      <c r="B549" s="149" t="s">
        <v>697</v>
      </c>
      <c r="C549" s="148" t="s">
        <v>546</v>
      </c>
      <c r="D549" s="201">
        <v>0</v>
      </c>
      <c r="E549" s="219">
        <f t="shared" si="275"/>
        <v>0</v>
      </c>
      <c r="F549" s="118">
        <f ca="1" t="shared" si="276"/>
        <v>0</v>
      </c>
      <c r="G549" s="118">
        <f ca="1" t="shared" si="276"/>
        <v>0</v>
      </c>
      <c r="H549" s="118">
        <f ca="1" t="shared" si="276"/>
        <v>0</v>
      </c>
      <c r="I549" s="118">
        <f ca="1" t="shared" si="276"/>
        <v>0</v>
      </c>
      <c r="J549" s="118">
        <f ca="1" t="shared" si="276"/>
        <v>0</v>
      </c>
      <c r="K549" s="118">
        <f ca="1" t="shared" si="276"/>
        <v>0</v>
      </c>
      <c r="L549" s="118">
        <f ca="1" t="shared" si="276"/>
        <v>0</v>
      </c>
      <c r="M549" s="118">
        <f ca="1" t="shared" si="276"/>
        <v>0</v>
      </c>
      <c r="N549" s="118">
        <f ca="1" t="shared" si="276"/>
        <v>0</v>
      </c>
      <c r="O549" s="118">
        <f ca="1" t="shared" si="276"/>
        <v>0</v>
      </c>
      <c r="P549" s="118">
        <f ca="1" t="shared" si="277"/>
        <v>0</v>
      </c>
      <c r="Q549" s="118">
        <f ca="1" t="shared" si="277"/>
        <v>0</v>
      </c>
      <c r="R549" s="118">
        <f ca="1" t="shared" si="277"/>
        <v>0</v>
      </c>
      <c r="S549" s="118">
        <f ca="1" t="shared" si="277"/>
        <v>0</v>
      </c>
      <c r="T549" s="118">
        <f ca="1" t="shared" si="277"/>
        <v>0</v>
      </c>
      <c r="U549" s="118">
        <f ca="1" t="shared" si="277"/>
        <v>0</v>
      </c>
      <c r="V549" s="118">
        <f ca="1" t="shared" si="277"/>
        <v>0</v>
      </c>
      <c r="W549" s="118">
        <f t="shared" si="278"/>
        <v>0</v>
      </c>
      <c r="X549" s="150"/>
      <c r="Z549" s="140" t="str">
        <f>IF($C549="B","",VLOOKUP($C549,orig_alloc!$A$13:$B$227,2,FALSE))</f>
        <v>WTD A&amp;G EXPENSE UNADJUSTED</v>
      </c>
      <c r="AA549" s="141"/>
      <c r="AE549" s="141"/>
      <c r="AF549" s="141"/>
    </row>
    <row r="550" spans="1:32" ht="20.25" hidden="1">
      <c r="A550" s="148" t="s">
        <v>445</v>
      </c>
      <c r="B550" s="149" t="s">
        <v>691</v>
      </c>
      <c r="C550" s="148" t="s">
        <v>328</v>
      </c>
      <c r="D550" s="201">
        <v>0</v>
      </c>
      <c r="E550" s="219">
        <f t="shared" si="275"/>
        <v>0</v>
      </c>
      <c r="F550" s="118">
        <f ca="1" t="shared" si="276"/>
        <v>0</v>
      </c>
      <c r="G550" s="118">
        <f ca="1" t="shared" si="276"/>
        <v>0</v>
      </c>
      <c r="H550" s="118">
        <f ca="1" t="shared" si="276"/>
        <v>0</v>
      </c>
      <c r="I550" s="118">
        <f ca="1" t="shared" si="276"/>
        <v>0</v>
      </c>
      <c r="J550" s="118">
        <f ca="1" t="shared" si="276"/>
        <v>0</v>
      </c>
      <c r="K550" s="118">
        <f ca="1" t="shared" si="276"/>
        <v>0</v>
      </c>
      <c r="L550" s="118">
        <f ca="1" t="shared" si="276"/>
        <v>0</v>
      </c>
      <c r="M550" s="118">
        <f ca="1" t="shared" si="276"/>
        <v>0</v>
      </c>
      <c r="N550" s="118">
        <f ca="1" t="shared" si="276"/>
        <v>0</v>
      </c>
      <c r="O550" s="118">
        <f ca="1" t="shared" si="276"/>
        <v>0</v>
      </c>
      <c r="P550" s="118">
        <f ca="1" t="shared" si="277"/>
        <v>0</v>
      </c>
      <c r="Q550" s="118">
        <f ca="1" t="shared" si="277"/>
        <v>0</v>
      </c>
      <c r="R550" s="118">
        <f ca="1" t="shared" si="277"/>
        <v>0</v>
      </c>
      <c r="S550" s="118">
        <f ca="1" t="shared" si="277"/>
        <v>0</v>
      </c>
      <c r="T550" s="118">
        <f ca="1" t="shared" si="277"/>
        <v>0</v>
      </c>
      <c r="U550" s="118">
        <f ca="1" t="shared" si="277"/>
        <v>0</v>
      </c>
      <c r="V550" s="118">
        <f ca="1" t="shared" si="277"/>
        <v>0</v>
      </c>
      <c r="W550" s="118">
        <f t="shared" si="278"/>
        <v>0</v>
      </c>
      <c r="X550" s="150"/>
      <c r="Z550" s="140" t="str">
        <f>IF($C550="B","",VLOOKUP($C550,orig_alloc!$A$13:$B$227,2,FALSE))</f>
        <v>WTD NET PLANT RATIOS</v>
      </c>
      <c r="AA550" s="141"/>
      <c r="AE550" s="141"/>
      <c r="AF550" s="141"/>
    </row>
    <row r="551" spans="1:32" ht="20.25" hidden="1">
      <c r="A551" s="148" t="s">
        <v>836</v>
      </c>
      <c r="B551" s="149" t="s">
        <v>696</v>
      </c>
      <c r="C551" s="148" t="s">
        <v>328</v>
      </c>
      <c r="D551" s="201">
        <v>0</v>
      </c>
      <c r="E551" s="219">
        <f t="shared" si="275"/>
        <v>0</v>
      </c>
      <c r="F551" s="118">
        <f ca="1" t="shared" si="276"/>
        <v>0</v>
      </c>
      <c r="G551" s="118">
        <f ca="1" t="shared" si="276"/>
        <v>0</v>
      </c>
      <c r="H551" s="118">
        <f ca="1" t="shared" si="276"/>
        <v>0</v>
      </c>
      <c r="I551" s="118">
        <f ca="1" t="shared" si="276"/>
        <v>0</v>
      </c>
      <c r="J551" s="118">
        <f ca="1" t="shared" si="276"/>
        <v>0</v>
      </c>
      <c r="K551" s="118">
        <f ca="1" t="shared" si="276"/>
        <v>0</v>
      </c>
      <c r="L551" s="118">
        <f ca="1" t="shared" si="276"/>
        <v>0</v>
      </c>
      <c r="M551" s="118">
        <f ca="1" t="shared" si="276"/>
        <v>0</v>
      </c>
      <c r="N551" s="118">
        <f ca="1" t="shared" si="276"/>
        <v>0</v>
      </c>
      <c r="O551" s="118">
        <f ca="1" t="shared" si="276"/>
        <v>0</v>
      </c>
      <c r="P551" s="118">
        <f ca="1" t="shared" si="277"/>
        <v>0</v>
      </c>
      <c r="Q551" s="118">
        <f ca="1" t="shared" si="277"/>
        <v>0</v>
      </c>
      <c r="R551" s="118">
        <f ca="1" t="shared" si="277"/>
        <v>0</v>
      </c>
      <c r="S551" s="118">
        <f ca="1" t="shared" si="277"/>
        <v>0</v>
      </c>
      <c r="T551" s="118">
        <f ca="1" t="shared" si="277"/>
        <v>0</v>
      </c>
      <c r="U551" s="118">
        <f ca="1" t="shared" si="277"/>
        <v>0</v>
      </c>
      <c r="V551" s="118">
        <f ca="1" t="shared" si="277"/>
        <v>0</v>
      </c>
      <c r="W551" s="118">
        <f t="shared" si="278"/>
        <v>0</v>
      </c>
      <c r="X551" s="150"/>
      <c r="Z551" s="140" t="str">
        <f>IF($C551="B","",VLOOKUP($C551,orig_alloc!$A$13:$B$227,2,FALSE))</f>
        <v>WTD NET PLANT RATIOS</v>
      </c>
      <c r="AA551" s="141"/>
      <c r="AE551" s="141"/>
      <c r="AF551" s="141"/>
    </row>
    <row r="552" spans="1:32" ht="20.25" hidden="1">
      <c r="A552" s="240" t="s">
        <v>736</v>
      </c>
      <c r="B552" s="149" t="s">
        <v>699</v>
      </c>
      <c r="C552" s="132"/>
      <c r="D552" s="202">
        <f aca="true" t="shared" si="279" ref="D552:W552">SUM(D539:D551)</f>
        <v>0</v>
      </c>
      <c r="E552" s="202">
        <f t="shared" si="279"/>
        <v>0</v>
      </c>
      <c r="F552" s="202">
        <f t="shared" si="279"/>
        <v>0</v>
      </c>
      <c r="G552" s="202">
        <f t="shared" si="279"/>
        <v>0</v>
      </c>
      <c r="H552" s="202">
        <f t="shared" si="279"/>
        <v>0</v>
      </c>
      <c r="I552" s="202">
        <f t="shared" si="279"/>
        <v>0</v>
      </c>
      <c r="J552" s="202">
        <f t="shared" si="279"/>
        <v>0</v>
      </c>
      <c r="K552" s="202">
        <f t="shared" si="279"/>
        <v>0</v>
      </c>
      <c r="L552" s="202">
        <f t="shared" si="279"/>
        <v>0</v>
      </c>
      <c r="M552" s="202">
        <f t="shared" si="279"/>
        <v>0</v>
      </c>
      <c r="N552" s="202">
        <f t="shared" si="279"/>
        <v>0</v>
      </c>
      <c r="O552" s="202">
        <f t="shared" si="279"/>
        <v>0</v>
      </c>
      <c r="P552" s="202">
        <f t="shared" si="279"/>
        <v>0</v>
      </c>
      <c r="Q552" s="202">
        <f t="shared" si="279"/>
        <v>0</v>
      </c>
      <c r="R552" s="202">
        <f t="shared" si="279"/>
        <v>0</v>
      </c>
      <c r="S552" s="202">
        <f t="shared" si="279"/>
        <v>0</v>
      </c>
      <c r="T552" s="202">
        <f t="shared" si="279"/>
        <v>0</v>
      </c>
      <c r="U552" s="202">
        <f t="shared" si="279"/>
        <v>0</v>
      </c>
      <c r="V552" s="202">
        <f t="shared" si="279"/>
        <v>0</v>
      </c>
      <c r="W552" s="202">
        <f t="shared" si="279"/>
        <v>0</v>
      </c>
      <c r="X552" s="150"/>
      <c r="Z552" s="140">
        <f>IF($C552="B","",VLOOKUP($C552,orig_alloc!$A$13:$B$227,2,FALSE))</f>
      </c>
      <c r="AA552" s="141"/>
      <c r="AE552" s="141"/>
      <c r="AF552" s="141"/>
    </row>
    <row r="553" spans="1:32" ht="20.25" hidden="1">
      <c r="A553" s="132"/>
      <c r="B553" s="149"/>
      <c r="C553" s="132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18"/>
      <c r="W553" s="118"/>
      <c r="X553" s="150"/>
      <c r="Z553" s="140">
        <f>IF($C553="B","",VLOOKUP($C553,orig_alloc!$A$13:$B$227,2,FALSE))</f>
      </c>
      <c r="AA553" s="141"/>
      <c r="AE553" s="141"/>
      <c r="AF553" s="141"/>
    </row>
    <row r="554" spans="1:32" ht="20.25">
      <c r="A554" s="132" t="s">
        <v>1359</v>
      </c>
      <c r="B554" s="290" t="s">
        <v>1202</v>
      </c>
      <c r="C554" s="132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50"/>
      <c r="Z554" s="140">
        <f>IF($C554="B","",VLOOKUP($C554,orig_alloc!$A$13:$B$227,2,FALSE))</f>
      </c>
      <c r="AA554" s="141"/>
      <c r="AE554" s="141"/>
      <c r="AF554" s="141"/>
    </row>
    <row r="555" spans="1:32" ht="20.25">
      <c r="A555" s="148" t="s">
        <v>734</v>
      </c>
      <c r="B555" s="149" t="s">
        <v>698</v>
      </c>
      <c r="C555" s="148" t="s">
        <v>546</v>
      </c>
      <c r="D555" s="201">
        <v>0</v>
      </c>
      <c r="E555" s="219">
        <f>V555-SUM(F555:U555)</f>
        <v>0</v>
      </c>
      <c r="F555" s="118">
        <f aca="true" ca="1" t="shared" si="280" ref="F555:O556">ROUND($D555*VLOOKUP($C555,IF(LEFT($C555,1)="K",INDIRECT("TABLE"),INDIRECT("TABLE2")),F$9+1),0)</f>
        <v>0</v>
      </c>
      <c r="G555" s="118">
        <f ca="1" t="shared" si="280"/>
        <v>0</v>
      </c>
      <c r="H555" s="118">
        <f ca="1" t="shared" si="280"/>
        <v>0</v>
      </c>
      <c r="I555" s="118">
        <f ca="1" t="shared" si="280"/>
        <v>0</v>
      </c>
      <c r="J555" s="118">
        <f ca="1" t="shared" si="280"/>
        <v>0</v>
      </c>
      <c r="K555" s="118">
        <f ca="1" t="shared" si="280"/>
        <v>0</v>
      </c>
      <c r="L555" s="118">
        <f ca="1" t="shared" si="280"/>
        <v>0</v>
      </c>
      <c r="M555" s="118">
        <f ca="1" t="shared" si="280"/>
        <v>0</v>
      </c>
      <c r="N555" s="118">
        <f ca="1" t="shared" si="280"/>
        <v>0</v>
      </c>
      <c r="O555" s="118">
        <f ca="1" t="shared" si="280"/>
        <v>0</v>
      </c>
      <c r="P555" s="118">
        <f aca="true" ca="1" t="shared" si="281" ref="P555:V556">ROUND($D555*VLOOKUP($C555,IF(LEFT($C555,1)="K",INDIRECT("TABLE"),INDIRECT("TABLE2")),P$9+1),0)</f>
        <v>0</v>
      </c>
      <c r="Q555" s="118">
        <f ca="1" t="shared" si="281"/>
        <v>0</v>
      </c>
      <c r="R555" s="118">
        <f ca="1" t="shared" si="281"/>
        <v>0</v>
      </c>
      <c r="S555" s="118">
        <f ca="1" t="shared" si="281"/>
        <v>0</v>
      </c>
      <c r="T555" s="118">
        <f ca="1" t="shared" si="281"/>
        <v>0</v>
      </c>
      <c r="U555" s="118">
        <f ca="1" t="shared" si="281"/>
        <v>0</v>
      </c>
      <c r="V555" s="118">
        <f ca="1" t="shared" si="281"/>
        <v>0</v>
      </c>
      <c r="W555" s="118">
        <f>D555-V555</f>
        <v>0</v>
      </c>
      <c r="X555" s="150"/>
      <c r="Z555" s="140" t="str">
        <f>IF($C555="B","",VLOOKUP($C555,orig_alloc!$A$13:$B$227,2,FALSE))</f>
        <v>WTD A&amp;G EXPENSE UNADJUSTED</v>
      </c>
      <c r="AA555" s="141"/>
      <c r="AE555" s="141"/>
      <c r="AF555" s="141"/>
    </row>
    <row r="556" spans="1:32" ht="20.25">
      <c r="A556" s="148" t="s">
        <v>1306</v>
      </c>
      <c r="B556" s="149" t="s">
        <v>700</v>
      </c>
      <c r="C556" s="148" t="s">
        <v>328</v>
      </c>
      <c r="D556" s="201">
        <v>143846</v>
      </c>
      <c r="E556" s="219">
        <f>V556-SUM(F556:U556)</f>
        <v>74550</v>
      </c>
      <c r="F556" s="118">
        <f ca="1" t="shared" si="280"/>
        <v>33059</v>
      </c>
      <c r="G556" s="118">
        <f ca="1" t="shared" si="280"/>
        <v>32</v>
      </c>
      <c r="H556" s="118">
        <f ca="1" t="shared" si="280"/>
        <v>130</v>
      </c>
      <c r="I556" s="118">
        <f ca="1" t="shared" si="280"/>
        <v>587</v>
      </c>
      <c r="J556" s="118">
        <f ca="1" t="shared" si="280"/>
        <v>15</v>
      </c>
      <c r="K556" s="118">
        <f ca="1" t="shared" si="280"/>
        <v>18292</v>
      </c>
      <c r="L556" s="118">
        <f ca="1" t="shared" si="280"/>
        <v>249</v>
      </c>
      <c r="M556" s="118">
        <f ca="1" t="shared" si="280"/>
        <v>10509</v>
      </c>
      <c r="N556" s="118">
        <f ca="1" t="shared" si="280"/>
        <v>497</v>
      </c>
      <c r="O556" s="118">
        <f ca="1" t="shared" si="280"/>
        <v>815</v>
      </c>
      <c r="P556" s="118">
        <f ca="1" t="shared" si="281"/>
        <v>0</v>
      </c>
      <c r="Q556" s="118">
        <f ca="1" t="shared" si="281"/>
        <v>3432</v>
      </c>
      <c r="R556" s="118">
        <f ca="1" t="shared" si="281"/>
        <v>198</v>
      </c>
      <c r="S556" s="118">
        <f ca="1" t="shared" si="281"/>
        <v>1460</v>
      </c>
      <c r="T556" s="118">
        <f ca="1" t="shared" si="281"/>
        <v>0</v>
      </c>
      <c r="U556" s="118">
        <f ca="1" t="shared" si="281"/>
        <v>21</v>
      </c>
      <c r="V556" s="118">
        <f ca="1" t="shared" si="281"/>
        <v>143846</v>
      </c>
      <c r="W556" s="118">
        <f>D556-V556</f>
        <v>0</v>
      </c>
      <c r="X556" s="150"/>
      <c r="Z556" s="140" t="str">
        <f>IF($C556="B","",VLOOKUP($C556,orig_alloc!$A$13:$B$227,2,FALSE))</f>
        <v>WTD NET PLANT RATIOS</v>
      </c>
      <c r="AA556" s="141"/>
      <c r="AE556" s="141"/>
      <c r="AF556" s="141"/>
    </row>
    <row r="557" spans="1:32" ht="20.25">
      <c r="A557" s="240" t="s">
        <v>1360</v>
      </c>
      <c r="B557" s="149" t="s">
        <v>701</v>
      </c>
      <c r="C557" s="132"/>
      <c r="D557" s="202">
        <f aca="true" t="shared" si="282" ref="D557:W557">SUM(D554:D556)</f>
        <v>143846</v>
      </c>
      <c r="E557" s="202">
        <f t="shared" si="282"/>
        <v>74550</v>
      </c>
      <c r="F557" s="202">
        <f t="shared" si="282"/>
        <v>33059</v>
      </c>
      <c r="G557" s="202">
        <f t="shared" si="282"/>
        <v>32</v>
      </c>
      <c r="H557" s="202">
        <f t="shared" si="282"/>
        <v>130</v>
      </c>
      <c r="I557" s="202">
        <f t="shared" si="282"/>
        <v>587</v>
      </c>
      <c r="J557" s="202">
        <f t="shared" si="282"/>
        <v>15</v>
      </c>
      <c r="K557" s="202">
        <f t="shared" si="282"/>
        <v>18292</v>
      </c>
      <c r="L557" s="202">
        <f t="shared" si="282"/>
        <v>249</v>
      </c>
      <c r="M557" s="202">
        <f t="shared" si="282"/>
        <v>10509</v>
      </c>
      <c r="N557" s="202">
        <f t="shared" si="282"/>
        <v>497</v>
      </c>
      <c r="O557" s="202">
        <f t="shared" si="282"/>
        <v>815</v>
      </c>
      <c r="P557" s="202">
        <f t="shared" si="282"/>
        <v>0</v>
      </c>
      <c r="Q557" s="202">
        <f t="shared" si="282"/>
        <v>3432</v>
      </c>
      <c r="R557" s="202">
        <f t="shared" si="282"/>
        <v>198</v>
      </c>
      <c r="S557" s="202">
        <f t="shared" si="282"/>
        <v>1460</v>
      </c>
      <c r="T557" s="202">
        <f t="shared" si="282"/>
        <v>0</v>
      </c>
      <c r="U557" s="202">
        <f t="shared" si="282"/>
        <v>21</v>
      </c>
      <c r="V557" s="202">
        <f t="shared" si="282"/>
        <v>143846</v>
      </c>
      <c r="W557" s="202">
        <f t="shared" si="282"/>
        <v>0</v>
      </c>
      <c r="X557" s="150"/>
      <c r="Z557" s="140">
        <f>IF($C557="B","",VLOOKUP($C557,orig_alloc!$A$13:$B$227,2,FALSE))</f>
      </c>
      <c r="AA557" s="141"/>
      <c r="AE557" s="141"/>
      <c r="AF557" s="141"/>
    </row>
    <row r="558" spans="1:32" ht="20.25">
      <c r="A558" s="132"/>
      <c r="B558" s="149"/>
      <c r="C558" s="132"/>
      <c r="D558" s="272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50"/>
      <c r="Z558" s="140">
        <f>IF($C558="B","",VLOOKUP($C558,orig_alloc!$A$13:$B$227,2,FALSE))</f>
      </c>
      <c r="AA558" s="141"/>
      <c r="AE558" s="141"/>
      <c r="AF558" s="141"/>
    </row>
    <row r="559" spans="1:32" ht="20.25">
      <c r="A559" s="148" t="s">
        <v>867</v>
      </c>
      <c r="B559" s="149"/>
      <c r="C559" s="132" t="s">
        <v>546</v>
      </c>
      <c r="D559" s="201">
        <v>0</v>
      </c>
      <c r="E559" s="219">
        <f>V559-SUM(F559:U559)</f>
        <v>0</v>
      </c>
      <c r="F559" s="118">
        <f aca="true" ca="1" t="shared" si="283" ref="F559:V559">ROUND($D559*VLOOKUP($C559,IF(LEFT($C559,1)="K",INDIRECT("TABLE"),INDIRECT("TABLE2")),F$9+1),0)</f>
        <v>0</v>
      </c>
      <c r="G559" s="118">
        <f ca="1" t="shared" si="283"/>
        <v>0</v>
      </c>
      <c r="H559" s="118">
        <f ca="1" t="shared" si="283"/>
        <v>0</v>
      </c>
      <c r="I559" s="118">
        <f ca="1" t="shared" si="283"/>
        <v>0</v>
      </c>
      <c r="J559" s="118">
        <f ca="1" t="shared" si="283"/>
        <v>0</v>
      </c>
      <c r="K559" s="118">
        <f ca="1" t="shared" si="283"/>
        <v>0</v>
      </c>
      <c r="L559" s="118">
        <f ca="1" t="shared" si="283"/>
        <v>0</v>
      </c>
      <c r="M559" s="118">
        <f ca="1" t="shared" si="283"/>
        <v>0</v>
      </c>
      <c r="N559" s="118">
        <f ca="1" t="shared" si="283"/>
        <v>0</v>
      </c>
      <c r="O559" s="118">
        <f ca="1" t="shared" si="283"/>
        <v>0</v>
      </c>
      <c r="P559" s="118">
        <f ca="1" t="shared" si="283"/>
        <v>0</v>
      </c>
      <c r="Q559" s="118">
        <f ca="1" t="shared" si="283"/>
        <v>0</v>
      </c>
      <c r="R559" s="118">
        <f ca="1" t="shared" si="283"/>
        <v>0</v>
      </c>
      <c r="S559" s="118">
        <f ca="1" t="shared" si="283"/>
        <v>0</v>
      </c>
      <c r="T559" s="118">
        <f ca="1" t="shared" si="283"/>
        <v>0</v>
      </c>
      <c r="U559" s="118">
        <f ca="1" t="shared" si="283"/>
        <v>0</v>
      </c>
      <c r="V559" s="118">
        <f ca="1" t="shared" si="283"/>
        <v>0</v>
      </c>
      <c r="W559" s="118">
        <f>D559-V559</f>
        <v>0</v>
      </c>
      <c r="X559" s="150"/>
      <c r="Z559" s="140" t="str">
        <f>IF($C559="B","",VLOOKUP($C559,orig_alloc!$A$13:$B$227,2,FALSE))</f>
        <v>WTD A&amp;G EXPENSE UNADJUSTED</v>
      </c>
      <c r="AA559" s="141"/>
      <c r="AE559" s="141"/>
      <c r="AF559" s="141"/>
    </row>
    <row r="560" spans="1:32" ht="20.25">
      <c r="A560" s="240" t="s">
        <v>858</v>
      </c>
      <c r="B560" s="149" t="s">
        <v>702</v>
      </c>
      <c r="C560" s="132"/>
      <c r="D560" s="202">
        <f aca="true" t="shared" si="284" ref="D560:W560">SUM(D559)</f>
        <v>0</v>
      </c>
      <c r="E560" s="202">
        <f t="shared" si="284"/>
        <v>0</v>
      </c>
      <c r="F560" s="202">
        <f t="shared" si="284"/>
        <v>0</v>
      </c>
      <c r="G560" s="202">
        <f t="shared" si="284"/>
        <v>0</v>
      </c>
      <c r="H560" s="202">
        <f t="shared" si="284"/>
        <v>0</v>
      </c>
      <c r="I560" s="202">
        <f t="shared" si="284"/>
        <v>0</v>
      </c>
      <c r="J560" s="202">
        <f t="shared" si="284"/>
        <v>0</v>
      </c>
      <c r="K560" s="202">
        <f t="shared" si="284"/>
        <v>0</v>
      </c>
      <c r="L560" s="202">
        <f t="shared" si="284"/>
        <v>0</v>
      </c>
      <c r="M560" s="202">
        <f t="shared" si="284"/>
        <v>0</v>
      </c>
      <c r="N560" s="202">
        <f t="shared" si="284"/>
        <v>0</v>
      </c>
      <c r="O560" s="202">
        <f t="shared" si="284"/>
        <v>0</v>
      </c>
      <c r="P560" s="202">
        <f t="shared" si="284"/>
        <v>0</v>
      </c>
      <c r="Q560" s="202">
        <f t="shared" si="284"/>
        <v>0</v>
      </c>
      <c r="R560" s="202">
        <f t="shared" si="284"/>
        <v>0</v>
      </c>
      <c r="S560" s="202">
        <f t="shared" si="284"/>
        <v>0</v>
      </c>
      <c r="T560" s="202">
        <f t="shared" si="284"/>
        <v>0</v>
      </c>
      <c r="U560" s="202">
        <f t="shared" si="284"/>
        <v>0</v>
      </c>
      <c r="V560" s="202">
        <f t="shared" si="284"/>
        <v>0</v>
      </c>
      <c r="W560" s="202">
        <f t="shared" si="284"/>
        <v>0</v>
      </c>
      <c r="X560" s="150"/>
      <c r="Z560" s="140">
        <f>IF($C560="B","",VLOOKUP($C560,orig_alloc!$A$13:$B$227,2,FALSE))</f>
      </c>
      <c r="AA560" s="141"/>
      <c r="AE560" s="141"/>
      <c r="AF560" s="141"/>
    </row>
    <row r="561" spans="1:32" ht="20.25">
      <c r="A561" s="132"/>
      <c r="B561" s="149"/>
      <c r="C561" s="132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33"/>
      <c r="W561" s="133"/>
      <c r="X561" s="150"/>
      <c r="Z561" s="140">
        <f>IF($C561="B","",VLOOKUP($C561,orig_alloc!$A$13:$B$227,2,FALSE))</f>
      </c>
      <c r="AA561" s="141"/>
      <c r="AE561" s="141"/>
      <c r="AF561" s="141"/>
    </row>
    <row r="562" spans="1:32" ht="20.25">
      <c r="A562" s="132" t="s">
        <v>496</v>
      </c>
      <c r="B562" s="318"/>
      <c r="C562" s="132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33"/>
      <c r="W562" s="133"/>
      <c r="X562" s="150"/>
      <c r="Z562" s="140">
        <f>IF($C562="B","",VLOOKUP($C562,orig_alloc!$A$13:$B$227,2,FALSE))</f>
      </c>
      <c r="AA562" s="141"/>
      <c r="AE562" s="141"/>
      <c r="AF562" s="141"/>
    </row>
    <row r="563" spans="1:32" ht="20.25">
      <c r="A563" s="132" t="s">
        <v>703</v>
      </c>
      <c r="B563" s="149" t="str">
        <f>B536</f>
        <v>Z782</v>
      </c>
      <c r="C563" s="132"/>
      <c r="D563" s="118">
        <f aca="true" t="shared" si="285" ref="D563:W563">D536</f>
        <v>1874337</v>
      </c>
      <c r="E563" s="118">
        <f t="shared" si="285"/>
        <v>971430</v>
      </c>
      <c r="F563" s="118">
        <f t="shared" si="285"/>
        <v>430799</v>
      </c>
      <c r="G563" s="118">
        <f t="shared" si="285"/>
        <v>412</v>
      </c>
      <c r="H563" s="118">
        <f t="shared" si="285"/>
        <v>1692</v>
      </c>
      <c r="I563" s="118">
        <f t="shared" si="285"/>
        <v>7642</v>
      </c>
      <c r="J563" s="118">
        <f t="shared" si="285"/>
        <v>200</v>
      </c>
      <c r="K563" s="118">
        <f t="shared" si="285"/>
        <v>238368</v>
      </c>
      <c r="L563" s="118">
        <f t="shared" si="285"/>
        <v>3241</v>
      </c>
      <c r="M563" s="118">
        <f t="shared" si="285"/>
        <v>136906</v>
      </c>
      <c r="N563" s="118">
        <f t="shared" si="285"/>
        <v>6470</v>
      </c>
      <c r="O563" s="118">
        <f t="shared" si="285"/>
        <v>10619</v>
      </c>
      <c r="P563" s="118">
        <f t="shared" si="285"/>
        <v>0</v>
      </c>
      <c r="Q563" s="118">
        <f t="shared" si="285"/>
        <v>44660</v>
      </c>
      <c r="R563" s="118">
        <f t="shared" si="285"/>
        <v>2576</v>
      </c>
      <c r="S563" s="118">
        <f t="shared" si="285"/>
        <v>19054</v>
      </c>
      <c r="T563" s="118">
        <f t="shared" si="285"/>
        <v>0</v>
      </c>
      <c r="U563" s="118">
        <f t="shared" si="285"/>
        <v>268</v>
      </c>
      <c r="V563" s="118">
        <f t="shared" si="285"/>
        <v>1874337</v>
      </c>
      <c r="W563" s="118">
        <f t="shared" si="285"/>
        <v>0</v>
      </c>
      <c r="X563" s="150"/>
      <c r="Z563" s="140">
        <f>IF($C563="B","",VLOOKUP($C563,orig_alloc!$A$13:$B$227,2,FALSE))</f>
      </c>
      <c r="AA563" s="141"/>
      <c r="AE563" s="141"/>
      <c r="AF563" s="141"/>
    </row>
    <row r="564" spans="1:32" ht="20.25">
      <c r="A564" s="132" t="s">
        <v>704</v>
      </c>
      <c r="B564" s="149" t="str">
        <f>B552</f>
        <v>Z803</v>
      </c>
      <c r="C564" s="132"/>
      <c r="D564" s="118">
        <f aca="true" t="shared" si="286" ref="D564:W564">D552</f>
        <v>0</v>
      </c>
      <c r="E564" s="118">
        <f t="shared" si="286"/>
        <v>0</v>
      </c>
      <c r="F564" s="118">
        <f t="shared" si="286"/>
        <v>0</v>
      </c>
      <c r="G564" s="118">
        <f t="shared" si="286"/>
        <v>0</v>
      </c>
      <c r="H564" s="118">
        <f t="shared" si="286"/>
        <v>0</v>
      </c>
      <c r="I564" s="118">
        <f t="shared" si="286"/>
        <v>0</v>
      </c>
      <c r="J564" s="118">
        <f t="shared" si="286"/>
        <v>0</v>
      </c>
      <c r="K564" s="118">
        <f t="shared" si="286"/>
        <v>0</v>
      </c>
      <c r="L564" s="118">
        <f t="shared" si="286"/>
        <v>0</v>
      </c>
      <c r="M564" s="118">
        <f t="shared" si="286"/>
        <v>0</v>
      </c>
      <c r="N564" s="118">
        <f t="shared" si="286"/>
        <v>0</v>
      </c>
      <c r="O564" s="118">
        <f t="shared" si="286"/>
        <v>0</v>
      </c>
      <c r="P564" s="118">
        <f t="shared" si="286"/>
        <v>0</v>
      </c>
      <c r="Q564" s="118">
        <f t="shared" si="286"/>
        <v>0</v>
      </c>
      <c r="R564" s="118">
        <f t="shared" si="286"/>
        <v>0</v>
      </c>
      <c r="S564" s="118">
        <f t="shared" si="286"/>
        <v>0</v>
      </c>
      <c r="T564" s="118">
        <f t="shared" si="286"/>
        <v>0</v>
      </c>
      <c r="U564" s="118">
        <f t="shared" si="286"/>
        <v>0</v>
      </c>
      <c r="V564" s="118">
        <f t="shared" si="286"/>
        <v>0</v>
      </c>
      <c r="W564" s="118">
        <f t="shared" si="286"/>
        <v>0</v>
      </c>
      <c r="X564" s="150"/>
      <c r="Z564" s="140">
        <f>IF($C564="B","",VLOOKUP($C564,orig_alloc!$A$13:$B$227,2,FALSE))</f>
      </c>
      <c r="AA564" s="141"/>
      <c r="AE564" s="141"/>
      <c r="AF564" s="141"/>
    </row>
    <row r="565" spans="1:32" ht="20.25">
      <c r="A565" s="132" t="s">
        <v>1361</v>
      </c>
      <c r="B565" s="149" t="str">
        <f>B557</f>
        <v>Z813</v>
      </c>
      <c r="C565" s="132"/>
      <c r="D565" s="118">
        <f aca="true" t="shared" si="287" ref="D565:W565">-D557</f>
        <v>-143846</v>
      </c>
      <c r="E565" s="118">
        <f t="shared" si="287"/>
        <v>-74550</v>
      </c>
      <c r="F565" s="118">
        <f t="shared" si="287"/>
        <v>-33059</v>
      </c>
      <c r="G565" s="118">
        <f t="shared" si="287"/>
        <v>-32</v>
      </c>
      <c r="H565" s="118">
        <f t="shared" si="287"/>
        <v>-130</v>
      </c>
      <c r="I565" s="118">
        <f t="shared" si="287"/>
        <v>-587</v>
      </c>
      <c r="J565" s="118">
        <f t="shared" si="287"/>
        <v>-15</v>
      </c>
      <c r="K565" s="118">
        <f t="shared" si="287"/>
        <v>-18292</v>
      </c>
      <c r="L565" s="118">
        <f t="shared" si="287"/>
        <v>-249</v>
      </c>
      <c r="M565" s="118">
        <f t="shared" si="287"/>
        <v>-10509</v>
      </c>
      <c r="N565" s="118">
        <f t="shared" si="287"/>
        <v>-497</v>
      </c>
      <c r="O565" s="118">
        <f t="shared" si="287"/>
        <v>-815</v>
      </c>
      <c r="P565" s="118">
        <f t="shared" si="287"/>
        <v>0</v>
      </c>
      <c r="Q565" s="118">
        <f t="shared" si="287"/>
        <v>-3432</v>
      </c>
      <c r="R565" s="118">
        <f t="shared" si="287"/>
        <v>-198</v>
      </c>
      <c r="S565" s="118">
        <f t="shared" si="287"/>
        <v>-1460</v>
      </c>
      <c r="T565" s="118">
        <f t="shared" si="287"/>
        <v>0</v>
      </c>
      <c r="U565" s="118">
        <f t="shared" si="287"/>
        <v>-21</v>
      </c>
      <c r="V565" s="118">
        <f t="shared" si="287"/>
        <v>-143846</v>
      </c>
      <c r="W565" s="118">
        <f t="shared" si="287"/>
        <v>0</v>
      </c>
      <c r="X565" s="150"/>
      <c r="Z565" s="140">
        <f>IF($C565="B","",VLOOKUP($C565,orig_alloc!$A$13:$B$227,2,FALSE))</f>
      </c>
      <c r="AA565" s="141"/>
      <c r="AE565" s="141"/>
      <c r="AF565" s="141"/>
    </row>
    <row r="566" spans="1:32" ht="20.25">
      <c r="A566" s="240" t="s">
        <v>705</v>
      </c>
      <c r="B566" s="149" t="s">
        <v>706</v>
      </c>
      <c r="C566" s="132"/>
      <c r="D566" s="202">
        <f aca="true" t="shared" si="288" ref="D566:W566">SUM(D563:D565)</f>
        <v>1730491</v>
      </c>
      <c r="E566" s="202">
        <f t="shared" si="288"/>
        <v>896880</v>
      </c>
      <c r="F566" s="202">
        <f t="shared" si="288"/>
        <v>397740</v>
      </c>
      <c r="G566" s="202">
        <f t="shared" si="288"/>
        <v>380</v>
      </c>
      <c r="H566" s="202">
        <f t="shared" si="288"/>
        <v>1562</v>
      </c>
      <c r="I566" s="202">
        <f t="shared" si="288"/>
        <v>7055</v>
      </c>
      <c r="J566" s="202">
        <f t="shared" si="288"/>
        <v>185</v>
      </c>
      <c r="K566" s="202">
        <f t="shared" si="288"/>
        <v>220076</v>
      </c>
      <c r="L566" s="202">
        <f t="shared" si="288"/>
        <v>2992</v>
      </c>
      <c r="M566" s="202">
        <f t="shared" si="288"/>
        <v>126397</v>
      </c>
      <c r="N566" s="202">
        <f t="shared" si="288"/>
        <v>5973</v>
      </c>
      <c r="O566" s="202">
        <f t="shared" si="288"/>
        <v>9804</v>
      </c>
      <c r="P566" s="202">
        <f t="shared" si="288"/>
        <v>0</v>
      </c>
      <c r="Q566" s="202">
        <f t="shared" si="288"/>
        <v>41228</v>
      </c>
      <c r="R566" s="202">
        <f t="shared" si="288"/>
        <v>2378</v>
      </c>
      <c r="S566" s="202">
        <f t="shared" si="288"/>
        <v>17594</v>
      </c>
      <c r="T566" s="202">
        <f t="shared" si="288"/>
        <v>0</v>
      </c>
      <c r="U566" s="202">
        <f t="shared" si="288"/>
        <v>247</v>
      </c>
      <c r="V566" s="202">
        <f t="shared" si="288"/>
        <v>1730491</v>
      </c>
      <c r="W566" s="202">
        <f t="shared" si="288"/>
        <v>0</v>
      </c>
      <c r="X566" s="150"/>
      <c r="Z566" s="140">
        <f>IF($C566="B","",VLOOKUP($C566,orig_alloc!$A$13:$B$227,2,FALSE))</f>
      </c>
      <c r="AA566" s="141"/>
      <c r="AE566" s="141"/>
      <c r="AF566" s="141"/>
    </row>
    <row r="567" spans="1:32" ht="20.25">
      <c r="A567" s="132"/>
      <c r="B567" s="149"/>
      <c r="C567" s="132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33"/>
      <c r="W567" s="133"/>
      <c r="X567" s="150"/>
      <c r="Z567" s="140">
        <f>IF($C567="B","",VLOOKUP($C567,orig_alloc!$A$13:$B$227,2,FALSE))</f>
      </c>
      <c r="AA567" s="141"/>
      <c r="AE567" s="141"/>
      <c r="AF567" s="141"/>
    </row>
    <row r="568" spans="1:32" ht="20.25">
      <c r="A568" s="132" t="s">
        <v>707</v>
      </c>
      <c r="B568" s="149"/>
      <c r="C568" s="132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33"/>
      <c r="W568" s="133"/>
      <c r="X568" s="150"/>
      <c r="Z568" s="140">
        <f>IF($C568="B","",VLOOKUP($C568,orig_alloc!$A$13:$B$227,2,FALSE))</f>
      </c>
      <c r="AA568" s="141"/>
      <c r="AE568" s="141"/>
      <c r="AF568" s="141"/>
    </row>
    <row r="569" spans="1:32" ht="20.25">
      <c r="A569" s="132" t="s">
        <v>1256</v>
      </c>
      <c r="B569" s="149" t="s">
        <v>504</v>
      </c>
      <c r="C569" s="132"/>
      <c r="D569" s="118">
        <f aca="true" t="shared" si="289" ref="D569:W569">D341</f>
        <v>48805840</v>
      </c>
      <c r="E569" s="118">
        <f t="shared" si="289"/>
        <v>19861454</v>
      </c>
      <c r="F569" s="118">
        <f t="shared" si="289"/>
        <v>15533238</v>
      </c>
      <c r="G569" s="118">
        <f t="shared" si="289"/>
        <v>27870</v>
      </c>
      <c r="H569" s="118">
        <f t="shared" si="289"/>
        <v>124592</v>
      </c>
      <c r="I569" s="118">
        <f t="shared" si="289"/>
        <v>116256</v>
      </c>
      <c r="J569" s="118">
        <f t="shared" si="289"/>
        <v>9811</v>
      </c>
      <c r="K569" s="118">
        <f t="shared" si="289"/>
        <v>7335475</v>
      </c>
      <c r="L569" s="118">
        <f t="shared" si="289"/>
        <v>125620</v>
      </c>
      <c r="M569" s="118">
        <f t="shared" si="289"/>
        <v>2847948</v>
      </c>
      <c r="N569" s="118">
        <f t="shared" si="289"/>
        <v>274750</v>
      </c>
      <c r="O569" s="118">
        <f t="shared" si="289"/>
        <v>319850</v>
      </c>
      <c r="P569" s="118">
        <f t="shared" si="289"/>
        <v>0</v>
      </c>
      <c r="Q569" s="118">
        <f t="shared" si="289"/>
        <v>1305129</v>
      </c>
      <c r="R569" s="118">
        <f t="shared" si="289"/>
        <v>132823</v>
      </c>
      <c r="S569" s="118">
        <f t="shared" si="289"/>
        <v>790435</v>
      </c>
      <c r="T569" s="118">
        <f t="shared" si="289"/>
        <v>0</v>
      </c>
      <c r="U569" s="118">
        <f t="shared" si="289"/>
        <v>589</v>
      </c>
      <c r="V569" s="118">
        <f t="shared" si="289"/>
        <v>48805840</v>
      </c>
      <c r="W569" s="118">
        <f t="shared" si="289"/>
        <v>0</v>
      </c>
      <c r="X569" s="150"/>
      <c r="Z569" s="140">
        <f>IF($C569="B","",VLOOKUP($C569,orig_alloc!$A$13:$B$227,2,FALSE))</f>
      </c>
      <c r="AA569" s="141"/>
      <c r="AE569" s="141"/>
      <c r="AF569" s="141"/>
    </row>
    <row r="570" spans="1:32" ht="20.25">
      <c r="A570" s="132" t="s">
        <v>679</v>
      </c>
      <c r="B570" s="149" t="s">
        <v>680</v>
      </c>
      <c r="C570" s="132"/>
      <c r="D570" s="118">
        <f aca="true" t="shared" si="290" ref="D570:W570">-D520</f>
        <v>-23004222</v>
      </c>
      <c r="E570" s="118">
        <f t="shared" si="290"/>
        <v>-12184847</v>
      </c>
      <c r="F570" s="118">
        <f t="shared" si="290"/>
        <v>-5199961</v>
      </c>
      <c r="G570" s="118">
        <f t="shared" si="290"/>
        <v>-4888</v>
      </c>
      <c r="H570" s="118">
        <f t="shared" si="290"/>
        <v>-20080</v>
      </c>
      <c r="I570" s="118">
        <f t="shared" si="290"/>
        <v>-93406</v>
      </c>
      <c r="J570" s="118">
        <f t="shared" si="290"/>
        <v>-2594</v>
      </c>
      <c r="K570" s="118">
        <f t="shared" si="290"/>
        <v>-2834305</v>
      </c>
      <c r="L570" s="118">
        <f t="shared" si="290"/>
        <v>-38485</v>
      </c>
      <c r="M570" s="118">
        <f t="shared" si="290"/>
        <v>-1629248</v>
      </c>
      <c r="N570" s="118">
        <f t="shared" si="290"/>
        <v>-76908</v>
      </c>
      <c r="O570" s="118">
        <f t="shared" si="290"/>
        <v>-126352</v>
      </c>
      <c r="P570" s="118">
        <f t="shared" si="290"/>
        <v>0</v>
      </c>
      <c r="Q570" s="118">
        <f t="shared" si="290"/>
        <v>-534810</v>
      </c>
      <c r="R570" s="118">
        <f t="shared" si="290"/>
        <v>-30793</v>
      </c>
      <c r="S570" s="118">
        <f t="shared" si="290"/>
        <v>-224362</v>
      </c>
      <c r="T570" s="118">
        <f t="shared" si="290"/>
        <v>0</v>
      </c>
      <c r="U570" s="118">
        <f t="shared" si="290"/>
        <v>-3183</v>
      </c>
      <c r="V570" s="118">
        <f t="shared" si="290"/>
        <v>-23004222</v>
      </c>
      <c r="W570" s="118">
        <f t="shared" si="290"/>
        <v>0</v>
      </c>
      <c r="X570" s="150"/>
      <c r="Z570" s="140">
        <f>IF($C570="B","",VLOOKUP($C570,orig_alloc!$A$13:$B$227,2,FALSE))</f>
      </c>
      <c r="AA570" s="141"/>
      <c r="AE570" s="141"/>
      <c r="AF570" s="141"/>
    </row>
    <row r="571" spans="1:32" ht="20.25">
      <c r="A571" s="132" t="s">
        <v>708</v>
      </c>
      <c r="B571" s="149" t="s">
        <v>706</v>
      </c>
      <c r="C571" s="132"/>
      <c r="D571" s="118">
        <f aca="true" t="shared" si="291" ref="D571:W571">D566</f>
        <v>1730491</v>
      </c>
      <c r="E571" s="118">
        <f t="shared" si="291"/>
        <v>896880</v>
      </c>
      <c r="F571" s="118">
        <f t="shared" si="291"/>
        <v>397740</v>
      </c>
      <c r="G571" s="118">
        <f t="shared" si="291"/>
        <v>380</v>
      </c>
      <c r="H571" s="118">
        <f t="shared" si="291"/>
        <v>1562</v>
      </c>
      <c r="I571" s="118">
        <f t="shared" si="291"/>
        <v>7055</v>
      </c>
      <c r="J571" s="118">
        <f t="shared" si="291"/>
        <v>185</v>
      </c>
      <c r="K571" s="118">
        <f t="shared" si="291"/>
        <v>220076</v>
      </c>
      <c r="L571" s="118">
        <f t="shared" si="291"/>
        <v>2992</v>
      </c>
      <c r="M571" s="118">
        <f t="shared" si="291"/>
        <v>126397</v>
      </c>
      <c r="N571" s="118">
        <f t="shared" si="291"/>
        <v>5973</v>
      </c>
      <c r="O571" s="118">
        <f t="shared" si="291"/>
        <v>9804</v>
      </c>
      <c r="P571" s="118">
        <f t="shared" si="291"/>
        <v>0</v>
      </c>
      <c r="Q571" s="118">
        <f t="shared" si="291"/>
        <v>41228</v>
      </c>
      <c r="R571" s="118">
        <f t="shared" si="291"/>
        <v>2378</v>
      </c>
      <c r="S571" s="118">
        <f t="shared" si="291"/>
        <v>17594</v>
      </c>
      <c r="T571" s="118">
        <f t="shared" si="291"/>
        <v>0</v>
      </c>
      <c r="U571" s="118">
        <f t="shared" si="291"/>
        <v>247</v>
      </c>
      <c r="V571" s="118">
        <f t="shared" si="291"/>
        <v>1730491</v>
      </c>
      <c r="W571" s="118">
        <f t="shared" si="291"/>
        <v>0</v>
      </c>
      <c r="X571" s="150"/>
      <c r="Z571" s="140">
        <f>IF($C571="B","",VLOOKUP($C571,orig_alloc!$A$13:$B$227,2,FALSE))</f>
      </c>
      <c r="AA571" s="141"/>
      <c r="AE571" s="141"/>
      <c r="AF571" s="141"/>
    </row>
    <row r="572" spans="1:32" ht="20.25">
      <c r="A572" s="132" t="s">
        <v>709</v>
      </c>
      <c r="B572" s="149" t="s">
        <v>710</v>
      </c>
      <c r="C572" s="132"/>
      <c r="D572" s="118">
        <f aca="true" t="shared" si="292" ref="D572:W572">D609</f>
        <v>394834</v>
      </c>
      <c r="E572" s="118">
        <f t="shared" si="292"/>
        <v>204635</v>
      </c>
      <c r="F572" s="118">
        <f t="shared" si="292"/>
        <v>90748</v>
      </c>
      <c r="G572" s="118">
        <f t="shared" si="292"/>
        <v>86</v>
      </c>
      <c r="H572" s="118">
        <f t="shared" si="292"/>
        <v>356</v>
      </c>
      <c r="I572" s="118">
        <f t="shared" si="292"/>
        <v>1610</v>
      </c>
      <c r="J572" s="118">
        <f t="shared" si="292"/>
        <v>43</v>
      </c>
      <c r="K572" s="118">
        <f t="shared" si="292"/>
        <v>50212</v>
      </c>
      <c r="L572" s="118">
        <f t="shared" si="292"/>
        <v>682</v>
      </c>
      <c r="M572" s="118">
        <f t="shared" si="292"/>
        <v>28841</v>
      </c>
      <c r="N572" s="118">
        <f t="shared" si="292"/>
        <v>1363</v>
      </c>
      <c r="O572" s="118">
        <f t="shared" si="292"/>
        <v>2237</v>
      </c>
      <c r="P572" s="118">
        <f t="shared" si="292"/>
        <v>0</v>
      </c>
      <c r="Q572" s="118">
        <f t="shared" si="292"/>
        <v>9410</v>
      </c>
      <c r="R572" s="118">
        <f t="shared" si="292"/>
        <v>542</v>
      </c>
      <c r="S572" s="118">
        <f t="shared" si="292"/>
        <v>4013</v>
      </c>
      <c r="T572" s="118">
        <f t="shared" si="292"/>
        <v>0</v>
      </c>
      <c r="U572" s="118">
        <f t="shared" si="292"/>
        <v>56</v>
      </c>
      <c r="V572" s="118">
        <f t="shared" si="292"/>
        <v>394834</v>
      </c>
      <c r="W572" s="118">
        <f t="shared" si="292"/>
        <v>0</v>
      </c>
      <c r="X572" s="150"/>
      <c r="Z572" s="140">
        <f>IF($C572="B","",VLOOKUP($C572,orig_alloc!$A$13:$B$227,2,FALSE))</f>
      </c>
      <c r="AA572" s="141"/>
      <c r="AE572" s="141"/>
      <c r="AF572" s="141"/>
    </row>
    <row r="573" spans="1:32" ht="20.25">
      <c r="A573" s="132" t="s">
        <v>711</v>
      </c>
      <c r="B573" s="149" t="s">
        <v>712</v>
      </c>
      <c r="C573" s="132"/>
      <c r="D573" s="118">
        <f aca="true" t="shared" si="293" ref="D573:W573">D620</f>
        <v>0</v>
      </c>
      <c r="E573" s="118">
        <f t="shared" si="293"/>
        <v>0</v>
      </c>
      <c r="F573" s="118">
        <f t="shared" si="293"/>
        <v>0</v>
      </c>
      <c r="G573" s="118">
        <f t="shared" si="293"/>
        <v>0</v>
      </c>
      <c r="H573" s="118">
        <f t="shared" si="293"/>
        <v>0</v>
      </c>
      <c r="I573" s="118">
        <f t="shared" si="293"/>
        <v>0</v>
      </c>
      <c r="J573" s="118">
        <f t="shared" si="293"/>
        <v>0</v>
      </c>
      <c r="K573" s="118">
        <f t="shared" si="293"/>
        <v>0</v>
      </c>
      <c r="L573" s="118">
        <f t="shared" si="293"/>
        <v>0</v>
      </c>
      <c r="M573" s="118">
        <f t="shared" si="293"/>
        <v>0</v>
      </c>
      <c r="N573" s="118">
        <f t="shared" si="293"/>
        <v>0</v>
      </c>
      <c r="O573" s="118">
        <f t="shared" si="293"/>
        <v>0</v>
      </c>
      <c r="P573" s="118">
        <f t="shared" si="293"/>
        <v>0</v>
      </c>
      <c r="Q573" s="118">
        <f t="shared" si="293"/>
        <v>0</v>
      </c>
      <c r="R573" s="118">
        <f t="shared" si="293"/>
        <v>0</v>
      </c>
      <c r="S573" s="118">
        <f t="shared" si="293"/>
        <v>0</v>
      </c>
      <c r="T573" s="118">
        <f t="shared" si="293"/>
        <v>0</v>
      </c>
      <c r="U573" s="118">
        <f t="shared" si="293"/>
        <v>0</v>
      </c>
      <c r="V573" s="118">
        <f t="shared" si="293"/>
        <v>0</v>
      </c>
      <c r="W573" s="118">
        <f t="shared" si="293"/>
        <v>0</v>
      </c>
      <c r="X573" s="150"/>
      <c r="Z573" s="140">
        <f>IF($C573="B","",VLOOKUP($C573,orig_alloc!$A$13:$B$227,2,FALSE))</f>
      </c>
      <c r="AA573" s="141"/>
      <c r="AE573" s="141"/>
      <c r="AF573" s="141"/>
    </row>
    <row r="574" spans="1:36" ht="20.25">
      <c r="A574" s="132" t="s">
        <v>1239</v>
      </c>
      <c r="B574" s="149" t="s">
        <v>1240</v>
      </c>
      <c r="C574" s="132"/>
      <c r="D574" s="118">
        <f aca="true" t="shared" si="294" ref="D574:W574">D26</f>
        <v>-373481</v>
      </c>
      <c r="E574" s="118">
        <f t="shared" si="294"/>
        <v>-194944</v>
      </c>
      <c r="F574" s="118">
        <f t="shared" si="294"/>
        <v>-93752</v>
      </c>
      <c r="G574" s="118">
        <f t="shared" si="294"/>
        <v>-83</v>
      </c>
      <c r="H574" s="118">
        <f t="shared" si="294"/>
        <v>-338</v>
      </c>
      <c r="I574" s="118">
        <f t="shared" si="294"/>
        <v>-1291</v>
      </c>
      <c r="J574" s="118">
        <f t="shared" si="294"/>
        <v>-48</v>
      </c>
      <c r="K574" s="118">
        <f t="shared" si="294"/>
        <v>-51818</v>
      </c>
      <c r="L574" s="118">
        <f t="shared" si="294"/>
        <v>-556</v>
      </c>
      <c r="M574" s="118">
        <f t="shared" si="294"/>
        <v>-17127</v>
      </c>
      <c r="N574" s="118">
        <f t="shared" si="294"/>
        <v>-755</v>
      </c>
      <c r="O574" s="118">
        <f t="shared" si="294"/>
        <v>-1665</v>
      </c>
      <c r="P574" s="118">
        <f t="shared" si="294"/>
        <v>0</v>
      </c>
      <c r="Q574" s="118">
        <f t="shared" si="294"/>
        <v>6669</v>
      </c>
      <c r="R574" s="118">
        <f t="shared" si="294"/>
        <v>388</v>
      </c>
      <c r="S574" s="118">
        <f t="shared" si="294"/>
        <v>-18133</v>
      </c>
      <c r="T574" s="118">
        <f t="shared" si="294"/>
        <v>0</v>
      </c>
      <c r="U574" s="118">
        <f t="shared" si="294"/>
        <v>-28</v>
      </c>
      <c r="V574" s="118">
        <f t="shared" si="294"/>
        <v>-373481</v>
      </c>
      <c r="W574" s="118">
        <f t="shared" si="294"/>
        <v>0</v>
      </c>
      <c r="X574" s="150"/>
      <c r="Z574" s="140">
        <f>IF($C574="B","",VLOOKUP($C574,orig_alloc!$A$13:$B$227,2,FALSE))</f>
      </c>
      <c r="AA574" s="141"/>
      <c r="AE574" s="141"/>
      <c r="AF574" s="141"/>
      <c r="AJ574" s="113"/>
    </row>
    <row r="575" spans="1:32" ht="20.25">
      <c r="A575" s="240" t="s">
        <v>1062</v>
      </c>
      <c r="B575" s="149" t="s">
        <v>713</v>
      </c>
      <c r="C575" s="149" t="s">
        <v>804</v>
      </c>
      <c r="D575" s="202">
        <f aca="true" t="shared" si="295" ref="D575:W575">SUM(D568:D574)</f>
        <v>27553462</v>
      </c>
      <c r="E575" s="202">
        <f t="shared" si="295"/>
        <v>8583178</v>
      </c>
      <c r="F575" s="202">
        <f t="shared" si="295"/>
        <v>10728013</v>
      </c>
      <c r="G575" s="202">
        <f t="shared" si="295"/>
        <v>23365</v>
      </c>
      <c r="H575" s="202">
        <f t="shared" si="295"/>
        <v>106092</v>
      </c>
      <c r="I575" s="202">
        <f t="shared" si="295"/>
        <v>30224</v>
      </c>
      <c r="J575" s="202">
        <f t="shared" si="295"/>
        <v>7397</v>
      </c>
      <c r="K575" s="202">
        <f t="shared" si="295"/>
        <v>4719640</v>
      </c>
      <c r="L575" s="202">
        <f t="shared" si="295"/>
        <v>90253</v>
      </c>
      <c r="M575" s="202">
        <f t="shared" si="295"/>
        <v>1356811</v>
      </c>
      <c r="N575" s="202">
        <f t="shared" si="295"/>
        <v>204423</v>
      </c>
      <c r="O575" s="202">
        <f t="shared" si="295"/>
        <v>203874</v>
      </c>
      <c r="P575" s="202">
        <f t="shared" si="295"/>
        <v>0</v>
      </c>
      <c r="Q575" s="202">
        <f t="shared" si="295"/>
        <v>827626</v>
      </c>
      <c r="R575" s="202">
        <f t="shared" si="295"/>
        <v>105338</v>
      </c>
      <c r="S575" s="202">
        <f t="shared" si="295"/>
        <v>569547</v>
      </c>
      <c r="T575" s="202">
        <f t="shared" si="295"/>
        <v>0</v>
      </c>
      <c r="U575" s="202">
        <f t="shared" si="295"/>
        <v>-2319</v>
      </c>
      <c r="V575" s="202">
        <f t="shared" si="295"/>
        <v>27553462</v>
      </c>
      <c r="W575" s="202">
        <f t="shared" si="295"/>
        <v>0</v>
      </c>
      <c r="X575" s="150"/>
      <c r="Z575" s="140" t="str">
        <f>IF($C575="B","",VLOOKUP($C575,orig_alloc!$A$13:$B$227,2,FALSE))</f>
        <v>JUR. BASE FOR FIT COMPUTATION RATIOS</v>
      </c>
      <c r="AA575" s="141"/>
      <c r="AE575" s="141"/>
      <c r="AF575" s="141"/>
    </row>
    <row r="576" spans="1:32" ht="20.25">
      <c r="A576" s="132"/>
      <c r="B576" s="149"/>
      <c r="C576" s="132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33"/>
      <c r="W576" s="133"/>
      <c r="X576" s="150"/>
      <c r="Z576" s="140">
        <f>IF($C576="B","",VLOOKUP($C576,orig_alloc!$A$13:$B$227,2,FALSE))</f>
      </c>
      <c r="AA576" s="141"/>
      <c r="AE576" s="141"/>
      <c r="AF576" s="141"/>
    </row>
    <row r="577" spans="1:32" ht="20.25">
      <c r="A577" s="132" t="s">
        <v>714</v>
      </c>
      <c r="B577" s="149" t="s">
        <v>715</v>
      </c>
      <c r="C577" s="132"/>
      <c r="D577" s="218"/>
      <c r="E577" s="278">
        <f aca="true" t="shared" si="296" ref="E577:U577">ROUND(+E724/(1-E724),17)</f>
        <v>0.538461538461538</v>
      </c>
      <c r="F577" s="278">
        <f t="shared" si="296"/>
        <v>0.538461538461538</v>
      </c>
      <c r="G577" s="278">
        <f t="shared" si="296"/>
        <v>0.538461538461538</v>
      </c>
      <c r="H577" s="278">
        <f t="shared" si="296"/>
        <v>0.538461538461538</v>
      </c>
      <c r="I577" s="278">
        <f t="shared" si="296"/>
        <v>0.538461538461538</v>
      </c>
      <c r="J577" s="278">
        <f t="shared" si="296"/>
        <v>0.538461538461538</v>
      </c>
      <c r="K577" s="278">
        <f t="shared" si="296"/>
        <v>0.538461538461538</v>
      </c>
      <c r="L577" s="278">
        <f t="shared" si="296"/>
        <v>0.538461538461538</v>
      </c>
      <c r="M577" s="278">
        <f t="shared" si="296"/>
        <v>0.538461538461538</v>
      </c>
      <c r="N577" s="278">
        <f t="shared" si="296"/>
        <v>0.538461538461538</v>
      </c>
      <c r="O577" s="278">
        <f t="shared" si="296"/>
        <v>0.538461538461538</v>
      </c>
      <c r="P577" s="278">
        <f t="shared" si="296"/>
        <v>0.538461538461538</v>
      </c>
      <c r="Q577" s="278">
        <f t="shared" si="296"/>
        <v>0.538461538461538</v>
      </c>
      <c r="R577" s="278">
        <f t="shared" si="296"/>
        <v>0.538461538461538</v>
      </c>
      <c r="S577" s="278">
        <f t="shared" si="296"/>
        <v>0.538461538461538</v>
      </c>
      <c r="T577" s="278">
        <f t="shared" si="296"/>
        <v>0.538461538461538</v>
      </c>
      <c r="U577" s="278">
        <f t="shared" si="296"/>
        <v>0.538461538461538</v>
      </c>
      <c r="V577" s="278">
        <f>U577</f>
        <v>0.538461538461538</v>
      </c>
      <c r="W577" s="278">
        <f>ROUND(+W724/(1-W724),17)</f>
        <v>0.538461538461538</v>
      </c>
      <c r="X577" s="150"/>
      <c r="Z577" s="140">
        <f>IF($C577="B","",VLOOKUP($C577,orig_alloc!$A$13:$B$227,2,FALSE))</f>
      </c>
      <c r="AA577" s="141"/>
      <c r="AE577" s="141"/>
      <c r="AF577" s="141"/>
    </row>
    <row r="578" spans="1:32" ht="20.25">
      <c r="A578" s="132" t="s">
        <v>0</v>
      </c>
      <c r="B578" s="149" t="s">
        <v>1</v>
      </c>
      <c r="C578" s="132"/>
      <c r="D578" s="118">
        <f>V578+W578</f>
        <v>14836480</v>
      </c>
      <c r="E578" s="118">
        <f>V578-SUM(F578:U578)</f>
        <v>4621713</v>
      </c>
      <c r="F578" s="118">
        <f aca="true" t="shared" si="297" ref="F578:W578">ROUND(F575*F577,0)</f>
        <v>5776622</v>
      </c>
      <c r="G578" s="118">
        <f t="shared" si="297"/>
        <v>12581</v>
      </c>
      <c r="H578" s="118">
        <f t="shared" si="297"/>
        <v>57126</v>
      </c>
      <c r="I578" s="118">
        <f t="shared" si="297"/>
        <v>16274</v>
      </c>
      <c r="J578" s="118">
        <f t="shared" si="297"/>
        <v>3983</v>
      </c>
      <c r="K578" s="118">
        <f t="shared" si="297"/>
        <v>2541345</v>
      </c>
      <c r="L578" s="118">
        <f t="shared" si="297"/>
        <v>48598</v>
      </c>
      <c r="M578" s="118">
        <f t="shared" si="297"/>
        <v>730591</v>
      </c>
      <c r="N578" s="118">
        <f t="shared" si="297"/>
        <v>110074</v>
      </c>
      <c r="O578" s="118">
        <f t="shared" si="297"/>
        <v>109778</v>
      </c>
      <c r="P578" s="118">
        <f t="shared" si="297"/>
        <v>0</v>
      </c>
      <c r="Q578" s="118">
        <f t="shared" si="297"/>
        <v>445645</v>
      </c>
      <c r="R578" s="118">
        <f t="shared" si="297"/>
        <v>56720</v>
      </c>
      <c r="S578" s="118">
        <f t="shared" si="297"/>
        <v>306679</v>
      </c>
      <c r="T578" s="118">
        <f t="shared" si="297"/>
        <v>0</v>
      </c>
      <c r="U578" s="118">
        <f t="shared" si="297"/>
        <v>-1249</v>
      </c>
      <c r="V578" s="118">
        <f t="shared" si="297"/>
        <v>14836480</v>
      </c>
      <c r="W578" s="118">
        <f t="shared" si="297"/>
        <v>0</v>
      </c>
      <c r="X578" s="150"/>
      <c r="Z578" s="140">
        <f>IF($C578="B","",VLOOKUP($C578,orig_alloc!$A$13:$B$227,2,FALSE))</f>
      </c>
      <c r="AA578" s="141"/>
      <c r="AE578" s="141"/>
      <c r="AF578" s="141"/>
    </row>
    <row r="579" spans="1:32" ht="20.25">
      <c r="A579" s="132" t="s">
        <v>708</v>
      </c>
      <c r="B579" s="149" t="s">
        <v>706</v>
      </c>
      <c r="C579" s="132"/>
      <c r="D579" s="118">
        <f aca="true" t="shared" si="298" ref="D579:W579">D566</f>
        <v>1730491</v>
      </c>
      <c r="E579" s="118">
        <f t="shared" si="298"/>
        <v>896880</v>
      </c>
      <c r="F579" s="118">
        <f t="shared" si="298"/>
        <v>397740</v>
      </c>
      <c r="G579" s="118">
        <f t="shared" si="298"/>
        <v>380</v>
      </c>
      <c r="H579" s="118">
        <f t="shared" si="298"/>
        <v>1562</v>
      </c>
      <c r="I579" s="118">
        <f t="shared" si="298"/>
        <v>7055</v>
      </c>
      <c r="J579" s="118">
        <f t="shared" si="298"/>
        <v>185</v>
      </c>
      <c r="K579" s="118">
        <f t="shared" si="298"/>
        <v>220076</v>
      </c>
      <c r="L579" s="118">
        <f t="shared" si="298"/>
        <v>2992</v>
      </c>
      <c r="M579" s="118">
        <f t="shared" si="298"/>
        <v>126397</v>
      </c>
      <c r="N579" s="118">
        <f t="shared" si="298"/>
        <v>5973</v>
      </c>
      <c r="O579" s="118">
        <f t="shared" si="298"/>
        <v>9804</v>
      </c>
      <c r="P579" s="118">
        <f t="shared" si="298"/>
        <v>0</v>
      </c>
      <c r="Q579" s="118">
        <f t="shared" si="298"/>
        <v>41228</v>
      </c>
      <c r="R579" s="118">
        <f t="shared" si="298"/>
        <v>2378</v>
      </c>
      <c r="S579" s="118">
        <f t="shared" si="298"/>
        <v>17594</v>
      </c>
      <c r="T579" s="118">
        <f t="shared" si="298"/>
        <v>0</v>
      </c>
      <c r="U579" s="118">
        <f t="shared" si="298"/>
        <v>247</v>
      </c>
      <c r="V579" s="118">
        <f t="shared" si="298"/>
        <v>1730491</v>
      </c>
      <c r="W579" s="118">
        <f t="shared" si="298"/>
        <v>0</v>
      </c>
      <c r="X579" s="150"/>
      <c r="Z579" s="140">
        <f>IF($C579="B","",VLOOKUP($C579,orig_alloc!$A$13:$B$227,2,FALSE))</f>
      </c>
      <c r="AA579" s="141"/>
      <c r="AE579" s="141"/>
      <c r="AF579" s="141"/>
    </row>
    <row r="580" spans="1:32" ht="20.25">
      <c r="A580" s="240" t="s">
        <v>2</v>
      </c>
      <c r="B580" s="149" t="s">
        <v>3</v>
      </c>
      <c r="C580" s="132"/>
      <c r="D580" s="202">
        <f aca="true" t="shared" si="299" ref="D580:W580">SUM(D578:D579)</f>
        <v>16566971</v>
      </c>
      <c r="E580" s="202">
        <f t="shared" si="299"/>
        <v>5518593</v>
      </c>
      <c r="F580" s="202">
        <f t="shared" si="299"/>
        <v>6174362</v>
      </c>
      <c r="G580" s="202">
        <f t="shared" si="299"/>
        <v>12961</v>
      </c>
      <c r="H580" s="202">
        <f t="shared" si="299"/>
        <v>58688</v>
      </c>
      <c r="I580" s="202">
        <f t="shared" si="299"/>
        <v>23329</v>
      </c>
      <c r="J580" s="202">
        <f t="shared" si="299"/>
        <v>4168</v>
      </c>
      <c r="K580" s="202">
        <f t="shared" si="299"/>
        <v>2761421</v>
      </c>
      <c r="L580" s="202">
        <f t="shared" si="299"/>
        <v>51590</v>
      </c>
      <c r="M580" s="202">
        <f t="shared" si="299"/>
        <v>856988</v>
      </c>
      <c r="N580" s="202">
        <f t="shared" si="299"/>
        <v>116047</v>
      </c>
      <c r="O580" s="202">
        <f t="shared" si="299"/>
        <v>119582</v>
      </c>
      <c r="P580" s="202">
        <f t="shared" si="299"/>
        <v>0</v>
      </c>
      <c r="Q580" s="202">
        <f t="shared" si="299"/>
        <v>486873</v>
      </c>
      <c r="R580" s="202">
        <f t="shared" si="299"/>
        <v>59098</v>
      </c>
      <c r="S580" s="202">
        <f t="shared" si="299"/>
        <v>324273</v>
      </c>
      <c r="T580" s="202">
        <f t="shared" si="299"/>
        <v>0</v>
      </c>
      <c r="U580" s="202">
        <f t="shared" si="299"/>
        <v>-1002</v>
      </c>
      <c r="V580" s="202">
        <f t="shared" si="299"/>
        <v>16566971</v>
      </c>
      <c r="W580" s="202">
        <f t="shared" si="299"/>
        <v>0</v>
      </c>
      <c r="X580" s="150"/>
      <c r="Z580" s="140">
        <f>IF($C580="B","",VLOOKUP($C580,orig_alloc!$A$13:$B$227,2,FALSE))</f>
      </c>
      <c r="AA580" s="141"/>
      <c r="AE580" s="141"/>
      <c r="AF580" s="141"/>
    </row>
    <row r="581" spans="1:32" ht="20.25">
      <c r="A581" s="132"/>
      <c r="B581" s="149"/>
      <c r="C581" s="132"/>
      <c r="D581" s="118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50"/>
      <c r="Z581" s="140">
        <f>IF($C581="B","",VLOOKUP($C581,orig_alloc!$A$13:$B$227,2,FALSE))</f>
      </c>
      <c r="AA581" s="141"/>
      <c r="AE581" s="141"/>
      <c r="AF581" s="141"/>
    </row>
    <row r="582" spans="1:32" ht="20.25">
      <c r="A582" s="312" t="s">
        <v>657</v>
      </c>
      <c r="B582" s="149"/>
      <c r="C582" s="132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50"/>
      <c r="Z582" s="140">
        <f>IF($C582="B","",VLOOKUP($C582,orig_alloc!$A$13:$B$227,2,FALSE))</f>
      </c>
      <c r="AA582" s="141"/>
      <c r="AE582" s="141"/>
      <c r="AF582" s="141"/>
    </row>
    <row r="583" spans="1:32" ht="20.25">
      <c r="A583" s="132" t="s">
        <v>4</v>
      </c>
      <c r="B583" s="149"/>
      <c r="C583" s="132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33"/>
      <c r="W583" s="133"/>
      <c r="X583" s="150"/>
      <c r="Z583" s="140">
        <f>IF($C583="B","",VLOOKUP($C583,orig_alloc!$A$13:$B$227,2,FALSE))</f>
      </c>
      <c r="AA583" s="141"/>
      <c r="AE583" s="141"/>
      <c r="AF583" s="141"/>
    </row>
    <row r="584" spans="1:32" ht="20.25">
      <c r="A584" s="132" t="s">
        <v>5</v>
      </c>
      <c r="B584" s="149" t="s">
        <v>1</v>
      </c>
      <c r="C584" s="132"/>
      <c r="D584" s="118">
        <f aca="true" t="shared" si="300" ref="D584:W584">D578</f>
        <v>14836480</v>
      </c>
      <c r="E584" s="118">
        <f t="shared" si="300"/>
        <v>4621713</v>
      </c>
      <c r="F584" s="118">
        <f t="shared" si="300"/>
        <v>5776622</v>
      </c>
      <c r="G584" s="118">
        <f t="shared" si="300"/>
        <v>12581</v>
      </c>
      <c r="H584" s="118">
        <f t="shared" si="300"/>
        <v>57126</v>
      </c>
      <c r="I584" s="118">
        <f t="shared" si="300"/>
        <v>16274</v>
      </c>
      <c r="J584" s="118">
        <f t="shared" si="300"/>
        <v>3983</v>
      </c>
      <c r="K584" s="118">
        <f t="shared" si="300"/>
        <v>2541345</v>
      </c>
      <c r="L584" s="118">
        <f t="shared" si="300"/>
        <v>48598</v>
      </c>
      <c r="M584" s="118">
        <f t="shared" si="300"/>
        <v>730591</v>
      </c>
      <c r="N584" s="118">
        <f t="shared" si="300"/>
        <v>110074</v>
      </c>
      <c r="O584" s="118">
        <f t="shared" si="300"/>
        <v>109778</v>
      </c>
      <c r="P584" s="118">
        <f t="shared" si="300"/>
        <v>0</v>
      </c>
      <c r="Q584" s="118">
        <f t="shared" si="300"/>
        <v>445645</v>
      </c>
      <c r="R584" s="118">
        <f t="shared" si="300"/>
        <v>56720</v>
      </c>
      <c r="S584" s="118">
        <f t="shared" si="300"/>
        <v>306679</v>
      </c>
      <c r="T584" s="118">
        <f t="shared" si="300"/>
        <v>0</v>
      </c>
      <c r="U584" s="118">
        <f t="shared" si="300"/>
        <v>-1249</v>
      </c>
      <c r="V584" s="118">
        <f t="shared" si="300"/>
        <v>14836480</v>
      </c>
      <c r="W584" s="118">
        <f t="shared" si="300"/>
        <v>0</v>
      </c>
      <c r="X584" s="150"/>
      <c r="Z584" s="140">
        <f>IF($C584="B","",VLOOKUP($C584,orig_alloc!$A$13:$B$227,2,FALSE))</f>
      </c>
      <c r="AA584" s="141"/>
      <c r="AE584" s="141"/>
      <c r="AF584" s="141"/>
    </row>
    <row r="585" spans="1:32" ht="20.25">
      <c r="A585" s="132" t="s">
        <v>859</v>
      </c>
      <c r="B585" s="149" t="s">
        <v>702</v>
      </c>
      <c r="C585" s="132"/>
      <c r="D585" s="118">
        <f aca="true" t="shared" si="301" ref="D585:W585">-D560</f>
        <v>0</v>
      </c>
      <c r="E585" s="118">
        <f t="shared" si="301"/>
        <v>0</v>
      </c>
      <c r="F585" s="118">
        <f t="shared" si="301"/>
        <v>0</v>
      </c>
      <c r="G585" s="118">
        <f t="shared" si="301"/>
        <v>0</v>
      </c>
      <c r="H585" s="118">
        <f t="shared" si="301"/>
        <v>0</v>
      </c>
      <c r="I585" s="118">
        <f t="shared" si="301"/>
        <v>0</v>
      </c>
      <c r="J585" s="118">
        <f t="shared" si="301"/>
        <v>0</v>
      </c>
      <c r="K585" s="118">
        <f t="shared" si="301"/>
        <v>0</v>
      </c>
      <c r="L585" s="118">
        <f t="shared" si="301"/>
        <v>0</v>
      </c>
      <c r="M585" s="118">
        <f t="shared" si="301"/>
        <v>0</v>
      </c>
      <c r="N585" s="118">
        <f t="shared" si="301"/>
        <v>0</v>
      </c>
      <c r="O585" s="118">
        <f t="shared" si="301"/>
        <v>0</v>
      </c>
      <c r="P585" s="118">
        <f t="shared" si="301"/>
        <v>0</v>
      </c>
      <c r="Q585" s="118">
        <f t="shared" si="301"/>
        <v>0</v>
      </c>
      <c r="R585" s="118">
        <f t="shared" si="301"/>
        <v>0</v>
      </c>
      <c r="S585" s="118">
        <f t="shared" si="301"/>
        <v>0</v>
      </c>
      <c r="T585" s="118">
        <f t="shared" si="301"/>
        <v>0</v>
      </c>
      <c r="U585" s="118">
        <f t="shared" si="301"/>
        <v>0</v>
      </c>
      <c r="V585" s="118">
        <f t="shared" si="301"/>
        <v>0</v>
      </c>
      <c r="W585" s="118">
        <f t="shared" si="301"/>
        <v>0</v>
      </c>
      <c r="X585" s="150"/>
      <c r="Z585" s="140">
        <f>IF($C585="B","",VLOOKUP($C585,orig_alloc!$A$13:$B$227,2,FALSE))</f>
      </c>
      <c r="AA585" s="141"/>
      <c r="AE585" s="141"/>
      <c r="AF585" s="141"/>
    </row>
    <row r="586" spans="1:32" ht="20.25">
      <c r="A586" s="240" t="s">
        <v>6</v>
      </c>
      <c r="B586" s="149" t="s">
        <v>7</v>
      </c>
      <c r="C586" s="132"/>
      <c r="D586" s="202">
        <f aca="true" t="shared" si="302" ref="D586:W586">SUM(D583:D585)</f>
        <v>14836480</v>
      </c>
      <c r="E586" s="202">
        <f t="shared" si="302"/>
        <v>4621713</v>
      </c>
      <c r="F586" s="202">
        <f t="shared" si="302"/>
        <v>5776622</v>
      </c>
      <c r="G586" s="202">
        <f t="shared" si="302"/>
        <v>12581</v>
      </c>
      <c r="H586" s="202">
        <f t="shared" si="302"/>
        <v>57126</v>
      </c>
      <c r="I586" s="202">
        <f t="shared" si="302"/>
        <v>16274</v>
      </c>
      <c r="J586" s="202">
        <f t="shared" si="302"/>
        <v>3983</v>
      </c>
      <c r="K586" s="202">
        <f t="shared" si="302"/>
        <v>2541345</v>
      </c>
      <c r="L586" s="202">
        <f t="shared" si="302"/>
        <v>48598</v>
      </c>
      <c r="M586" s="202">
        <f t="shared" si="302"/>
        <v>730591</v>
      </c>
      <c r="N586" s="202">
        <f t="shared" si="302"/>
        <v>110074</v>
      </c>
      <c r="O586" s="202">
        <f t="shared" si="302"/>
        <v>109778</v>
      </c>
      <c r="P586" s="202">
        <f t="shared" si="302"/>
        <v>0</v>
      </c>
      <c r="Q586" s="202">
        <f t="shared" si="302"/>
        <v>445645</v>
      </c>
      <c r="R586" s="202">
        <f t="shared" si="302"/>
        <v>56720</v>
      </c>
      <c r="S586" s="202">
        <f t="shared" si="302"/>
        <v>306679</v>
      </c>
      <c r="T586" s="202">
        <f t="shared" si="302"/>
        <v>0</v>
      </c>
      <c r="U586" s="202">
        <f t="shared" si="302"/>
        <v>-1249</v>
      </c>
      <c r="V586" s="202">
        <f t="shared" si="302"/>
        <v>14836480</v>
      </c>
      <c r="W586" s="202">
        <f t="shared" si="302"/>
        <v>0</v>
      </c>
      <c r="X586" s="150"/>
      <c r="Z586" s="140">
        <f>IF($C586="B","",VLOOKUP($C586,orig_alloc!$A$13:$B$227,2,FALSE))</f>
      </c>
      <c r="AA586" s="141"/>
      <c r="AE586" s="141"/>
      <c r="AF586" s="141"/>
    </row>
    <row r="587" spans="1:32" ht="20.25">
      <c r="A587" s="132"/>
      <c r="B587" s="149"/>
      <c r="C587" s="132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33"/>
      <c r="W587" s="133"/>
      <c r="X587" s="150"/>
      <c r="Z587" s="140">
        <f>IF($C587="B","",VLOOKUP($C587,orig_alloc!$A$13:$B$227,2,FALSE))</f>
      </c>
      <c r="AA587" s="141"/>
      <c r="AE587" s="141"/>
      <c r="AF587" s="141"/>
    </row>
    <row r="588" spans="1:32" ht="20.25">
      <c r="A588" s="132" t="s">
        <v>8</v>
      </c>
      <c r="B588" s="290" t="s">
        <v>1203</v>
      </c>
      <c r="C588" s="132"/>
      <c r="D588" s="118"/>
      <c r="E588" s="118"/>
      <c r="F588" s="118"/>
      <c r="G588" s="316"/>
      <c r="H588" s="316"/>
      <c r="I588" s="316"/>
      <c r="J588" s="316"/>
      <c r="K588" s="118"/>
      <c r="L588" s="316"/>
      <c r="M588" s="316"/>
      <c r="N588" s="316"/>
      <c r="O588" s="316"/>
      <c r="P588" s="316"/>
      <c r="Q588" s="118"/>
      <c r="R588" s="316"/>
      <c r="S588" s="316"/>
      <c r="T588" s="316"/>
      <c r="U588" s="118"/>
      <c r="V588" s="133"/>
      <c r="W588" s="133"/>
      <c r="X588" s="150"/>
      <c r="Z588" s="140">
        <f>IF($C588="B","",VLOOKUP($C588,orig_alloc!$A$13:$B$227,2,FALSE))</f>
      </c>
      <c r="AA588" s="141"/>
      <c r="AE588" s="141"/>
      <c r="AF588" s="141"/>
    </row>
    <row r="589" spans="1:32" ht="20.25">
      <c r="A589" s="132"/>
      <c r="B589" s="149"/>
      <c r="C589" s="132"/>
      <c r="D589" s="118"/>
      <c r="E589" s="118"/>
      <c r="F589" s="118"/>
      <c r="G589" s="315"/>
      <c r="H589" s="315"/>
      <c r="I589" s="315"/>
      <c r="J589" s="315"/>
      <c r="K589" s="118"/>
      <c r="L589" s="315"/>
      <c r="M589" s="315"/>
      <c r="N589" s="315"/>
      <c r="O589" s="315"/>
      <c r="P589" s="315"/>
      <c r="Q589" s="118"/>
      <c r="R589" s="315"/>
      <c r="S589" s="315"/>
      <c r="T589" s="315"/>
      <c r="U589" s="118"/>
      <c r="V589" s="133"/>
      <c r="W589" s="133"/>
      <c r="X589" s="150"/>
      <c r="Z589" s="140">
        <f>IF($C589="B","",VLOOKUP($C589,orig_alloc!$A$13:$B$227,2,FALSE))</f>
      </c>
      <c r="AA589" s="141"/>
      <c r="AE589" s="141"/>
      <c r="AF589" s="141"/>
    </row>
    <row r="590" spans="1:32" ht="20.25">
      <c r="A590" s="132" t="s">
        <v>9</v>
      </c>
      <c r="B590" s="149"/>
      <c r="C590" s="132"/>
      <c r="D590" s="118"/>
      <c r="E590" s="118"/>
      <c r="F590" s="118"/>
      <c r="G590" s="319"/>
      <c r="H590" s="319"/>
      <c r="I590" s="319"/>
      <c r="J590" s="319"/>
      <c r="K590" s="118"/>
      <c r="L590" s="319"/>
      <c r="M590" s="319"/>
      <c r="N590" s="319"/>
      <c r="O590" s="319"/>
      <c r="P590" s="319"/>
      <c r="Q590" s="118"/>
      <c r="R590" s="319"/>
      <c r="S590" s="319"/>
      <c r="T590" s="319"/>
      <c r="U590" s="118"/>
      <c r="V590" s="133"/>
      <c r="W590" s="133"/>
      <c r="X590" s="150"/>
      <c r="Z590" s="140">
        <f>IF($C590="B","",VLOOKUP($C590,orig_alloc!$A$13:$B$227,2,FALSE))</f>
      </c>
      <c r="AA590" s="141"/>
      <c r="AE590" s="141"/>
      <c r="AF590" s="141"/>
    </row>
    <row r="591" spans="1:32" ht="20.25">
      <c r="A591" s="148" t="s">
        <v>1303</v>
      </c>
      <c r="B591" s="149" t="s">
        <v>10</v>
      </c>
      <c r="C591" s="148" t="s">
        <v>270</v>
      </c>
      <c r="D591" s="201">
        <v>1109000</v>
      </c>
      <c r="E591" s="219">
        <f>V591-SUM(F591:U591)</f>
        <v>574765</v>
      </c>
      <c r="F591" s="118">
        <f aca="true" ca="1" t="shared" si="303" ref="F591:O593">ROUND($D591*VLOOKUP($C591,IF(LEFT($C591,1)="K",INDIRECT("TABLE"),INDIRECT("TABLE2")),F$9+1),0)</f>
        <v>254309</v>
      </c>
      <c r="G591" s="118">
        <f ca="1" t="shared" si="303"/>
        <v>243</v>
      </c>
      <c r="H591" s="118">
        <f ca="1" t="shared" si="303"/>
        <v>1001</v>
      </c>
      <c r="I591" s="118">
        <f ca="1" t="shared" si="303"/>
        <v>4533</v>
      </c>
      <c r="J591" s="118">
        <f ca="1" t="shared" si="303"/>
        <v>118</v>
      </c>
      <c r="K591" s="118">
        <f ca="1" t="shared" si="303"/>
        <v>140684</v>
      </c>
      <c r="L591" s="118">
        <f ca="1" t="shared" si="303"/>
        <v>1921</v>
      </c>
      <c r="M591" s="118">
        <f ca="1" t="shared" si="303"/>
        <v>81418</v>
      </c>
      <c r="N591" s="118">
        <f ca="1" t="shared" si="303"/>
        <v>3851</v>
      </c>
      <c r="O591" s="118">
        <f ca="1" t="shared" si="303"/>
        <v>6296</v>
      </c>
      <c r="P591" s="118">
        <f aca="true" ca="1" t="shared" si="304" ref="P591:V593">ROUND($D591*VLOOKUP($C591,IF(LEFT($C591,1)="K",INDIRECT("TABLE"),INDIRECT("TABLE2")),P$9+1),0)</f>
        <v>0</v>
      </c>
      <c r="Q591" s="118">
        <f ca="1" t="shared" si="304"/>
        <v>27235</v>
      </c>
      <c r="R591" s="118">
        <f ca="1" t="shared" si="304"/>
        <v>1571</v>
      </c>
      <c r="S591" s="118">
        <f ca="1" t="shared" si="304"/>
        <v>10895</v>
      </c>
      <c r="T591" s="118">
        <f ca="1" t="shared" si="304"/>
        <v>0</v>
      </c>
      <c r="U591" s="118">
        <f ca="1" t="shared" si="304"/>
        <v>160</v>
      </c>
      <c r="V591" s="118">
        <f ca="1" t="shared" si="304"/>
        <v>1109000</v>
      </c>
      <c r="W591" s="118">
        <f>D591-V591</f>
        <v>0</v>
      </c>
      <c r="X591" s="150"/>
      <c r="Z591" s="140" t="str">
        <f>IF($C591="B","",VLOOKUP($C591,orig_alloc!$A$13:$B$227,2,FALSE))</f>
        <v>WTD TOT DEPREC EXP RATIOS</v>
      </c>
      <c r="AA591" s="141"/>
      <c r="AE591" s="141"/>
      <c r="AF591" s="141"/>
    </row>
    <row r="592" spans="1:32" ht="20.25" hidden="1">
      <c r="A592" s="148" t="s">
        <v>855</v>
      </c>
      <c r="B592" s="149" t="s">
        <v>11</v>
      </c>
      <c r="C592" s="148" t="s">
        <v>328</v>
      </c>
      <c r="D592" s="241">
        <v>0</v>
      </c>
      <c r="E592" s="219">
        <f>V592-SUM(F592:U592)</f>
        <v>0</v>
      </c>
      <c r="F592" s="118">
        <f ca="1" t="shared" si="303"/>
        <v>0</v>
      </c>
      <c r="G592" s="316">
        <f ca="1" t="shared" si="303"/>
        <v>0</v>
      </c>
      <c r="H592" s="316">
        <f ca="1" t="shared" si="303"/>
        <v>0</v>
      </c>
      <c r="I592" s="316">
        <f ca="1" t="shared" si="303"/>
        <v>0</v>
      </c>
      <c r="J592" s="316">
        <f ca="1" t="shared" si="303"/>
        <v>0</v>
      </c>
      <c r="K592" s="118">
        <f ca="1" t="shared" si="303"/>
        <v>0</v>
      </c>
      <c r="L592" s="316">
        <f ca="1" t="shared" si="303"/>
        <v>0</v>
      </c>
      <c r="M592" s="316">
        <f ca="1" t="shared" si="303"/>
        <v>0</v>
      </c>
      <c r="N592" s="316">
        <f ca="1" t="shared" si="303"/>
        <v>0</v>
      </c>
      <c r="O592" s="316">
        <f ca="1" t="shared" si="303"/>
        <v>0</v>
      </c>
      <c r="P592" s="316">
        <f ca="1" t="shared" si="304"/>
        <v>0</v>
      </c>
      <c r="Q592" s="118">
        <f ca="1" t="shared" si="304"/>
        <v>0</v>
      </c>
      <c r="R592" s="316">
        <f ca="1" t="shared" si="304"/>
        <v>0</v>
      </c>
      <c r="S592" s="316">
        <f ca="1" t="shared" si="304"/>
        <v>0</v>
      </c>
      <c r="T592" s="316">
        <f ca="1" t="shared" si="304"/>
        <v>0</v>
      </c>
      <c r="U592" s="118">
        <f ca="1" t="shared" si="304"/>
        <v>0</v>
      </c>
      <c r="V592" s="118">
        <f ca="1" t="shared" si="304"/>
        <v>0</v>
      </c>
      <c r="W592" s="118">
        <f>D592-V592</f>
        <v>0</v>
      </c>
      <c r="X592" s="150"/>
      <c r="Z592" s="140" t="str">
        <f>IF($C592="B","",VLOOKUP($C592,orig_alloc!$A$13:$B$227,2,FALSE))</f>
        <v>WTD NET PLANT RATIOS</v>
      </c>
      <c r="AA592" s="141"/>
      <c r="AE592" s="141"/>
      <c r="AF592" s="141"/>
    </row>
    <row r="593" spans="1:32" ht="20.25" hidden="1">
      <c r="A593" s="148" t="s">
        <v>856</v>
      </c>
      <c r="B593" s="149" t="s">
        <v>12</v>
      </c>
      <c r="C593" s="148" t="s">
        <v>270</v>
      </c>
      <c r="D593" s="241">
        <v>0</v>
      </c>
      <c r="E593" s="219">
        <f>V593-SUM(F593:U593)</f>
        <v>0</v>
      </c>
      <c r="F593" s="118">
        <f ca="1" t="shared" si="303"/>
        <v>0</v>
      </c>
      <c r="G593" s="118">
        <f ca="1" t="shared" si="303"/>
        <v>0</v>
      </c>
      <c r="H593" s="118">
        <f ca="1" t="shared" si="303"/>
        <v>0</v>
      </c>
      <c r="I593" s="118">
        <f ca="1" t="shared" si="303"/>
        <v>0</v>
      </c>
      <c r="J593" s="118">
        <f ca="1" t="shared" si="303"/>
        <v>0</v>
      </c>
      <c r="K593" s="118">
        <f ca="1" t="shared" si="303"/>
        <v>0</v>
      </c>
      <c r="L593" s="118">
        <f ca="1" t="shared" si="303"/>
        <v>0</v>
      </c>
      <c r="M593" s="118">
        <f ca="1" t="shared" si="303"/>
        <v>0</v>
      </c>
      <c r="N593" s="118">
        <f ca="1" t="shared" si="303"/>
        <v>0</v>
      </c>
      <c r="O593" s="118">
        <f ca="1" t="shared" si="303"/>
        <v>0</v>
      </c>
      <c r="P593" s="118">
        <f ca="1" t="shared" si="304"/>
        <v>0</v>
      </c>
      <c r="Q593" s="118">
        <f ca="1" t="shared" si="304"/>
        <v>0</v>
      </c>
      <c r="R593" s="118">
        <f ca="1" t="shared" si="304"/>
        <v>0</v>
      </c>
      <c r="S593" s="118">
        <f ca="1" t="shared" si="304"/>
        <v>0</v>
      </c>
      <c r="T593" s="118">
        <f ca="1" t="shared" si="304"/>
        <v>0</v>
      </c>
      <c r="U593" s="118">
        <f ca="1" t="shared" si="304"/>
        <v>0</v>
      </c>
      <c r="V593" s="118">
        <f ca="1" t="shared" si="304"/>
        <v>0</v>
      </c>
      <c r="W593" s="118">
        <f>D593-V593</f>
        <v>0</v>
      </c>
      <c r="X593" s="150"/>
      <c r="Z593" s="140" t="str">
        <f>IF($C593="B","",VLOOKUP($C593,orig_alloc!$A$13:$B$227,2,FALSE))</f>
        <v>WTD TOT DEPREC EXP RATIOS</v>
      </c>
      <c r="AA593" s="141"/>
      <c r="AE593" s="141"/>
      <c r="AF593" s="141"/>
    </row>
    <row r="594" spans="1:32" ht="20.25">
      <c r="A594" s="240" t="s">
        <v>13</v>
      </c>
      <c r="B594" s="149" t="s">
        <v>14</v>
      </c>
      <c r="C594" s="132"/>
      <c r="D594" s="202">
        <f aca="true" t="shared" si="305" ref="D594:W594">SUM(D590:D593)</f>
        <v>1109000</v>
      </c>
      <c r="E594" s="202">
        <f t="shared" si="305"/>
        <v>574765</v>
      </c>
      <c r="F594" s="202">
        <f t="shared" si="305"/>
        <v>254309</v>
      </c>
      <c r="G594" s="202">
        <f t="shared" si="305"/>
        <v>243</v>
      </c>
      <c r="H594" s="202">
        <f t="shared" si="305"/>
        <v>1001</v>
      </c>
      <c r="I594" s="202">
        <f t="shared" si="305"/>
        <v>4533</v>
      </c>
      <c r="J594" s="202">
        <f t="shared" si="305"/>
        <v>118</v>
      </c>
      <c r="K594" s="202">
        <f t="shared" si="305"/>
        <v>140684</v>
      </c>
      <c r="L594" s="202">
        <f t="shared" si="305"/>
        <v>1921</v>
      </c>
      <c r="M594" s="202">
        <f t="shared" si="305"/>
        <v>81418</v>
      </c>
      <c r="N594" s="202">
        <f t="shared" si="305"/>
        <v>3851</v>
      </c>
      <c r="O594" s="202">
        <f t="shared" si="305"/>
        <v>6296</v>
      </c>
      <c r="P594" s="202">
        <f t="shared" si="305"/>
        <v>0</v>
      </c>
      <c r="Q594" s="202">
        <f t="shared" si="305"/>
        <v>27235</v>
      </c>
      <c r="R594" s="202">
        <f t="shared" si="305"/>
        <v>1571</v>
      </c>
      <c r="S594" s="202">
        <f t="shared" si="305"/>
        <v>10895</v>
      </c>
      <c r="T594" s="202">
        <f t="shared" si="305"/>
        <v>0</v>
      </c>
      <c r="U594" s="202">
        <f t="shared" si="305"/>
        <v>160</v>
      </c>
      <c r="V594" s="202">
        <f t="shared" si="305"/>
        <v>1109000</v>
      </c>
      <c r="W594" s="202">
        <f t="shared" si="305"/>
        <v>0</v>
      </c>
      <c r="X594" s="150"/>
      <c r="Z594" s="140">
        <f>IF($C594="B","",VLOOKUP($C594,orig_alloc!$A$13:$B$227,2,FALSE))</f>
      </c>
      <c r="AA594" s="141"/>
      <c r="AE594" s="141"/>
      <c r="AF594" s="141"/>
    </row>
    <row r="595" spans="1:32" ht="20.25">
      <c r="A595" s="132"/>
      <c r="B595" s="149"/>
      <c r="C595" s="132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50"/>
      <c r="Z595" s="140">
        <f>IF($C595="B","",VLOOKUP($C595,orig_alloc!$A$13:$B$227,2,FALSE))</f>
      </c>
      <c r="AA595" s="141"/>
      <c r="AE595" s="141"/>
      <c r="AF595" s="141"/>
    </row>
    <row r="596" spans="1:32" ht="20.25">
      <c r="A596" s="132" t="s">
        <v>15</v>
      </c>
      <c r="B596" s="149"/>
      <c r="C596" s="132"/>
      <c r="D596" s="118"/>
      <c r="E596" s="118"/>
      <c r="F596" s="118"/>
      <c r="G596" s="118"/>
      <c r="H596" s="118"/>
      <c r="I596" s="118"/>
      <c r="J596" s="118"/>
      <c r="K596" s="133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50"/>
      <c r="Z596" s="140">
        <f>IF($C596="B","",VLOOKUP($C596,orig_alloc!$A$13:$B$227,2,FALSE))</f>
      </c>
      <c r="AA596" s="141"/>
      <c r="AE596" s="141"/>
      <c r="AF596" s="141"/>
    </row>
    <row r="597" spans="1:32" ht="20.25">
      <c r="A597" s="132"/>
      <c r="B597" s="149"/>
      <c r="C597" s="132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33"/>
      <c r="W597" s="133"/>
      <c r="X597" s="150"/>
      <c r="Z597" s="140">
        <f>IF($C597="B","",VLOOKUP($C597,orig_alloc!$A$13:$B$227,2,FALSE))</f>
      </c>
      <c r="AA597" s="141"/>
      <c r="AE597" s="141"/>
      <c r="AF597" s="141"/>
    </row>
    <row r="598" spans="1:32" ht="20.25">
      <c r="A598" s="132" t="s">
        <v>739</v>
      </c>
      <c r="B598" s="149"/>
      <c r="C598" s="132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33"/>
      <c r="W598" s="133"/>
      <c r="X598" s="150"/>
      <c r="Z598" s="140">
        <f>IF($C598="B","",VLOOKUP($C598,orig_alloc!$A$13:$B$227,2,FALSE))</f>
      </c>
      <c r="AA598" s="141"/>
      <c r="AE598" s="141"/>
      <c r="AF598" s="141"/>
    </row>
    <row r="599" spans="1:32" ht="20.25" hidden="1">
      <c r="A599" s="148" t="s">
        <v>737</v>
      </c>
      <c r="B599" s="149" t="s">
        <v>16</v>
      </c>
      <c r="C599" s="148" t="s">
        <v>270</v>
      </c>
      <c r="D599" s="201">
        <v>0</v>
      </c>
      <c r="E599" s="219">
        <f aca="true" t="shared" si="306" ref="E599:E608">V599-SUM(F599:U599)</f>
        <v>0</v>
      </c>
      <c r="F599" s="118">
        <f aca="true" ca="1" t="shared" si="307" ref="F599:O608">ROUND($D599*VLOOKUP($C599,IF(LEFT($C599,1)="K",INDIRECT("TABLE"),INDIRECT("TABLE2")),F$9+1),0)</f>
        <v>0</v>
      </c>
      <c r="G599" s="118">
        <f ca="1" t="shared" si="307"/>
        <v>0</v>
      </c>
      <c r="H599" s="118">
        <f ca="1" t="shared" si="307"/>
        <v>0</v>
      </c>
      <c r="I599" s="118">
        <f ca="1" t="shared" si="307"/>
        <v>0</v>
      </c>
      <c r="J599" s="118">
        <f ca="1" t="shared" si="307"/>
        <v>0</v>
      </c>
      <c r="K599" s="118">
        <f ca="1" t="shared" si="307"/>
        <v>0</v>
      </c>
      <c r="L599" s="118">
        <f ca="1" t="shared" si="307"/>
        <v>0</v>
      </c>
      <c r="M599" s="118">
        <f ca="1" t="shared" si="307"/>
        <v>0</v>
      </c>
      <c r="N599" s="118">
        <f ca="1" t="shared" si="307"/>
        <v>0</v>
      </c>
      <c r="O599" s="118">
        <f ca="1" t="shared" si="307"/>
        <v>0</v>
      </c>
      <c r="P599" s="118">
        <f aca="true" ca="1" t="shared" si="308" ref="P599:V608">ROUND($D599*VLOOKUP($C599,IF(LEFT($C599,1)="K",INDIRECT("TABLE"),INDIRECT("TABLE2")),P$9+1),0)</f>
        <v>0</v>
      </c>
      <c r="Q599" s="118">
        <f ca="1" t="shared" si="308"/>
        <v>0</v>
      </c>
      <c r="R599" s="118">
        <f ca="1" t="shared" si="308"/>
        <v>0</v>
      </c>
      <c r="S599" s="118">
        <f ca="1" t="shared" si="308"/>
        <v>0</v>
      </c>
      <c r="T599" s="118">
        <f ca="1" t="shared" si="308"/>
        <v>0</v>
      </c>
      <c r="U599" s="118">
        <f ca="1" t="shared" si="308"/>
        <v>0</v>
      </c>
      <c r="V599" s="118">
        <f ca="1" t="shared" si="308"/>
        <v>0</v>
      </c>
      <c r="W599" s="118">
        <f aca="true" t="shared" si="309" ref="W599:W608">D599-V599</f>
        <v>0</v>
      </c>
      <c r="X599" s="150"/>
      <c r="Z599" s="140" t="str">
        <f>IF($C599="B","",VLOOKUP($C599,orig_alloc!$A$13:$B$227,2,FALSE))</f>
        <v>WTD TOT DEPREC EXP RATIOS</v>
      </c>
      <c r="AA599" s="141"/>
      <c r="AE599" s="141"/>
      <c r="AF599" s="141"/>
    </row>
    <row r="600" spans="1:32" ht="20.25">
      <c r="A600" s="148" t="s">
        <v>1304</v>
      </c>
      <c r="B600" s="149" t="s">
        <v>18</v>
      </c>
      <c r="C600" s="148" t="s">
        <v>328</v>
      </c>
      <c r="D600" s="201">
        <v>-39700</v>
      </c>
      <c r="E600" s="219">
        <f t="shared" si="306"/>
        <v>-20575</v>
      </c>
      <c r="F600" s="118">
        <f ca="1" t="shared" si="307"/>
        <v>-9124</v>
      </c>
      <c r="G600" s="118">
        <f ca="1" t="shared" si="307"/>
        <v>-9</v>
      </c>
      <c r="H600" s="118">
        <f ca="1" t="shared" si="307"/>
        <v>-36</v>
      </c>
      <c r="I600" s="118">
        <f ca="1" t="shared" si="307"/>
        <v>-162</v>
      </c>
      <c r="J600" s="118">
        <f ca="1" t="shared" si="307"/>
        <v>-4</v>
      </c>
      <c r="K600" s="118">
        <f ca="1" t="shared" si="307"/>
        <v>-5048</v>
      </c>
      <c r="L600" s="118">
        <f ca="1" t="shared" si="307"/>
        <v>-69</v>
      </c>
      <c r="M600" s="118">
        <f ca="1" t="shared" si="307"/>
        <v>-2900</v>
      </c>
      <c r="N600" s="118">
        <f ca="1" t="shared" si="307"/>
        <v>-137</v>
      </c>
      <c r="O600" s="118">
        <f ca="1" t="shared" si="307"/>
        <v>-225</v>
      </c>
      <c r="P600" s="118">
        <f ca="1" t="shared" si="308"/>
        <v>0</v>
      </c>
      <c r="Q600" s="118">
        <f ca="1" t="shared" si="308"/>
        <v>-947</v>
      </c>
      <c r="R600" s="118">
        <f ca="1" t="shared" si="308"/>
        <v>-55</v>
      </c>
      <c r="S600" s="118">
        <f ca="1" t="shared" si="308"/>
        <v>-403</v>
      </c>
      <c r="T600" s="118">
        <f ca="1" t="shared" si="308"/>
        <v>0</v>
      </c>
      <c r="U600" s="118">
        <f ca="1" t="shared" si="308"/>
        <v>-6</v>
      </c>
      <c r="V600" s="118">
        <f ca="1" t="shared" si="308"/>
        <v>-39700</v>
      </c>
      <c r="W600" s="118">
        <f t="shared" si="309"/>
        <v>0</v>
      </c>
      <c r="X600" s="150"/>
      <c r="Z600" s="140" t="str">
        <f>IF($C600="B","",VLOOKUP($C600,orig_alloc!$A$13:$B$227,2,FALSE))</f>
        <v>WTD NET PLANT RATIOS</v>
      </c>
      <c r="AA600" s="141"/>
      <c r="AE600" s="141"/>
      <c r="AF600" s="141"/>
    </row>
    <row r="601" spans="1:32" ht="20.25">
      <c r="A601" s="148" t="s">
        <v>1301</v>
      </c>
      <c r="B601" s="149" t="s">
        <v>18</v>
      </c>
      <c r="C601" s="148" t="s">
        <v>270</v>
      </c>
      <c r="D601" s="201">
        <v>-13210</v>
      </c>
      <c r="E601" s="219">
        <f t="shared" si="306"/>
        <v>-6846</v>
      </c>
      <c r="F601" s="118">
        <f ca="1" t="shared" si="307"/>
        <v>-3029</v>
      </c>
      <c r="G601" s="118">
        <f ca="1" t="shared" si="307"/>
        <v>-3</v>
      </c>
      <c r="H601" s="118">
        <f ca="1" t="shared" si="307"/>
        <v>-12</v>
      </c>
      <c r="I601" s="118">
        <f ca="1" t="shared" si="307"/>
        <v>-54</v>
      </c>
      <c r="J601" s="118">
        <f ca="1" t="shared" si="307"/>
        <v>-1</v>
      </c>
      <c r="K601" s="118">
        <f ca="1" t="shared" si="307"/>
        <v>-1676</v>
      </c>
      <c r="L601" s="118">
        <f ca="1" t="shared" si="307"/>
        <v>-23</v>
      </c>
      <c r="M601" s="118">
        <f ca="1" t="shared" si="307"/>
        <v>-970</v>
      </c>
      <c r="N601" s="118">
        <f ca="1" t="shared" si="307"/>
        <v>-46</v>
      </c>
      <c r="O601" s="118">
        <f ca="1" t="shared" si="307"/>
        <v>-75</v>
      </c>
      <c r="P601" s="118">
        <f ca="1" t="shared" si="308"/>
        <v>0</v>
      </c>
      <c r="Q601" s="118">
        <f ca="1" t="shared" si="308"/>
        <v>-324</v>
      </c>
      <c r="R601" s="118">
        <f ca="1" t="shared" si="308"/>
        <v>-19</v>
      </c>
      <c r="S601" s="118">
        <f ca="1" t="shared" si="308"/>
        <v>-130</v>
      </c>
      <c r="T601" s="118">
        <f ca="1" t="shared" si="308"/>
        <v>0</v>
      </c>
      <c r="U601" s="118">
        <f ca="1" t="shared" si="308"/>
        <v>-2</v>
      </c>
      <c r="V601" s="118">
        <f ca="1" t="shared" si="308"/>
        <v>-13210</v>
      </c>
      <c r="W601" s="118">
        <f t="shared" si="309"/>
        <v>0</v>
      </c>
      <c r="X601" s="150"/>
      <c r="Z601" s="140" t="str">
        <f>IF($C601="B","",VLOOKUP($C601,orig_alloc!$A$13:$B$227,2,FALSE))</f>
        <v>WTD TOT DEPREC EXP RATIOS</v>
      </c>
      <c r="AA601" s="141"/>
      <c r="AE601" s="141"/>
      <c r="AF601" s="141"/>
    </row>
    <row r="602" spans="1:32" ht="20.25" hidden="1">
      <c r="A602" s="148" t="s">
        <v>454</v>
      </c>
      <c r="B602" s="149" t="s">
        <v>21</v>
      </c>
      <c r="C602" s="148" t="s">
        <v>889</v>
      </c>
      <c r="D602" s="201">
        <v>0</v>
      </c>
      <c r="E602" s="219">
        <f t="shared" si="306"/>
        <v>0</v>
      </c>
      <c r="F602" s="118">
        <f ca="1" t="shared" si="307"/>
        <v>0</v>
      </c>
      <c r="G602" s="118">
        <f ca="1" t="shared" si="307"/>
        <v>0</v>
      </c>
      <c r="H602" s="118">
        <f ca="1" t="shared" si="307"/>
        <v>0</v>
      </c>
      <c r="I602" s="118">
        <f ca="1" t="shared" si="307"/>
        <v>0</v>
      </c>
      <c r="J602" s="118">
        <f ca="1" t="shared" si="307"/>
        <v>0</v>
      </c>
      <c r="K602" s="118">
        <f ca="1" t="shared" si="307"/>
        <v>0</v>
      </c>
      <c r="L602" s="118">
        <f ca="1" t="shared" si="307"/>
        <v>0</v>
      </c>
      <c r="M602" s="118">
        <f ca="1" t="shared" si="307"/>
        <v>0</v>
      </c>
      <c r="N602" s="118">
        <f ca="1" t="shared" si="307"/>
        <v>0</v>
      </c>
      <c r="O602" s="118">
        <f ca="1" t="shared" si="307"/>
        <v>0</v>
      </c>
      <c r="P602" s="118">
        <f ca="1" t="shared" si="308"/>
        <v>0</v>
      </c>
      <c r="Q602" s="118">
        <f ca="1" t="shared" si="308"/>
        <v>0</v>
      </c>
      <c r="R602" s="118">
        <f ca="1" t="shared" si="308"/>
        <v>0</v>
      </c>
      <c r="S602" s="118">
        <f ca="1" t="shared" si="308"/>
        <v>0</v>
      </c>
      <c r="T602" s="118">
        <f ca="1" t="shared" si="308"/>
        <v>0</v>
      </c>
      <c r="U602" s="118">
        <f ca="1" t="shared" si="308"/>
        <v>0</v>
      </c>
      <c r="V602" s="118">
        <f ca="1" t="shared" si="308"/>
        <v>0</v>
      </c>
      <c r="W602" s="118">
        <f t="shared" si="309"/>
        <v>0</v>
      </c>
      <c r="X602" s="150"/>
      <c r="Z602" s="140" t="str">
        <f>IF($C602="B","",VLOOKUP($C602,orig_alloc!$A$13:$B$227,2,FALSE))</f>
        <v>WTD UNCOLLECTIBLE ACCOUNT O&amp;M</v>
      </c>
      <c r="AA602" s="141"/>
      <c r="AE602" s="141"/>
      <c r="AF602" s="141"/>
    </row>
    <row r="603" spans="1:32" ht="20.25" hidden="1">
      <c r="A603" s="148" t="s">
        <v>845</v>
      </c>
      <c r="B603" s="149" t="s">
        <v>17</v>
      </c>
      <c r="C603" s="148" t="s">
        <v>892</v>
      </c>
      <c r="D603" s="201">
        <v>0</v>
      </c>
      <c r="E603" s="219">
        <f t="shared" si="306"/>
        <v>0</v>
      </c>
      <c r="F603" s="118">
        <f ca="1" t="shared" si="307"/>
        <v>0</v>
      </c>
      <c r="G603" s="118">
        <f ca="1" t="shared" si="307"/>
        <v>0</v>
      </c>
      <c r="H603" s="118">
        <f ca="1" t="shared" si="307"/>
        <v>0</v>
      </c>
      <c r="I603" s="118">
        <f ca="1" t="shared" si="307"/>
        <v>0</v>
      </c>
      <c r="J603" s="118">
        <f ca="1" t="shared" si="307"/>
        <v>0</v>
      </c>
      <c r="K603" s="118">
        <f ca="1" t="shared" si="307"/>
        <v>0</v>
      </c>
      <c r="L603" s="118">
        <f ca="1" t="shared" si="307"/>
        <v>0</v>
      </c>
      <c r="M603" s="118">
        <f ca="1" t="shared" si="307"/>
        <v>0</v>
      </c>
      <c r="N603" s="118">
        <f ca="1" t="shared" si="307"/>
        <v>0</v>
      </c>
      <c r="O603" s="118">
        <f ca="1" t="shared" si="307"/>
        <v>0</v>
      </c>
      <c r="P603" s="118">
        <f ca="1" t="shared" si="308"/>
        <v>0</v>
      </c>
      <c r="Q603" s="118">
        <f ca="1" t="shared" si="308"/>
        <v>0</v>
      </c>
      <c r="R603" s="118">
        <f ca="1" t="shared" si="308"/>
        <v>0</v>
      </c>
      <c r="S603" s="118">
        <f ca="1" t="shared" si="308"/>
        <v>0</v>
      </c>
      <c r="T603" s="118">
        <f ca="1" t="shared" si="308"/>
        <v>0</v>
      </c>
      <c r="U603" s="118">
        <f ca="1" t="shared" si="308"/>
        <v>0</v>
      </c>
      <c r="V603" s="118">
        <f ca="1" t="shared" si="308"/>
        <v>0</v>
      </c>
      <c r="W603" s="118">
        <f t="shared" si="309"/>
        <v>0</v>
      </c>
      <c r="X603" s="150"/>
      <c r="Z603" s="140" t="str">
        <f>IF($C603="B","",VLOOKUP($C603,orig_alloc!$A$13:$B$227,2,FALSE))</f>
        <v>ASSIGN 100% TO RESIDENTIAL</v>
      </c>
      <c r="AA603" s="141"/>
      <c r="AE603" s="141"/>
      <c r="AF603" s="141"/>
    </row>
    <row r="604" spans="1:32" ht="20.25">
      <c r="A604" s="148" t="s">
        <v>1305</v>
      </c>
      <c r="B604" s="149" t="s">
        <v>18</v>
      </c>
      <c r="C604" s="148" t="s">
        <v>328</v>
      </c>
      <c r="D604" s="201">
        <v>447744</v>
      </c>
      <c r="E604" s="219">
        <f t="shared" si="306"/>
        <v>232056</v>
      </c>
      <c r="F604" s="118">
        <f ca="1" t="shared" si="307"/>
        <v>102901</v>
      </c>
      <c r="G604" s="118">
        <f ca="1" t="shared" si="307"/>
        <v>98</v>
      </c>
      <c r="H604" s="118">
        <f ca="1" t="shared" si="307"/>
        <v>404</v>
      </c>
      <c r="I604" s="118">
        <f ca="1" t="shared" si="307"/>
        <v>1826</v>
      </c>
      <c r="J604" s="118">
        <f ca="1" t="shared" si="307"/>
        <v>48</v>
      </c>
      <c r="K604" s="118">
        <f ca="1" t="shared" si="307"/>
        <v>56936</v>
      </c>
      <c r="L604" s="118">
        <f ca="1" t="shared" si="307"/>
        <v>774</v>
      </c>
      <c r="M604" s="118">
        <f ca="1" t="shared" si="307"/>
        <v>32711</v>
      </c>
      <c r="N604" s="118">
        <f ca="1" t="shared" si="307"/>
        <v>1546</v>
      </c>
      <c r="O604" s="118">
        <f ca="1" t="shared" si="307"/>
        <v>2537</v>
      </c>
      <c r="P604" s="118">
        <f ca="1" t="shared" si="308"/>
        <v>0</v>
      </c>
      <c r="Q604" s="118">
        <f ca="1" t="shared" si="308"/>
        <v>10681</v>
      </c>
      <c r="R604" s="118">
        <f ca="1" t="shared" si="308"/>
        <v>616</v>
      </c>
      <c r="S604" s="118">
        <f ca="1" t="shared" si="308"/>
        <v>4546</v>
      </c>
      <c r="T604" s="118">
        <f ca="1" t="shared" si="308"/>
        <v>0</v>
      </c>
      <c r="U604" s="118">
        <f ca="1" t="shared" si="308"/>
        <v>64</v>
      </c>
      <c r="V604" s="118">
        <f ca="1" t="shared" si="308"/>
        <v>447744</v>
      </c>
      <c r="W604" s="118">
        <f t="shared" si="309"/>
        <v>0</v>
      </c>
      <c r="X604" s="150"/>
      <c r="Z604" s="140" t="str">
        <f>IF($C604="B","",VLOOKUP($C604,orig_alloc!$A$13:$B$227,2,FALSE))</f>
        <v>WTD NET PLANT RATIOS</v>
      </c>
      <c r="AA604" s="141"/>
      <c r="AE604" s="141"/>
      <c r="AF604" s="141"/>
    </row>
    <row r="605" spans="1:32" ht="20.25" hidden="1">
      <c r="A605" s="148" t="s">
        <v>1064</v>
      </c>
      <c r="B605" s="149" t="s">
        <v>19</v>
      </c>
      <c r="C605" s="148" t="s">
        <v>328</v>
      </c>
      <c r="D605" s="201">
        <v>0</v>
      </c>
      <c r="E605" s="219">
        <f t="shared" si="306"/>
        <v>0</v>
      </c>
      <c r="F605" s="118">
        <f ca="1" t="shared" si="307"/>
        <v>0</v>
      </c>
      <c r="G605" s="118">
        <f ca="1" t="shared" si="307"/>
        <v>0</v>
      </c>
      <c r="H605" s="118">
        <f ca="1" t="shared" si="307"/>
        <v>0</v>
      </c>
      <c r="I605" s="118">
        <f ca="1" t="shared" si="307"/>
        <v>0</v>
      </c>
      <c r="J605" s="118">
        <f ca="1" t="shared" si="307"/>
        <v>0</v>
      </c>
      <c r="K605" s="118">
        <f ca="1" t="shared" si="307"/>
        <v>0</v>
      </c>
      <c r="L605" s="118">
        <f ca="1" t="shared" si="307"/>
        <v>0</v>
      </c>
      <c r="M605" s="118">
        <f ca="1" t="shared" si="307"/>
        <v>0</v>
      </c>
      <c r="N605" s="118">
        <f ca="1" t="shared" si="307"/>
        <v>0</v>
      </c>
      <c r="O605" s="118">
        <f ca="1" t="shared" si="307"/>
        <v>0</v>
      </c>
      <c r="P605" s="118">
        <f ca="1" t="shared" si="308"/>
        <v>0</v>
      </c>
      <c r="Q605" s="118">
        <f ca="1" t="shared" si="308"/>
        <v>0</v>
      </c>
      <c r="R605" s="118">
        <f ca="1" t="shared" si="308"/>
        <v>0</v>
      </c>
      <c r="S605" s="118">
        <f ca="1" t="shared" si="308"/>
        <v>0</v>
      </c>
      <c r="T605" s="118">
        <f ca="1" t="shared" si="308"/>
        <v>0</v>
      </c>
      <c r="U605" s="118">
        <f ca="1" t="shared" si="308"/>
        <v>0</v>
      </c>
      <c r="V605" s="118">
        <f ca="1" t="shared" si="308"/>
        <v>0</v>
      </c>
      <c r="W605" s="118">
        <f t="shared" si="309"/>
        <v>0</v>
      </c>
      <c r="X605" s="150"/>
      <c r="Z605" s="140" t="str">
        <f>IF($C605="B","",VLOOKUP($C605,orig_alloc!$A$13:$B$227,2,FALSE))</f>
        <v>WTD NET PLANT RATIOS</v>
      </c>
      <c r="AA605" s="141"/>
      <c r="AE605" s="141"/>
      <c r="AF605" s="141"/>
    </row>
    <row r="606" spans="1:32" ht="20.25" hidden="1">
      <c r="A606" s="148" t="s">
        <v>846</v>
      </c>
      <c r="B606" s="149" t="s">
        <v>20</v>
      </c>
      <c r="C606" s="148" t="s">
        <v>328</v>
      </c>
      <c r="D606" s="241">
        <v>0</v>
      </c>
      <c r="E606" s="219">
        <f t="shared" si="306"/>
        <v>0</v>
      </c>
      <c r="F606" s="118">
        <f ca="1" t="shared" si="307"/>
        <v>0</v>
      </c>
      <c r="G606" s="118">
        <f ca="1" t="shared" si="307"/>
        <v>0</v>
      </c>
      <c r="H606" s="118">
        <f ca="1" t="shared" si="307"/>
        <v>0</v>
      </c>
      <c r="I606" s="118">
        <f ca="1" t="shared" si="307"/>
        <v>0</v>
      </c>
      <c r="J606" s="118">
        <f ca="1" t="shared" si="307"/>
        <v>0</v>
      </c>
      <c r="K606" s="118">
        <f ca="1" t="shared" si="307"/>
        <v>0</v>
      </c>
      <c r="L606" s="118">
        <f ca="1" t="shared" si="307"/>
        <v>0</v>
      </c>
      <c r="M606" s="118">
        <f ca="1" t="shared" si="307"/>
        <v>0</v>
      </c>
      <c r="N606" s="118">
        <f ca="1" t="shared" si="307"/>
        <v>0</v>
      </c>
      <c r="O606" s="118">
        <f ca="1" t="shared" si="307"/>
        <v>0</v>
      </c>
      <c r="P606" s="118">
        <f ca="1" t="shared" si="308"/>
        <v>0</v>
      </c>
      <c r="Q606" s="118">
        <f ca="1" t="shared" si="308"/>
        <v>0</v>
      </c>
      <c r="R606" s="118">
        <f ca="1" t="shared" si="308"/>
        <v>0</v>
      </c>
      <c r="S606" s="118">
        <f ca="1" t="shared" si="308"/>
        <v>0</v>
      </c>
      <c r="T606" s="118">
        <f ca="1" t="shared" si="308"/>
        <v>0</v>
      </c>
      <c r="U606" s="118">
        <f ca="1" t="shared" si="308"/>
        <v>0</v>
      </c>
      <c r="V606" s="118">
        <f ca="1" t="shared" si="308"/>
        <v>0</v>
      </c>
      <c r="W606" s="118">
        <f t="shared" si="309"/>
        <v>0</v>
      </c>
      <c r="X606" s="150"/>
      <c r="Z606" s="140" t="str">
        <f>IF($C606="B","",VLOOKUP($C606,orig_alloc!$A$13:$B$227,2,FALSE))</f>
        <v>WTD NET PLANT RATIOS</v>
      </c>
      <c r="AA606" s="141"/>
      <c r="AE606" s="141"/>
      <c r="AF606" s="141"/>
    </row>
    <row r="607" spans="1:32" ht="20.25" hidden="1">
      <c r="A607" s="148" t="s">
        <v>445</v>
      </c>
      <c r="B607" s="149" t="s">
        <v>21</v>
      </c>
      <c r="C607" s="148" t="s">
        <v>328</v>
      </c>
      <c r="D607" s="201">
        <v>0</v>
      </c>
      <c r="E607" s="219">
        <f t="shared" si="306"/>
        <v>0</v>
      </c>
      <c r="F607" s="118">
        <f ca="1" t="shared" si="307"/>
        <v>0</v>
      </c>
      <c r="G607" s="118">
        <f ca="1" t="shared" si="307"/>
        <v>0</v>
      </c>
      <c r="H607" s="118">
        <f ca="1" t="shared" si="307"/>
        <v>0</v>
      </c>
      <c r="I607" s="118">
        <f ca="1" t="shared" si="307"/>
        <v>0</v>
      </c>
      <c r="J607" s="118">
        <f ca="1" t="shared" si="307"/>
        <v>0</v>
      </c>
      <c r="K607" s="118">
        <f ca="1" t="shared" si="307"/>
        <v>0</v>
      </c>
      <c r="L607" s="118">
        <f ca="1" t="shared" si="307"/>
        <v>0</v>
      </c>
      <c r="M607" s="118">
        <f ca="1" t="shared" si="307"/>
        <v>0</v>
      </c>
      <c r="N607" s="118">
        <f ca="1" t="shared" si="307"/>
        <v>0</v>
      </c>
      <c r="O607" s="118">
        <f ca="1" t="shared" si="307"/>
        <v>0</v>
      </c>
      <c r="P607" s="118">
        <f ca="1" t="shared" si="308"/>
        <v>0</v>
      </c>
      <c r="Q607" s="118">
        <f ca="1" t="shared" si="308"/>
        <v>0</v>
      </c>
      <c r="R607" s="118">
        <f ca="1" t="shared" si="308"/>
        <v>0</v>
      </c>
      <c r="S607" s="118">
        <f ca="1" t="shared" si="308"/>
        <v>0</v>
      </c>
      <c r="T607" s="118">
        <f ca="1" t="shared" si="308"/>
        <v>0</v>
      </c>
      <c r="U607" s="118">
        <f ca="1" t="shared" si="308"/>
        <v>0</v>
      </c>
      <c r="V607" s="118">
        <f ca="1" t="shared" si="308"/>
        <v>0</v>
      </c>
      <c r="W607" s="118">
        <f t="shared" si="309"/>
        <v>0</v>
      </c>
      <c r="X607" s="150"/>
      <c r="Z607" s="140" t="str">
        <f>IF($C607="B","",VLOOKUP($C607,orig_alloc!$A$13:$B$227,2,FALSE))</f>
        <v>WTD NET PLANT RATIOS</v>
      </c>
      <c r="AA607" s="141"/>
      <c r="AE607" s="141"/>
      <c r="AF607" s="141"/>
    </row>
    <row r="608" spans="1:32" ht="20.25" hidden="1">
      <c r="A608" s="148" t="s">
        <v>836</v>
      </c>
      <c r="B608" s="149" t="s">
        <v>22</v>
      </c>
      <c r="C608" s="148" t="s">
        <v>328</v>
      </c>
      <c r="D608" s="201">
        <v>0</v>
      </c>
      <c r="E608" s="219">
        <f t="shared" si="306"/>
        <v>0</v>
      </c>
      <c r="F608" s="118">
        <f ca="1" t="shared" si="307"/>
        <v>0</v>
      </c>
      <c r="G608" s="118">
        <f ca="1" t="shared" si="307"/>
        <v>0</v>
      </c>
      <c r="H608" s="118">
        <f ca="1" t="shared" si="307"/>
        <v>0</v>
      </c>
      <c r="I608" s="118">
        <f ca="1" t="shared" si="307"/>
        <v>0</v>
      </c>
      <c r="J608" s="118">
        <f ca="1" t="shared" si="307"/>
        <v>0</v>
      </c>
      <c r="K608" s="118">
        <f ca="1" t="shared" si="307"/>
        <v>0</v>
      </c>
      <c r="L608" s="118">
        <f ca="1" t="shared" si="307"/>
        <v>0</v>
      </c>
      <c r="M608" s="118">
        <f ca="1" t="shared" si="307"/>
        <v>0</v>
      </c>
      <c r="N608" s="118">
        <f ca="1" t="shared" si="307"/>
        <v>0</v>
      </c>
      <c r="O608" s="118">
        <f ca="1" t="shared" si="307"/>
        <v>0</v>
      </c>
      <c r="P608" s="118">
        <f ca="1" t="shared" si="308"/>
        <v>0</v>
      </c>
      <c r="Q608" s="118">
        <f ca="1" t="shared" si="308"/>
        <v>0</v>
      </c>
      <c r="R608" s="118">
        <f ca="1" t="shared" si="308"/>
        <v>0</v>
      </c>
      <c r="S608" s="118">
        <f ca="1" t="shared" si="308"/>
        <v>0</v>
      </c>
      <c r="T608" s="118">
        <f ca="1" t="shared" si="308"/>
        <v>0</v>
      </c>
      <c r="U608" s="118">
        <f ca="1" t="shared" si="308"/>
        <v>0</v>
      </c>
      <c r="V608" s="118">
        <f ca="1" t="shared" si="308"/>
        <v>0</v>
      </c>
      <c r="W608" s="118">
        <f t="shared" si="309"/>
        <v>0</v>
      </c>
      <c r="X608" s="150"/>
      <c r="Z608" s="140" t="str">
        <f>IF($C608="B","",VLOOKUP($C608,orig_alloc!$A$13:$B$227,2,FALSE))</f>
        <v>WTD NET PLANT RATIOS</v>
      </c>
      <c r="AA608" s="141"/>
      <c r="AE608" s="141"/>
      <c r="AF608" s="141"/>
    </row>
    <row r="609" spans="1:32" ht="20.25">
      <c r="A609" s="240" t="s">
        <v>738</v>
      </c>
      <c r="B609" s="149" t="s">
        <v>710</v>
      </c>
      <c r="C609" s="132"/>
      <c r="D609" s="202">
        <f aca="true" t="shared" si="310" ref="D609:W609">SUM(D598:D608)</f>
        <v>394834</v>
      </c>
      <c r="E609" s="202">
        <f t="shared" si="310"/>
        <v>204635</v>
      </c>
      <c r="F609" s="202">
        <f t="shared" si="310"/>
        <v>90748</v>
      </c>
      <c r="G609" s="202">
        <f t="shared" si="310"/>
        <v>86</v>
      </c>
      <c r="H609" s="202">
        <f t="shared" si="310"/>
        <v>356</v>
      </c>
      <c r="I609" s="202">
        <f t="shared" si="310"/>
        <v>1610</v>
      </c>
      <c r="J609" s="202">
        <f t="shared" si="310"/>
        <v>43</v>
      </c>
      <c r="K609" s="202">
        <f t="shared" si="310"/>
        <v>50212</v>
      </c>
      <c r="L609" s="202">
        <f t="shared" si="310"/>
        <v>682</v>
      </c>
      <c r="M609" s="202">
        <f t="shared" si="310"/>
        <v>28841</v>
      </c>
      <c r="N609" s="202">
        <f t="shared" si="310"/>
        <v>1363</v>
      </c>
      <c r="O609" s="202">
        <f t="shared" si="310"/>
        <v>2237</v>
      </c>
      <c r="P609" s="202">
        <f t="shared" si="310"/>
        <v>0</v>
      </c>
      <c r="Q609" s="202">
        <f t="shared" si="310"/>
        <v>9410</v>
      </c>
      <c r="R609" s="202">
        <f t="shared" si="310"/>
        <v>542</v>
      </c>
      <c r="S609" s="202">
        <f t="shared" si="310"/>
        <v>4013</v>
      </c>
      <c r="T609" s="202">
        <f t="shared" si="310"/>
        <v>0</v>
      </c>
      <c r="U609" s="202">
        <f t="shared" si="310"/>
        <v>56</v>
      </c>
      <c r="V609" s="202">
        <f t="shared" si="310"/>
        <v>394834</v>
      </c>
      <c r="W609" s="202">
        <f t="shared" si="310"/>
        <v>0</v>
      </c>
      <c r="X609" s="150"/>
      <c r="Z609" s="140">
        <f>IF($C609="B","",VLOOKUP($C609,orig_alloc!$A$13:$B$227,2,FALSE))</f>
      </c>
      <c r="AA609" s="141"/>
      <c r="AE609" s="141"/>
      <c r="AF609" s="141"/>
    </row>
    <row r="610" spans="1:32" ht="20.25">
      <c r="A610" s="132"/>
      <c r="B610" s="149"/>
      <c r="C610" s="132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33"/>
      <c r="W610" s="133"/>
      <c r="X610" s="150"/>
      <c r="Z610" s="140">
        <f>IF($C610="B","",VLOOKUP($C610,orig_alloc!$A$13:$B$227,2,FALSE))</f>
      </c>
      <c r="AA610" s="141"/>
      <c r="AE610" s="141"/>
      <c r="AF610" s="141"/>
    </row>
    <row r="611" spans="1:32" ht="20.25" hidden="1">
      <c r="A611" s="132" t="s">
        <v>740</v>
      </c>
      <c r="B611" s="149"/>
      <c r="C611" s="132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33"/>
      <c r="W611" s="133"/>
      <c r="X611" s="150"/>
      <c r="Z611" s="140">
        <f>IF($C611="B","",VLOOKUP($C611,orig_alloc!$A$13:$B$227,2,FALSE))</f>
      </c>
      <c r="AA611" s="141"/>
      <c r="AE611" s="141"/>
      <c r="AF611" s="141"/>
    </row>
    <row r="612" spans="1:32" ht="20.25" hidden="1">
      <c r="A612" s="148" t="s">
        <v>737</v>
      </c>
      <c r="B612" s="149" t="s">
        <v>23</v>
      </c>
      <c r="C612" s="148" t="s">
        <v>270</v>
      </c>
      <c r="D612" s="201">
        <v>0</v>
      </c>
      <c r="E612" s="219">
        <f aca="true" t="shared" si="311" ref="E612:E619">V612-SUM(F612:U612)</f>
        <v>0</v>
      </c>
      <c r="F612" s="118">
        <f aca="true" ca="1" t="shared" si="312" ref="F612:O619">ROUND($D612*VLOOKUP($C612,IF(LEFT($C612,1)="K",INDIRECT("TABLE"),INDIRECT("TABLE2")),F$9+1),0)</f>
        <v>0</v>
      </c>
      <c r="G612" s="118">
        <f ca="1" t="shared" si="312"/>
        <v>0</v>
      </c>
      <c r="H612" s="118">
        <f ca="1" t="shared" si="312"/>
        <v>0</v>
      </c>
      <c r="I612" s="118">
        <f ca="1" t="shared" si="312"/>
        <v>0</v>
      </c>
      <c r="J612" s="118">
        <f ca="1" t="shared" si="312"/>
        <v>0</v>
      </c>
      <c r="K612" s="118">
        <f ca="1" t="shared" si="312"/>
        <v>0</v>
      </c>
      <c r="L612" s="118">
        <f ca="1" t="shared" si="312"/>
        <v>0</v>
      </c>
      <c r="M612" s="118">
        <f ca="1" t="shared" si="312"/>
        <v>0</v>
      </c>
      <c r="N612" s="118">
        <f ca="1" t="shared" si="312"/>
        <v>0</v>
      </c>
      <c r="O612" s="118">
        <f ca="1" t="shared" si="312"/>
        <v>0</v>
      </c>
      <c r="P612" s="118">
        <f aca="true" ca="1" t="shared" si="313" ref="P612:V619">ROUND($D612*VLOOKUP($C612,IF(LEFT($C612,1)="K",INDIRECT("TABLE"),INDIRECT("TABLE2")),P$9+1),0)</f>
        <v>0</v>
      </c>
      <c r="Q612" s="118">
        <f ca="1" t="shared" si="313"/>
        <v>0</v>
      </c>
      <c r="R612" s="118">
        <f ca="1" t="shared" si="313"/>
        <v>0</v>
      </c>
      <c r="S612" s="118">
        <f ca="1" t="shared" si="313"/>
        <v>0</v>
      </c>
      <c r="T612" s="118">
        <f ca="1" t="shared" si="313"/>
        <v>0</v>
      </c>
      <c r="U612" s="118">
        <f ca="1" t="shared" si="313"/>
        <v>0</v>
      </c>
      <c r="V612" s="118">
        <f ca="1" t="shared" si="313"/>
        <v>0</v>
      </c>
      <c r="W612" s="118">
        <f aca="true" t="shared" si="314" ref="W612:W619">D612-V612</f>
        <v>0</v>
      </c>
      <c r="X612" s="150"/>
      <c r="Z612" s="140" t="str">
        <f>IF($C612="B","",VLOOKUP($C612,orig_alloc!$A$13:$B$227,2,FALSE))</f>
        <v>WTD TOT DEPREC EXP RATIOS</v>
      </c>
      <c r="AA612" s="141"/>
      <c r="AE612" s="141"/>
      <c r="AF612" s="141"/>
    </row>
    <row r="613" spans="1:32" ht="20.25" hidden="1">
      <c r="A613" s="148" t="s">
        <v>838</v>
      </c>
      <c r="B613" s="149" t="s">
        <v>24</v>
      </c>
      <c r="C613" s="148" t="s">
        <v>797</v>
      </c>
      <c r="D613" s="201">
        <v>0</v>
      </c>
      <c r="E613" s="219">
        <f t="shared" si="311"/>
        <v>0</v>
      </c>
      <c r="F613" s="118">
        <f ca="1" t="shared" si="312"/>
        <v>0</v>
      </c>
      <c r="G613" s="118">
        <f ca="1" t="shared" si="312"/>
        <v>0</v>
      </c>
      <c r="H613" s="118">
        <f ca="1" t="shared" si="312"/>
        <v>0</v>
      </c>
      <c r="I613" s="118">
        <f ca="1" t="shared" si="312"/>
        <v>0</v>
      </c>
      <c r="J613" s="118">
        <f ca="1" t="shared" si="312"/>
        <v>0</v>
      </c>
      <c r="K613" s="118">
        <f ca="1" t="shared" si="312"/>
        <v>0</v>
      </c>
      <c r="L613" s="118">
        <f ca="1" t="shared" si="312"/>
        <v>0</v>
      </c>
      <c r="M613" s="118">
        <f ca="1" t="shared" si="312"/>
        <v>0</v>
      </c>
      <c r="N613" s="118">
        <f ca="1" t="shared" si="312"/>
        <v>0</v>
      </c>
      <c r="O613" s="118">
        <f ca="1" t="shared" si="312"/>
        <v>0</v>
      </c>
      <c r="P613" s="118">
        <f ca="1" t="shared" si="313"/>
        <v>0</v>
      </c>
      <c r="Q613" s="118">
        <f ca="1" t="shared" si="313"/>
        <v>0</v>
      </c>
      <c r="R613" s="118">
        <f ca="1" t="shared" si="313"/>
        <v>0</v>
      </c>
      <c r="S613" s="118">
        <f ca="1" t="shared" si="313"/>
        <v>0</v>
      </c>
      <c r="T613" s="118">
        <f ca="1" t="shared" si="313"/>
        <v>0</v>
      </c>
      <c r="U613" s="118">
        <f ca="1" t="shared" si="313"/>
        <v>0</v>
      </c>
      <c r="V613" s="118">
        <f ca="1" t="shared" si="313"/>
        <v>0</v>
      </c>
      <c r="W613" s="118">
        <f t="shared" si="314"/>
        <v>0</v>
      </c>
      <c r="X613" s="150"/>
      <c r="Z613" s="140" t="str">
        <f>IF($C613="B","",VLOOKUP($C613,orig_alloc!$A$13:$B$227,2,FALSE))</f>
        <v>JUR. WTD A&amp;G EXCL. REGULATORY RATIOS</v>
      </c>
      <c r="AA613" s="141"/>
      <c r="AE613" s="141"/>
      <c r="AF613" s="141"/>
    </row>
    <row r="614" spans="1:32" ht="20.25" hidden="1">
      <c r="A614" s="148" t="s">
        <v>454</v>
      </c>
      <c r="B614" s="149" t="s">
        <v>25</v>
      </c>
      <c r="C614" s="148" t="s">
        <v>889</v>
      </c>
      <c r="D614" s="201">
        <v>0</v>
      </c>
      <c r="E614" s="219">
        <f t="shared" si="311"/>
        <v>0</v>
      </c>
      <c r="F614" s="118">
        <f ca="1" t="shared" si="312"/>
        <v>0</v>
      </c>
      <c r="G614" s="118">
        <f ca="1" t="shared" si="312"/>
        <v>0</v>
      </c>
      <c r="H614" s="118">
        <f ca="1" t="shared" si="312"/>
        <v>0</v>
      </c>
      <c r="I614" s="118">
        <f ca="1" t="shared" si="312"/>
        <v>0</v>
      </c>
      <c r="J614" s="118">
        <f ca="1" t="shared" si="312"/>
        <v>0</v>
      </c>
      <c r="K614" s="118">
        <f ca="1" t="shared" si="312"/>
        <v>0</v>
      </c>
      <c r="L614" s="118">
        <f ca="1" t="shared" si="312"/>
        <v>0</v>
      </c>
      <c r="M614" s="118">
        <f ca="1" t="shared" si="312"/>
        <v>0</v>
      </c>
      <c r="N614" s="118">
        <f ca="1" t="shared" si="312"/>
        <v>0</v>
      </c>
      <c r="O614" s="118">
        <f ca="1" t="shared" si="312"/>
        <v>0</v>
      </c>
      <c r="P614" s="118">
        <f ca="1" t="shared" si="313"/>
        <v>0</v>
      </c>
      <c r="Q614" s="118">
        <f ca="1" t="shared" si="313"/>
        <v>0</v>
      </c>
      <c r="R614" s="118">
        <f ca="1" t="shared" si="313"/>
        <v>0</v>
      </c>
      <c r="S614" s="118">
        <f ca="1" t="shared" si="313"/>
        <v>0</v>
      </c>
      <c r="T614" s="118">
        <f ca="1" t="shared" si="313"/>
        <v>0</v>
      </c>
      <c r="U614" s="118">
        <f ca="1" t="shared" si="313"/>
        <v>0</v>
      </c>
      <c r="V614" s="118">
        <f ca="1" t="shared" si="313"/>
        <v>0</v>
      </c>
      <c r="W614" s="118">
        <f t="shared" si="314"/>
        <v>0</v>
      </c>
      <c r="X614" s="150"/>
      <c r="Z614" s="140" t="str">
        <f>IF($C614="B","",VLOOKUP($C614,orig_alloc!$A$13:$B$227,2,FALSE))</f>
        <v>WTD UNCOLLECTIBLE ACCOUNT O&amp;M</v>
      </c>
      <c r="AA614" s="141"/>
      <c r="AE614" s="141"/>
      <c r="AF614" s="141"/>
    </row>
    <row r="615" spans="1:32" ht="20.25" hidden="1">
      <c r="A615" s="148" t="s">
        <v>842</v>
      </c>
      <c r="B615" s="149" t="s">
        <v>26</v>
      </c>
      <c r="C615" s="148" t="s">
        <v>253</v>
      </c>
      <c r="D615" s="201">
        <v>0</v>
      </c>
      <c r="E615" s="219">
        <f t="shared" si="311"/>
        <v>0</v>
      </c>
      <c r="F615" s="118">
        <f ca="1" t="shared" si="312"/>
        <v>0</v>
      </c>
      <c r="G615" s="118">
        <f ca="1" t="shared" si="312"/>
        <v>0</v>
      </c>
      <c r="H615" s="118">
        <f ca="1" t="shared" si="312"/>
        <v>0</v>
      </c>
      <c r="I615" s="118">
        <f ca="1" t="shared" si="312"/>
        <v>0</v>
      </c>
      <c r="J615" s="118">
        <f ca="1" t="shared" si="312"/>
        <v>0</v>
      </c>
      <c r="K615" s="118">
        <f ca="1" t="shared" si="312"/>
        <v>0</v>
      </c>
      <c r="L615" s="118">
        <f ca="1" t="shared" si="312"/>
        <v>0</v>
      </c>
      <c r="M615" s="118">
        <f ca="1" t="shared" si="312"/>
        <v>0</v>
      </c>
      <c r="N615" s="118">
        <f ca="1" t="shared" si="312"/>
        <v>0</v>
      </c>
      <c r="O615" s="118">
        <f ca="1" t="shared" si="312"/>
        <v>0</v>
      </c>
      <c r="P615" s="118">
        <f ca="1" t="shared" si="313"/>
        <v>0</v>
      </c>
      <c r="Q615" s="118">
        <f ca="1" t="shared" si="313"/>
        <v>0</v>
      </c>
      <c r="R615" s="118">
        <f ca="1" t="shared" si="313"/>
        <v>0</v>
      </c>
      <c r="S615" s="118">
        <f ca="1" t="shared" si="313"/>
        <v>0</v>
      </c>
      <c r="T615" s="118">
        <f ca="1" t="shared" si="313"/>
        <v>0</v>
      </c>
      <c r="U615" s="118">
        <f ca="1" t="shared" si="313"/>
        <v>0</v>
      </c>
      <c r="V615" s="118">
        <f ca="1" t="shared" si="313"/>
        <v>0</v>
      </c>
      <c r="W615" s="118">
        <f t="shared" si="314"/>
        <v>0</v>
      </c>
      <c r="X615" s="150"/>
      <c r="Z615" s="140" t="str">
        <f>IF($C615="B","",VLOOKUP($C615,orig_alloc!$A$13:$B$227,2,FALSE))</f>
        <v>WTD CUST ACCT O&amp;M EXP RATIOS</v>
      </c>
      <c r="AA615" s="141"/>
      <c r="AE615" s="141"/>
      <c r="AF615" s="141"/>
    </row>
    <row r="616" spans="1:32" ht="20.25" hidden="1">
      <c r="A616" s="148" t="s">
        <v>847</v>
      </c>
      <c r="B616" s="149" t="s">
        <v>27</v>
      </c>
      <c r="C616" s="148" t="s">
        <v>328</v>
      </c>
      <c r="D616" s="201">
        <v>0</v>
      </c>
      <c r="E616" s="219">
        <f t="shared" si="311"/>
        <v>0</v>
      </c>
      <c r="F616" s="118">
        <f ca="1" t="shared" si="312"/>
        <v>0</v>
      </c>
      <c r="G616" s="118">
        <f ca="1" t="shared" si="312"/>
        <v>0</v>
      </c>
      <c r="H616" s="118">
        <f ca="1" t="shared" si="312"/>
        <v>0</v>
      </c>
      <c r="I616" s="118">
        <f ca="1" t="shared" si="312"/>
        <v>0</v>
      </c>
      <c r="J616" s="118">
        <f ca="1" t="shared" si="312"/>
        <v>0</v>
      </c>
      <c r="K616" s="118">
        <f ca="1" t="shared" si="312"/>
        <v>0</v>
      </c>
      <c r="L616" s="118">
        <f ca="1" t="shared" si="312"/>
        <v>0</v>
      </c>
      <c r="M616" s="118">
        <f ca="1" t="shared" si="312"/>
        <v>0</v>
      </c>
      <c r="N616" s="118">
        <f ca="1" t="shared" si="312"/>
        <v>0</v>
      </c>
      <c r="O616" s="118">
        <f ca="1" t="shared" si="312"/>
        <v>0</v>
      </c>
      <c r="P616" s="118">
        <f ca="1" t="shared" si="313"/>
        <v>0</v>
      </c>
      <c r="Q616" s="118">
        <f ca="1" t="shared" si="313"/>
        <v>0</v>
      </c>
      <c r="R616" s="118">
        <f ca="1" t="shared" si="313"/>
        <v>0</v>
      </c>
      <c r="S616" s="118">
        <f ca="1" t="shared" si="313"/>
        <v>0</v>
      </c>
      <c r="T616" s="118">
        <f ca="1" t="shared" si="313"/>
        <v>0</v>
      </c>
      <c r="U616" s="118">
        <f ca="1" t="shared" si="313"/>
        <v>0</v>
      </c>
      <c r="V616" s="118">
        <f ca="1" t="shared" si="313"/>
        <v>0</v>
      </c>
      <c r="W616" s="118">
        <f t="shared" si="314"/>
        <v>0</v>
      </c>
      <c r="X616" s="150"/>
      <c r="Z616" s="140" t="str">
        <f>IF($C616="B","",VLOOKUP($C616,orig_alloc!$A$13:$B$227,2,FALSE))</f>
        <v>WTD NET PLANT RATIOS</v>
      </c>
      <c r="AA616" s="141"/>
      <c r="AE616" s="141"/>
      <c r="AF616" s="141"/>
    </row>
    <row r="617" spans="1:32" ht="20.25" hidden="1">
      <c r="A617" s="148" t="s">
        <v>1064</v>
      </c>
      <c r="B617" s="149" t="s">
        <v>24</v>
      </c>
      <c r="C617" s="148" t="s">
        <v>328</v>
      </c>
      <c r="D617" s="241">
        <v>0</v>
      </c>
      <c r="E617" s="219">
        <f t="shared" si="311"/>
        <v>0</v>
      </c>
      <c r="F617" s="118">
        <f ca="1" t="shared" si="312"/>
        <v>0</v>
      </c>
      <c r="G617" s="287">
        <f ca="1" t="shared" si="312"/>
        <v>0</v>
      </c>
      <c r="H617" s="287">
        <f ca="1" t="shared" si="312"/>
        <v>0</v>
      </c>
      <c r="I617" s="287">
        <f ca="1" t="shared" si="312"/>
        <v>0</v>
      </c>
      <c r="J617" s="287">
        <f ca="1" t="shared" si="312"/>
        <v>0</v>
      </c>
      <c r="K617" s="118">
        <f ca="1" t="shared" si="312"/>
        <v>0</v>
      </c>
      <c r="L617" s="287">
        <f ca="1" t="shared" si="312"/>
        <v>0</v>
      </c>
      <c r="M617" s="287">
        <f ca="1" t="shared" si="312"/>
        <v>0</v>
      </c>
      <c r="N617" s="118">
        <f ca="1" t="shared" si="312"/>
        <v>0</v>
      </c>
      <c r="O617" s="118">
        <f ca="1" t="shared" si="312"/>
        <v>0</v>
      </c>
      <c r="P617" s="287">
        <f ca="1" t="shared" si="313"/>
        <v>0</v>
      </c>
      <c r="Q617" s="118">
        <f ca="1" t="shared" si="313"/>
        <v>0</v>
      </c>
      <c r="R617" s="287">
        <f ca="1" t="shared" si="313"/>
        <v>0</v>
      </c>
      <c r="S617" s="118">
        <f ca="1" t="shared" si="313"/>
        <v>0</v>
      </c>
      <c r="T617" s="287">
        <f ca="1" t="shared" si="313"/>
        <v>0</v>
      </c>
      <c r="U617" s="118">
        <f ca="1" t="shared" si="313"/>
        <v>0</v>
      </c>
      <c r="V617" s="118">
        <f ca="1" t="shared" si="313"/>
        <v>0</v>
      </c>
      <c r="W617" s="118">
        <f t="shared" si="314"/>
        <v>0</v>
      </c>
      <c r="X617" s="150"/>
      <c r="Z617" s="140" t="str">
        <f>IF($C617="B","",VLOOKUP($C617,orig_alloc!$A$13:$B$227,2,FALSE))</f>
        <v>WTD NET PLANT RATIOS</v>
      </c>
      <c r="AA617" s="151"/>
      <c r="AE617" s="151"/>
      <c r="AF617" s="151"/>
    </row>
    <row r="618" spans="1:32" ht="20.25" hidden="1">
      <c r="A618" s="148" t="s">
        <v>445</v>
      </c>
      <c r="B618" s="149" t="s">
        <v>26</v>
      </c>
      <c r="C618" s="148" t="s">
        <v>328</v>
      </c>
      <c r="D618" s="201">
        <v>0</v>
      </c>
      <c r="E618" s="219">
        <f t="shared" si="311"/>
        <v>0</v>
      </c>
      <c r="F618" s="118">
        <f ca="1" t="shared" si="312"/>
        <v>0</v>
      </c>
      <c r="G618" s="287">
        <f ca="1" t="shared" si="312"/>
        <v>0</v>
      </c>
      <c r="H618" s="287">
        <f ca="1" t="shared" si="312"/>
        <v>0</v>
      </c>
      <c r="I618" s="287">
        <f ca="1" t="shared" si="312"/>
        <v>0</v>
      </c>
      <c r="J618" s="287">
        <f ca="1" t="shared" si="312"/>
        <v>0</v>
      </c>
      <c r="K618" s="118">
        <f ca="1" t="shared" si="312"/>
        <v>0</v>
      </c>
      <c r="L618" s="287">
        <f ca="1" t="shared" si="312"/>
        <v>0</v>
      </c>
      <c r="M618" s="287">
        <f ca="1" t="shared" si="312"/>
        <v>0</v>
      </c>
      <c r="N618" s="118">
        <f ca="1" t="shared" si="312"/>
        <v>0</v>
      </c>
      <c r="O618" s="118">
        <f ca="1" t="shared" si="312"/>
        <v>0</v>
      </c>
      <c r="P618" s="287">
        <f ca="1" t="shared" si="313"/>
        <v>0</v>
      </c>
      <c r="Q618" s="118">
        <f ca="1" t="shared" si="313"/>
        <v>0</v>
      </c>
      <c r="R618" s="287">
        <f ca="1" t="shared" si="313"/>
        <v>0</v>
      </c>
      <c r="S618" s="118">
        <f ca="1" t="shared" si="313"/>
        <v>0</v>
      </c>
      <c r="T618" s="287">
        <f ca="1" t="shared" si="313"/>
        <v>0</v>
      </c>
      <c r="U618" s="118">
        <f ca="1" t="shared" si="313"/>
        <v>0</v>
      </c>
      <c r="V618" s="118">
        <f ca="1" t="shared" si="313"/>
        <v>0</v>
      </c>
      <c r="W618" s="118">
        <f t="shared" si="314"/>
        <v>0</v>
      </c>
      <c r="X618" s="150"/>
      <c r="Z618" s="140" t="str">
        <f>IF($C618="B","",VLOOKUP($C618,orig_alloc!$A$13:$B$227,2,FALSE))</f>
        <v>WTD NET PLANT RATIOS</v>
      </c>
      <c r="AA618" s="151"/>
      <c r="AE618" s="151"/>
      <c r="AF618" s="151"/>
    </row>
    <row r="619" spans="1:32" ht="20.25" hidden="1">
      <c r="A619" s="148" t="s">
        <v>836</v>
      </c>
      <c r="B619" s="149" t="s">
        <v>28</v>
      </c>
      <c r="C619" s="148" t="s">
        <v>328</v>
      </c>
      <c r="D619" s="320">
        <v>0</v>
      </c>
      <c r="E619" s="219">
        <f t="shared" si="311"/>
        <v>0</v>
      </c>
      <c r="F619" s="118">
        <f ca="1" t="shared" si="312"/>
        <v>0</v>
      </c>
      <c r="G619" s="287">
        <f ca="1" t="shared" si="312"/>
        <v>0</v>
      </c>
      <c r="H619" s="287">
        <f ca="1" t="shared" si="312"/>
        <v>0</v>
      </c>
      <c r="I619" s="287">
        <f ca="1" t="shared" si="312"/>
        <v>0</v>
      </c>
      <c r="J619" s="287">
        <f ca="1" t="shared" si="312"/>
        <v>0</v>
      </c>
      <c r="K619" s="118">
        <f ca="1" t="shared" si="312"/>
        <v>0</v>
      </c>
      <c r="L619" s="287">
        <f ca="1" t="shared" si="312"/>
        <v>0</v>
      </c>
      <c r="M619" s="287">
        <f ca="1" t="shared" si="312"/>
        <v>0</v>
      </c>
      <c r="N619" s="118">
        <f ca="1" t="shared" si="312"/>
        <v>0</v>
      </c>
      <c r="O619" s="118">
        <f ca="1" t="shared" si="312"/>
        <v>0</v>
      </c>
      <c r="P619" s="287">
        <f ca="1" t="shared" si="313"/>
        <v>0</v>
      </c>
      <c r="Q619" s="118">
        <f ca="1" t="shared" si="313"/>
        <v>0</v>
      </c>
      <c r="R619" s="287">
        <f ca="1" t="shared" si="313"/>
        <v>0</v>
      </c>
      <c r="S619" s="118">
        <f ca="1" t="shared" si="313"/>
        <v>0</v>
      </c>
      <c r="T619" s="287">
        <f ca="1" t="shared" si="313"/>
        <v>0</v>
      </c>
      <c r="U619" s="118">
        <f ca="1" t="shared" si="313"/>
        <v>0</v>
      </c>
      <c r="V619" s="118">
        <f ca="1" t="shared" si="313"/>
        <v>0</v>
      </c>
      <c r="W619" s="118">
        <f t="shared" si="314"/>
        <v>0</v>
      </c>
      <c r="X619" s="150"/>
      <c r="Z619" s="140" t="str">
        <f>IF($C619="B","",VLOOKUP($C619,orig_alloc!$A$13:$B$227,2,FALSE))</f>
        <v>WTD NET PLANT RATIOS</v>
      </c>
      <c r="AA619" s="151"/>
      <c r="AE619" s="151"/>
      <c r="AF619" s="151"/>
    </row>
    <row r="620" spans="1:32" ht="20.25" hidden="1">
      <c r="A620" s="240" t="s">
        <v>741</v>
      </c>
      <c r="B620" s="149" t="s">
        <v>712</v>
      </c>
      <c r="C620" s="148"/>
      <c r="D620" s="202">
        <f aca="true" t="shared" si="315" ref="D620:W620">SUM(D612:D619)</f>
        <v>0</v>
      </c>
      <c r="E620" s="202">
        <f t="shared" si="315"/>
        <v>0</v>
      </c>
      <c r="F620" s="202">
        <f t="shared" si="315"/>
        <v>0</v>
      </c>
      <c r="G620" s="202">
        <f t="shared" si="315"/>
        <v>0</v>
      </c>
      <c r="H620" s="202">
        <f t="shared" si="315"/>
        <v>0</v>
      </c>
      <c r="I620" s="202">
        <f t="shared" si="315"/>
        <v>0</v>
      </c>
      <c r="J620" s="202">
        <f t="shared" si="315"/>
        <v>0</v>
      </c>
      <c r="K620" s="202">
        <f t="shared" si="315"/>
        <v>0</v>
      </c>
      <c r="L620" s="202">
        <f t="shared" si="315"/>
        <v>0</v>
      </c>
      <c r="M620" s="202">
        <f t="shared" si="315"/>
        <v>0</v>
      </c>
      <c r="N620" s="202">
        <f t="shared" si="315"/>
        <v>0</v>
      </c>
      <c r="O620" s="202">
        <f t="shared" si="315"/>
        <v>0</v>
      </c>
      <c r="P620" s="202">
        <f t="shared" si="315"/>
        <v>0</v>
      </c>
      <c r="Q620" s="202">
        <f t="shared" si="315"/>
        <v>0</v>
      </c>
      <c r="R620" s="202">
        <f t="shared" si="315"/>
        <v>0</v>
      </c>
      <c r="S620" s="202">
        <f t="shared" si="315"/>
        <v>0</v>
      </c>
      <c r="T620" s="202">
        <f t="shared" si="315"/>
        <v>0</v>
      </c>
      <c r="U620" s="202">
        <f t="shared" si="315"/>
        <v>0</v>
      </c>
      <c r="V620" s="202">
        <f t="shared" si="315"/>
        <v>0</v>
      </c>
      <c r="W620" s="202">
        <f t="shared" si="315"/>
        <v>0</v>
      </c>
      <c r="X620" s="150"/>
      <c r="Z620" s="140">
        <f>IF($C620="B","",VLOOKUP($C620,orig_alloc!$A$13:$B$227,2,FALSE))</f>
      </c>
      <c r="AA620" s="151"/>
      <c r="AE620" s="151"/>
      <c r="AF620" s="151"/>
    </row>
    <row r="621" spans="1:32" ht="20.25" hidden="1">
      <c r="A621" s="132"/>
      <c r="B621" s="149"/>
      <c r="C621" s="132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33"/>
      <c r="W621" s="133"/>
      <c r="X621" s="150"/>
      <c r="Z621" s="140">
        <f>IF($C621="B","",VLOOKUP($C621,orig_alloc!$A$13:$B$227,2,FALSE))</f>
      </c>
      <c r="AA621" s="151"/>
      <c r="AE621" s="151"/>
      <c r="AF621" s="151"/>
    </row>
    <row r="622" spans="1:32" ht="20.25" hidden="1">
      <c r="A622" s="132" t="s">
        <v>29</v>
      </c>
      <c r="B622" s="149"/>
      <c r="C622" s="132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33"/>
      <c r="W622" s="133"/>
      <c r="X622" s="150"/>
      <c r="Z622" s="140">
        <f>IF($C622="B","",VLOOKUP($C622,orig_alloc!$A$13:$B$227,2,FALSE))</f>
      </c>
      <c r="AA622" s="151"/>
      <c r="AE622" s="151"/>
      <c r="AF622" s="151"/>
    </row>
    <row r="623" spans="1:32" ht="20.25" hidden="1">
      <c r="A623" s="148" t="s">
        <v>1327</v>
      </c>
      <c r="B623" s="149" t="s">
        <v>30</v>
      </c>
      <c r="C623" s="148" t="s">
        <v>328</v>
      </c>
      <c r="D623" s="201">
        <v>0</v>
      </c>
      <c r="E623" s="219">
        <f>V623-SUM(F623:U623)</f>
        <v>0</v>
      </c>
      <c r="F623" s="118">
        <f aca="true" ca="1" t="shared" si="316" ref="F623:V623">ROUND($D623*VLOOKUP($C623,IF(LEFT($C623,1)="K",INDIRECT("TABLE"),INDIRECT("TABLE2")),F$9+1),0)</f>
        <v>0</v>
      </c>
      <c r="G623" s="118">
        <f ca="1" t="shared" si="316"/>
        <v>0</v>
      </c>
      <c r="H623" s="118">
        <f ca="1" t="shared" si="316"/>
        <v>0</v>
      </c>
      <c r="I623" s="118">
        <f ca="1" t="shared" si="316"/>
        <v>0</v>
      </c>
      <c r="J623" s="118">
        <f ca="1" t="shared" si="316"/>
        <v>0</v>
      </c>
      <c r="K623" s="118">
        <f ca="1" t="shared" si="316"/>
        <v>0</v>
      </c>
      <c r="L623" s="118">
        <f ca="1" t="shared" si="316"/>
        <v>0</v>
      </c>
      <c r="M623" s="118">
        <f ca="1" t="shared" si="316"/>
        <v>0</v>
      </c>
      <c r="N623" s="118">
        <f ca="1" t="shared" si="316"/>
        <v>0</v>
      </c>
      <c r="O623" s="118">
        <f ca="1" t="shared" si="316"/>
        <v>0</v>
      </c>
      <c r="P623" s="118">
        <f ca="1" t="shared" si="316"/>
        <v>0</v>
      </c>
      <c r="Q623" s="118">
        <f ca="1" t="shared" si="316"/>
        <v>0</v>
      </c>
      <c r="R623" s="118">
        <f ca="1" t="shared" si="316"/>
        <v>0</v>
      </c>
      <c r="S623" s="118">
        <f ca="1" t="shared" si="316"/>
        <v>0</v>
      </c>
      <c r="T623" s="118">
        <f ca="1" t="shared" si="316"/>
        <v>0</v>
      </c>
      <c r="U623" s="118">
        <f ca="1" t="shared" si="316"/>
        <v>0</v>
      </c>
      <c r="V623" s="118">
        <f ca="1" t="shared" si="316"/>
        <v>0</v>
      </c>
      <c r="W623" s="118">
        <f>D623-V623</f>
        <v>0</v>
      </c>
      <c r="X623" s="150"/>
      <c r="Z623" s="140" t="str">
        <f>IF($C623="B","",VLOOKUP($C623,orig_alloc!$A$13:$B$227,2,FALSE))</f>
        <v>WTD NET PLANT RATIOS</v>
      </c>
      <c r="AA623" s="151"/>
      <c r="AE623" s="151"/>
      <c r="AF623" s="151"/>
    </row>
    <row r="624" spans="1:32" ht="20.25" hidden="1">
      <c r="A624" s="240" t="s">
        <v>1063</v>
      </c>
      <c r="B624" s="149" t="s">
        <v>31</v>
      </c>
      <c r="C624" s="132"/>
      <c r="D624" s="202">
        <f aca="true" t="shared" si="317" ref="D624:W624">SUM(D622:D623)</f>
        <v>0</v>
      </c>
      <c r="E624" s="202">
        <f t="shared" si="317"/>
        <v>0</v>
      </c>
      <c r="F624" s="202">
        <f t="shared" si="317"/>
        <v>0</v>
      </c>
      <c r="G624" s="202">
        <f t="shared" si="317"/>
        <v>0</v>
      </c>
      <c r="H624" s="202">
        <f t="shared" si="317"/>
        <v>0</v>
      </c>
      <c r="I624" s="202">
        <f t="shared" si="317"/>
        <v>0</v>
      </c>
      <c r="J624" s="202">
        <f t="shared" si="317"/>
        <v>0</v>
      </c>
      <c r="K624" s="202">
        <f t="shared" si="317"/>
        <v>0</v>
      </c>
      <c r="L624" s="202">
        <f t="shared" si="317"/>
        <v>0</v>
      </c>
      <c r="M624" s="202">
        <f t="shared" si="317"/>
        <v>0</v>
      </c>
      <c r="N624" s="202">
        <f t="shared" si="317"/>
        <v>0</v>
      </c>
      <c r="O624" s="202">
        <f t="shared" si="317"/>
        <v>0</v>
      </c>
      <c r="P624" s="202">
        <f t="shared" si="317"/>
        <v>0</v>
      </c>
      <c r="Q624" s="202">
        <f t="shared" si="317"/>
        <v>0</v>
      </c>
      <c r="R624" s="202">
        <f t="shared" si="317"/>
        <v>0</v>
      </c>
      <c r="S624" s="202">
        <f t="shared" si="317"/>
        <v>0</v>
      </c>
      <c r="T624" s="202">
        <f t="shared" si="317"/>
        <v>0</v>
      </c>
      <c r="U624" s="202">
        <f t="shared" si="317"/>
        <v>0</v>
      </c>
      <c r="V624" s="202">
        <f t="shared" si="317"/>
        <v>0</v>
      </c>
      <c r="W624" s="202">
        <f t="shared" si="317"/>
        <v>0</v>
      </c>
      <c r="X624" s="150"/>
      <c r="Z624" s="140">
        <f>IF($C624="B","",VLOOKUP($C624,orig_alloc!$A$13:$B$227,2,FALSE))</f>
      </c>
      <c r="AA624" s="151"/>
      <c r="AE624" s="151"/>
      <c r="AF624" s="151"/>
    </row>
    <row r="625" spans="1:32" ht="20.25" hidden="1">
      <c r="A625" s="132"/>
      <c r="B625" s="149"/>
      <c r="C625" s="132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33"/>
      <c r="W625" s="133"/>
      <c r="X625" s="150"/>
      <c r="Z625" s="140">
        <f>IF($C625="B","",VLOOKUP($C625,orig_alloc!$A$13:$B$227,2,FALSE))</f>
      </c>
      <c r="AA625" s="151"/>
      <c r="AE625" s="151"/>
      <c r="AF625" s="151"/>
    </row>
    <row r="626" spans="1:32" ht="20.25">
      <c r="A626" s="132" t="s">
        <v>32</v>
      </c>
      <c r="B626" s="149" t="s">
        <v>33</v>
      </c>
      <c r="C626" s="132"/>
      <c r="D626" s="118">
        <f aca="true" t="shared" si="318" ref="D626:W626">D609+D620+D624</f>
        <v>394834</v>
      </c>
      <c r="E626" s="118">
        <f t="shared" si="318"/>
        <v>204635</v>
      </c>
      <c r="F626" s="118">
        <f t="shared" si="318"/>
        <v>90748</v>
      </c>
      <c r="G626" s="118">
        <f t="shared" si="318"/>
        <v>86</v>
      </c>
      <c r="H626" s="118">
        <f t="shared" si="318"/>
        <v>356</v>
      </c>
      <c r="I626" s="118">
        <f t="shared" si="318"/>
        <v>1610</v>
      </c>
      <c r="J626" s="118">
        <f t="shared" si="318"/>
        <v>43</v>
      </c>
      <c r="K626" s="118">
        <f t="shared" si="318"/>
        <v>50212</v>
      </c>
      <c r="L626" s="118">
        <f t="shared" si="318"/>
        <v>682</v>
      </c>
      <c r="M626" s="118">
        <f t="shared" si="318"/>
        <v>28841</v>
      </c>
      <c r="N626" s="118">
        <f t="shared" si="318"/>
        <v>1363</v>
      </c>
      <c r="O626" s="118">
        <f t="shared" si="318"/>
        <v>2237</v>
      </c>
      <c r="P626" s="118">
        <f t="shared" si="318"/>
        <v>0</v>
      </c>
      <c r="Q626" s="118">
        <f t="shared" si="318"/>
        <v>9410</v>
      </c>
      <c r="R626" s="118">
        <f t="shared" si="318"/>
        <v>542</v>
      </c>
      <c r="S626" s="118">
        <f t="shared" si="318"/>
        <v>4013</v>
      </c>
      <c r="T626" s="118">
        <f t="shared" si="318"/>
        <v>0</v>
      </c>
      <c r="U626" s="118">
        <f t="shared" si="318"/>
        <v>56</v>
      </c>
      <c r="V626" s="118">
        <f t="shared" si="318"/>
        <v>394834</v>
      </c>
      <c r="W626" s="118">
        <f t="shared" si="318"/>
        <v>0</v>
      </c>
      <c r="X626" s="150"/>
      <c r="Z626" s="140">
        <f>IF($C626="B","",VLOOKUP($C626,orig_alloc!$A$13:$B$227,2,FALSE))</f>
      </c>
      <c r="AA626" s="151"/>
      <c r="AE626" s="151"/>
      <c r="AF626" s="151"/>
    </row>
    <row r="627" spans="1:32" ht="20.25">
      <c r="A627" s="132"/>
      <c r="B627" s="149"/>
      <c r="C627" s="132"/>
      <c r="D627" s="118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50"/>
      <c r="Z627" s="140">
        <f>IF($C627="B","",VLOOKUP($C627,orig_alloc!$A$13:$B$227,2,FALSE))</f>
      </c>
      <c r="AA627" s="151"/>
      <c r="AE627" s="151"/>
      <c r="AF627" s="151"/>
    </row>
    <row r="628" spans="1:32" ht="20.25">
      <c r="A628" s="289" t="s">
        <v>657</v>
      </c>
      <c r="B628" s="290" t="s">
        <v>1204</v>
      </c>
      <c r="C628" s="132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50"/>
      <c r="Z628" s="140">
        <f>IF($C628="B","",VLOOKUP($C628,orig_alloc!$A$13:$B$227,2,FALSE))</f>
      </c>
      <c r="AA628" s="151"/>
      <c r="AE628" s="151"/>
      <c r="AF628" s="151"/>
    </row>
    <row r="629" spans="1:32" ht="20.25">
      <c r="A629" s="132" t="s">
        <v>34</v>
      </c>
      <c r="B629" s="149"/>
      <c r="C629" s="132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33"/>
      <c r="W629" s="133"/>
      <c r="X629" s="150"/>
      <c r="Z629" s="140">
        <f>IF($C629="B","",VLOOKUP($C629,orig_alloc!$A$13:$B$227,2,FALSE))</f>
      </c>
      <c r="AA629" s="151"/>
      <c r="AE629" s="151"/>
      <c r="AF629" s="151"/>
    </row>
    <row r="630" spans="1:32" ht="20.25">
      <c r="A630" s="132" t="s">
        <v>1256</v>
      </c>
      <c r="B630" s="149" t="s">
        <v>504</v>
      </c>
      <c r="C630" s="132"/>
      <c r="D630" s="118">
        <f aca="true" t="shared" si="319" ref="D630:W630">D341</f>
        <v>48805840</v>
      </c>
      <c r="E630" s="118">
        <f t="shared" si="319"/>
        <v>19861454</v>
      </c>
      <c r="F630" s="118">
        <f t="shared" si="319"/>
        <v>15533238</v>
      </c>
      <c r="G630" s="118">
        <f t="shared" si="319"/>
        <v>27870</v>
      </c>
      <c r="H630" s="118">
        <f t="shared" si="319"/>
        <v>124592</v>
      </c>
      <c r="I630" s="118">
        <f t="shared" si="319"/>
        <v>116256</v>
      </c>
      <c r="J630" s="118">
        <f t="shared" si="319"/>
        <v>9811</v>
      </c>
      <c r="K630" s="118">
        <f t="shared" si="319"/>
        <v>7335475</v>
      </c>
      <c r="L630" s="118">
        <f t="shared" si="319"/>
        <v>125620</v>
      </c>
      <c r="M630" s="118">
        <f t="shared" si="319"/>
        <v>2847948</v>
      </c>
      <c r="N630" s="118">
        <f t="shared" si="319"/>
        <v>274750</v>
      </c>
      <c r="O630" s="118">
        <f t="shared" si="319"/>
        <v>319850</v>
      </c>
      <c r="P630" s="118">
        <f t="shared" si="319"/>
        <v>0</v>
      </c>
      <c r="Q630" s="118">
        <f t="shared" si="319"/>
        <v>1305129</v>
      </c>
      <c r="R630" s="118">
        <f t="shared" si="319"/>
        <v>132823</v>
      </c>
      <c r="S630" s="118">
        <f t="shared" si="319"/>
        <v>790435</v>
      </c>
      <c r="T630" s="118">
        <f t="shared" si="319"/>
        <v>0</v>
      </c>
      <c r="U630" s="118">
        <f t="shared" si="319"/>
        <v>589</v>
      </c>
      <c r="V630" s="118">
        <f t="shared" si="319"/>
        <v>48805840</v>
      </c>
      <c r="W630" s="118">
        <f t="shared" si="319"/>
        <v>0</v>
      </c>
      <c r="X630" s="150"/>
      <c r="Z630" s="140">
        <f>IF($C630="B","",VLOOKUP($C630,orig_alloc!$A$13:$B$227,2,FALSE))</f>
      </c>
      <c r="AA630" s="151"/>
      <c r="AE630" s="151"/>
      <c r="AF630" s="151"/>
    </row>
    <row r="631" spans="1:32" ht="20.25">
      <c r="A631" s="132" t="s">
        <v>35</v>
      </c>
      <c r="B631" s="149" t="s">
        <v>3</v>
      </c>
      <c r="C631" s="132"/>
      <c r="D631" s="118">
        <f aca="true" t="shared" si="320" ref="D631:W631">D580</f>
        <v>16566971</v>
      </c>
      <c r="E631" s="118">
        <f t="shared" si="320"/>
        <v>5518593</v>
      </c>
      <c r="F631" s="118">
        <f t="shared" si="320"/>
        <v>6174362</v>
      </c>
      <c r="G631" s="118">
        <f t="shared" si="320"/>
        <v>12961</v>
      </c>
      <c r="H631" s="118">
        <f t="shared" si="320"/>
        <v>58688</v>
      </c>
      <c r="I631" s="118">
        <f t="shared" si="320"/>
        <v>23329</v>
      </c>
      <c r="J631" s="118">
        <f t="shared" si="320"/>
        <v>4168</v>
      </c>
      <c r="K631" s="118">
        <f t="shared" si="320"/>
        <v>2761421</v>
      </c>
      <c r="L631" s="118">
        <f t="shared" si="320"/>
        <v>51590</v>
      </c>
      <c r="M631" s="118">
        <f t="shared" si="320"/>
        <v>856988</v>
      </c>
      <c r="N631" s="118">
        <f t="shared" si="320"/>
        <v>116047</v>
      </c>
      <c r="O631" s="118">
        <f t="shared" si="320"/>
        <v>119582</v>
      </c>
      <c r="P631" s="118">
        <f t="shared" si="320"/>
        <v>0</v>
      </c>
      <c r="Q631" s="118">
        <f t="shared" si="320"/>
        <v>486873</v>
      </c>
      <c r="R631" s="118">
        <f t="shared" si="320"/>
        <v>59098</v>
      </c>
      <c r="S631" s="118">
        <f t="shared" si="320"/>
        <v>324273</v>
      </c>
      <c r="T631" s="118">
        <f t="shared" si="320"/>
        <v>0</v>
      </c>
      <c r="U631" s="118">
        <f t="shared" si="320"/>
        <v>-1002</v>
      </c>
      <c r="V631" s="118">
        <f t="shared" si="320"/>
        <v>16566971</v>
      </c>
      <c r="W631" s="118">
        <f t="shared" si="320"/>
        <v>0</v>
      </c>
      <c r="X631" s="150"/>
      <c r="Z631" s="140">
        <f>IF($C631="B","",VLOOKUP($C631,orig_alloc!$A$13:$B$227,2,FALSE))</f>
      </c>
      <c r="AA631" s="151"/>
      <c r="AE631" s="151"/>
      <c r="AF631" s="151"/>
    </row>
    <row r="632" spans="1:32" ht="20.25">
      <c r="A632" s="132" t="s">
        <v>36</v>
      </c>
      <c r="B632" s="149" t="s">
        <v>680</v>
      </c>
      <c r="C632" s="132"/>
      <c r="D632" s="118">
        <f aca="true" t="shared" si="321" ref="D632:W632">-D520</f>
        <v>-23004222</v>
      </c>
      <c r="E632" s="118">
        <f t="shared" si="321"/>
        <v>-12184847</v>
      </c>
      <c r="F632" s="118">
        <f t="shared" si="321"/>
        <v>-5199961</v>
      </c>
      <c r="G632" s="118">
        <f t="shared" si="321"/>
        <v>-4888</v>
      </c>
      <c r="H632" s="118">
        <f t="shared" si="321"/>
        <v>-20080</v>
      </c>
      <c r="I632" s="118">
        <f t="shared" si="321"/>
        <v>-93406</v>
      </c>
      <c r="J632" s="118">
        <f t="shared" si="321"/>
        <v>-2594</v>
      </c>
      <c r="K632" s="118">
        <f t="shared" si="321"/>
        <v>-2834305</v>
      </c>
      <c r="L632" s="118">
        <f t="shared" si="321"/>
        <v>-38485</v>
      </c>
      <c r="M632" s="118">
        <f t="shared" si="321"/>
        <v>-1629248</v>
      </c>
      <c r="N632" s="118">
        <f t="shared" si="321"/>
        <v>-76908</v>
      </c>
      <c r="O632" s="118">
        <f t="shared" si="321"/>
        <v>-126352</v>
      </c>
      <c r="P632" s="118">
        <f t="shared" si="321"/>
        <v>0</v>
      </c>
      <c r="Q632" s="118">
        <f t="shared" si="321"/>
        <v>-534810</v>
      </c>
      <c r="R632" s="118">
        <f t="shared" si="321"/>
        <v>-30793</v>
      </c>
      <c r="S632" s="118">
        <f t="shared" si="321"/>
        <v>-224362</v>
      </c>
      <c r="T632" s="118">
        <f t="shared" si="321"/>
        <v>0</v>
      </c>
      <c r="U632" s="118">
        <f t="shared" si="321"/>
        <v>-3183</v>
      </c>
      <c r="V632" s="118">
        <f t="shared" si="321"/>
        <v>-23004222</v>
      </c>
      <c r="W632" s="118">
        <f t="shared" si="321"/>
        <v>0</v>
      </c>
      <c r="X632" s="150"/>
      <c r="Z632" s="140">
        <f>IF($C632="B","",VLOOKUP($C632,orig_alloc!$A$13:$B$227,2,FALSE))</f>
      </c>
      <c r="AA632" s="151"/>
      <c r="AE632" s="151"/>
      <c r="AF632" s="151"/>
    </row>
    <row r="633" spans="1:32" ht="20.25">
      <c r="A633" s="132" t="s">
        <v>37</v>
      </c>
      <c r="B633" s="149" t="s">
        <v>14</v>
      </c>
      <c r="C633" s="132"/>
      <c r="D633" s="118">
        <f aca="true" t="shared" si="322" ref="D633:W633">-D594</f>
        <v>-1109000</v>
      </c>
      <c r="E633" s="118">
        <f t="shared" si="322"/>
        <v>-574765</v>
      </c>
      <c r="F633" s="118">
        <f t="shared" si="322"/>
        <v>-254309</v>
      </c>
      <c r="G633" s="118">
        <f t="shared" si="322"/>
        <v>-243</v>
      </c>
      <c r="H633" s="118">
        <f t="shared" si="322"/>
        <v>-1001</v>
      </c>
      <c r="I633" s="118">
        <f t="shared" si="322"/>
        <v>-4533</v>
      </c>
      <c r="J633" s="118">
        <f t="shared" si="322"/>
        <v>-118</v>
      </c>
      <c r="K633" s="118">
        <f t="shared" si="322"/>
        <v>-140684</v>
      </c>
      <c r="L633" s="118">
        <f t="shared" si="322"/>
        <v>-1921</v>
      </c>
      <c r="M633" s="118">
        <f t="shared" si="322"/>
        <v>-81418</v>
      </c>
      <c r="N633" s="118">
        <f t="shared" si="322"/>
        <v>-3851</v>
      </c>
      <c r="O633" s="118">
        <f t="shared" si="322"/>
        <v>-6296</v>
      </c>
      <c r="P633" s="118">
        <f t="shared" si="322"/>
        <v>0</v>
      </c>
      <c r="Q633" s="118">
        <f t="shared" si="322"/>
        <v>-27235</v>
      </c>
      <c r="R633" s="118">
        <f t="shared" si="322"/>
        <v>-1571</v>
      </c>
      <c r="S633" s="118">
        <f t="shared" si="322"/>
        <v>-10895</v>
      </c>
      <c r="T633" s="118">
        <f t="shared" si="322"/>
        <v>0</v>
      </c>
      <c r="U633" s="118">
        <f t="shared" si="322"/>
        <v>-160</v>
      </c>
      <c r="V633" s="118">
        <f t="shared" si="322"/>
        <v>-1109000</v>
      </c>
      <c r="W633" s="118">
        <f t="shared" si="322"/>
        <v>0</v>
      </c>
      <c r="X633" s="150"/>
      <c r="Z633" s="140">
        <f>IF($C633="B","",VLOOKUP($C633,orig_alloc!$A$13:$B$227,2,FALSE))</f>
      </c>
      <c r="AA633" s="151"/>
      <c r="AE633" s="151"/>
      <c r="AF633" s="151"/>
    </row>
    <row r="634" spans="1:35" s="113" customFormat="1" ht="20.25">
      <c r="A634" s="132" t="s">
        <v>1239</v>
      </c>
      <c r="B634" s="149" t="s">
        <v>177</v>
      </c>
      <c r="C634" s="132" t="s">
        <v>1250</v>
      </c>
      <c r="D634" s="118">
        <f aca="true" t="shared" si="323" ref="D634:W634">D26</f>
        <v>-373481</v>
      </c>
      <c r="E634" s="118">
        <f t="shared" si="323"/>
        <v>-194944</v>
      </c>
      <c r="F634" s="118">
        <f t="shared" si="323"/>
        <v>-93752</v>
      </c>
      <c r="G634" s="118">
        <f t="shared" si="323"/>
        <v>-83</v>
      </c>
      <c r="H634" s="118">
        <f t="shared" si="323"/>
        <v>-338</v>
      </c>
      <c r="I634" s="118">
        <f t="shared" si="323"/>
        <v>-1291</v>
      </c>
      <c r="J634" s="118">
        <f t="shared" si="323"/>
        <v>-48</v>
      </c>
      <c r="K634" s="118">
        <f t="shared" si="323"/>
        <v>-51818</v>
      </c>
      <c r="L634" s="118">
        <f t="shared" si="323"/>
        <v>-556</v>
      </c>
      <c r="M634" s="118">
        <f t="shared" si="323"/>
        <v>-17127</v>
      </c>
      <c r="N634" s="118">
        <f t="shared" si="323"/>
        <v>-755</v>
      </c>
      <c r="O634" s="118">
        <f t="shared" si="323"/>
        <v>-1665</v>
      </c>
      <c r="P634" s="118">
        <f t="shared" si="323"/>
        <v>0</v>
      </c>
      <c r="Q634" s="118">
        <f t="shared" si="323"/>
        <v>6669</v>
      </c>
      <c r="R634" s="118">
        <f t="shared" si="323"/>
        <v>388</v>
      </c>
      <c r="S634" s="118">
        <f t="shared" si="323"/>
        <v>-18133</v>
      </c>
      <c r="T634" s="118">
        <f t="shared" si="323"/>
        <v>0</v>
      </c>
      <c r="U634" s="118">
        <f t="shared" si="323"/>
        <v>-28</v>
      </c>
      <c r="V634" s="118">
        <f t="shared" si="323"/>
        <v>-373481</v>
      </c>
      <c r="W634" s="118">
        <f t="shared" si="323"/>
        <v>0</v>
      </c>
      <c r="X634" s="118" t="s">
        <v>915</v>
      </c>
      <c r="Y634" s="142"/>
      <c r="Z634" s="140"/>
      <c r="AA634" s="151"/>
      <c r="AB634" s="136"/>
      <c r="AC634" s="136"/>
      <c r="AD634" s="136"/>
      <c r="AE634" s="151"/>
      <c r="AF634" s="151"/>
      <c r="AG634" s="136"/>
      <c r="AH634" s="136"/>
      <c r="AI634" s="136"/>
    </row>
    <row r="635" spans="1:32" ht="20.25">
      <c r="A635" s="132" t="s">
        <v>38</v>
      </c>
      <c r="B635" s="149" t="s">
        <v>33</v>
      </c>
      <c r="C635" s="132"/>
      <c r="D635" s="118">
        <f aca="true" t="shared" si="324" ref="D635:W635">D626</f>
        <v>394834</v>
      </c>
      <c r="E635" s="118">
        <f t="shared" si="324"/>
        <v>204635</v>
      </c>
      <c r="F635" s="118">
        <f t="shared" si="324"/>
        <v>90748</v>
      </c>
      <c r="G635" s="118">
        <f t="shared" si="324"/>
        <v>86</v>
      </c>
      <c r="H635" s="118">
        <f t="shared" si="324"/>
        <v>356</v>
      </c>
      <c r="I635" s="118">
        <f t="shared" si="324"/>
        <v>1610</v>
      </c>
      <c r="J635" s="118">
        <f t="shared" si="324"/>
        <v>43</v>
      </c>
      <c r="K635" s="118">
        <f t="shared" si="324"/>
        <v>50212</v>
      </c>
      <c r="L635" s="118">
        <f t="shared" si="324"/>
        <v>682</v>
      </c>
      <c r="M635" s="118">
        <f t="shared" si="324"/>
        <v>28841</v>
      </c>
      <c r="N635" s="118">
        <f t="shared" si="324"/>
        <v>1363</v>
      </c>
      <c r="O635" s="118">
        <f t="shared" si="324"/>
        <v>2237</v>
      </c>
      <c r="P635" s="118">
        <f t="shared" si="324"/>
        <v>0</v>
      </c>
      <c r="Q635" s="118">
        <f t="shared" si="324"/>
        <v>9410</v>
      </c>
      <c r="R635" s="118">
        <f t="shared" si="324"/>
        <v>542</v>
      </c>
      <c r="S635" s="118">
        <f t="shared" si="324"/>
        <v>4013</v>
      </c>
      <c r="T635" s="118">
        <f t="shared" si="324"/>
        <v>0</v>
      </c>
      <c r="U635" s="118">
        <f t="shared" si="324"/>
        <v>56</v>
      </c>
      <c r="V635" s="118">
        <f t="shared" si="324"/>
        <v>394834</v>
      </c>
      <c r="W635" s="118">
        <f t="shared" si="324"/>
        <v>0</v>
      </c>
      <c r="X635" s="150"/>
      <c r="Z635" s="140">
        <f>IF($C635="B","",VLOOKUP($C635,orig_alloc!$A$13:$B$227,2,FALSE))</f>
      </c>
      <c r="AA635" s="151"/>
      <c r="AE635" s="151"/>
      <c r="AF635" s="151"/>
    </row>
    <row r="636" spans="1:32" ht="20.25">
      <c r="A636" s="240" t="s">
        <v>39</v>
      </c>
      <c r="B636" s="149" t="s">
        <v>40</v>
      </c>
      <c r="C636" s="132"/>
      <c r="D636" s="202">
        <f aca="true" t="shared" si="325" ref="D636:W636">SUM(D629:D635)</f>
        <v>41280942</v>
      </c>
      <c r="E636" s="202">
        <f t="shared" si="325"/>
        <v>12630126</v>
      </c>
      <c r="F636" s="202">
        <f t="shared" si="325"/>
        <v>16250326</v>
      </c>
      <c r="G636" s="202">
        <f t="shared" si="325"/>
        <v>35703</v>
      </c>
      <c r="H636" s="202">
        <f t="shared" si="325"/>
        <v>162217</v>
      </c>
      <c r="I636" s="202">
        <f t="shared" si="325"/>
        <v>41965</v>
      </c>
      <c r="J636" s="202">
        <f t="shared" si="325"/>
        <v>11262</v>
      </c>
      <c r="K636" s="202">
        <f t="shared" si="325"/>
        <v>7120301</v>
      </c>
      <c r="L636" s="202">
        <f t="shared" si="325"/>
        <v>136930</v>
      </c>
      <c r="M636" s="202">
        <f t="shared" si="325"/>
        <v>2005984</v>
      </c>
      <c r="N636" s="202">
        <f t="shared" si="325"/>
        <v>310646</v>
      </c>
      <c r="O636" s="202">
        <f t="shared" si="325"/>
        <v>307356</v>
      </c>
      <c r="P636" s="202">
        <f t="shared" si="325"/>
        <v>0</v>
      </c>
      <c r="Q636" s="202">
        <f t="shared" si="325"/>
        <v>1246036</v>
      </c>
      <c r="R636" s="202">
        <f t="shared" si="325"/>
        <v>160487</v>
      </c>
      <c r="S636" s="202">
        <f t="shared" si="325"/>
        <v>865331</v>
      </c>
      <c r="T636" s="202">
        <f t="shared" si="325"/>
        <v>0</v>
      </c>
      <c r="U636" s="202">
        <f t="shared" si="325"/>
        <v>-3728</v>
      </c>
      <c r="V636" s="202">
        <f t="shared" si="325"/>
        <v>41280942</v>
      </c>
      <c r="W636" s="202">
        <f t="shared" si="325"/>
        <v>0</v>
      </c>
      <c r="X636" s="150"/>
      <c r="Z636" s="140">
        <f>IF($C636="B","",VLOOKUP($C636,orig_alloc!$A$13:$B$227,2,FALSE))</f>
      </c>
      <c r="AA636" s="151"/>
      <c r="AE636" s="151"/>
      <c r="AF636" s="151"/>
    </row>
    <row r="637" spans="1:32" ht="20.25">
      <c r="A637" s="132"/>
      <c r="B637" s="149"/>
      <c r="C637" s="132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33"/>
      <c r="W637" s="133"/>
      <c r="X637" s="150"/>
      <c r="Z637" s="140">
        <f>IF($C637="B","",VLOOKUP($C637,orig_alloc!$A$13:$B$227,2,FALSE))</f>
      </c>
      <c r="AA637" s="151"/>
      <c r="AD637" s="151"/>
      <c r="AE637" s="151"/>
      <c r="AF637" s="151"/>
    </row>
    <row r="638" spans="1:32" ht="18">
      <c r="A638" s="132" t="s">
        <v>41</v>
      </c>
      <c r="B638" s="149" t="s">
        <v>42</v>
      </c>
      <c r="C638" s="132"/>
      <c r="D638" s="321"/>
      <c r="E638" s="322">
        <f aca="true" t="shared" si="326" ref="E638:U638">ROUND(+E725/(1-E725),17)</f>
        <v>0.0614343782631146</v>
      </c>
      <c r="F638" s="322">
        <f t="shared" si="326"/>
        <v>0.0614343782631146</v>
      </c>
      <c r="G638" s="322">
        <f t="shared" si="326"/>
        <v>0.0614343782631146</v>
      </c>
      <c r="H638" s="322">
        <f t="shared" si="326"/>
        <v>0.0614343782631146</v>
      </c>
      <c r="I638" s="322">
        <f t="shared" si="326"/>
        <v>0.0614343782631146</v>
      </c>
      <c r="J638" s="322">
        <f t="shared" si="326"/>
        <v>0.0614343782631146</v>
      </c>
      <c r="K638" s="322">
        <f t="shared" si="326"/>
        <v>0.0614343782631146</v>
      </c>
      <c r="L638" s="322">
        <f t="shared" si="326"/>
        <v>0.0614343782631146</v>
      </c>
      <c r="M638" s="322">
        <f t="shared" si="326"/>
        <v>0.0614343782631146</v>
      </c>
      <c r="N638" s="322">
        <f t="shared" si="326"/>
        <v>0.0614343782631146</v>
      </c>
      <c r="O638" s="322">
        <f t="shared" si="326"/>
        <v>0.0614343782631146</v>
      </c>
      <c r="P638" s="322">
        <f t="shared" si="326"/>
        <v>0.0614343782631146</v>
      </c>
      <c r="Q638" s="322">
        <f t="shared" si="326"/>
        <v>0.0614343782631146</v>
      </c>
      <c r="R638" s="322">
        <f t="shared" si="326"/>
        <v>0.0614343782631146</v>
      </c>
      <c r="S638" s="322">
        <f t="shared" si="326"/>
        <v>0.0614343782631146</v>
      </c>
      <c r="T638" s="322">
        <f t="shared" si="326"/>
        <v>0.0614343782631146</v>
      </c>
      <c r="U638" s="322">
        <f t="shared" si="326"/>
        <v>0.0614343782631146</v>
      </c>
      <c r="V638" s="322">
        <f>U638</f>
        <v>0.0614343782631146</v>
      </c>
      <c r="W638" s="322">
        <f>ROUND(+W725/(1-W725),17)</f>
        <v>0.0614343782631146</v>
      </c>
      <c r="X638" s="150"/>
      <c r="Z638" s="140">
        <f>IF($C638="B","",VLOOKUP($C638,orig_alloc!$A$13:$B$227,2,FALSE))</f>
      </c>
      <c r="AA638" s="151"/>
      <c r="AD638" s="151"/>
      <c r="AE638" s="151"/>
      <c r="AF638" s="151"/>
    </row>
    <row r="639" spans="1:32" ht="20.25">
      <c r="A639" s="132" t="s">
        <v>43</v>
      </c>
      <c r="B639" s="149" t="s">
        <v>44</v>
      </c>
      <c r="C639" s="312"/>
      <c r="D639" s="118">
        <f>V639+W639</f>
        <v>2536069</v>
      </c>
      <c r="E639" s="118">
        <f>V639-SUM(F639:U639)</f>
        <v>775926</v>
      </c>
      <c r="F639" s="118">
        <f aca="true" t="shared" si="327" ref="F639:U639">ROUND(F636*F638,0)</f>
        <v>998329</v>
      </c>
      <c r="G639" s="118">
        <f t="shared" si="327"/>
        <v>2193</v>
      </c>
      <c r="H639" s="118">
        <f t="shared" si="327"/>
        <v>9966</v>
      </c>
      <c r="I639" s="118">
        <f t="shared" si="327"/>
        <v>2578</v>
      </c>
      <c r="J639" s="118">
        <f t="shared" si="327"/>
        <v>692</v>
      </c>
      <c r="K639" s="118">
        <f t="shared" si="327"/>
        <v>437431</v>
      </c>
      <c r="L639" s="118">
        <f t="shared" si="327"/>
        <v>8412</v>
      </c>
      <c r="M639" s="118">
        <f t="shared" si="327"/>
        <v>123236</v>
      </c>
      <c r="N639" s="118">
        <f t="shared" si="327"/>
        <v>19084</v>
      </c>
      <c r="O639" s="118">
        <f t="shared" si="327"/>
        <v>18882</v>
      </c>
      <c r="P639" s="118">
        <f t="shared" si="327"/>
        <v>0</v>
      </c>
      <c r="Q639" s="118">
        <f t="shared" si="327"/>
        <v>76549</v>
      </c>
      <c r="R639" s="118">
        <f t="shared" si="327"/>
        <v>9859</v>
      </c>
      <c r="S639" s="118">
        <f t="shared" si="327"/>
        <v>53161</v>
      </c>
      <c r="T639" s="118">
        <f t="shared" si="327"/>
        <v>0</v>
      </c>
      <c r="U639" s="118">
        <f t="shared" si="327"/>
        <v>-229</v>
      </c>
      <c r="V639" s="118">
        <f>ROUND(V636*V638,0)+C639</f>
        <v>2536069</v>
      </c>
      <c r="W639" s="118">
        <f>ROUND(W636*W638,0)</f>
        <v>0</v>
      </c>
      <c r="X639" s="150"/>
      <c r="Y639" s="152">
        <f>ROUND(E638*E636,0)-E639</f>
        <v>-2</v>
      </c>
      <c r="Z639" s="140">
        <f>IF($C639="B","",VLOOKUP($C639,orig_alloc!$A$13:$B$227,2,FALSE))</f>
      </c>
      <c r="AA639" s="151"/>
      <c r="AD639" s="151"/>
      <c r="AE639" s="151"/>
      <c r="AF639" s="151"/>
    </row>
    <row r="640" spans="1:32" ht="20.25">
      <c r="A640" s="132" t="s">
        <v>45</v>
      </c>
      <c r="B640" s="149" t="s">
        <v>33</v>
      </c>
      <c r="C640" s="132"/>
      <c r="D640" s="118">
        <f aca="true" t="shared" si="328" ref="D640:W640">D626</f>
        <v>394834</v>
      </c>
      <c r="E640" s="118">
        <f t="shared" si="328"/>
        <v>204635</v>
      </c>
      <c r="F640" s="118">
        <f t="shared" si="328"/>
        <v>90748</v>
      </c>
      <c r="G640" s="118">
        <f t="shared" si="328"/>
        <v>86</v>
      </c>
      <c r="H640" s="118">
        <f t="shared" si="328"/>
        <v>356</v>
      </c>
      <c r="I640" s="118">
        <f t="shared" si="328"/>
        <v>1610</v>
      </c>
      <c r="J640" s="118">
        <f t="shared" si="328"/>
        <v>43</v>
      </c>
      <c r="K640" s="118">
        <f t="shared" si="328"/>
        <v>50212</v>
      </c>
      <c r="L640" s="118">
        <f t="shared" si="328"/>
        <v>682</v>
      </c>
      <c r="M640" s="118">
        <f t="shared" si="328"/>
        <v>28841</v>
      </c>
      <c r="N640" s="118">
        <f t="shared" si="328"/>
        <v>1363</v>
      </c>
      <c r="O640" s="118">
        <f t="shared" si="328"/>
        <v>2237</v>
      </c>
      <c r="P640" s="118">
        <f t="shared" si="328"/>
        <v>0</v>
      </c>
      <c r="Q640" s="118">
        <f t="shared" si="328"/>
        <v>9410</v>
      </c>
      <c r="R640" s="118">
        <f t="shared" si="328"/>
        <v>542</v>
      </c>
      <c r="S640" s="118">
        <f t="shared" si="328"/>
        <v>4013</v>
      </c>
      <c r="T640" s="118">
        <f t="shared" si="328"/>
        <v>0</v>
      </c>
      <c r="U640" s="118">
        <f t="shared" si="328"/>
        <v>56</v>
      </c>
      <c r="V640" s="118">
        <f t="shared" si="328"/>
        <v>394834</v>
      </c>
      <c r="W640" s="118">
        <f t="shared" si="328"/>
        <v>0</v>
      </c>
      <c r="X640" s="150"/>
      <c r="Z640" s="140">
        <f>IF($C640="B","",VLOOKUP($C640,orig_alloc!$A$13:$B$227,2,FALSE))</f>
      </c>
      <c r="AA640" s="151"/>
      <c r="AD640" s="151"/>
      <c r="AE640" s="151"/>
      <c r="AF640" s="151"/>
    </row>
    <row r="641" spans="1:32" ht="20.25">
      <c r="A641" s="240" t="s">
        <v>46</v>
      </c>
      <c r="B641" s="149" t="s">
        <v>47</v>
      </c>
      <c r="C641" s="132"/>
      <c r="D641" s="202">
        <f aca="true" t="shared" si="329" ref="D641:W641">D640+D639</f>
        <v>2930903</v>
      </c>
      <c r="E641" s="202">
        <f t="shared" si="329"/>
        <v>980561</v>
      </c>
      <c r="F641" s="202">
        <f t="shared" si="329"/>
        <v>1089077</v>
      </c>
      <c r="G641" s="202">
        <f t="shared" si="329"/>
        <v>2279</v>
      </c>
      <c r="H641" s="202">
        <f t="shared" si="329"/>
        <v>10322</v>
      </c>
      <c r="I641" s="202">
        <f t="shared" si="329"/>
        <v>4188</v>
      </c>
      <c r="J641" s="202">
        <f t="shared" si="329"/>
        <v>735</v>
      </c>
      <c r="K641" s="202">
        <f t="shared" si="329"/>
        <v>487643</v>
      </c>
      <c r="L641" s="202">
        <f t="shared" si="329"/>
        <v>9094</v>
      </c>
      <c r="M641" s="202">
        <f t="shared" si="329"/>
        <v>152077</v>
      </c>
      <c r="N641" s="202">
        <f t="shared" si="329"/>
        <v>20447</v>
      </c>
      <c r="O641" s="202">
        <f t="shared" si="329"/>
        <v>21119</v>
      </c>
      <c r="P641" s="202">
        <f t="shared" si="329"/>
        <v>0</v>
      </c>
      <c r="Q641" s="202">
        <f t="shared" si="329"/>
        <v>85959</v>
      </c>
      <c r="R641" s="202">
        <f t="shared" si="329"/>
        <v>10401</v>
      </c>
      <c r="S641" s="202">
        <f t="shared" si="329"/>
        <v>57174</v>
      </c>
      <c r="T641" s="202">
        <f t="shared" si="329"/>
        <v>0</v>
      </c>
      <c r="U641" s="202">
        <f t="shared" si="329"/>
        <v>-173</v>
      </c>
      <c r="V641" s="202">
        <f t="shared" si="329"/>
        <v>2930903</v>
      </c>
      <c r="W641" s="202">
        <f t="shared" si="329"/>
        <v>0</v>
      </c>
      <c r="X641" s="150"/>
      <c r="Z641" s="140">
        <f>IF($C641="B","",VLOOKUP($C641,orig_alloc!$A$13:$B$227,2,FALSE))</f>
      </c>
      <c r="AA641" s="151"/>
      <c r="AD641" s="151"/>
      <c r="AE641" s="151"/>
      <c r="AF641" s="151"/>
    </row>
    <row r="642" spans="1:32" ht="20.25">
      <c r="A642" s="132"/>
      <c r="B642" s="149"/>
      <c r="C642" s="132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33"/>
      <c r="W642" s="133"/>
      <c r="X642" s="150"/>
      <c r="Z642" s="140">
        <f>IF($C642="B","",VLOOKUP($C642,orig_alloc!$A$13:$B$227,2,FALSE))</f>
      </c>
      <c r="AA642" s="151"/>
      <c r="AD642" s="151"/>
      <c r="AE642" s="151"/>
      <c r="AF642" s="151"/>
    </row>
    <row r="643" spans="1:32" ht="20.25">
      <c r="A643" s="132" t="s">
        <v>48</v>
      </c>
      <c r="B643" s="149"/>
      <c r="C643" s="132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33"/>
      <c r="W643" s="133"/>
      <c r="X643" s="150"/>
      <c r="Z643" s="140">
        <f>IF($C643="B","",VLOOKUP($C643,orig_alloc!$A$13:$B$227,2,FALSE))</f>
      </c>
      <c r="AA643" s="151"/>
      <c r="AD643" s="151"/>
      <c r="AE643" s="151"/>
      <c r="AF643" s="151"/>
    </row>
    <row r="644" spans="1:32" ht="20.25">
      <c r="A644" s="132" t="s">
        <v>43</v>
      </c>
      <c r="B644" s="149" t="s">
        <v>44</v>
      </c>
      <c r="C644" s="132"/>
      <c r="D644" s="118">
        <f aca="true" t="shared" si="330" ref="D644:W644">D639</f>
        <v>2536069</v>
      </c>
      <c r="E644" s="118">
        <f t="shared" si="330"/>
        <v>775926</v>
      </c>
      <c r="F644" s="118">
        <f t="shared" si="330"/>
        <v>998329</v>
      </c>
      <c r="G644" s="118">
        <f t="shared" si="330"/>
        <v>2193</v>
      </c>
      <c r="H644" s="118">
        <f t="shared" si="330"/>
        <v>9966</v>
      </c>
      <c r="I644" s="118">
        <f t="shared" si="330"/>
        <v>2578</v>
      </c>
      <c r="J644" s="118">
        <f t="shared" si="330"/>
        <v>692</v>
      </c>
      <c r="K644" s="118">
        <f t="shared" si="330"/>
        <v>437431</v>
      </c>
      <c r="L644" s="118">
        <f t="shared" si="330"/>
        <v>8412</v>
      </c>
      <c r="M644" s="118">
        <f t="shared" si="330"/>
        <v>123236</v>
      </c>
      <c r="N644" s="118">
        <f t="shared" si="330"/>
        <v>19084</v>
      </c>
      <c r="O644" s="118">
        <f t="shared" si="330"/>
        <v>18882</v>
      </c>
      <c r="P644" s="118">
        <f t="shared" si="330"/>
        <v>0</v>
      </c>
      <c r="Q644" s="118">
        <f t="shared" si="330"/>
        <v>76549</v>
      </c>
      <c r="R644" s="118">
        <f t="shared" si="330"/>
        <v>9859</v>
      </c>
      <c r="S644" s="118">
        <f t="shared" si="330"/>
        <v>53161</v>
      </c>
      <c r="T644" s="118">
        <f t="shared" si="330"/>
        <v>0</v>
      </c>
      <c r="U644" s="118">
        <f t="shared" si="330"/>
        <v>-229</v>
      </c>
      <c r="V644" s="118">
        <f t="shared" si="330"/>
        <v>2536069</v>
      </c>
      <c r="W644" s="118">
        <f t="shared" si="330"/>
        <v>0</v>
      </c>
      <c r="X644" s="150"/>
      <c r="Z644" s="140">
        <f>IF($C644="B","",VLOOKUP($C644,orig_alloc!$A$13:$B$227,2,FALSE))</f>
      </c>
      <c r="AA644" s="151"/>
      <c r="AD644" s="151"/>
      <c r="AE644" s="151"/>
      <c r="AF644" s="151"/>
    </row>
    <row r="645" spans="1:32" ht="20.25">
      <c r="A645" s="132" t="s">
        <v>49</v>
      </c>
      <c r="B645" s="149" t="s">
        <v>31</v>
      </c>
      <c r="C645" s="132"/>
      <c r="D645" s="118">
        <f aca="true" t="shared" si="331" ref="D645:W645">D624</f>
        <v>0</v>
      </c>
      <c r="E645" s="118">
        <f t="shared" si="331"/>
        <v>0</v>
      </c>
      <c r="F645" s="118">
        <f t="shared" si="331"/>
        <v>0</v>
      </c>
      <c r="G645" s="118">
        <f t="shared" si="331"/>
        <v>0</v>
      </c>
      <c r="H645" s="118">
        <f t="shared" si="331"/>
        <v>0</v>
      </c>
      <c r="I645" s="118">
        <f t="shared" si="331"/>
        <v>0</v>
      </c>
      <c r="J645" s="118">
        <f t="shared" si="331"/>
        <v>0</v>
      </c>
      <c r="K645" s="118">
        <f t="shared" si="331"/>
        <v>0</v>
      </c>
      <c r="L645" s="118">
        <f t="shared" si="331"/>
        <v>0</v>
      </c>
      <c r="M645" s="118">
        <f t="shared" si="331"/>
        <v>0</v>
      </c>
      <c r="N645" s="118">
        <f t="shared" si="331"/>
        <v>0</v>
      </c>
      <c r="O645" s="118">
        <f t="shared" si="331"/>
        <v>0</v>
      </c>
      <c r="P645" s="118">
        <f t="shared" si="331"/>
        <v>0</v>
      </c>
      <c r="Q645" s="118">
        <f t="shared" si="331"/>
        <v>0</v>
      </c>
      <c r="R645" s="118">
        <f t="shared" si="331"/>
        <v>0</v>
      </c>
      <c r="S645" s="118">
        <f t="shared" si="331"/>
        <v>0</v>
      </c>
      <c r="T645" s="118">
        <f t="shared" si="331"/>
        <v>0</v>
      </c>
      <c r="U645" s="118">
        <f t="shared" si="331"/>
        <v>0</v>
      </c>
      <c r="V645" s="118">
        <f t="shared" si="331"/>
        <v>0</v>
      </c>
      <c r="W645" s="118">
        <f t="shared" si="331"/>
        <v>0</v>
      </c>
      <c r="X645" s="150"/>
      <c r="Z645" s="140">
        <f>IF($C645="B","",VLOOKUP($C645,orig_alloc!$A$13:$B$227,2,FALSE))</f>
      </c>
      <c r="AA645" s="151"/>
      <c r="AD645" s="151"/>
      <c r="AE645" s="151"/>
      <c r="AF645" s="151"/>
    </row>
    <row r="646" spans="1:32" ht="20.25">
      <c r="A646" s="240" t="s">
        <v>50</v>
      </c>
      <c r="B646" s="149" t="s">
        <v>51</v>
      </c>
      <c r="C646" s="132"/>
      <c r="D646" s="202">
        <f aca="true" t="shared" si="332" ref="D646:W646">D644+D645</f>
        <v>2536069</v>
      </c>
      <c r="E646" s="202">
        <f t="shared" si="332"/>
        <v>775926</v>
      </c>
      <c r="F646" s="202">
        <f t="shared" si="332"/>
        <v>998329</v>
      </c>
      <c r="G646" s="202">
        <f t="shared" si="332"/>
        <v>2193</v>
      </c>
      <c r="H646" s="202">
        <f t="shared" si="332"/>
        <v>9966</v>
      </c>
      <c r="I646" s="202">
        <f t="shared" si="332"/>
        <v>2578</v>
      </c>
      <c r="J646" s="202">
        <f t="shared" si="332"/>
        <v>692</v>
      </c>
      <c r="K646" s="202">
        <f t="shared" si="332"/>
        <v>437431</v>
      </c>
      <c r="L646" s="202">
        <f t="shared" si="332"/>
        <v>8412</v>
      </c>
      <c r="M646" s="202">
        <f t="shared" si="332"/>
        <v>123236</v>
      </c>
      <c r="N646" s="202">
        <f t="shared" si="332"/>
        <v>19084</v>
      </c>
      <c r="O646" s="202">
        <f t="shared" si="332"/>
        <v>18882</v>
      </c>
      <c r="P646" s="202">
        <f t="shared" si="332"/>
        <v>0</v>
      </c>
      <c r="Q646" s="202">
        <f t="shared" si="332"/>
        <v>76549</v>
      </c>
      <c r="R646" s="202">
        <f t="shared" si="332"/>
        <v>9859</v>
      </c>
      <c r="S646" s="202">
        <f t="shared" si="332"/>
        <v>53161</v>
      </c>
      <c r="T646" s="202">
        <f t="shared" si="332"/>
        <v>0</v>
      </c>
      <c r="U646" s="202">
        <f t="shared" si="332"/>
        <v>-229</v>
      </c>
      <c r="V646" s="202">
        <f t="shared" si="332"/>
        <v>2536069</v>
      </c>
      <c r="W646" s="202">
        <f t="shared" si="332"/>
        <v>0</v>
      </c>
      <c r="X646" s="150"/>
      <c r="Z646" s="140">
        <f>IF($C646="B","",VLOOKUP($C646,orig_alloc!$A$13:$B$227,2,FALSE))</f>
      </c>
      <c r="AA646" s="151"/>
      <c r="AD646" s="151"/>
      <c r="AE646" s="151"/>
      <c r="AF646" s="151"/>
    </row>
    <row r="647" spans="1:32" ht="20.25">
      <c r="A647" s="132"/>
      <c r="B647" s="149"/>
      <c r="C647" s="132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33"/>
      <c r="W647" s="133"/>
      <c r="X647" s="150"/>
      <c r="Z647" s="140">
        <f>IF($C647="B","",VLOOKUP($C647,orig_alloc!$A$13:$B$227,2,FALSE))</f>
      </c>
      <c r="AA647" s="151"/>
      <c r="AD647" s="151"/>
      <c r="AE647" s="151"/>
      <c r="AF647" s="151"/>
    </row>
    <row r="648" spans="1:32" ht="20.25">
      <c r="A648" s="132" t="s">
        <v>52</v>
      </c>
      <c r="B648" s="149" t="s">
        <v>53</v>
      </c>
      <c r="C648" s="132"/>
      <c r="D648" s="323">
        <f aca="true" t="shared" si="333" ref="D648:V648">ROUND(((D725*(1-D724))+((1-D725)*(1-D724)*D726)+D724),14)</f>
        <v>0.387621116</v>
      </c>
      <c r="E648" s="323">
        <f t="shared" si="333"/>
        <v>0.387621116</v>
      </c>
      <c r="F648" s="323">
        <f t="shared" si="333"/>
        <v>0.387621116</v>
      </c>
      <c r="G648" s="323">
        <f t="shared" si="333"/>
        <v>0.387621116</v>
      </c>
      <c r="H648" s="323">
        <f t="shared" si="333"/>
        <v>0.387621116</v>
      </c>
      <c r="I648" s="323">
        <f t="shared" si="333"/>
        <v>0.387621116</v>
      </c>
      <c r="J648" s="323">
        <f t="shared" si="333"/>
        <v>0.387621116</v>
      </c>
      <c r="K648" s="323">
        <f t="shared" si="333"/>
        <v>0.387621116</v>
      </c>
      <c r="L648" s="323">
        <f t="shared" si="333"/>
        <v>0.387621116</v>
      </c>
      <c r="M648" s="323">
        <f t="shared" si="333"/>
        <v>0.387621116</v>
      </c>
      <c r="N648" s="323">
        <f t="shared" si="333"/>
        <v>0.387621116</v>
      </c>
      <c r="O648" s="323">
        <f t="shared" si="333"/>
        <v>0.387621116</v>
      </c>
      <c r="P648" s="323">
        <f t="shared" si="333"/>
        <v>0.387621116</v>
      </c>
      <c r="Q648" s="323">
        <f t="shared" si="333"/>
        <v>0.387621116</v>
      </c>
      <c r="R648" s="323">
        <f t="shared" si="333"/>
        <v>0.387621116</v>
      </c>
      <c r="S648" s="323">
        <f t="shared" si="333"/>
        <v>0.387621116</v>
      </c>
      <c r="T648" s="323">
        <f t="shared" si="333"/>
        <v>0.387621116</v>
      </c>
      <c r="U648" s="323">
        <f t="shared" si="333"/>
        <v>0.387621116</v>
      </c>
      <c r="V648" s="323">
        <f t="shared" si="333"/>
        <v>0.387621116</v>
      </c>
      <c r="W648" s="323">
        <f>ROUND(((W725*(1-W724))+((1-W725)*(1-W724)*W726)+W724),14)</f>
        <v>0.387621116</v>
      </c>
      <c r="X648" s="150"/>
      <c r="Z648" s="140">
        <f>IF($C648="B","",VLOOKUP($C648,orig_alloc!$A$13:$B$227,2,FALSE))</f>
      </c>
      <c r="AA648" s="151"/>
      <c r="AD648" s="151"/>
      <c r="AE648" s="151"/>
      <c r="AF648" s="151"/>
    </row>
    <row r="649" spans="1:32" ht="20.25">
      <c r="A649" s="132"/>
      <c r="B649" s="149"/>
      <c r="C649" s="132"/>
      <c r="D649" s="118"/>
      <c r="E649" s="279"/>
      <c r="F649" s="279"/>
      <c r="G649" s="279"/>
      <c r="H649" s="279"/>
      <c r="I649" s="279"/>
      <c r="J649" s="279"/>
      <c r="K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  <c r="X649" s="150"/>
      <c r="Z649" s="140">
        <f>IF($C649="B","",VLOOKUP($C649,orig_alloc!$A$13:$B$227,2,FALSE))</f>
      </c>
      <c r="AA649" s="151"/>
      <c r="AD649" s="151"/>
      <c r="AE649" s="151"/>
      <c r="AF649" s="151"/>
    </row>
    <row r="650" spans="1:32" ht="20.25">
      <c r="A650" s="132"/>
      <c r="B650" s="149"/>
      <c r="C650" s="132"/>
      <c r="D650" s="118"/>
      <c r="E650" s="279"/>
      <c r="F650" s="279"/>
      <c r="G650" s="279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  <c r="X650" s="150"/>
      <c r="Z650" s="140">
        <f>IF($C650="B","",VLOOKUP($C650,orig_alloc!$A$13:$B$227,2,FALSE))</f>
      </c>
      <c r="AA650" s="151"/>
      <c r="AD650" s="151"/>
      <c r="AE650" s="151"/>
      <c r="AF650" s="151"/>
    </row>
    <row r="651" spans="1:32" ht="20.25">
      <c r="A651" s="132"/>
      <c r="B651" s="149"/>
      <c r="C651" s="132"/>
      <c r="D651" s="118"/>
      <c r="E651" s="279"/>
      <c r="F651" s="279"/>
      <c r="G651" s="279"/>
      <c r="H651" s="279"/>
      <c r="I651" s="279"/>
      <c r="J651" s="279"/>
      <c r="K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  <c r="X651" s="150"/>
      <c r="Z651" s="140">
        <f>IF($C651="B","",VLOOKUP($C651,orig_alloc!$A$13:$B$227,2,FALSE))</f>
      </c>
      <c r="AA651" s="151"/>
      <c r="AD651" s="151"/>
      <c r="AE651" s="151"/>
      <c r="AF651" s="151"/>
    </row>
    <row r="652" spans="1:32" ht="20.25">
      <c r="A652" s="132"/>
      <c r="B652" s="149"/>
      <c r="C652" s="132"/>
      <c r="D652" s="118"/>
      <c r="E652" s="279"/>
      <c r="F652" s="279"/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150"/>
      <c r="Z652" s="140">
        <f>IF($C652="B","",VLOOKUP($C652,orig_alloc!$A$13:$B$227,2,FALSE))</f>
      </c>
      <c r="AA652" s="151"/>
      <c r="AD652" s="151"/>
      <c r="AE652" s="151"/>
      <c r="AF652" s="151"/>
    </row>
    <row r="653" spans="1:32" ht="20.25">
      <c r="A653" s="132"/>
      <c r="B653" s="149"/>
      <c r="C653" s="132"/>
      <c r="D653" s="118"/>
      <c r="E653" s="279"/>
      <c r="F653" s="279"/>
      <c r="G653" s="279"/>
      <c r="H653" s="279"/>
      <c r="I653" s="279"/>
      <c r="J653" s="279"/>
      <c r="K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  <c r="X653" s="150"/>
      <c r="Z653" s="140">
        <f>IF($C653="B","",VLOOKUP($C653,orig_alloc!$A$13:$B$227,2,FALSE))</f>
      </c>
      <c r="AA653" s="151"/>
      <c r="AD653" s="151"/>
      <c r="AE653" s="151"/>
      <c r="AF653" s="151"/>
    </row>
    <row r="654" spans="1:32" ht="20.25">
      <c r="A654" s="132"/>
      <c r="B654" s="149"/>
      <c r="C654" s="132"/>
      <c r="D654" s="118"/>
      <c r="E654" s="279"/>
      <c r="F654" s="279"/>
      <c r="G654" s="279"/>
      <c r="H654" s="279"/>
      <c r="I654" s="279"/>
      <c r="J654" s="279"/>
      <c r="K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  <c r="X654" s="150"/>
      <c r="Z654" s="140">
        <f>IF($C654="B","",VLOOKUP($C654,orig_alloc!$A$13:$B$227,2,FALSE))</f>
      </c>
      <c r="AA654" s="151"/>
      <c r="AD654" s="151"/>
      <c r="AE654" s="151"/>
      <c r="AF654" s="151"/>
    </row>
    <row r="655" spans="1:32" ht="20.25">
      <c r="A655" s="132"/>
      <c r="B655" s="149"/>
      <c r="C655" s="132"/>
      <c r="D655" s="118"/>
      <c r="E655" s="279"/>
      <c r="F655" s="279"/>
      <c r="G655" s="279"/>
      <c r="H655" s="279"/>
      <c r="I655" s="279"/>
      <c r="J655" s="279"/>
      <c r="K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  <c r="X655" s="150"/>
      <c r="Z655" s="140">
        <f>IF($C655="B","",VLOOKUP($C655,orig_alloc!$A$13:$B$227,2,FALSE))</f>
      </c>
      <c r="AA655" s="151"/>
      <c r="AD655" s="151"/>
      <c r="AE655" s="151"/>
      <c r="AF655" s="151"/>
    </row>
    <row r="656" spans="1:32" ht="20.25">
      <c r="A656" s="324" t="s">
        <v>54</v>
      </c>
      <c r="B656" s="290" t="s">
        <v>55</v>
      </c>
      <c r="C656" s="132"/>
      <c r="D656" s="118"/>
      <c r="E656" s="279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50"/>
      <c r="Z656" s="140">
        <f>IF($C656="B","",VLOOKUP($C656,orig_alloc!$A$13:$B$227,2,FALSE))</f>
      </c>
      <c r="AA656" s="151"/>
      <c r="AD656" s="151"/>
      <c r="AE656" s="151"/>
      <c r="AF656" s="151"/>
    </row>
    <row r="657" spans="1:32" ht="20.25">
      <c r="A657" s="132" t="s">
        <v>56</v>
      </c>
      <c r="B657" s="149"/>
      <c r="C657" s="132"/>
      <c r="D657" s="118"/>
      <c r="E657" s="118"/>
      <c r="F657" s="118"/>
      <c r="G657" s="118"/>
      <c r="H657" s="118"/>
      <c r="I657" s="118"/>
      <c r="J657" s="118"/>
      <c r="K657" s="133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50"/>
      <c r="Z657" s="140">
        <f>IF($C657="B","",VLOOKUP($C657,orig_alloc!$A$13:$B$227,2,FALSE))</f>
      </c>
      <c r="AA657" s="151"/>
      <c r="AD657" s="151"/>
      <c r="AE657" s="151"/>
      <c r="AF657" s="151"/>
    </row>
    <row r="658" spans="1:32" ht="20.25">
      <c r="A658" s="148" t="s">
        <v>852</v>
      </c>
      <c r="B658" s="149" t="s">
        <v>57</v>
      </c>
      <c r="C658" s="148" t="s">
        <v>328</v>
      </c>
      <c r="D658" s="201">
        <f>1456269+48780</f>
        <v>1505049</v>
      </c>
      <c r="E658" s="219">
        <f aca="true" t="shared" si="334" ref="E658:E668">V658-SUM(F658:U658)</f>
        <v>780035</v>
      </c>
      <c r="F658" s="118">
        <f aca="true" ca="1" t="shared" si="335" ref="F658:O668">ROUND($D658*VLOOKUP($C658,IF(LEFT($C658,1)="K",INDIRECT("TABLE"),INDIRECT("TABLE2")),F$9+1),0)</f>
        <v>345891</v>
      </c>
      <c r="G658" s="118">
        <f ca="1" t="shared" si="335"/>
        <v>331</v>
      </c>
      <c r="H658" s="118">
        <f ca="1" t="shared" si="335"/>
        <v>1359</v>
      </c>
      <c r="I658" s="118">
        <f ca="1" t="shared" si="335"/>
        <v>6137</v>
      </c>
      <c r="J658" s="118">
        <f ca="1" t="shared" si="335"/>
        <v>161</v>
      </c>
      <c r="K658" s="118">
        <f ca="1" t="shared" si="335"/>
        <v>191385</v>
      </c>
      <c r="L658" s="118">
        <f ca="1" t="shared" si="335"/>
        <v>2602</v>
      </c>
      <c r="M658" s="118">
        <f ca="1" t="shared" si="335"/>
        <v>109954</v>
      </c>
      <c r="N658" s="118">
        <f ca="1" t="shared" si="335"/>
        <v>5197</v>
      </c>
      <c r="O658" s="118">
        <f ca="1" t="shared" si="335"/>
        <v>8527</v>
      </c>
      <c r="P658" s="118">
        <f aca="true" ca="1" t="shared" si="336" ref="P658:V668">ROUND($D658*VLOOKUP($C658,IF(LEFT($C658,1)="K",INDIRECT("TABLE"),INDIRECT("TABLE2")),P$9+1),0)</f>
        <v>0</v>
      </c>
      <c r="Q658" s="118">
        <f ca="1" t="shared" si="336"/>
        <v>35904</v>
      </c>
      <c r="R658" s="118">
        <f ca="1" t="shared" si="336"/>
        <v>2070</v>
      </c>
      <c r="S658" s="118">
        <f ca="1" t="shared" si="336"/>
        <v>15281</v>
      </c>
      <c r="T658" s="118">
        <f ca="1" t="shared" si="336"/>
        <v>0</v>
      </c>
      <c r="U658" s="118">
        <f ca="1" t="shared" si="336"/>
        <v>215</v>
      </c>
      <c r="V658" s="118">
        <f ca="1" t="shared" si="336"/>
        <v>1505049</v>
      </c>
      <c r="W658" s="118">
        <f aca="true" t="shared" si="337" ref="W658:W668">D658-V658</f>
        <v>0</v>
      </c>
      <c r="X658" s="150"/>
      <c r="Z658" s="140" t="str">
        <f>IF($C658="B","",VLOOKUP($C658,orig_alloc!$A$13:$B$227,2,FALSE))</f>
        <v>WTD NET PLANT RATIOS</v>
      </c>
      <c r="AA658" s="151"/>
      <c r="AD658" s="151"/>
      <c r="AE658" s="151"/>
      <c r="AF658" s="151"/>
    </row>
    <row r="659" spans="1:32" ht="20.25">
      <c r="A659" s="148" t="s">
        <v>1352</v>
      </c>
      <c r="B659" s="149" t="s">
        <v>58</v>
      </c>
      <c r="C659" s="148" t="s">
        <v>801</v>
      </c>
      <c r="D659" s="201">
        <v>11012</v>
      </c>
      <c r="E659" s="219">
        <f t="shared" si="334"/>
        <v>4519</v>
      </c>
      <c r="F659" s="118">
        <f ca="1" t="shared" si="335"/>
        <v>3088</v>
      </c>
      <c r="G659" s="118">
        <f ca="1" t="shared" si="335"/>
        <v>3</v>
      </c>
      <c r="H659" s="118">
        <f ca="1" t="shared" si="335"/>
        <v>22</v>
      </c>
      <c r="I659" s="118">
        <f ca="1" t="shared" si="335"/>
        <v>32</v>
      </c>
      <c r="J659" s="118">
        <f ca="1" t="shared" si="335"/>
        <v>2</v>
      </c>
      <c r="K659" s="118">
        <f ca="1" t="shared" si="335"/>
        <v>1776</v>
      </c>
      <c r="L659" s="118">
        <f ca="1" t="shared" si="335"/>
        <v>16</v>
      </c>
      <c r="M659" s="118">
        <f ca="1" t="shared" si="335"/>
        <v>919</v>
      </c>
      <c r="N659" s="118">
        <f ca="1" t="shared" si="335"/>
        <v>36</v>
      </c>
      <c r="O659" s="118">
        <f ca="1" t="shared" si="335"/>
        <v>82</v>
      </c>
      <c r="P659" s="118">
        <f ca="1" t="shared" si="336"/>
        <v>0</v>
      </c>
      <c r="Q659" s="118">
        <f ca="1" t="shared" si="336"/>
        <v>395</v>
      </c>
      <c r="R659" s="118">
        <f ca="1" t="shared" si="336"/>
        <v>19</v>
      </c>
      <c r="S659" s="118">
        <f ca="1" t="shared" si="336"/>
        <v>102</v>
      </c>
      <c r="T659" s="118">
        <f ca="1" t="shared" si="336"/>
        <v>0</v>
      </c>
      <c r="U659" s="118">
        <f ca="1" t="shared" si="336"/>
        <v>1</v>
      </c>
      <c r="V659" s="118">
        <f ca="1" t="shared" si="336"/>
        <v>11012</v>
      </c>
      <c r="W659" s="118">
        <f t="shared" si="337"/>
        <v>0</v>
      </c>
      <c r="X659" s="150"/>
      <c r="Z659" s="140" t="str">
        <f>IF($C659="B","",VLOOKUP($C659,orig_alloc!$A$13:$B$227,2,FALSE))</f>
        <v>JUR. PRESENT REVENUE RATIOS</v>
      </c>
      <c r="AA659" s="151"/>
      <c r="AD659" s="151"/>
      <c r="AE659" s="151"/>
      <c r="AF659" s="151"/>
    </row>
    <row r="660" spans="1:32" ht="20.25">
      <c r="A660" s="148" t="s">
        <v>1277</v>
      </c>
      <c r="B660" s="149" t="s">
        <v>59</v>
      </c>
      <c r="C660" s="148" t="s">
        <v>320</v>
      </c>
      <c r="D660" s="201">
        <v>-17670012</v>
      </c>
      <c r="E660" s="219">
        <f t="shared" si="334"/>
        <v>-6685045</v>
      </c>
      <c r="F660" s="118">
        <f ca="1" t="shared" si="335"/>
        <v>-4576599</v>
      </c>
      <c r="G660" s="118">
        <f ca="1" t="shared" si="335"/>
        <v>-4441</v>
      </c>
      <c r="H660" s="118">
        <f ca="1" t="shared" si="335"/>
        <v>-27478</v>
      </c>
      <c r="I660" s="118">
        <f ca="1" t="shared" si="335"/>
        <v>-61995</v>
      </c>
      <c r="J660" s="118">
        <f ca="1" t="shared" si="335"/>
        <v>-1776</v>
      </c>
      <c r="K660" s="118">
        <f ca="1" t="shared" si="335"/>
        <v>-3203874</v>
      </c>
      <c r="L660" s="118">
        <f ca="1" t="shared" si="335"/>
        <v>-35605</v>
      </c>
      <c r="M660" s="118">
        <f ca="1" t="shared" si="335"/>
        <v>-1911180</v>
      </c>
      <c r="N660" s="118">
        <f ca="1" t="shared" si="335"/>
        <v>-87939</v>
      </c>
      <c r="O660" s="118">
        <f ca="1" t="shared" si="335"/>
        <v>-150416</v>
      </c>
      <c r="P660" s="118">
        <f ca="1" t="shared" si="336"/>
        <v>0</v>
      </c>
      <c r="Q660" s="118">
        <f ca="1" t="shared" si="336"/>
        <v>-763361</v>
      </c>
      <c r="R660" s="118">
        <f ca="1" t="shared" si="336"/>
        <v>-48721</v>
      </c>
      <c r="S660" s="118">
        <f ca="1" t="shared" si="336"/>
        <v>-110159</v>
      </c>
      <c r="T660" s="118">
        <f ca="1" t="shared" si="336"/>
        <v>0</v>
      </c>
      <c r="U660" s="118">
        <f ca="1" t="shared" si="336"/>
        <v>-1423</v>
      </c>
      <c r="V660" s="118">
        <f ca="1" t="shared" si="336"/>
        <v>-17670012</v>
      </c>
      <c r="W660" s="118">
        <f t="shared" si="337"/>
        <v>0</v>
      </c>
      <c r="X660" s="150"/>
      <c r="Z660" s="140" t="str">
        <f>IF($C660="B","",VLOOKUP($C660,orig_alloc!$A$13:$B$227,2,FALSE))</f>
        <v>TOTAL KWH</v>
      </c>
      <c r="AA660" s="151"/>
      <c r="AD660" s="151"/>
      <c r="AE660" s="151"/>
      <c r="AF660" s="151"/>
    </row>
    <row r="661" spans="1:32" ht="20.25">
      <c r="A661" s="148" t="s">
        <v>1285</v>
      </c>
      <c r="B661" s="149" t="s">
        <v>60</v>
      </c>
      <c r="C661" s="148" t="s">
        <v>320</v>
      </c>
      <c r="D661" s="201">
        <v>17670012</v>
      </c>
      <c r="E661" s="219">
        <f t="shared" si="334"/>
        <v>6685045</v>
      </c>
      <c r="F661" s="118">
        <f ca="1" t="shared" si="335"/>
        <v>4576599</v>
      </c>
      <c r="G661" s="118">
        <f ca="1" t="shared" si="335"/>
        <v>4441</v>
      </c>
      <c r="H661" s="118">
        <f ca="1" t="shared" si="335"/>
        <v>27478</v>
      </c>
      <c r="I661" s="118">
        <f ca="1" t="shared" si="335"/>
        <v>61995</v>
      </c>
      <c r="J661" s="118">
        <f ca="1" t="shared" si="335"/>
        <v>1776</v>
      </c>
      <c r="K661" s="118">
        <f ca="1" t="shared" si="335"/>
        <v>3203874</v>
      </c>
      <c r="L661" s="118">
        <f ca="1" t="shared" si="335"/>
        <v>35605</v>
      </c>
      <c r="M661" s="118">
        <f ca="1" t="shared" si="335"/>
        <v>1911180</v>
      </c>
      <c r="N661" s="118">
        <f ca="1" t="shared" si="335"/>
        <v>87939</v>
      </c>
      <c r="O661" s="118">
        <f ca="1" t="shared" si="335"/>
        <v>150416</v>
      </c>
      <c r="P661" s="118">
        <f ca="1" t="shared" si="336"/>
        <v>0</v>
      </c>
      <c r="Q661" s="118">
        <f ca="1" t="shared" si="336"/>
        <v>763361</v>
      </c>
      <c r="R661" s="118">
        <f ca="1" t="shared" si="336"/>
        <v>48721</v>
      </c>
      <c r="S661" s="118">
        <f ca="1" t="shared" si="336"/>
        <v>110159</v>
      </c>
      <c r="T661" s="118">
        <f ca="1" t="shared" si="336"/>
        <v>0</v>
      </c>
      <c r="U661" s="118">
        <f ca="1" t="shared" si="336"/>
        <v>1423</v>
      </c>
      <c r="V661" s="118">
        <f ca="1" t="shared" si="336"/>
        <v>17670012</v>
      </c>
      <c r="W661" s="118">
        <f t="shared" si="337"/>
        <v>0</v>
      </c>
      <c r="X661" s="150"/>
      <c r="Z661" s="140" t="str">
        <f>IF($C661="B","",VLOOKUP($C661,orig_alloc!$A$13:$B$227,2,FALSE))</f>
        <v>TOTAL KWH</v>
      </c>
      <c r="AA661" s="151"/>
      <c r="AD661" s="151"/>
      <c r="AE661" s="151"/>
      <c r="AF661" s="151"/>
    </row>
    <row r="662" spans="1:32" ht="20.25">
      <c r="A662" s="148" t="s">
        <v>1337</v>
      </c>
      <c r="B662" s="149" t="s">
        <v>1287</v>
      </c>
      <c r="C662" s="148" t="s">
        <v>801</v>
      </c>
      <c r="D662" s="201">
        <v>57413</v>
      </c>
      <c r="E662" s="219">
        <f t="shared" si="334"/>
        <v>23563</v>
      </c>
      <c r="F662" s="118">
        <f ca="1" t="shared" si="335"/>
        <v>16099</v>
      </c>
      <c r="G662" s="118">
        <f ca="1" t="shared" si="335"/>
        <v>17</v>
      </c>
      <c r="H662" s="118">
        <f ca="1" t="shared" si="335"/>
        <v>114</v>
      </c>
      <c r="I662" s="118">
        <f ca="1" t="shared" si="335"/>
        <v>168</v>
      </c>
      <c r="J662" s="118">
        <f ca="1" t="shared" si="335"/>
        <v>8</v>
      </c>
      <c r="K662" s="118">
        <f ca="1" t="shared" si="335"/>
        <v>9262</v>
      </c>
      <c r="L662" s="118">
        <f ca="1" t="shared" si="335"/>
        <v>83</v>
      </c>
      <c r="M662" s="118">
        <f ca="1" t="shared" si="335"/>
        <v>4793</v>
      </c>
      <c r="N662" s="118">
        <f ca="1" t="shared" si="335"/>
        <v>189</v>
      </c>
      <c r="O662" s="118">
        <f ca="1" t="shared" si="335"/>
        <v>426</v>
      </c>
      <c r="P662" s="118">
        <f ca="1" t="shared" si="336"/>
        <v>0</v>
      </c>
      <c r="Q662" s="118">
        <f ca="1" t="shared" si="336"/>
        <v>2060</v>
      </c>
      <c r="R662" s="118">
        <f ca="1" t="shared" si="336"/>
        <v>98</v>
      </c>
      <c r="S662" s="118">
        <f ca="1" t="shared" si="336"/>
        <v>530</v>
      </c>
      <c r="T662" s="118">
        <f ca="1" t="shared" si="336"/>
        <v>0</v>
      </c>
      <c r="U662" s="118">
        <f ca="1" t="shared" si="336"/>
        <v>3</v>
      </c>
      <c r="V662" s="118">
        <f ca="1" t="shared" si="336"/>
        <v>57413</v>
      </c>
      <c r="W662" s="118">
        <f t="shared" si="337"/>
        <v>0</v>
      </c>
      <c r="X662" s="150"/>
      <c r="Z662" s="140" t="str">
        <f>IF($C662="B","",VLOOKUP($C662,orig_alloc!$A$13:$B$227,2,FALSE))</f>
        <v>JUR. PRESENT REVENUE RATIOS</v>
      </c>
      <c r="AA662" s="151"/>
      <c r="AD662" s="151"/>
      <c r="AE662" s="151"/>
      <c r="AF662" s="151"/>
    </row>
    <row r="663" spans="1:32" ht="20.25">
      <c r="A663" s="148" t="s">
        <v>1338</v>
      </c>
      <c r="B663" s="149" t="s">
        <v>561</v>
      </c>
      <c r="C663" s="148" t="s">
        <v>801</v>
      </c>
      <c r="D663" s="346">
        <f>-58320</f>
        <v>-58320</v>
      </c>
      <c r="E663" s="219">
        <f t="shared" si="334"/>
        <v>-23936</v>
      </c>
      <c r="F663" s="118">
        <f ca="1" t="shared" si="335"/>
        <v>-16354</v>
      </c>
      <c r="G663" s="118">
        <f ca="1" t="shared" si="335"/>
        <v>-17</v>
      </c>
      <c r="H663" s="118">
        <f ca="1" t="shared" si="335"/>
        <v>-116</v>
      </c>
      <c r="I663" s="118">
        <f ca="1" t="shared" si="335"/>
        <v>-170</v>
      </c>
      <c r="J663" s="118">
        <f ca="1" t="shared" si="335"/>
        <v>-9</v>
      </c>
      <c r="K663" s="118">
        <f ca="1" t="shared" si="335"/>
        <v>-9408</v>
      </c>
      <c r="L663" s="118">
        <f ca="1" t="shared" si="335"/>
        <v>-84</v>
      </c>
      <c r="M663" s="118">
        <f ca="1" t="shared" si="335"/>
        <v>-4869</v>
      </c>
      <c r="N663" s="118">
        <f ca="1" t="shared" si="335"/>
        <v>-192</v>
      </c>
      <c r="O663" s="118">
        <f ca="1" t="shared" si="335"/>
        <v>-433</v>
      </c>
      <c r="P663" s="118">
        <f ca="1" t="shared" si="336"/>
        <v>0</v>
      </c>
      <c r="Q663" s="118">
        <f ca="1" t="shared" si="336"/>
        <v>-2092</v>
      </c>
      <c r="R663" s="118">
        <f ca="1" t="shared" si="336"/>
        <v>-99</v>
      </c>
      <c r="S663" s="118">
        <f ca="1" t="shared" si="336"/>
        <v>-538</v>
      </c>
      <c r="T663" s="118">
        <f ca="1" t="shared" si="336"/>
        <v>0</v>
      </c>
      <c r="U663" s="118">
        <f ca="1" t="shared" si="336"/>
        <v>-3</v>
      </c>
      <c r="V663" s="118">
        <f ca="1" t="shared" si="336"/>
        <v>-58320</v>
      </c>
      <c r="W663" s="118">
        <f t="shared" si="337"/>
        <v>0</v>
      </c>
      <c r="X663" s="150"/>
      <c r="Z663" s="140" t="str">
        <f>IF($C663="B","",VLOOKUP($C663,orig_alloc!$A$13:$B$227,2,FALSE))</f>
        <v>JUR. PRESENT REVENUE RATIOS</v>
      </c>
      <c r="AA663" s="151"/>
      <c r="AD663" s="151"/>
      <c r="AE663" s="151"/>
      <c r="AF663" s="151"/>
    </row>
    <row r="664" spans="1:32" ht="20.25">
      <c r="A664" s="148" t="s">
        <v>1365</v>
      </c>
      <c r="B664" s="149" t="s">
        <v>1288</v>
      </c>
      <c r="C664" s="148" t="s">
        <v>801</v>
      </c>
      <c r="D664" s="201">
        <v>407070</v>
      </c>
      <c r="E664" s="219">
        <f t="shared" si="334"/>
        <v>167072</v>
      </c>
      <c r="F664" s="118">
        <f ca="1" t="shared" si="335"/>
        <v>114147</v>
      </c>
      <c r="G664" s="118">
        <f ca="1" t="shared" si="335"/>
        <v>120</v>
      </c>
      <c r="H664" s="118">
        <f ca="1" t="shared" si="335"/>
        <v>807</v>
      </c>
      <c r="I664" s="118">
        <f ca="1" t="shared" si="335"/>
        <v>1188</v>
      </c>
      <c r="J664" s="118">
        <f ca="1" t="shared" si="335"/>
        <v>60</v>
      </c>
      <c r="K664" s="118">
        <f ca="1" t="shared" si="335"/>
        <v>65670</v>
      </c>
      <c r="L664" s="118">
        <f ca="1" t="shared" si="335"/>
        <v>588</v>
      </c>
      <c r="M664" s="118">
        <f ca="1" t="shared" si="335"/>
        <v>33987</v>
      </c>
      <c r="N664" s="118">
        <f ca="1" t="shared" si="335"/>
        <v>1339</v>
      </c>
      <c r="O664" s="118">
        <f ca="1" t="shared" si="335"/>
        <v>3020</v>
      </c>
      <c r="P664" s="118">
        <f ca="1" t="shared" si="336"/>
        <v>0</v>
      </c>
      <c r="Q664" s="118">
        <f ca="1" t="shared" si="336"/>
        <v>14604</v>
      </c>
      <c r="R664" s="118">
        <f ca="1" t="shared" si="336"/>
        <v>692</v>
      </c>
      <c r="S664" s="118">
        <f ca="1" t="shared" si="336"/>
        <v>3755</v>
      </c>
      <c r="T664" s="118">
        <f ca="1" t="shared" si="336"/>
        <v>0</v>
      </c>
      <c r="U664" s="118">
        <f ca="1" t="shared" si="336"/>
        <v>21</v>
      </c>
      <c r="V664" s="118">
        <f ca="1" t="shared" si="336"/>
        <v>407070</v>
      </c>
      <c r="W664" s="118">
        <f t="shared" si="337"/>
        <v>0</v>
      </c>
      <c r="X664" s="150"/>
      <c r="Z664" s="140" t="str">
        <f>IF($C664="B","",VLOOKUP($C664,orig_alloc!$A$13:$B$227,2,FALSE))</f>
        <v>JUR. PRESENT REVENUE RATIOS</v>
      </c>
      <c r="AA664" s="151"/>
      <c r="AD664" s="151"/>
      <c r="AE664" s="151"/>
      <c r="AF664" s="151"/>
    </row>
    <row r="665" spans="1:32" ht="20.25">
      <c r="A665" s="148" t="s">
        <v>1351</v>
      </c>
      <c r="B665" s="149" t="s">
        <v>1289</v>
      </c>
      <c r="C665" s="148" t="s">
        <v>801</v>
      </c>
      <c r="D665" s="201">
        <v>56036</v>
      </c>
      <c r="E665" s="219">
        <f t="shared" si="334"/>
        <v>22998</v>
      </c>
      <c r="F665" s="118">
        <f ca="1" t="shared" si="335"/>
        <v>15713</v>
      </c>
      <c r="G665" s="118">
        <f ca="1" t="shared" si="335"/>
        <v>17</v>
      </c>
      <c r="H665" s="118">
        <f ca="1" t="shared" si="335"/>
        <v>111</v>
      </c>
      <c r="I665" s="118">
        <f ca="1" t="shared" si="335"/>
        <v>164</v>
      </c>
      <c r="J665" s="118">
        <f ca="1" t="shared" si="335"/>
        <v>8</v>
      </c>
      <c r="K665" s="118">
        <f ca="1" t="shared" si="335"/>
        <v>9040</v>
      </c>
      <c r="L665" s="118">
        <f ca="1" t="shared" si="335"/>
        <v>81</v>
      </c>
      <c r="M665" s="118">
        <f ca="1" t="shared" si="335"/>
        <v>4679</v>
      </c>
      <c r="N665" s="118">
        <f ca="1" t="shared" si="335"/>
        <v>184</v>
      </c>
      <c r="O665" s="118">
        <f ca="1" t="shared" si="335"/>
        <v>416</v>
      </c>
      <c r="P665" s="118">
        <f ca="1" t="shared" si="336"/>
        <v>0</v>
      </c>
      <c r="Q665" s="118">
        <f ca="1" t="shared" si="336"/>
        <v>2010</v>
      </c>
      <c r="R665" s="118">
        <f ca="1" t="shared" si="336"/>
        <v>95</v>
      </c>
      <c r="S665" s="118">
        <f ca="1" t="shared" si="336"/>
        <v>517</v>
      </c>
      <c r="T665" s="118">
        <f ca="1" t="shared" si="336"/>
        <v>0</v>
      </c>
      <c r="U665" s="118">
        <f ca="1" t="shared" si="336"/>
        <v>3</v>
      </c>
      <c r="V665" s="118">
        <f ca="1" t="shared" si="336"/>
        <v>56036</v>
      </c>
      <c r="W665" s="118">
        <f t="shared" si="337"/>
        <v>0</v>
      </c>
      <c r="X665" s="150"/>
      <c r="Z665" s="140" t="str">
        <f>IF($C665="B","",VLOOKUP($C665,orig_alloc!$A$13:$B$227,2,FALSE))</f>
        <v>JUR. PRESENT REVENUE RATIOS</v>
      </c>
      <c r="AA665" s="151"/>
      <c r="AD665" s="151"/>
      <c r="AE665" s="151"/>
      <c r="AF665" s="151"/>
    </row>
    <row r="666" spans="1:32" ht="20.25">
      <c r="A666" s="148" t="s">
        <v>1350</v>
      </c>
      <c r="B666" s="149" t="s">
        <v>1291</v>
      </c>
      <c r="C666" s="148" t="s">
        <v>801</v>
      </c>
      <c r="D666" s="201">
        <v>0</v>
      </c>
      <c r="E666" s="219">
        <f t="shared" si="334"/>
        <v>0</v>
      </c>
      <c r="F666" s="118">
        <f ca="1" t="shared" si="335"/>
        <v>0</v>
      </c>
      <c r="G666" s="118">
        <f ca="1" t="shared" si="335"/>
        <v>0</v>
      </c>
      <c r="H666" s="118">
        <f ca="1" t="shared" si="335"/>
        <v>0</v>
      </c>
      <c r="I666" s="118">
        <f ca="1" t="shared" si="335"/>
        <v>0</v>
      </c>
      <c r="J666" s="118">
        <f ca="1" t="shared" si="335"/>
        <v>0</v>
      </c>
      <c r="K666" s="118">
        <f ca="1" t="shared" si="335"/>
        <v>0</v>
      </c>
      <c r="L666" s="118">
        <f ca="1" t="shared" si="335"/>
        <v>0</v>
      </c>
      <c r="M666" s="118">
        <f ca="1" t="shared" si="335"/>
        <v>0</v>
      </c>
      <c r="N666" s="118">
        <f ca="1" t="shared" si="335"/>
        <v>0</v>
      </c>
      <c r="O666" s="118">
        <f ca="1" t="shared" si="335"/>
        <v>0</v>
      </c>
      <c r="P666" s="118">
        <f ca="1" t="shared" si="336"/>
        <v>0</v>
      </c>
      <c r="Q666" s="118">
        <f ca="1" t="shared" si="336"/>
        <v>0</v>
      </c>
      <c r="R666" s="118">
        <f ca="1" t="shared" si="336"/>
        <v>0</v>
      </c>
      <c r="S666" s="118">
        <f ca="1" t="shared" si="336"/>
        <v>0</v>
      </c>
      <c r="T666" s="118">
        <f ca="1" t="shared" si="336"/>
        <v>0</v>
      </c>
      <c r="U666" s="118">
        <f ca="1" t="shared" si="336"/>
        <v>0</v>
      </c>
      <c r="V666" s="118">
        <f ca="1" t="shared" si="336"/>
        <v>0</v>
      </c>
      <c r="W666" s="118">
        <f t="shared" si="337"/>
        <v>0</v>
      </c>
      <c r="X666" s="150"/>
      <c r="Z666" s="140" t="str">
        <f>IF($C666="B","",VLOOKUP($C666,orig_alloc!$A$13:$B$227,2,FALSE))</f>
        <v>JUR. PRESENT REVENUE RATIOS</v>
      </c>
      <c r="AA666" s="151"/>
      <c r="AD666" s="151"/>
      <c r="AE666" s="151"/>
      <c r="AF666" s="151"/>
    </row>
    <row r="667" spans="1:32" ht="20.25" hidden="1">
      <c r="A667" s="148" t="s">
        <v>1290</v>
      </c>
      <c r="B667" s="149" t="s">
        <v>1292</v>
      </c>
      <c r="C667" s="148" t="s">
        <v>318</v>
      </c>
      <c r="D667" s="201">
        <v>0</v>
      </c>
      <c r="E667" s="219">
        <f t="shared" si="334"/>
        <v>0</v>
      </c>
      <c r="F667" s="118">
        <f ca="1" t="shared" si="335"/>
        <v>0</v>
      </c>
      <c r="G667" s="118">
        <f ca="1" t="shared" si="335"/>
        <v>0</v>
      </c>
      <c r="H667" s="118">
        <f ca="1" t="shared" si="335"/>
        <v>0</v>
      </c>
      <c r="I667" s="118">
        <f ca="1" t="shared" si="335"/>
        <v>0</v>
      </c>
      <c r="J667" s="118">
        <f ca="1" t="shared" si="335"/>
        <v>0</v>
      </c>
      <c r="K667" s="118">
        <f ca="1" t="shared" si="335"/>
        <v>0</v>
      </c>
      <c r="L667" s="118">
        <f ca="1" t="shared" si="335"/>
        <v>0</v>
      </c>
      <c r="M667" s="118">
        <f ca="1" t="shared" si="335"/>
        <v>0</v>
      </c>
      <c r="N667" s="118">
        <f ca="1" t="shared" si="335"/>
        <v>0</v>
      </c>
      <c r="O667" s="118">
        <f ca="1" t="shared" si="335"/>
        <v>0</v>
      </c>
      <c r="P667" s="118">
        <f ca="1" t="shared" si="336"/>
        <v>0</v>
      </c>
      <c r="Q667" s="118">
        <f ca="1" t="shared" si="336"/>
        <v>0</v>
      </c>
      <c r="R667" s="118">
        <f ca="1" t="shared" si="336"/>
        <v>0</v>
      </c>
      <c r="S667" s="118">
        <f ca="1" t="shared" si="336"/>
        <v>0</v>
      </c>
      <c r="T667" s="118">
        <f ca="1" t="shared" si="336"/>
        <v>0</v>
      </c>
      <c r="U667" s="118">
        <f ca="1" t="shared" si="336"/>
        <v>0</v>
      </c>
      <c r="V667" s="118">
        <f ca="1" t="shared" si="336"/>
        <v>0</v>
      </c>
      <c r="W667" s="118">
        <f t="shared" si="337"/>
        <v>0</v>
      </c>
      <c r="X667" s="150"/>
      <c r="Z667" s="140" t="str">
        <f>IF($C667="B","",VLOOKUP($C667,orig_alloc!$A$13:$B$227,2,FALSE))</f>
        <v>TOTAL KW (AVERAGE  &amp;  EXCESS)</v>
      </c>
      <c r="AA667" s="151"/>
      <c r="AD667" s="151"/>
      <c r="AE667" s="151"/>
      <c r="AF667" s="151"/>
    </row>
    <row r="668" spans="1:32" ht="20.25" hidden="1">
      <c r="A668" s="148" t="s">
        <v>1286</v>
      </c>
      <c r="B668" s="149" t="s">
        <v>1293</v>
      </c>
      <c r="C668" s="148" t="s">
        <v>801</v>
      </c>
      <c r="D668" s="320">
        <v>0</v>
      </c>
      <c r="E668" s="219">
        <f t="shared" si="334"/>
        <v>0</v>
      </c>
      <c r="F668" s="118">
        <f ca="1" t="shared" si="335"/>
        <v>0</v>
      </c>
      <c r="G668" s="118">
        <f ca="1" t="shared" si="335"/>
        <v>0</v>
      </c>
      <c r="H668" s="118">
        <f ca="1" t="shared" si="335"/>
        <v>0</v>
      </c>
      <c r="I668" s="118">
        <f ca="1" t="shared" si="335"/>
        <v>0</v>
      </c>
      <c r="J668" s="118">
        <f ca="1" t="shared" si="335"/>
        <v>0</v>
      </c>
      <c r="K668" s="118">
        <f ca="1" t="shared" si="335"/>
        <v>0</v>
      </c>
      <c r="L668" s="118">
        <f ca="1" t="shared" si="335"/>
        <v>0</v>
      </c>
      <c r="M668" s="118">
        <f ca="1" t="shared" si="335"/>
        <v>0</v>
      </c>
      <c r="N668" s="118">
        <f ca="1" t="shared" si="335"/>
        <v>0</v>
      </c>
      <c r="O668" s="118">
        <f ca="1" t="shared" si="335"/>
        <v>0</v>
      </c>
      <c r="P668" s="118">
        <f ca="1" t="shared" si="336"/>
        <v>0</v>
      </c>
      <c r="Q668" s="118">
        <f ca="1" t="shared" si="336"/>
        <v>0</v>
      </c>
      <c r="R668" s="118">
        <f ca="1" t="shared" si="336"/>
        <v>0</v>
      </c>
      <c r="S668" s="118">
        <f ca="1" t="shared" si="336"/>
        <v>0</v>
      </c>
      <c r="T668" s="118">
        <f ca="1" t="shared" si="336"/>
        <v>0</v>
      </c>
      <c r="U668" s="118">
        <f ca="1" t="shared" si="336"/>
        <v>0</v>
      </c>
      <c r="V668" s="118">
        <f ca="1" t="shared" si="336"/>
        <v>0</v>
      </c>
      <c r="W668" s="118">
        <f t="shared" si="337"/>
        <v>0</v>
      </c>
      <c r="X668" s="150"/>
      <c r="Z668" s="140" t="str">
        <f>IF($C668="B","",VLOOKUP($C668,orig_alloc!$A$13:$B$227,2,FALSE))</f>
        <v>JUR. PRESENT REVENUE RATIOS</v>
      </c>
      <c r="AA668" s="151"/>
      <c r="AD668" s="151"/>
      <c r="AE668" s="151"/>
      <c r="AF668" s="151"/>
    </row>
    <row r="669" spans="1:32" ht="20.25">
      <c r="A669" s="240" t="s">
        <v>61</v>
      </c>
      <c r="B669" s="149" t="s">
        <v>1294</v>
      </c>
      <c r="C669" s="132"/>
      <c r="D669" s="202">
        <f aca="true" t="shared" si="338" ref="D669:W669">SUM(D657:D668)</f>
        <v>1978260</v>
      </c>
      <c r="E669" s="202">
        <f t="shared" si="338"/>
        <v>974251</v>
      </c>
      <c r="F669" s="202">
        <f t="shared" si="338"/>
        <v>478584</v>
      </c>
      <c r="G669" s="202">
        <f t="shared" si="338"/>
        <v>471</v>
      </c>
      <c r="H669" s="202">
        <f t="shared" si="338"/>
        <v>2297</v>
      </c>
      <c r="I669" s="202">
        <f t="shared" si="338"/>
        <v>7519</v>
      </c>
      <c r="J669" s="202">
        <f t="shared" si="338"/>
        <v>230</v>
      </c>
      <c r="K669" s="202">
        <f t="shared" si="338"/>
        <v>267725</v>
      </c>
      <c r="L669" s="202">
        <f t="shared" si="338"/>
        <v>3286</v>
      </c>
      <c r="M669" s="202">
        <f t="shared" si="338"/>
        <v>149463</v>
      </c>
      <c r="N669" s="202">
        <f t="shared" si="338"/>
        <v>6753</v>
      </c>
      <c r="O669" s="202">
        <f t="shared" si="338"/>
        <v>12038</v>
      </c>
      <c r="P669" s="202">
        <f t="shared" si="338"/>
        <v>0</v>
      </c>
      <c r="Q669" s="202">
        <f t="shared" si="338"/>
        <v>52881</v>
      </c>
      <c r="R669" s="202">
        <f t="shared" si="338"/>
        <v>2875</v>
      </c>
      <c r="S669" s="202">
        <f t="shared" si="338"/>
        <v>19647</v>
      </c>
      <c r="T669" s="202">
        <f t="shared" si="338"/>
        <v>0</v>
      </c>
      <c r="U669" s="202">
        <f t="shared" si="338"/>
        <v>240</v>
      </c>
      <c r="V669" s="202">
        <f t="shared" si="338"/>
        <v>1978260</v>
      </c>
      <c r="W669" s="202">
        <f t="shared" si="338"/>
        <v>0</v>
      </c>
      <c r="X669" s="150"/>
      <c r="Z669" s="140">
        <f>IF($C669="B","",VLOOKUP($C669,orig_alloc!$A$13:$B$227,2,FALSE))</f>
      </c>
      <c r="AA669" s="151"/>
      <c r="AD669" s="151"/>
      <c r="AE669" s="151"/>
      <c r="AF669" s="151"/>
    </row>
    <row r="670" spans="1:32" ht="20.25">
      <c r="A670" s="132"/>
      <c r="B670" s="149"/>
      <c r="C670" s="132"/>
      <c r="D670" s="349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50"/>
      <c r="Z670" s="140">
        <f>IF($C670="B","",VLOOKUP($C670,orig_alloc!$A$13:$B$227,2,FALSE))</f>
      </c>
      <c r="AA670" s="151"/>
      <c r="AD670" s="151"/>
      <c r="AE670" s="151"/>
      <c r="AF670" s="151"/>
    </row>
    <row r="671" spans="1:32" ht="20.25">
      <c r="A671" s="132" t="s">
        <v>54</v>
      </c>
      <c r="B671" s="149"/>
      <c r="C671" s="132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18"/>
      <c r="W671" s="118"/>
      <c r="X671" s="150"/>
      <c r="Z671" s="140">
        <f>IF($C671="B","",VLOOKUP($C671,orig_alloc!$A$13:$B$227,2,FALSE))</f>
      </c>
      <c r="AA671" s="151"/>
      <c r="AD671" s="151"/>
      <c r="AE671" s="151"/>
      <c r="AF671" s="151"/>
    </row>
    <row r="672" spans="1:32" ht="20.25">
      <c r="A672" s="132" t="s">
        <v>63</v>
      </c>
      <c r="B672" s="149" t="s">
        <v>278</v>
      </c>
      <c r="C672" s="132"/>
      <c r="D672" s="118">
        <f aca="true" t="shared" si="339" ref="D672:W672">D496</f>
        <v>238506245</v>
      </c>
      <c r="E672" s="118">
        <f t="shared" si="339"/>
        <v>109397610</v>
      </c>
      <c r="F672" s="118">
        <f t="shared" si="339"/>
        <v>57540505</v>
      </c>
      <c r="G672" s="118">
        <f t="shared" si="339"/>
        <v>32919</v>
      </c>
      <c r="H672" s="118">
        <f t="shared" si="339"/>
        <v>299932</v>
      </c>
      <c r="I672" s="118">
        <f t="shared" si="339"/>
        <v>872478</v>
      </c>
      <c r="J672" s="118">
        <f t="shared" si="339"/>
        <v>25283</v>
      </c>
      <c r="K672" s="118">
        <f t="shared" si="339"/>
        <v>36168224</v>
      </c>
      <c r="L672" s="118">
        <f t="shared" si="339"/>
        <v>254390</v>
      </c>
      <c r="M672" s="118">
        <f t="shared" si="339"/>
        <v>21542715</v>
      </c>
      <c r="N672" s="118">
        <f t="shared" si="339"/>
        <v>555226</v>
      </c>
      <c r="O672" s="118">
        <f t="shared" si="339"/>
        <v>1681589</v>
      </c>
      <c r="P672" s="118">
        <f t="shared" si="339"/>
        <v>0</v>
      </c>
      <c r="Q672" s="118">
        <f t="shared" si="339"/>
        <v>8268412</v>
      </c>
      <c r="R672" s="118">
        <f t="shared" si="339"/>
        <v>264233</v>
      </c>
      <c r="S672" s="118">
        <f t="shared" si="339"/>
        <v>1576802</v>
      </c>
      <c r="T672" s="118">
        <f t="shared" si="339"/>
        <v>0</v>
      </c>
      <c r="U672" s="118">
        <f t="shared" si="339"/>
        <v>25927</v>
      </c>
      <c r="V672" s="118">
        <f t="shared" si="339"/>
        <v>238506245</v>
      </c>
      <c r="W672" s="118">
        <f t="shared" si="339"/>
        <v>0</v>
      </c>
      <c r="X672" s="150"/>
      <c r="Z672" s="140">
        <f>IF($C672="B","",VLOOKUP($C672,orig_alloc!$A$13:$B$227,2,FALSE))</f>
      </c>
      <c r="AA672" s="151"/>
      <c r="AD672" s="151"/>
      <c r="AE672" s="151"/>
      <c r="AF672" s="151"/>
    </row>
    <row r="673" spans="1:32" ht="20.25">
      <c r="A673" s="132" t="s">
        <v>1256</v>
      </c>
      <c r="B673" s="149" t="s">
        <v>504</v>
      </c>
      <c r="C673" s="132"/>
      <c r="D673" s="118">
        <f aca="true" t="shared" si="340" ref="D673:W673">D341</f>
        <v>48805840</v>
      </c>
      <c r="E673" s="118">
        <f t="shared" si="340"/>
        <v>19861454</v>
      </c>
      <c r="F673" s="118">
        <f t="shared" si="340"/>
        <v>15533238</v>
      </c>
      <c r="G673" s="118">
        <f t="shared" si="340"/>
        <v>27870</v>
      </c>
      <c r="H673" s="118">
        <f t="shared" si="340"/>
        <v>124592</v>
      </c>
      <c r="I673" s="118">
        <f t="shared" si="340"/>
        <v>116256</v>
      </c>
      <c r="J673" s="118">
        <f t="shared" si="340"/>
        <v>9811</v>
      </c>
      <c r="K673" s="118">
        <f t="shared" si="340"/>
        <v>7335475</v>
      </c>
      <c r="L673" s="118">
        <f t="shared" si="340"/>
        <v>125620</v>
      </c>
      <c r="M673" s="118">
        <f t="shared" si="340"/>
        <v>2847948</v>
      </c>
      <c r="N673" s="118">
        <f t="shared" si="340"/>
        <v>274750</v>
      </c>
      <c r="O673" s="118">
        <f t="shared" si="340"/>
        <v>319850</v>
      </c>
      <c r="P673" s="118">
        <f t="shared" si="340"/>
        <v>0</v>
      </c>
      <c r="Q673" s="118">
        <f t="shared" si="340"/>
        <v>1305129</v>
      </c>
      <c r="R673" s="118">
        <f t="shared" si="340"/>
        <v>132823</v>
      </c>
      <c r="S673" s="118">
        <f t="shared" si="340"/>
        <v>790435</v>
      </c>
      <c r="T673" s="118">
        <f t="shared" si="340"/>
        <v>0</v>
      </c>
      <c r="U673" s="118">
        <f t="shared" si="340"/>
        <v>589</v>
      </c>
      <c r="V673" s="118">
        <f t="shared" si="340"/>
        <v>48805840</v>
      </c>
      <c r="W673" s="118">
        <f t="shared" si="340"/>
        <v>0</v>
      </c>
      <c r="X673" s="150"/>
      <c r="Z673" s="140">
        <f>IF($C673="B","",VLOOKUP($C673,orig_alloc!$A$13:$B$227,2,FALSE))</f>
      </c>
      <c r="AA673" s="151"/>
      <c r="AD673" s="151"/>
      <c r="AE673" s="151"/>
      <c r="AF673" s="151"/>
    </row>
    <row r="674" spans="1:32" ht="20.25">
      <c r="A674" s="132" t="s">
        <v>35</v>
      </c>
      <c r="B674" s="149" t="s">
        <v>3</v>
      </c>
      <c r="C674" s="132"/>
      <c r="D674" s="118">
        <f aca="true" t="shared" si="341" ref="D674:W674">D580</f>
        <v>16566971</v>
      </c>
      <c r="E674" s="118">
        <f t="shared" si="341"/>
        <v>5518593</v>
      </c>
      <c r="F674" s="118">
        <f t="shared" si="341"/>
        <v>6174362</v>
      </c>
      <c r="G674" s="118">
        <f t="shared" si="341"/>
        <v>12961</v>
      </c>
      <c r="H674" s="118">
        <f t="shared" si="341"/>
        <v>58688</v>
      </c>
      <c r="I674" s="118">
        <f t="shared" si="341"/>
        <v>23329</v>
      </c>
      <c r="J674" s="118">
        <f t="shared" si="341"/>
        <v>4168</v>
      </c>
      <c r="K674" s="118">
        <f t="shared" si="341"/>
        <v>2761421</v>
      </c>
      <c r="L674" s="118">
        <f t="shared" si="341"/>
        <v>51590</v>
      </c>
      <c r="M674" s="118">
        <f t="shared" si="341"/>
        <v>856988</v>
      </c>
      <c r="N674" s="118">
        <f t="shared" si="341"/>
        <v>116047</v>
      </c>
      <c r="O674" s="118">
        <f t="shared" si="341"/>
        <v>119582</v>
      </c>
      <c r="P674" s="118">
        <f t="shared" si="341"/>
        <v>0</v>
      </c>
      <c r="Q674" s="118">
        <f t="shared" si="341"/>
        <v>486873</v>
      </c>
      <c r="R674" s="118">
        <f t="shared" si="341"/>
        <v>59098</v>
      </c>
      <c r="S674" s="118">
        <f t="shared" si="341"/>
        <v>324273</v>
      </c>
      <c r="T674" s="118">
        <f t="shared" si="341"/>
        <v>0</v>
      </c>
      <c r="U674" s="118">
        <f t="shared" si="341"/>
        <v>-1002</v>
      </c>
      <c r="V674" s="118">
        <f t="shared" si="341"/>
        <v>16566971</v>
      </c>
      <c r="W674" s="118">
        <f t="shared" si="341"/>
        <v>0</v>
      </c>
      <c r="X674" s="150"/>
      <c r="Z674" s="140">
        <f>IF($C674="B","",VLOOKUP($C674,orig_alloc!$A$13:$B$227,2,FALSE))</f>
      </c>
      <c r="AA674" s="151"/>
      <c r="AD674" s="151"/>
      <c r="AE674" s="151"/>
      <c r="AF674" s="151"/>
    </row>
    <row r="675" spans="1:32" ht="20.25">
      <c r="A675" s="132" t="s">
        <v>64</v>
      </c>
      <c r="B675" s="149" t="s">
        <v>47</v>
      </c>
      <c r="C675" s="132"/>
      <c r="D675" s="118">
        <f aca="true" t="shared" si="342" ref="D675:W675">D641</f>
        <v>2930903</v>
      </c>
      <c r="E675" s="118">
        <f t="shared" si="342"/>
        <v>980561</v>
      </c>
      <c r="F675" s="118">
        <f t="shared" si="342"/>
        <v>1089077</v>
      </c>
      <c r="G675" s="118">
        <f t="shared" si="342"/>
        <v>2279</v>
      </c>
      <c r="H675" s="118">
        <f t="shared" si="342"/>
        <v>10322</v>
      </c>
      <c r="I675" s="118">
        <f t="shared" si="342"/>
        <v>4188</v>
      </c>
      <c r="J675" s="118">
        <f t="shared" si="342"/>
        <v>735</v>
      </c>
      <c r="K675" s="118">
        <f t="shared" si="342"/>
        <v>487643</v>
      </c>
      <c r="L675" s="118">
        <f t="shared" si="342"/>
        <v>9094</v>
      </c>
      <c r="M675" s="118">
        <f t="shared" si="342"/>
        <v>152077</v>
      </c>
      <c r="N675" s="118">
        <f t="shared" si="342"/>
        <v>20447</v>
      </c>
      <c r="O675" s="118">
        <f t="shared" si="342"/>
        <v>21119</v>
      </c>
      <c r="P675" s="118">
        <f t="shared" si="342"/>
        <v>0</v>
      </c>
      <c r="Q675" s="118">
        <f t="shared" si="342"/>
        <v>85959</v>
      </c>
      <c r="R675" s="118">
        <f t="shared" si="342"/>
        <v>10401</v>
      </c>
      <c r="S675" s="118">
        <f t="shared" si="342"/>
        <v>57174</v>
      </c>
      <c r="T675" s="118">
        <f t="shared" si="342"/>
        <v>0</v>
      </c>
      <c r="U675" s="118">
        <f t="shared" si="342"/>
        <v>-173</v>
      </c>
      <c r="V675" s="118">
        <f t="shared" si="342"/>
        <v>2930903</v>
      </c>
      <c r="W675" s="118">
        <f t="shared" si="342"/>
        <v>0</v>
      </c>
      <c r="X675" s="150"/>
      <c r="Z675" s="140">
        <f>IF($C675="B","",VLOOKUP($C675,orig_alloc!$A$13:$B$227,2,FALSE))</f>
      </c>
      <c r="AA675" s="151"/>
      <c r="AD675" s="151"/>
      <c r="AE675" s="151"/>
      <c r="AF675" s="151"/>
    </row>
    <row r="676" spans="1:32" ht="20.25">
      <c r="A676" s="132" t="s">
        <v>65</v>
      </c>
      <c r="B676" s="149" t="s">
        <v>62</v>
      </c>
      <c r="C676" s="132"/>
      <c r="D676" s="118">
        <f aca="true" t="shared" si="343" ref="D676:W676">-D669</f>
        <v>-1978260</v>
      </c>
      <c r="E676" s="118">
        <f t="shared" si="343"/>
        <v>-974251</v>
      </c>
      <c r="F676" s="118">
        <f t="shared" si="343"/>
        <v>-478584</v>
      </c>
      <c r="G676" s="118">
        <f t="shared" si="343"/>
        <v>-471</v>
      </c>
      <c r="H676" s="118">
        <f t="shared" si="343"/>
        <v>-2297</v>
      </c>
      <c r="I676" s="118">
        <f t="shared" si="343"/>
        <v>-7519</v>
      </c>
      <c r="J676" s="118">
        <f t="shared" si="343"/>
        <v>-230</v>
      </c>
      <c r="K676" s="118">
        <f t="shared" si="343"/>
        <v>-267725</v>
      </c>
      <c r="L676" s="118">
        <f t="shared" si="343"/>
        <v>-3286</v>
      </c>
      <c r="M676" s="118">
        <f t="shared" si="343"/>
        <v>-149463</v>
      </c>
      <c r="N676" s="118">
        <f t="shared" si="343"/>
        <v>-6753</v>
      </c>
      <c r="O676" s="118">
        <f t="shared" si="343"/>
        <v>-12038</v>
      </c>
      <c r="P676" s="118">
        <f t="shared" si="343"/>
        <v>0</v>
      </c>
      <c r="Q676" s="118">
        <f t="shared" si="343"/>
        <v>-52881</v>
      </c>
      <c r="R676" s="118">
        <f t="shared" si="343"/>
        <v>-2875</v>
      </c>
      <c r="S676" s="118">
        <f t="shared" si="343"/>
        <v>-19647</v>
      </c>
      <c r="T676" s="118">
        <f t="shared" si="343"/>
        <v>0</v>
      </c>
      <c r="U676" s="118">
        <f t="shared" si="343"/>
        <v>-240</v>
      </c>
      <c r="V676" s="118">
        <f t="shared" si="343"/>
        <v>-1978260</v>
      </c>
      <c r="W676" s="118">
        <f t="shared" si="343"/>
        <v>0</v>
      </c>
      <c r="X676" s="150"/>
      <c r="Z676" s="140">
        <f>IF($C676="B","",VLOOKUP($C676,orig_alloc!$A$13:$B$227,2,FALSE))</f>
      </c>
      <c r="AA676" s="151"/>
      <c r="AD676" s="151"/>
      <c r="AE676" s="151"/>
      <c r="AF676" s="151"/>
    </row>
    <row r="677" spans="1:32" ht="20.25">
      <c r="A677" s="240" t="s">
        <v>66</v>
      </c>
      <c r="B677" s="149" t="s">
        <v>67</v>
      </c>
      <c r="C677" s="132"/>
      <c r="D677" s="202">
        <f aca="true" t="shared" si="344" ref="D677:W677">SUM(D671:D676)</f>
        <v>304831699</v>
      </c>
      <c r="E677" s="202">
        <f t="shared" si="344"/>
        <v>134783967</v>
      </c>
      <c r="F677" s="202">
        <f t="shared" si="344"/>
        <v>79858598</v>
      </c>
      <c r="G677" s="202">
        <f t="shared" si="344"/>
        <v>75558</v>
      </c>
      <c r="H677" s="202">
        <f t="shared" si="344"/>
        <v>491237</v>
      </c>
      <c r="I677" s="202">
        <f t="shared" si="344"/>
        <v>1008732</v>
      </c>
      <c r="J677" s="202">
        <f t="shared" si="344"/>
        <v>39767</v>
      </c>
      <c r="K677" s="202">
        <f t="shared" si="344"/>
        <v>46485038</v>
      </c>
      <c r="L677" s="202">
        <f t="shared" si="344"/>
        <v>437408</v>
      </c>
      <c r="M677" s="202">
        <f t="shared" si="344"/>
        <v>25250265</v>
      </c>
      <c r="N677" s="202">
        <f t="shared" si="344"/>
        <v>959717</v>
      </c>
      <c r="O677" s="202">
        <f t="shared" si="344"/>
        <v>2130102</v>
      </c>
      <c r="P677" s="202">
        <f t="shared" si="344"/>
        <v>0</v>
      </c>
      <c r="Q677" s="202">
        <f t="shared" si="344"/>
        <v>10093492</v>
      </c>
      <c r="R677" s="202">
        <f t="shared" si="344"/>
        <v>463680</v>
      </c>
      <c r="S677" s="202">
        <f t="shared" si="344"/>
        <v>2729037</v>
      </c>
      <c r="T677" s="202">
        <f t="shared" si="344"/>
        <v>0</v>
      </c>
      <c r="U677" s="202">
        <f t="shared" si="344"/>
        <v>25101</v>
      </c>
      <c r="V677" s="202">
        <f t="shared" si="344"/>
        <v>304831699</v>
      </c>
      <c r="W677" s="202">
        <f t="shared" si="344"/>
        <v>0</v>
      </c>
      <c r="X677" s="150"/>
      <c r="Z677" s="140">
        <f>IF($C677="B","",VLOOKUP($C677,orig_alloc!$A$13:$B$227,2,FALSE))</f>
      </c>
      <c r="AA677" s="151"/>
      <c r="AD677" s="151"/>
      <c r="AE677" s="151"/>
      <c r="AF677" s="151"/>
    </row>
    <row r="678" spans="1:32" ht="20.25">
      <c r="A678" s="132"/>
      <c r="B678" s="149"/>
      <c r="C678" s="132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50"/>
      <c r="Z678" s="140">
        <f>IF($C678="B","",VLOOKUP($C678,orig_alloc!$A$13:$B$227,2,FALSE))</f>
      </c>
      <c r="AA678" s="151"/>
      <c r="AD678" s="151"/>
      <c r="AE678" s="151"/>
      <c r="AF678" s="151"/>
    </row>
    <row r="679" spans="1:32" ht="20.25">
      <c r="A679" s="132" t="s">
        <v>65</v>
      </c>
      <c r="B679" s="149" t="s">
        <v>62</v>
      </c>
      <c r="C679" s="132"/>
      <c r="D679" s="118">
        <f>V679+W679</f>
        <v>1978260</v>
      </c>
      <c r="E679" s="118">
        <f aca="true" t="shared" si="345" ref="E679:U679">-E676</f>
        <v>974251</v>
      </c>
      <c r="F679" s="118">
        <f t="shared" si="345"/>
        <v>478584</v>
      </c>
      <c r="G679" s="118">
        <f t="shared" si="345"/>
        <v>471</v>
      </c>
      <c r="H679" s="118">
        <f t="shared" si="345"/>
        <v>2297</v>
      </c>
      <c r="I679" s="118">
        <f t="shared" si="345"/>
        <v>7519</v>
      </c>
      <c r="J679" s="118">
        <f t="shared" si="345"/>
        <v>230</v>
      </c>
      <c r="K679" s="118">
        <f t="shared" si="345"/>
        <v>267725</v>
      </c>
      <c r="L679" s="118">
        <f t="shared" si="345"/>
        <v>3286</v>
      </c>
      <c r="M679" s="118">
        <f t="shared" si="345"/>
        <v>149463</v>
      </c>
      <c r="N679" s="118">
        <f t="shared" si="345"/>
        <v>6753</v>
      </c>
      <c r="O679" s="118">
        <f t="shared" si="345"/>
        <v>12038</v>
      </c>
      <c r="P679" s="118">
        <f t="shared" si="345"/>
        <v>0</v>
      </c>
      <c r="Q679" s="118">
        <f t="shared" si="345"/>
        <v>52881</v>
      </c>
      <c r="R679" s="118">
        <f t="shared" si="345"/>
        <v>2875</v>
      </c>
      <c r="S679" s="118">
        <f t="shared" si="345"/>
        <v>19647</v>
      </c>
      <c r="T679" s="118">
        <f t="shared" si="345"/>
        <v>0</v>
      </c>
      <c r="U679" s="118">
        <f t="shared" si="345"/>
        <v>240</v>
      </c>
      <c r="V679" s="118">
        <f>SUM(E679:U679)</f>
        <v>1978260</v>
      </c>
      <c r="W679" s="118">
        <f>-W676</f>
        <v>0</v>
      </c>
      <c r="X679" s="150"/>
      <c r="Z679" s="140">
        <f>IF($C679="B","",VLOOKUP($C679,orig_alloc!$A$13:$B$227,2,FALSE))</f>
      </c>
      <c r="AA679" s="151"/>
      <c r="AD679" s="151"/>
      <c r="AE679" s="151"/>
      <c r="AF679" s="151"/>
    </row>
    <row r="680" spans="1:32" ht="20.25">
      <c r="A680" s="132" t="s">
        <v>1257</v>
      </c>
      <c r="B680" s="149"/>
      <c r="C680" s="132"/>
      <c r="D680" s="118">
        <f>V680+W680</f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18">
        <v>0</v>
      </c>
      <c r="Q680" s="118">
        <v>0</v>
      </c>
      <c r="R680" s="118">
        <v>0</v>
      </c>
      <c r="S680" s="118">
        <v>0</v>
      </c>
      <c r="T680" s="118">
        <v>0</v>
      </c>
      <c r="U680" s="118">
        <v>0</v>
      </c>
      <c r="V680" s="118">
        <f>SUM(E680:U680)</f>
        <v>0</v>
      </c>
      <c r="W680" s="118">
        <v>0</v>
      </c>
      <c r="X680" s="150"/>
      <c r="Z680" s="140">
        <f>IF($C680="B","",VLOOKUP($C680,orig_alloc!$A$13:$B$227,2,FALSE))</f>
      </c>
      <c r="AA680" s="151"/>
      <c r="AD680" s="151"/>
      <c r="AE680" s="151"/>
      <c r="AF680" s="151"/>
    </row>
    <row r="681" spans="1:32" ht="20.25">
      <c r="A681" s="240" t="s">
        <v>68</v>
      </c>
      <c r="B681" s="149" t="s">
        <v>69</v>
      </c>
      <c r="C681" s="132"/>
      <c r="D681" s="202">
        <f aca="true" t="shared" si="346" ref="D681:W681">D679-D680</f>
        <v>1978260</v>
      </c>
      <c r="E681" s="202">
        <f t="shared" si="346"/>
        <v>974251</v>
      </c>
      <c r="F681" s="202">
        <f t="shared" si="346"/>
        <v>478584</v>
      </c>
      <c r="G681" s="202">
        <f t="shared" si="346"/>
        <v>471</v>
      </c>
      <c r="H681" s="202">
        <f t="shared" si="346"/>
        <v>2297</v>
      </c>
      <c r="I681" s="202">
        <f t="shared" si="346"/>
        <v>7519</v>
      </c>
      <c r="J681" s="202">
        <f t="shared" si="346"/>
        <v>230</v>
      </c>
      <c r="K681" s="202">
        <f t="shared" si="346"/>
        <v>267725</v>
      </c>
      <c r="L681" s="202">
        <f t="shared" si="346"/>
        <v>3286</v>
      </c>
      <c r="M681" s="202">
        <f t="shared" si="346"/>
        <v>149463</v>
      </c>
      <c r="N681" s="202">
        <f t="shared" si="346"/>
        <v>6753</v>
      </c>
      <c r="O681" s="202">
        <f t="shared" si="346"/>
        <v>12038</v>
      </c>
      <c r="P681" s="202">
        <f t="shared" si="346"/>
        <v>0</v>
      </c>
      <c r="Q681" s="202">
        <f t="shared" si="346"/>
        <v>52881</v>
      </c>
      <c r="R681" s="202">
        <f t="shared" si="346"/>
        <v>2875</v>
      </c>
      <c r="S681" s="202">
        <f t="shared" si="346"/>
        <v>19647</v>
      </c>
      <c r="T681" s="202">
        <f t="shared" si="346"/>
        <v>0</v>
      </c>
      <c r="U681" s="202">
        <f t="shared" si="346"/>
        <v>240</v>
      </c>
      <c r="V681" s="202">
        <f t="shared" si="346"/>
        <v>1978260</v>
      </c>
      <c r="W681" s="202">
        <f t="shared" si="346"/>
        <v>0</v>
      </c>
      <c r="X681" s="150"/>
      <c r="Z681" s="140">
        <f>IF($C681="B","",VLOOKUP($C681,orig_alloc!$A$13:$B$227,2,FALSE))</f>
      </c>
      <c r="AA681" s="151"/>
      <c r="AD681" s="151"/>
      <c r="AE681" s="151"/>
      <c r="AF681" s="151"/>
    </row>
    <row r="682" spans="1:32" ht="20.25">
      <c r="A682" s="231"/>
      <c r="B682" s="149"/>
      <c r="C682" s="132"/>
      <c r="D682" s="217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150"/>
      <c r="Z682" s="140">
        <f>IF($C682="B","",VLOOKUP($C682,orig_alloc!$A$13:$B$227,2,FALSE))</f>
      </c>
      <c r="AA682" s="151"/>
      <c r="AD682" s="151"/>
      <c r="AE682" s="151"/>
      <c r="AF682" s="151"/>
    </row>
    <row r="683" spans="1:32" ht="20.25" hidden="1">
      <c r="A683" s="304" t="s">
        <v>70</v>
      </c>
      <c r="B683" s="149" t="s">
        <v>71</v>
      </c>
      <c r="C683" s="132"/>
      <c r="D683" s="118"/>
      <c r="E683" s="325">
        <f aca="true" t="shared" si="347" ref="E683:U683">ROUND(+E726/(1-E726),9)</f>
        <v>0</v>
      </c>
      <c r="F683" s="326">
        <f t="shared" si="347"/>
        <v>0</v>
      </c>
      <c r="G683" s="326">
        <f>ROUND(+G726/(1-G726),9)</f>
        <v>0</v>
      </c>
      <c r="H683" s="326">
        <f>ROUND(+H726/(1-H726),9)</f>
        <v>0</v>
      </c>
      <c r="I683" s="326">
        <f>ROUND(+I726/(1-I726),9)</f>
        <v>0</v>
      </c>
      <c r="J683" s="326">
        <f>ROUND(+J726/(1-J726),9)</f>
        <v>0</v>
      </c>
      <c r="K683" s="326">
        <f t="shared" si="347"/>
        <v>0</v>
      </c>
      <c r="L683" s="326">
        <f>ROUND(+L726/(1-L726),9)</f>
        <v>0</v>
      </c>
      <c r="M683" s="326">
        <f>ROUND(+M726/(1-M726),9)</f>
        <v>0</v>
      </c>
      <c r="N683" s="326">
        <f t="shared" si="347"/>
        <v>0</v>
      </c>
      <c r="O683" s="326">
        <f>ROUND(+O726/(1-O726),9)</f>
        <v>0</v>
      </c>
      <c r="P683" s="326">
        <f>ROUND(+P726/(1-P726),9)</f>
        <v>0</v>
      </c>
      <c r="Q683" s="326">
        <f t="shared" si="347"/>
        <v>0</v>
      </c>
      <c r="R683" s="326">
        <f>ROUND(+R726/(1-R726),9)</f>
        <v>0</v>
      </c>
      <c r="S683" s="326">
        <f t="shared" si="347"/>
        <v>0</v>
      </c>
      <c r="T683" s="326">
        <f t="shared" si="347"/>
        <v>0</v>
      </c>
      <c r="U683" s="326">
        <f t="shared" si="347"/>
        <v>0</v>
      </c>
      <c r="V683" s="326"/>
      <c r="W683" s="326">
        <f>W726/(1-W726)</f>
        <v>0</v>
      </c>
      <c r="X683" s="327"/>
      <c r="Y683" s="153"/>
      <c r="Z683" s="140">
        <f>IF($C683="B","",VLOOKUP($C683,orig_alloc!$A$13:$B$227,2,FALSE))</f>
      </c>
      <c r="AA683" s="154"/>
      <c r="AB683" s="155"/>
      <c r="AC683" s="155"/>
      <c r="AD683" s="154"/>
      <c r="AE683" s="154"/>
      <c r="AF683" s="151"/>
    </row>
    <row r="684" spans="1:32" ht="20.25" hidden="1">
      <c r="A684" s="304" t="s">
        <v>72</v>
      </c>
      <c r="B684" s="149" t="s">
        <v>73</v>
      </c>
      <c r="C684" s="132"/>
      <c r="D684" s="118">
        <f>V684+W684</f>
        <v>0</v>
      </c>
      <c r="E684" s="118">
        <f aca="true" t="shared" si="348" ref="E684:U684">ROUND(E683*E681,0)</f>
        <v>0</v>
      </c>
      <c r="F684" s="118">
        <f t="shared" si="348"/>
        <v>0</v>
      </c>
      <c r="G684" s="118">
        <f t="shared" si="348"/>
        <v>0</v>
      </c>
      <c r="H684" s="118">
        <f t="shared" si="348"/>
        <v>0</v>
      </c>
      <c r="I684" s="118">
        <f t="shared" si="348"/>
        <v>0</v>
      </c>
      <c r="J684" s="118">
        <f t="shared" si="348"/>
        <v>0</v>
      </c>
      <c r="K684" s="118">
        <f t="shared" si="348"/>
        <v>0</v>
      </c>
      <c r="L684" s="118">
        <f t="shared" si="348"/>
        <v>0</v>
      </c>
      <c r="M684" s="118">
        <f t="shared" si="348"/>
        <v>0</v>
      </c>
      <c r="N684" s="118">
        <f t="shared" si="348"/>
        <v>0</v>
      </c>
      <c r="O684" s="118">
        <f t="shared" si="348"/>
        <v>0</v>
      </c>
      <c r="P684" s="118">
        <f t="shared" si="348"/>
        <v>0</v>
      </c>
      <c r="Q684" s="118">
        <f t="shared" si="348"/>
        <v>0</v>
      </c>
      <c r="R684" s="118">
        <f t="shared" si="348"/>
        <v>0</v>
      </c>
      <c r="S684" s="118">
        <f t="shared" si="348"/>
        <v>0</v>
      </c>
      <c r="T684" s="118">
        <f t="shared" si="348"/>
        <v>0</v>
      </c>
      <c r="U684" s="118">
        <f t="shared" si="348"/>
        <v>0</v>
      </c>
      <c r="V684" s="118">
        <f>SUM(E684:U684)</f>
        <v>0</v>
      </c>
      <c r="W684" s="118">
        <f>ROUND(W683*W681,0)</f>
        <v>0</v>
      </c>
      <c r="X684" s="150"/>
      <c r="Z684" s="140">
        <f>IF($C684="B","",VLOOKUP($C684,orig_alloc!$A$13:$B$227,2,FALSE))</f>
      </c>
      <c r="AA684" s="151"/>
      <c r="AD684" s="151"/>
      <c r="AE684" s="151"/>
      <c r="AF684" s="151"/>
    </row>
    <row r="685" spans="1:32" ht="20.25">
      <c r="A685" s="132" t="s">
        <v>1239</v>
      </c>
      <c r="B685" s="149" t="s">
        <v>74</v>
      </c>
      <c r="C685" s="132" t="s">
        <v>1250</v>
      </c>
      <c r="D685" s="118">
        <f aca="true" t="shared" si="349" ref="D685:W685">D26</f>
        <v>-373481</v>
      </c>
      <c r="E685" s="118">
        <f t="shared" si="349"/>
        <v>-194944</v>
      </c>
      <c r="F685" s="118">
        <f t="shared" si="349"/>
        <v>-93752</v>
      </c>
      <c r="G685" s="118">
        <f t="shared" si="349"/>
        <v>-83</v>
      </c>
      <c r="H685" s="118">
        <f t="shared" si="349"/>
        <v>-338</v>
      </c>
      <c r="I685" s="118">
        <f t="shared" si="349"/>
        <v>-1291</v>
      </c>
      <c r="J685" s="118">
        <f t="shared" si="349"/>
        <v>-48</v>
      </c>
      <c r="K685" s="118">
        <f t="shared" si="349"/>
        <v>-51818</v>
      </c>
      <c r="L685" s="118">
        <f t="shared" si="349"/>
        <v>-556</v>
      </c>
      <c r="M685" s="118">
        <f t="shared" si="349"/>
        <v>-17127</v>
      </c>
      <c r="N685" s="118">
        <f t="shared" si="349"/>
        <v>-755</v>
      </c>
      <c r="O685" s="118">
        <f t="shared" si="349"/>
        <v>-1665</v>
      </c>
      <c r="P685" s="118">
        <f t="shared" si="349"/>
        <v>0</v>
      </c>
      <c r="Q685" s="118">
        <f t="shared" si="349"/>
        <v>6669</v>
      </c>
      <c r="R685" s="118">
        <f t="shared" si="349"/>
        <v>388</v>
      </c>
      <c r="S685" s="118">
        <f t="shared" si="349"/>
        <v>-18133</v>
      </c>
      <c r="T685" s="118">
        <f t="shared" si="349"/>
        <v>0</v>
      </c>
      <c r="U685" s="118">
        <f t="shared" si="349"/>
        <v>-28</v>
      </c>
      <c r="V685" s="118">
        <f t="shared" si="349"/>
        <v>-373481</v>
      </c>
      <c r="W685" s="118">
        <f t="shared" si="349"/>
        <v>0</v>
      </c>
      <c r="X685" s="118"/>
      <c r="Z685" s="140" t="str">
        <f>IF($C685="B","",VLOOKUP($C685,orig_alloc!$A$13:$B$227,2,FALSE))</f>
        <v>WTD CWIP</v>
      </c>
      <c r="AA685" s="151"/>
      <c r="AD685" s="151"/>
      <c r="AE685" s="151"/>
      <c r="AF685" s="151"/>
    </row>
    <row r="686" spans="1:32" ht="20.25">
      <c r="A686" s="240" t="s">
        <v>1299</v>
      </c>
      <c r="B686" s="149" t="s">
        <v>75</v>
      </c>
      <c r="C686" s="132"/>
      <c r="D686" s="202">
        <f>V686+W686</f>
        <v>-373481</v>
      </c>
      <c r="E686" s="202">
        <f aca="true" t="shared" si="350" ref="E686:U686">E684+E685</f>
        <v>-194944</v>
      </c>
      <c r="F686" s="202">
        <f t="shared" si="350"/>
        <v>-93752</v>
      </c>
      <c r="G686" s="202">
        <f t="shared" si="350"/>
        <v>-83</v>
      </c>
      <c r="H686" s="202">
        <f t="shared" si="350"/>
        <v>-338</v>
      </c>
      <c r="I686" s="202">
        <f t="shared" si="350"/>
        <v>-1291</v>
      </c>
      <c r="J686" s="202">
        <f t="shared" si="350"/>
        <v>-48</v>
      </c>
      <c r="K686" s="202">
        <f t="shared" si="350"/>
        <v>-51818</v>
      </c>
      <c r="L686" s="202">
        <f t="shared" si="350"/>
        <v>-556</v>
      </c>
      <c r="M686" s="202">
        <f t="shared" si="350"/>
        <v>-17127</v>
      </c>
      <c r="N686" s="202">
        <f t="shared" si="350"/>
        <v>-755</v>
      </c>
      <c r="O686" s="202">
        <f t="shared" si="350"/>
        <v>-1665</v>
      </c>
      <c r="P686" s="202">
        <f t="shared" si="350"/>
        <v>0</v>
      </c>
      <c r="Q686" s="202">
        <f t="shared" si="350"/>
        <v>6669</v>
      </c>
      <c r="R686" s="202">
        <f t="shared" si="350"/>
        <v>388</v>
      </c>
      <c r="S686" s="202">
        <f t="shared" si="350"/>
        <v>-18133</v>
      </c>
      <c r="T686" s="202">
        <f t="shared" si="350"/>
        <v>0</v>
      </c>
      <c r="U686" s="202">
        <f t="shared" si="350"/>
        <v>-28</v>
      </c>
      <c r="V686" s="202">
        <f>SUM(E686:U686)</f>
        <v>-373481</v>
      </c>
      <c r="W686" s="202">
        <f>W684+W685</f>
        <v>0</v>
      </c>
      <c r="X686" s="150"/>
      <c r="Z686" s="140">
        <f>IF($C686="B","",VLOOKUP($C686,orig_alloc!$A$13:$B$227,2,FALSE))</f>
      </c>
      <c r="AA686" s="151"/>
      <c r="AD686" s="151"/>
      <c r="AE686" s="151"/>
      <c r="AF686" s="151"/>
    </row>
    <row r="687" spans="1:32" ht="20.25">
      <c r="A687" s="240" t="s">
        <v>1311</v>
      </c>
      <c r="B687" s="149" t="s">
        <v>281</v>
      </c>
      <c r="C687" s="132"/>
      <c r="D687" s="202">
        <f aca="true" t="shared" si="351" ref="D687:W687">D686+D677</f>
        <v>304458218</v>
      </c>
      <c r="E687" s="202">
        <f t="shared" si="351"/>
        <v>134589023</v>
      </c>
      <c r="F687" s="202">
        <f t="shared" si="351"/>
        <v>79764846</v>
      </c>
      <c r="G687" s="202">
        <f t="shared" si="351"/>
        <v>75475</v>
      </c>
      <c r="H687" s="202">
        <f t="shared" si="351"/>
        <v>490899</v>
      </c>
      <c r="I687" s="202">
        <f t="shared" si="351"/>
        <v>1007441</v>
      </c>
      <c r="J687" s="202">
        <f t="shared" si="351"/>
        <v>39719</v>
      </c>
      <c r="K687" s="202">
        <f t="shared" si="351"/>
        <v>46433220</v>
      </c>
      <c r="L687" s="202">
        <f t="shared" si="351"/>
        <v>436852</v>
      </c>
      <c r="M687" s="202">
        <f t="shared" si="351"/>
        <v>25233138</v>
      </c>
      <c r="N687" s="202">
        <f t="shared" si="351"/>
        <v>958962</v>
      </c>
      <c r="O687" s="202">
        <f t="shared" si="351"/>
        <v>2128437</v>
      </c>
      <c r="P687" s="202">
        <f t="shared" si="351"/>
        <v>0</v>
      </c>
      <c r="Q687" s="202">
        <f t="shared" si="351"/>
        <v>10100161</v>
      </c>
      <c r="R687" s="202">
        <f t="shared" si="351"/>
        <v>464068</v>
      </c>
      <c r="S687" s="202">
        <f t="shared" si="351"/>
        <v>2710904</v>
      </c>
      <c r="T687" s="202">
        <f t="shared" si="351"/>
        <v>0</v>
      </c>
      <c r="U687" s="202">
        <f t="shared" si="351"/>
        <v>25073</v>
      </c>
      <c r="V687" s="202">
        <f t="shared" si="351"/>
        <v>304458218</v>
      </c>
      <c r="W687" s="202">
        <f t="shared" si="351"/>
        <v>0</v>
      </c>
      <c r="X687" s="150"/>
      <c r="Z687" s="140">
        <f>IF($C687="B","",VLOOKUP($C687,orig_alloc!$A$13:$B$227,2,FALSE))</f>
      </c>
      <c r="AA687" s="151"/>
      <c r="AD687" s="151"/>
      <c r="AE687" s="151"/>
      <c r="AF687" s="151"/>
    </row>
    <row r="688" spans="1:32" ht="20.25">
      <c r="A688" s="132"/>
      <c r="B688" s="149"/>
      <c r="C688" s="132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50"/>
      <c r="Z688" s="140">
        <f>IF($C688="B","",VLOOKUP($C688,orig_alloc!$A$13:$B$227,2,FALSE))</f>
      </c>
      <c r="AA688" s="151"/>
      <c r="AD688" s="151"/>
      <c r="AE688" s="151"/>
      <c r="AF688" s="151"/>
    </row>
    <row r="689" spans="1:32" ht="20.25">
      <c r="A689" s="132" t="s">
        <v>76</v>
      </c>
      <c r="B689" s="149" t="s">
        <v>77</v>
      </c>
      <c r="C689" s="132"/>
      <c r="D689" s="118">
        <f aca="true" t="shared" si="352" ref="D689:W689">D730</f>
        <v>304458566</v>
      </c>
      <c r="E689" s="118">
        <f t="shared" si="352"/>
        <v>134589370</v>
      </c>
      <c r="F689" s="118">
        <f t="shared" si="352"/>
        <v>79764846</v>
      </c>
      <c r="G689" s="118">
        <f>G730</f>
        <v>75476</v>
      </c>
      <c r="H689" s="118">
        <f>H730</f>
        <v>490899</v>
      </c>
      <c r="I689" s="118">
        <f>I730</f>
        <v>1007442</v>
      </c>
      <c r="J689" s="118">
        <f>J730</f>
        <v>39719</v>
      </c>
      <c r="K689" s="118">
        <f t="shared" si="352"/>
        <v>46433219</v>
      </c>
      <c r="L689" s="118">
        <f>L730</f>
        <v>436852</v>
      </c>
      <c r="M689" s="118">
        <f>M730</f>
        <v>25233138</v>
      </c>
      <c r="N689" s="118">
        <f>N730</f>
        <v>958961</v>
      </c>
      <c r="O689" s="118">
        <f>O730</f>
        <v>2128436</v>
      </c>
      <c r="P689" s="118">
        <f>P730</f>
        <v>0</v>
      </c>
      <c r="Q689" s="118">
        <f t="shared" si="352"/>
        <v>10100161</v>
      </c>
      <c r="R689" s="118">
        <f>R730</f>
        <v>464069</v>
      </c>
      <c r="S689" s="118">
        <f t="shared" si="352"/>
        <v>2710905</v>
      </c>
      <c r="T689" s="118">
        <f t="shared" si="352"/>
        <v>0</v>
      </c>
      <c r="U689" s="118">
        <f t="shared" si="352"/>
        <v>25073</v>
      </c>
      <c r="V689" s="118">
        <f t="shared" si="352"/>
        <v>304458566</v>
      </c>
      <c r="W689" s="118">
        <f t="shared" si="352"/>
        <v>0</v>
      </c>
      <c r="X689" s="150"/>
      <c r="Z689" s="140">
        <f>IF($C689="B","",VLOOKUP($C689,orig_alloc!$A$13:$B$227,2,FALSE))</f>
      </c>
      <c r="AA689" s="151"/>
      <c r="AD689" s="151"/>
      <c r="AE689" s="151"/>
      <c r="AF689" s="151"/>
    </row>
    <row r="690" spans="1:32" ht="20.25">
      <c r="A690" s="132" t="s">
        <v>78</v>
      </c>
      <c r="B690" s="149" t="s">
        <v>281</v>
      </c>
      <c r="C690" s="132"/>
      <c r="D690" s="118">
        <f aca="true" t="shared" si="353" ref="D690:W690">-D687</f>
        <v>-304458218</v>
      </c>
      <c r="E690" s="118">
        <f t="shared" si="353"/>
        <v>-134589023</v>
      </c>
      <c r="F690" s="118">
        <f t="shared" si="353"/>
        <v>-79764846</v>
      </c>
      <c r="G690" s="118">
        <f t="shared" si="353"/>
        <v>-75475</v>
      </c>
      <c r="H690" s="118">
        <f t="shared" si="353"/>
        <v>-490899</v>
      </c>
      <c r="I690" s="118">
        <f t="shared" si="353"/>
        <v>-1007441</v>
      </c>
      <c r="J690" s="118">
        <f t="shared" si="353"/>
        <v>-39719</v>
      </c>
      <c r="K690" s="118">
        <f t="shared" si="353"/>
        <v>-46433220</v>
      </c>
      <c r="L690" s="118">
        <f t="shared" si="353"/>
        <v>-436852</v>
      </c>
      <c r="M690" s="118">
        <f t="shared" si="353"/>
        <v>-25233138</v>
      </c>
      <c r="N690" s="118">
        <f t="shared" si="353"/>
        <v>-958962</v>
      </c>
      <c r="O690" s="118">
        <f t="shared" si="353"/>
        <v>-2128437</v>
      </c>
      <c r="P690" s="118">
        <f t="shared" si="353"/>
        <v>0</v>
      </c>
      <c r="Q690" s="118">
        <f t="shared" si="353"/>
        <v>-10100161</v>
      </c>
      <c r="R690" s="118">
        <f t="shared" si="353"/>
        <v>-464068</v>
      </c>
      <c r="S690" s="118">
        <f t="shared" si="353"/>
        <v>-2710904</v>
      </c>
      <c r="T690" s="118">
        <f t="shared" si="353"/>
        <v>0</v>
      </c>
      <c r="U690" s="118">
        <f t="shared" si="353"/>
        <v>-25073</v>
      </c>
      <c r="V690" s="118">
        <f t="shared" si="353"/>
        <v>-304458218</v>
      </c>
      <c r="W690" s="118">
        <f t="shared" si="353"/>
        <v>0</v>
      </c>
      <c r="X690" s="150"/>
      <c r="Z690" s="140">
        <f>IF($C690="B","",VLOOKUP($C690,orig_alloc!$A$13:$B$227,2,FALSE))</f>
      </c>
      <c r="AA690" s="151"/>
      <c r="AD690" s="151"/>
      <c r="AE690" s="151"/>
      <c r="AF690" s="151"/>
    </row>
    <row r="691" spans="1:32" ht="20.25">
      <c r="A691" s="132" t="s">
        <v>79</v>
      </c>
      <c r="B691" s="149" t="s">
        <v>80</v>
      </c>
      <c r="C691" s="132"/>
      <c r="D691" s="118">
        <f aca="true" t="shared" si="354" ref="D691:U691">D690+D689</f>
        <v>348</v>
      </c>
      <c r="E691" s="118">
        <f t="shared" si="354"/>
        <v>347</v>
      </c>
      <c r="F691" s="118">
        <f t="shared" si="354"/>
        <v>0</v>
      </c>
      <c r="G691" s="118">
        <f t="shared" si="354"/>
        <v>1</v>
      </c>
      <c r="H691" s="118">
        <f t="shared" si="354"/>
        <v>0</v>
      </c>
      <c r="I691" s="118">
        <f t="shared" si="354"/>
        <v>1</v>
      </c>
      <c r="J691" s="118">
        <f t="shared" si="354"/>
        <v>0</v>
      </c>
      <c r="K691" s="118">
        <f t="shared" si="354"/>
        <v>-1</v>
      </c>
      <c r="L691" s="118">
        <f t="shared" si="354"/>
        <v>0</v>
      </c>
      <c r="M691" s="118">
        <f t="shared" si="354"/>
        <v>0</v>
      </c>
      <c r="N691" s="118">
        <f t="shared" si="354"/>
        <v>-1</v>
      </c>
      <c r="O691" s="118">
        <f t="shared" si="354"/>
        <v>-1</v>
      </c>
      <c r="P691" s="118">
        <f t="shared" si="354"/>
        <v>0</v>
      </c>
      <c r="Q691" s="118">
        <f t="shared" si="354"/>
        <v>0</v>
      </c>
      <c r="R691" s="118">
        <f t="shared" si="354"/>
        <v>1</v>
      </c>
      <c r="S691" s="118">
        <f t="shared" si="354"/>
        <v>1</v>
      </c>
      <c r="T691" s="118">
        <f t="shared" si="354"/>
        <v>0</v>
      </c>
      <c r="U691" s="118">
        <f t="shared" si="354"/>
        <v>0</v>
      </c>
      <c r="V691" s="118">
        <f>SUM(E691:U691)</f>
        <v>348</v>
      </c>
      <c r="W691" s="118">
        <f>W690+W689</f>
        <v>0</v>
      </c>
      <c r="X691" s="150"/>
      <c r="Z691" s="140">
        <f>IF($C691="B","",VLOOKUP($C691,orig_alloc!$A$13:$B$227,2,FALSE))</f>
      </c>
      <c r="AA691" s="151"/>
      <c r="AD691" s="151"/>
      <c r="AE691" s="151"/>
      <c r="AF691" s="151"/>
    </row>
    <row r="692" spans="1:32" ht="20.25">
      <c r="A692" s="132" t="s">
        <v>52</v>
      </c>
      <c r="B692" s="149" t="s">
        <v>53</v>
      </c>
      <c r="C692" s="132"/>
      <c r="D692" s="118"/>
      <c r="E692" s="323">
        <f aca="true" t="shared" si="355" ref="E692:V692">E648</f>
        <v>0.387621116</v>
      </c>
      <c r="F692" s="323">
        <f t="shared" si="355"/>
        <v>0.387621116</v>
      </c>
      <c r="G692" s="323">
        <f t="shared" si="355"/>
        <v>0.387621116</v>
      </c>
      <c r="H692" s="323">
        <f t="shared" si="355"/>
        <v>0.387621116</v>
      </c>
      <c r="I692" s="323">
        <f t="shared" si="355"/>
        <v>0.387621116</v>
      </c>
      <c r="J692" s="323">
        <f t="shared" si="355"/>
        <v>0.387621116</v>
      </c>
      <c r="K692" s="323">
        <f t="shared" si="355"/>
        <v>0.387621116</v>
      </c>
      <c r="L692" s="323">
        <f t="shared" si="355"/>
        <v>0.387621116</v>
      </c>
      <c r="M692" s="323">
        <f>M648</f>
        <v>0.387621116</v>
      </c>
      <c r="N692" s="323">
        <f t="shared" si="355"/>
        <v>0.387621116</v>
      </c>
      <c r="O692" s="323">
        <f>O648</f>
        <v>0.387621116</v>
      </c>
      <c r="P692" s="323">
        <f t="shared" si="355"/>
        <v>0.387621116</v>
      </c>
      <c r="Q692" s="323">
        <f t="shared" si="355"/>
        <v>0.387621116</v>
      </c>
      <c r="R692" s="323">
        <f t="shared" si="355"/>
        <v>0.387621116</v>
      </c>
      <c r="S692" s="323">
        <f t="shared" si="355"/>
        <v>0.387621116</v>
      </c>
      <c r="T692" s="323">
        <f t="shared" si="355"/>
        <v>0.387621116</v>
      </c>
      <c r="U692" s="323">
        <f t="shared" si="355"/>
        <v>0.387621116</v>
      </c>
      <c r="V692" s="323">
        <f t="shared" si="355"/>
        <v>0.387621116</v>
      </c>
      <c r="W692" s="323">
        <f>W648</f>
        <v>0.387621116</v>
      </c>
      <c r="X692" s="150"/>
      <c r="Y692" s="156">
        <f>ROUND(E692*E691,0)-E693</f>
        <v>0</v>
      </c>
      <c r="Z692" s="140">
        <f>IF($C692="B","",VLOOKUP($C692,orig_alloc!$A$13:$B$227,2,FALSE))</f>
      </c>
      <c r="AA692" s="151"/>
      <c r="AD692" s="151"/>
      <c r="AE692" s="151"/>
      <c r="AF692" s="151"/>
    </row>
    <row r="693" spans="1:32" ht="20.25">
      <c r="A693" s="132" t="s">
        <v>81</v>
      </c>
      <c r="B693" s="149" t="s">
        <v>82</v>
      </c>
      <c r="C693" s="132"/>
      <c r="D693" s="118">
        <f>V693+W693</f>
        <v>135</v>
      </c>
      <c r="E693" s="219">
        <f>V693-SUM(F693:U693)</f>
        <v>135</v>
      </c>
      <c r="F693" s="118">
        <f aca="true" t="shared" si="356" ref="F693:W693">ROUND(F692*F691,0)</f>
        <v>0</v>
      </c>
      <c r="G693" s="118">
        <f t="shared" si="356"/>
        <v>0</v>
      </c>
      <c r="H693" s="118">
        <f t="shared" si="356"/>
        <v>0</v>
      </c>
      <c r="I693" s="118">
        <f t="shared" si="356"/>
        <v>0</v>
      </c>
      <c r="J693" s="118">
        <f t="shared" si="356"/>
        <v>0</v>
      </c>
      <c r="K693" s="118">
        <f t="shared" si="356"/>
        <v>0</v>
      </c>
      <c r="L693" s="118">
        <f t="shared" si="356"/>
        <v>0</v>
      </c>
      <c r="M693" s="118">
        <f t="shared" si="356"/>
        <v>0</v>
      </c>
      <c r="N693" s="118">
        <f t="shared" si="356"/>
        <v>0</v>
      </c>
      <c r="O693" s="118">
        <f t="shared" si="356"/>
        <v>0</v>
      </c>
      <c r="P693" s="118">
        <f t="shared" si="356"/>
        <v>0</v>
      </c>
      <c r="Q693" s="118">
        <f t="shared" si="356"/>
        <v>0</v>
      </c>
      <c r="R693" s="118">
        <f t="shared" si="356"/>
        <v>0</v>
      </c>
      <c r="S693" s="118">
        <f t="shared" si="356"/>
        <v>0</v>
      </c>
      <c r="T693" s="118">
        <f t="shared" si="356"/>
        <v>0</v>
      </c>
      <c r="U693" s="118">
        <f t="shared" si="356"/>
        <v>0</v>
      </c>
      <c r="V693" s="118">
        <f t="shared" si="356"/>
        <v>135</v>
      </c>
      <c r="W693" s="118">
        <f t="shared" si="356"/>
        <v>0</v>
      </c>
      <c r="X693" s="150"/>
      <c r="Z693" s="140">
        <f>IF($C693="B","",VLOOKUP($C693,orig_alloc!$A$13:$B$227,2,FALSE))</f>
      </c>
      <c r="AA693" s="151"/>
      <c r="AD693" s="151"/>
      <c r="AE693" s="151"/>
      <c r="AF693" s="151"/>
    </row>
    <row r="694" spans="1:32" ht="20.25">
      <c r="A694" s="132" t="s">
        <v>83</v>
      </c>
      <c r="B694" s="149" t="s">
        <v>84</v>
      </c>
      <c r="C694" s="132"/>
      <c r="D694" s="118">
        <f>V694+W694</f>
        <v>213</v>
      </c>
      <c r="E694" s="118">
        <f aca="true" t="shared" si="357" ref="E694:U694">E691-E693</f>
        <v>212</v>
      </c>
      <c r="F694" s="118">
        <f t="shared" si="357"/>
        <v>0</v>
      </c>
      <c r="G694" s="118">
        <f t="shared" si="357"/>
        <v>1</v>
      </c>
      <c r="H694" s="118">
        <f t="shared" si="357"/>
        <v>0</v>
      </c>
      <c r="I694" s="118">
        <f t="shared" si="357"/>
        <v>1</v>
      </c>
      <c r="J694" s="118">
        <f t="shared" si="357"/>
        <v>0</v>
      </c>
      <c r="K694" s="118">
        <f t="shared" si="357"/>
        <v>-1</v>
      </c>
      <c r="L694" s="118">
        <f t="shared" si="357"/>
        <v>0</v>
      </c>
      <c r="M694" s="118">
        <f t="shared" si="357"/>
        <v>0</v>
      </c>
      <c r="N694" s="118">
        <f t="shared" si="357"/>
        <v>-1</v>
      </c>
      <c r="O694" s="118">
        <f t="shared" si="357"/>
        <v>-1</v>
      </c>
      <c r="P694" s="118">
        <f t="shared" si="357"/>
        <v>0</v>
      </c>
      <c r="Q694" s="118">
        <f t="shared" si="357"/>
        <v>0</v>
      </c>
      <c r="R694" s="118">
        <f t="shared" si="357"/>
        <v>1</v>
      </c>
      <c r="S694" s="118">
        <f t="shared" si="357"/>
        <v>1</v>
      </c>
      <c r="T694" s="118">
        <f t="shared" si="357"/>
        <v>0</v>
      </c>
      <c r="U694" s="118">
        <f t="shared" si="357"/>
        <v>0</v>
      </c>
      <c r="V694" s="118">
        <f>SUM(E694:U694)</f>
        <v>213</v>
      </c>
      <c r="W694" s="118">
        <f>W691-W693</f>
        <v>0</v>
      </c>
      <c r="X694" s="150"/>
      <c r="Z694" s="140">
        <f>IF($C694="B","",VLOOKUP($C694,orig_alloc!$A$13:$B$227,2,FALSE))</f>
      </c>
      <c r="AA694" s="151"/>
      <c r="AD694" s="151"/>
      <c r="AE694" s="151"/>
      <c r="AF694" s="151"/>
    </row>
    <row r="695" spans="1:32" ht="20.25">
      <c r="A695" s="132"/>
      <c r="B695" s="149"/>
      <c r="C695" s="132"/>
      <c r="D695" s="118"/>
      <c r="E695" s="316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50"/>
      <c r="Z695" s="140">
        <f>IF($C695="B","",VLOOKUP($C695,orig_alloc!$A$13:$B$227,2,FALSE))</f>
      </c>
      <c r="AA695" s="151"/>
      <c r="AD695" s="151"/>
      <c r="AE695" s="151"/>
      <c r="AF695" s="151"/>
    </row>
    <row r="696" spans="1:32" ht="20.25">
      <c r="A696" s="328" t="s">
        <v>854</v>
      </c>
      <c r="B696" s="290" t="s">
        <v>85</v>
      </c>
      <c r="C696" s="132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50"/>
      <c r="Z696" s="140">
        <f>IF($C696="B","",VLOOKUP($C696,orig_alloc!$A$13:$B$227,2,FALSE))</f>
      </c>
      <c r="AA696" s="151"/>
      <c r="AD696" s="151"/>
      <c r="AE696" s="151"/>
      <c r="AF696" s="151"/>
    </row>
    <row r="697" spans="1:32" ht="20.25">
      <c r="A697" s="132" t="s">
        <v>86</v>
      </c>
      <c r="B697" s="149"/>
      <c r="C697" s="132"/>
      <c r="D697" s="118"/>
      <c r="E697" s="118"/>
      <c r="F697" s="118"/>
      <c r="G697" s="118"/>
      <c r="H697" s="118"/>
      <c r="I697" s="118"/>
      <c r="J697" s="118"/>
      <c r="K697" s="133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50"/>
      <c r="Z697" s="140">
        <f>IF($C697="B","",VLOOKUP($C697,orig_alloc!$A$13:$B$227,2,FALSE))</f>
      </c>
      <c r="AA697" s="151"/>
      <c r="AD697" s="151"/>
      <c r="AE697" s="151"/>
      <c r="AF697" s="151"/>
    </row>
    <row r="698" spans="1:32" ht="20.25">
      <c r="A698" s="132"/>
      <c r="B698" s="149"/>
      <c r="C698" s="132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50"/>
      <c r="Z698" s="140">
        <f>IF($C698="B","",VLOOKUP($C698,orig_alloc!$A$13:$B$227,2,FALSE))</f>
      </c>
      <c r="AA698" s="151"/>
      <c r="AD698" s="151"/>
      <c r="AE698" s="151"/>
      <c r="AF698" s="151"/>
    </row>
    <row r="699" spans="1:32" ht="20.25">
      <c r="A699" s="132" t="s">
        <v>87</v>
      </c>
      <c r="B699" s="149"/>
      <c r="C699" s="132"/>
      <c r="D699" s="239" t="s">
        <v>88</v>
      </c>
      <c r="E699" s="329" t="s">
        <v>299</v>
      </c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50"/>
      <c r="Z699" s="140">
        <f>IF($C699="B","",VLOOKUP($C699,orig_alloc!$A$13:$B$227,2,FALSE))</f>
      </c>
      <c r="AA699" s="151"/>
      <c r="AD699" s="151"/>
      <c r="AE699" s="151"/>
      <c r="AF699" s="151"/>
    </row>
    <row r="700" spans="1:32" ht="20.25">
      <c r="A700" s="132" t="s">
        <v>89</v>
      </c>
      <c r="B700" s="149" t="s">
        <v>90</v>
      </c>
      <c r="C700" s="148"/>
      <c r="D700" s="201">
        <v>275774125</v>
      </c>
      <c r="E700" s="330">
        <f>IF($D$705=0,0,1-SUM(E701:E704))</f>
        <v>0.40625921600000003</v>
      </c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50"/>
      <c r="Z700" s="140">
        <f>IF($C700="B","",VLOOKUP($C700,orig_alloc!$A$13:$B$227,2,FALSE))</f>
      </c>
      <c r="AA700" s="151"/>
      <c r="AD700" s="151"/>
      <c r="AE700" s="151"/>
      <c r="AF700" s="151"/>
    </row>
    <row r="701" spans="1:32" ht="20.25">
      <c r="A701" s="132" t="s">
        <v>91</v>
      </c>
      <c r="B701" s="149" t="s">
        <v>92</v>
      </c>
      <c r="C701" s="148"/>
      <c r="D701" s="201">
        <v>0</v>
      </c>
      <c r="E701" s="278">
        <f>IF($D$705=0,0,ROUND(D701/$D$705,9))</f>
        <v>0</v>
      </c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50"/>
      <c r="Z701" s="140">
        <f>IF($C701="B","",VLOOKUP($C701,orig_alloc!$A$13:$B$227,2,FALSE))</f>
      </c>
      <c r="AA701" s="151"/>
      <c r="AD701" s="151"/>
      <c r="AE701" s="151"/>
      <c r="AF701" s="151"/>
    </row>
    <row r="702" spans="1:32" ht="20.25">
      <c r="A702" s="132" t="s">
        <v>93</v>
      </c>
      <c r="B702" s="149" t="s">
        <v>94</v>
      </c>
      <c r="C702" s="132"/>
      <c r="D702" s="201">
        <v>345393322</v>
      </c>
      <c r="E702" s="278">
        <f>IF($D$705=0,0,ROUND(D702/$D$705,9))</f>
        <v>0.508819383</v>
      </c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50"/>
      <c r="Z702" s="140">
        <f>IF($C702="B","",VLOOKUP($C702,orig_alloc!$A$13:$B$227,2,FALSE))</f>
      </c>
      <c r="AA702" s="151"/>
      <c r="AD702" s="151"/>
      <c r="AE702" s="151"/>
      <c r="AF702" s="151"/>
    </row>
    <row r="703" spans="1:32" ht="20.25">
      <c r="A703" s="132" t="s">
        <v>95</v>
      </c>
      <c r="B703" s="149" t="s">
        <v>96</v>
      </c>
      <c r="C703" s="132"/>
      <c r="D703" s="201">
        <v>57645769</v>
      </c>
      <c r="E703" s="278">
        <f>IF($D$705=0,0,ROUND(D703/$D$705,9))</f>
        <v>0.084921401</v>
      </c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50"/>
      <c r="Z703" s="140">
        <f>IF($C703="B","",VLOOKUP($C703,orig_alloc!$A$13:$B$227,2,FALSE))</f>
      </c>
      <c r="AA703" s="151"/>
      <c r="AD703" s="151"/>
      <c r="AE703" s="151"/>
      <c r="AF703" s="151"/>
    </row>
    <row r="704" spans="1:32" ht="20.25">
      <c r="A704" s="132" t="s">
        <v>97</v>
      </c>
      <c r="B704" s="149" t="s">
        <v>98</v>
      </c>
      <c r="C704" s="148"/>
      <c r="D704" s="201">
        <v>0</v>
      </c>
      <c r="E704" s="278">
        <f>IF($D$705=0,0,ROUND(D704/$D$705,9))</f>
        <v>0</v>
      </c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50"/>
      <c r="Z704" s="140">
        <f>IF($C704="B","",VLOOKUP($C704,orig_alloc!$A$13:$B$227,2,FALSE))</f>
      </c>
      <c r="AA704" s="151"/>
      <c r="AD704" s="151"/>
      <c r="AE704" s="151"/>
      <c r="AF704" s="151"/>
    </row>
    <row r="705" spans="1:32" ht="20.25">
      <c r="A705" s="240" t="s">
        <v>99</v>
      </c>
      <c r="B705" s="149" t="s">
        <v>100</v>
      </c>
      <c r="C705" s="132"/>
      <c r="D705" s="202">
        <f>SUM(D699:D704)</f>
        <v>678813216</v>
      </c>
      <c r="E705" s="331">
        <f>SUM(E700:E704)</f>
        <v>1</v>
      </c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50"/>
      <c r="Z705" s="140">
        <f>IF($C705="B","",VLOOKUP($C705,orig_alloc!$A$13:$B$227,2,FALSE))</f>
      </c>
      <c r="AA705" s="151"/>
      <c r="AD705" s="151"/>
      <c r="AE705" s="151"/>
      <c r="AF705" s="151"/>
    </row>
    <row r="706" spans="1:32" ht="20.25">
      <c r="A706" s="132"/>
      <c r="B706" s="149"/>
      <c r="C706" s="132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50"/>
      <c r="Z706" s="140">
        <f>IF($C706="B","",VLOOKUP($C706,orig_alloc!$A$13:$B$227,2,FALSE))</f>
      </c>
      <c r="AA706" s="151"/>
      <c r="AD706" s="151"/>
      <c r="AE706" s="151"/>
      <c r="AF706" s="151"/>
    </row>
    <row r="707" spans="1:32" ht="20.25">
      <c r="A707" s="132" t="s">
        <v>101</v>
      </c>
      <c r="B707" s="149"/>
      <c r="C707" s="132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50"/>
      <c r="Z707" s="140">
        <f>IF($C707="B","",VLOOKUP($C707,orig_alloc!$A$13:$B$227,2,FALSE))</f>
      </c>
      <c r="AA707" s="151"/>
      <c r="AD707" s="151"/>
      <c r="AE707" s="151"/>
      <c r="AF707" s="151"/>
    </row>
    <row r="708" spans="1:32" ht="20.25">
      <c r="A708" s="132" t="s">
        <v>89</v>
      </c>
      <c r="B708" s="149" t="s">
        <v>102</v>
      </c>
      <c r="C708" s="132"/>
      <c r="D708" s="276">
        <v>0.0609</v>
      </c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50"/>
      <c r="Z708" s="140">
        <f>IF($C708="B","",VLOOKUP($C708,orig_alloc!$A$13:$B$227,2,FALSE))</f>
      </c>
      <c r="AA708" s="151"/>
      <c r="AD708" s="151"/>
      <c r="AE708" s="151"/>
      <c r="AF708" s="151"/>
    </row>
    <row r="709" spans="1:32" ht="20.25">
      <c r="A709" s="132" t="s">
        <v>91</v>
      </c>
      <c r="B709" s="149" t="s">
        <v>103</v>
      </c>
      <c r="C709" s="132"/>
      <c r="D709" s="276"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50"/>
      <c r="Z709" s="140">
        <f>IF($C709="B","",VLOOKUP($C709,orig_alloc!$A$13:$B$227,2,FALSE))</f>
      </c>
      <c r="AA709" s="151"/>
      <c r="AD709" s="151"/>
      <c r="AE709" s="151"/>
      <c r="AF709" s="151"/>
    </row>
    <row r="710" spans="1:32" ht="20.25">
      <c r="A710" s="132" t="s">
        <v>93</v>
      </c>
      <c r="B710" s="149" t="s">
        <v>104</v>
      </c>
      <c r="C710" s="132"/>
      <c r="D710" s="276">
        <v>0.115</v>
      </c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50"/>
      <c r="Z710" s="140">
        <f>IF($C710="B","",VLOOKUP($C710,orig_alloc!$A$13:$B$227,2,FALSE))</f>
      </c>
      <c r="AA710" s="151"/>
      <c r="AD710" s="151"/>
      <c r="AE710" s="151"/>
      <c r="AF710" s="151"/>
    </row>
    <row r="711" spans="1:32" ht="20.25">
      <c r="A711" s="132" t="s">
        <v>95</v>
      </c>
      <c r="B711" s="149" t="s">
        <v>105</v>
      </c>
      <c r="C711" s="132"/>
      <c r="D711" s="276">
        <v>0.05138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50"/>
      <c r="Z711" s="140">
        <f>IF($C711="B","",VLOOKUP($C711,orig_alloc!$A$13:$B$227,2,FALSE))</f>
      </c>
      <c r="AA711" s="151"/>
      <c r="AD711" s="151"/>
      <c r="AE711" s="151"/>
      <c r="AF711" s="151"/>
    </row>
    <row r="712" spans="1:32" ht="20.25">
      <c r="A712" s="132" t="s">
        <v>97</v>
      </c>
      <c r="B712" s="149" t="s">
        <v>106</v>
      </c>
      <c r="C712" s="132"/>
      <c r="D712" s="276">
        <v>0</v>
      </c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50"/>
      <c r="Z712" s="140">
        <f>IF($C712="B","",VLOOKUP($C712,orig_alloc!$A$13:$B$227,2,FALSE))</f>
      </c>
      <c r="AA712" s="151"/>
      <c r="AD712" s="151"/>
      <c r="AE712" s="151"/>
      <c r="AF712" s="151"/>
    </row>
    <row r="713" spans="1:32" ht="20.25">
      <c r="A713" s="132"/>
      <c r="B713" s="149"/>
      <c r="C713" s="132"/>
      <c r="D713" s="332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50"/>
      <c r="Z713" s="140">
        <f>IF($C713="B","",VLOOKUP($C713,orig_alloc!$A$13:$B$227,2,FALSE))</f>
      </c>
      <c r="AA713" s="151"/>
      <c r="AD713" s="151"/>
      <c r="AE713" s="151"/>
      <c r="AF713" s="151"/>
    </row>
    <row r="714" spans="1:32" ht="20.25">
      <c r="A714" s="132" t="s">
        <v>107</v>
      </c>
      <c r="B714" s="149"/>
      <c r="C714" s="132"/>
      <c r="D714" s="332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50"/>
      <c r="Z714" s="140">
        <f>IF($C714="B","",VLOOKUP($C714,orig_alloc!$A$13:$B$227,2,FALSE))</f>
      </c>
      <c r="AA714" s="151"/>
      <c r="AD714" s="151"/>
      <c r="AE714" s="151"/>
      <c r="AF714" s="151"/>
    </row>
    <row r="715" spans="1:32" ht="20.25">
      <c r="A715" s="132" t="s">
        <v>89</v>
      </c>
      <c r="B715" s="149" t="s">
        <v>108</v>
      </c>
      <c r="C715" s="132"/>
      <c r="D715" s="332">
        <f>ROUND(D708*E700,5)</f>
        <v>0.02474</v>
      </c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50"/>
      <c r="Z715" s="140">
        <f>IF($C715="B","",VLOOKUP($C715,orig_alloc!$A$13:$B$227,2,FALSE))</f>
      </c>
      <c r="AA715" s="151"/>
      <c r="AD715" s="151"/>
      <c r="AE715" s="151"/>
      <c r="AF715" s="151"/>
    </row>
    <row r="716" spans="1:32" ht="20.25">
      <c r="A716" s="132" t="s">
        <v>91</v>
      </c>
      <c r="B716" s="149" t="s">
        <v>109</v>
      </c>
      <c r="C716" s="132"/>
      <c r="D716" s="332">
        <f>ROUND(D709*E701,5)</f>
        <v>0</v>
      </c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50"/>
      <c r="Z716" s="140">
        <f>IF($C716="B","",VLOOKUP($C716,orig_alloc!$A$13:$B$227,2,FALSE))</f>
      </c>
      <c r="AA716" s="151"/>
      <c r="AD716" s="151"/>
      <c r="AE716" s="151"/>
      <c r="AF716" s="151"/>
    </row>
    <row r="717" spans="1:26" ht="20.25">
      <c r="A717" s="132" t="s">
        <v>93</v>
      </c>
      <c r="B717" s="149" t="s">
        <v>110</v>
      </c>
      <c r="C717" s="132"/>
      <c r="D717" s="332">
        <f>ROUND(D710*E702,5)</f>
        <v>0.05851</v>
      </c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50"/>
      <c r="Z717" s="140">
        <f>IF($C717="B","",VLOOKUP($C717,orig_alloc!$A$13:$B$227,2,FALSE))</f>
      </c>
    </row>
    <row r="718" spans="1:26" ht="20.25">
      <c r="A718" s="132" t="s">
        <v>95</v>
      </c>
      <c r="B718" s="149" t="s">
        <v>111</v>
      </c>
      <c r="C718" s="132"/>
      <c r="D718" s="332">
        <f>ROUND(D711*E703,5)</f>
        <v>0.00436</v>
      </c>
      <c r="E718" s="133"/>
      <c r="F718" s="133"/>
      <c r="G718" s="133"/>
      <c r="H718" s="133"/>
      <c r="I718" s="133"/>
      <c r="J718" s="133"/>
      <c r="K718" s="3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50"/>
      <c r="Z718" s="140">
        <f>IF($C718="B","",VLOOKUP($C718,orig_alloc!$A$13:$B$227,2,FALSE))</f>
      </c>
    </row>
    <row r="719" spans="1:26" ht="20.25">
      <c r="A719" s="132" t="s">
        <v>97</v>
      </c>
      <c r="B719" s="149" t="s">
        <v>112</v>
      </c>
      <c r="C719" s="132"/>
      <c r="D719" s="332">
        <f>ROUND(D712*E704,5)</f>
        <v>0</v>
      </c>
      <c r="E719" s="348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50"/>
      <c r="Z719" s="140">
        <f>IF($C719="B","",VLOOKUP($C719,orig_alloc!$A$13:$B$227,2,FALSE))</f>
      </c>
    </row>
    <row r="720" spans="1:26" ht="20.25">
      <c r="A720" s="240" t="s">
        <v>113</v>
      </c>
      <c r="B720" s="149" t="s">
        <v>503</v>
      </c>
      <c r="C720" s="132"/>
      <c r="D720" s="362">
        <f>SUM(D715:D719)</f>
        <v>0.08761000000000001</v>
      </c>
      <c r="E720" s="348"/>
      <c r="F720" s="326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50"/>
      <c r="Z720" s="140">
        <f>IF($C720="B","",VLOOKUP($C720,orig_alloc!$A$13:$B$227,2,FALSE))</f>
      </c>
    </row>
    <row r="721" spans="1:26" ht="20.25">
      <c r="A721" s="132"/>
      <c r="B721" s="149"/>
      <c r="C721" s="132"/>
      <c r="D721" s="118"/>
      <c r="E721" s="3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50"/>
      <c r="Z721" s="140">
        <f>IF($C721="B","",VLOOKUP($C721,orig_alloc!$A$13:$B$227,2,FALSE))</f>
      </c>
    </row>
    <row r="722" spans="1:26" ht="20.25">
      <c r="A722" s="132" t="s">
        <v>114</v>
      </c>
      <c r="B722" s="149"/>
      <c r="C722" s="132"/>
      <c r="D722" s="3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50"/>
      <c r="Z722" s="140">
        <f>IF($C722="B","",VLOOKUP($C722,orig_alloc!$A$13:$B$227,2,FALSE))</f>
      </c>
    </row>
    <row r="723" spans="1:26" ht="20.25">
      <c r="A723" s="132" t="s">
        <v>115</v>
      </c>
      <c r="B723" s="149" t="s">
        <v>116</v>
      </c>
      <c r="C723" s="132"/>
      <c r="D723" s="333">
        <f aca="true" t="shared" si="358" ref="D723:V726">$E723</f>
        <v>0</v>
      </c>
      <c r="E723" s="333">
        <v>0</v>
      </c>
      <c r="F723" s="333">
        <f t="shared" si="358"/>
        <v>0</v>
      </c>
      <c r="G723" s="333">
        <f t="shared" si="358"/>
        <v>0</v>
      </c>
      <c r="H723" s="333">
        <f t="shared" si="358"/>
        <v>0</v>
      </c>
      <c r="I723" s="333">
        <f t="shared" si="358"/>
        <v>0</v>
      </c>
      <c r="J723" s="333">
        <f t="shared" si="358"/>
        <v>0</v>
      </c>
      <c r="K723" s="333">
        <f t="shared" si="358"/>
        <v>0</v>
      </c>
      <c r="L723" s="333">
        <f t="shared" si="358"/>
        <v>0</v>
      </c>
      <c r="M723" s="333">
        <f t="shared" si="358"/>
        <v>0</v>
      </c>
      <c r="N723" s="333">
        <f t="shared" si="358"/>
        <v>0</v>
      </c>
      <c r="O723" s="333">
        <f t="shared" si="358"/>
        <v>0</v>
      </c>
      <c r="P723" s="333">
        <f t="shared" si="358"/>
        <v>0</v>
      </c>
      <c r="Q723" s="333">
        <f t="shared" si="358"/>
        <v>0</v>
      </c>
      <c r="R723" s="333">
        <f t="shared" si="358"/>
        <v>0</v>
      </c>
      <c r="S723" s="333">
        <f t="shared" si="358"/>
        <v>0</v>
      </c>
      <c r="T723" s="333">
        <f t="shared" si="358"/>
        <v>0</v>
      </c>
      <c r="U723" s="333">
        <f t="shared" si="358"/>
        <v>0</v>
      </c>
      <c r="V723" s="333">
        <f t="shared" si="358"/>
        <v>0</v>
      </c>
      <c r="W723" s="333">
        <v>0</v>
      </c>
      <c r="X723" s="150"/>
      <c r="Z723" s="140">
        <f>IF($C723="B","",VLOOKUP($C723,orig_alloc!$A$13:$B$227,2,FALSE))</f>
      </c>
    </row>
    <row r="724" spans="1:26" ht="20.25">
      <c r="A724" s="132" t="s">
        <v>117</v>
      </c>
      <c r="B724" s="149" t="s">
        <v>118</v>
      </c>
      <c r="C724" s="132"/>
      <c r="D724" s="333">
        <v>0.35</v>
      </c>
      <c r="E724" s="333">
        <f>D724</f>
        <v>0.35</v>
      </c>
      <c r="F724" s="333">
        <f t="shared" si="358"/>
        <v>0.35</v>
      </c>
      <c r="G724" s="333">
        <f t="shared" si="358"/>
        <v>0.35</v>
      </c>
      <c r="H724" s="333">
        <f t="shared" si="358"/>
        <v>0.35</v>
      </c>
      <c r="I724" s="333">
        <f t="shared" si="358"/>
        <v>0.35</v>
      </c>
      <c r="J724" s="333">
        <f t="shared" si="358"/>
        <v>0.35</v>
      </c>
      <c r="K724" s="333">
        <f t="shared" si="358"/>
        <v>0.35</v>
      </c>
      <c r="L724" s="333">
        <f t="shared" si="358"/>
        <v>0.35</v>
      </c>
      <c r="M724" s="333">
        <f t="shared" si="358"/>
        <v>0.35</v>
      </c>
      <c r="N724" s="333">
        <f t="shared" si="358"/>
        <v>0.35</v>
      </c>
      <c r="O724" s="333">
        <f t="shared" si="358"/>
        <v>0.35</v>
      </c>
      <c r="P724" s="333">
        <f t="shared" si="358"/>
        <v>0.35</v>
      </c>
      <c r="Q724" s="333">
        <f t="shared" si="358"/>
        <v>0.35</v>
      </c>
      <c r="R724" s="333">
        <f t="shared" si="358"/>
        <v>0.35</v>
      </c>
      <c r="S724" s="333">
        <f t="shared" si="358"/>
        <v>0.35</v>
      </c>
      <c r="T724" s="333">
        <f t="shared" si="358"/>
        <v>0.35</v>
      </c>
      <c r="U724" s="333">
        <f t="shared" si="358"/>
        <v>0.35</v>
      </c>
      <c r="V724" s="333">
        <f t="shared" si="358"/>
        <v>0.35</v>
      </c>
      <c r="W724" s="333">
        <f>E724</f>
        <v>0.35</v>
      </c>
      <c r="X724" s="150"/>
      <c r="Z724" s="140">
        <f>IF($C724="B","",VLOOKUP($C724,orig_alloc!$A$13:$B$227,2,FALSE))</f>
      </c>
    </row>
    <row r="725" spans="1:26" ht="20.25">
      <c r="A725" s="132" t="s">
        <v>119</v>
      </c>
      <c r="B725" s="149" t="s">
        <v>120</v>
      </c>
      <c r="C725" s="333"/>
      <c r="D725" s="361">
        <v>0.05787864</v>
      </c>
      <c r="E725" s="364">
        <f>D725</f>
        <v>0.05787864</v>
      </c>
      <c r="F725" s="364">
        <f t="shared" si="358"/>
        <v>0.05787864</v>
      </c>
      <c r="G725" s="364">
        <f t="shared" si="358"/>
        <v>0.05787864</v>
      </c>
      <c r="H725" s="364">
        <f t="shared" si="358"/>
        <v>0.05787864</v>
      </c>
      <c r="I725" s="364">
        <f t="shared" si="358"/>
        <v>0.05787864</v>
      </c>
      <c r="J725" s="364">
        <f t="shared" si="358"/>
        <v>0.05787864</v>
      </c>
      <c r="K725" s="364">
        <f t="shared" si="358"/>
        <v>0.05787864</v>
      </c>
      <c r="L725" s="364">
        <f t="shared" si="358"/>
        <v>0.05787864</v>
      </c>
      <c r="M725" s="364">
        <f t="shared" si="358"/>
        <v>0.05787864</v>
      </c>
      <c r="N725" s="364">
        <f t="shared" si="358"/>
        <v>0.05787864</v>
      </c>
      <c r="O725" s="364">
        <f t="shared" si="358"/>
        <v>0.05787864</v>
      </c>
      <c r="P725" s="364">
        <f t="shared" si="358"/>
        <v>0.05787864</v>
      </c>
      <c r="Q725" s="364">
        <f t="shared" si="358"/>
        <v>0.05787864</v>
      </c>
      <c r="R725" s="364">
        <f t="shared" si="358"/>
        <v>0.05787864</v>
      </c>
      <c r="S725" s="364">
        <f t="shared" si="358"/>
        <v>0.05787864</v>
      </c>
      <c r="T725" s="364">
        <f t="shared" si="358"/>
        <v>0.05787864</v>
      </c>
      <c r="U725" s="364">
        <f t="shared" si="358"/>
        <v>0.05787864</v>
      </c>
      <c r="V725" s="364">
        <f t="shared" si="358"/>
        <v>0.05787864</v>
      </c>
      <c r="W725" s="364">
        <f>E725</f>
        <v>0.05787864</v>
      </c>
      <c r="X725" s="150"/>
      <c r="Z725" s="140">
        <f>IF($C725="B","",VLOOKUP($C725,orig_alloc!$A$13:$B$227,2,FALSE))</f>
      </c>
    </row>
    <row r="726" spans="1:138" ht="20.25">
      <c r="A726" s="132" t="s">
        <v>121</v>
      </c>
      <c r="B726" s="149" t="s">
        <v>122</v>
      </c>
      <c r="C726" s="132"/>
      <c r="D726" s="333">
        <f>$E726</f>
        <v>0</v>
      </c>
      <c r="E726" s="333">
        <v>0</v>
      </c>
      <c r="F726" s="333">
        <f>$E726</f>
        <v>0</v>
      </c>
      <c r="G726" s="333">
        <f t="shared" si="358"/>
        <v>0</v>
      </c>
      <c r="H726" s="333">
        <f t="shared" si="358"/>
        <v>0</v>
      </c>
      <c r="I726" s="333">
        <f t="shared" si="358"/>
        <v>0</v>
      </c>
      <c r="J726" s="333">
        <f t="shared" si="358"/>
        <v>0</v>
      </c>
      <c r="K726" s="333">
        <f t="shared" si="358"/>
        <v>0</v>
      </c>
      <c r="L726" s="333">
        <f t="shared" si="358"/>
        <v>0</v>
      </c>
      <c r="M726" s="333">
        <f t="shared" si="358"/>
        <v>0</v>
      </c>
      <c r="N726" s="333">
        <f t="shared" si="358"/>
        <v>0</v>
      </c>
      <c r="O726" s="333">
        <f t="shared" si="358"/>
        <v>0</v>
      </c>
      <c r="P726" s="333">
        <f t="shared" si="358"/>
        <v>0</v>
      </c>
      <c r="Q726" s="333">
        <f t="shared" si="358"/>
        <v>0</v>
      </c>
      <c r="R726" s="333">
        <f t="shared" si="358"/>
        <v>0</v>
      </c>
      <c r="S726" s="333">
        <f t="shared" si="358"/>
        <v>0</v>
      </c>
      <c r="T726" s="333">
        <f t="shared" si="358"/>
        <v>0</v>
      </c>
      <c r="U726" s="333">
        <f t="shared" si="358"/>
        <v>0</v>
      </c>
      <c r="V726" s="333">
        <f t="shared" si="358"/>
        <v>0</v>
      </c>
      <c r="W726" s="333">
        <v>0</v>
      </c>
      <c r="X726" s="334"/>
      <c r="Y726" s="153"/>
      <c r="Z726" s="140">
        <f>IF($C726="B","",VLOOKUP($C726,orig_alloc!$A$13:$B$227,2,FALSE))</f>
      </c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  <c r="BP726" s="155"/>
      <c r="BQ726" s="155"/>
      <c r="BR726" s="155"/>
      <c r="BS726" s="155"/>
      <c r="BT726" s="155"/>
      <c r="BU726" s="155"/>
      <c r="BV726" s="155"/>
      <c r="BW726" s="155"/>
      <c r="BX726" s="155"/>
      <c r="BY726" s="155"/>
      <c r="BZ726" s="155"/>
      <c r="CA726" s="155"/>
      <c r="CB726" s="155"/>
      <c r="CC726" s="155"/>
      <c r="CD726" s="155"/>
      <c r="CE726" s="155"/>
      <c r="CF726" s="155"/>
      <c r="CG726" s="155"/>
      <c r="CH726" s="155"/>
      <c r="CI726" s="155"/>
      <c r="CJ726" s="155"/>
      <c r="CK726" s="155"/>
      <c r="CL726" s="155"/>
      <c r="CM726" s="155"/>
      <c r="CN726" s="155"/>
      <c r="CO726" s="155"/>
      <c r="CP726" s="155"/>
      <c r="CQ726" s="155"/>
      <c r="CR726" s="155"/>
      <c r="CS726" s="155"/>
      <c r="CT726" s="155"/>
      <c r="CU726" s="155"/>
      <c r="CV726" s="155"/>
      <c r="CW726" s="155"/>
      <c r="CX726" s="155"/>
      <c r="CY726" s="155"/>
      <c r="CZ726" s="155"/>
      <c r="DA726" s="155"/>
      <c r="DB726" s="155"/>
      <c r="DC726" s="155"/>
      <c r="DD726" s="155"/>
      <c r="DE726" s="155"/>
      <c r="DF726" s="155"/>
      <c r="DG726" s="155"/>
      <c r="DH726" s="155"/>
      <c r="DI726" s="155"/>
      <c r="DJ726" s="155"/>
      <c r="DK726" s="155"/>
      <c r="DL726" s="155"/>
      <c r="DM726" s="155"/>
      <c r="DN726" s="155"/>
      <c r="DO726" s="155"/>
      <c r="DP726" s="155"/>
      <c r="DQ726" s="155"/>
      <c r="DR726" s="155"/>
      <c r="DS726" s="155"/>
      <c r="DT726" s="155"/>
      <c r="DU726" s="155"/>
      <c r="DV726" s="155"/>
      <c r="DW726" s="155"/>
      <c r="DX726" s="155"/>
      <c r="DY726" s="155"/>
      <c r="DZ726" s="155"/>
      <c r="EA726" s="155"/>
      <c r="EB726" s="155"/>
      <c r="EC726" s="155"/>
      <c r="ED726" s="155"/>
      <c r="EE726" s="155"/>
      <c r="EF726" s="155"/>
      <c r="EG726" s="155"/>
      <c r="EH726" s="155"/>
    </row>
    <row r="727" spans="1:26" ht="20.25">
      <c r="A727" s="132"/>
      <c r="B727" s="149"/>
      <c r="C727" s="132"/>
      <c r="D727" s="118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50"/>
      <c r="Z727" s="140">
        <f>IF($C727="B","",VLOOKUP($C727,orig_alloc!$A$13:$B$227,2,FALSE))</f>
      </c>
    </row>
    <row r="728" spans="1:26" ht="20.25">
      <c r="A728" s="132"/>
      <c r="B728" s="149"/>
      <c r="C728" s="132"/>
      <c r="D728" s="118"/>
      <c r="E728" s="201"/>
      <c r="F728" s="201"/>
      <c r="G728" s="201"/>
      <c r="H728" s="201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133"/>
      <c r="W728" s="133"/>
      <c r="X728" s="150"/>
      <c r="Z728" s="140">
        <f>IF($C728="B","",VLOOKUP($C728,orig_alloc!$A$13:$B$227,2,FALSE))</f>
      </c>
    </row>
    <row r="729" spans="1:26" ht="20.25">
      <c r="A729" s="191" t="s">
        <v>123</v>
      </c>
      <c r="B729" s="317" t="s">
        <v>124</v>
      </c>
      <c r="C729" s="132" t="s">
        <v>801</v>
      </c>
      <c r="D729" s="224">
        <v>237897726</v>
      </c>
      <c r="E729" s="201">
        <v>97639085</v>
      </c>
      <c r="F729" s="201">
        <v>66709383</v>
      </c>
      <c r="G729" s="201">
        <v>70100</v>
      </c>
      <c r="H729" s="201">
        <v>471911</v>
      </c>
      <c r="I729" s="201">
        <v>694501</v>
      </c>
      <c r="J729" s="201">
        <v>35117</v>
      </c>
      <c r="K729" s="201">
        <v>38378456</v>
      </c>
      <c r="L729" s="201">
        <v>343715</v>
      </c>
      <c r="M729" s="201">
        <v>19862321</v>
      </c>
      <c r="N729" s="201">
        <v>782491</v>
      </c>
      <c r="O729" s="201">
        <v>1764802</v>
      </c>
      <c r="P729" s="201">
        <v>0</v>
      </c>
      <c r="Q729" s="201">
        <v>8534952</v>
      </c>
      <c r="R729" s="201">
        <v>404272</v>
      </c>
      <c r="S729" s="201">
        <v>2194212</v>
      </c>
      <c r="T729" s="201">
        <v>0</v>
      </c>
      <c r="U729" s="201">
        <v>12408</v>
      </c>
      <c r="V729" s="118">
        <f>SUM(E729:U729)</f>
        <v>237897726</v>
      </c>
      <c r="W729" s="118">
        <f aca="true" t="shared" si="359" ref="W729:W735">D729-V729</f>
        <v>0</v>
      </c>
      <c r="X729" s="150"/>
      <c r="Y729" s="142" t="s">
        <v>125</v>
      </c>
      <c r="Z729" s="140" t="str">
        <f>IF($C729="B","",VLOOKUP($C729,orig_alloc!$A$13:$B$227,2,FALSE))</f>
        <v>JUR. PRESENT REVENUE RATIOS</v>
      </c>
    </row>
    <row r="730" spans="1:26" ht="20.25">
      <c r="A730" s="191" t="s">
        <v>76</v>
      </c>
      <c r="B730" s="317" t="s">
        <v>77</v>
      </c>
      <c r="C730" s="132" t="s">
        <v>802</v>
      </c>
      <c r="D730" s="228">
        <f>IF($F$2="SUBSIDY EXCESS",D729+D735-D734,D729+D735)</f>
        <v>304458566</v>
      </c>
      <c r="E730" s="228">
        <f aca="true" t="shared" si="360" ref="E730:V730">IF($F$2="SUBSIDY EXCESS",E729+E735-E734,E729+E735)</f>
        <v>134589370</v>
      </c>
      <c r="F730" s="228">
        <f t="shared" si="360"/>
        <v>79764846</v>
      </c>
      <c r="G730" s="228">
        <f t="shared" si="360"/>
        <v>75476</v>
      </c>
      <c r="H730" s="228">
        <f t="shared" si="360"/>
        <v>490899</v>
      </c>
      <c r="I730" s="228">
        <f t="shared" si="360"/>
        <v>1007442</v>
      </c>
      <c r="J730" s="228">
        <f t="shared" si="360"/>
        <v>39719</v>
      </c>
      <c r="K730" s="228">
        <f t="shared" si="360"/>
        <v>46433219</v>
      </c>
      <c r="L730" s="228">
        <f t="shared" si="360"/>
        <v>436852</v>
      </c>
      <c r="M730" s="228">
        <f t="shared" si="360"/>
        <v>25233138</v>
      </c>
      <c r="N730" s="228">
        <f t="shared" si="360"/>
        <v>958961</v>
      </c>
      <c r="O730" s="228">
        <f t="shared" si="360"/>
        <v>2128436</v>
      </c>
      <c r="P730" s="228">
        <f t="shared" si="360"/>
        <v>0</v>
      </c>
      <c r="Q730" s="228">
        <f t="shared" si="360"/>
        <v>10100161</v>
      </c>
      <c r="R730" s="228">
        <f t="shared" si="360"/>
        <v>464069</v>
      </c>
      <c r="S730" s="228">
        <f t="shared" si="360"/>
        <v>2710905</v>
      </c>
      <c r="T730" s="228">
        <f t="shared" si="360"/>
        <v>0</v>
      </c>
      <c r="U730" s="228">
        <f t="shared" si="360"/>
        <v>25073</v>
      </c>
      <c r="V730" s="228">
        <f t="shared" si="360"/>
        <v>304458566</v>
      </c>
      <c r="W730" s="118">
        <f t="shared" si="359"/>
        <v>0</v>
      </c>
      <c r="X730" s="150"/>
      <c r="Y730" s="142" t="s">
        <v>1217</v>
      </c>
      <c r="Z730" s="140"/>
    </row>
    <row r="731" spans="1:26" ht="20.25">
      <c r="A731" s="132" t="s">
        <v>1048</v>
      </c>
      <c r="B731" s="317"/>
      <c r="C731" s="132"/>
      <c r="D731" s="201">
        <v>8045600</v>
      </c>
      <c r="E731" s="201">
        <v>-2765907</v>
      </c>
      <c r="F731" s="201">
        <v>7538348</v>
      </c>
      <c r="G731" s="201">
        <v>24578</v>
      </c>
      <c r="H731" s="201">
        <v>112964</v>
      </c>
      <c r="I731" s="201">
        <v>-75382</v>
      </c>
      <c r="J731" s="201">
        <v>6993</v>
      </c>
      <c r="K731" s="201">
        <v>2402908</v>
      </c>
      <c r="L731" s="201">
        <v>68585</v>
      </c>
      <c r="M731" s="201">
        <v>-441027</v>
      </c>
      <c r="N731" s="201">
        <v>166683</v>
      </c>
      <c r="O731" s="201">
        <v>97168</v>
      </c>
      <c r="P731" s="201">
        <v>0</v>
      </c>
      <c r="Q731" s="201">
        <v>346628</v>
      </c>
      <c r="R731" s="201">
        <v>96205</v>
      </c>
      <c r="S731" s="201">
        <v>474023</v>
      </c>
      <c r="T731" s="201">
        <v>0</v>
      </c>
      <c r="U731" s="201">
        <v>-7167</v>
      </c>
      <c r="V731" s="118">
        <f>SUM(E731:U731)</f>
        <v>8045600</v>
      </c>
      <c r="W731" s="118">
        <f>D731-V731</f>
        <v>0</v>
      </c>
      <c r="X731" s="150"/>
      <c r="Y731" s="142" t="s">
        <v>125</v>
      </c>
      <c r="Z731" s="140" t="s">
        <v>1218</v>
      </c>
    </row>
    <row r="732" spans="1:26" ht="20.25">
      <c r="A732" s="132" t="s">
        <v>1219</v>
      </c>
      <c r="B732" s="317"/>
      <c r="C732" s="335">
        <f>ROUND(V731/V17,9)</f>
        <v>0.014442432</v>
      </c>
      <c r="D732" s="118">
        <f>+D729</f>
        <v>237897726</v>
      </c>
      <c r="E732" s="219">
        <f>V729-SUM(F732:U732)</f>
        <v>108893878</v>
      </c>
      <c r="F732" s="118">
        <f>ROUND(((($C732*F17)-F731)/$C736),0)+F729</f>
        <v>57434130</v>
      </c>
      <c r="G732" s="118">
        <f aca="true" t="shared" si="361" ref="G732:U732">ROUND(((($C732*G17)-G731)/$C736),0)+G729</f>
        <v>32863</v>
      </c>
      <c r="H732" s="118">
        <f t="shared" si="361"/>
        <v>299690</v>
      </c>
      <c r="I732" s="118">
        <f t="shared" si="361"/>
        <v>870675</v>
      </c>
      <c r="J732" s="118">
        <f t="shared" si="361"/>
        <v>25100</v>
      </c>
      <c r="K732" s="118">
        <f t="shared" si="361"/>
        <v>36154232</v>
      </c>
      <c r="L732" s="118">
        <f t="shared" si="361"/>
        <v>254504</v>
      </c>
      <c r="M732" s="118">
        <f t="shared" si="361"/>
        <v>21558917</v>
      </c>
      <c r="N732" s="118">
        <f t="shared" si="361"/>
        <v>556297</v>
      </c>
      <c r="O732" s="118">
        <f t="shared" si="361"/>
        <v>1681992</v>
      </c>
      <c r="P732" s="118">
        <f t="shared" si="361"/>
        <v>0</v>
      </c>
      <c r="Q732" s="118">
        <f t="shared" si="361"/>
        <v>8289959</v>
      </c>
      <c r="R732" s="118">
        <f t="shared" si="361"/>
        <v>265807</v>
      </c>
      <c r="S732" s="118">
        <f t="shared" si="361"/>
        <v>1553738</v>
      </c>
      <c r="T732" s="118">
        <f t="shared" si="361"/>
        <v>0</v>
      </c>
      <c r="U732" s="118">
        <f t="shared" si="361"/>
        <v>25944</v>
      </c>
      <c r="V732" s="118">
        <f>SUM(E732:U732)</f>
        <v>237897726</v>
      </c>
      <c r="W732" s="118">
        <f>D732-V732</f>
        <v>0</v>
      </c>
      <c r="X732" s="150"/>
      <c r="Y732" s="142" t="s">
        <v>1217</v>
      </c>
      <c r="Z732" s="140"/>
    </row>
    <row r="733" spans="1:26" ht="20.25">
      <c r="A733" s="132" t="s">
        <v>1049</v>
      </c>
      <c r="B733" s="317"/>
      <c r="C733" s="132"/>
      <c r="D733" s="118">
        <v>0</v>
      </c>
      <c r="E733" s="118">
        <f aca="true" t="shared" si="362" ref="E733:U733">E729-E732</f>
        <v>-11254793</v>
      </c>
      <c r="F733" s="118">
        <f t="shared" si="362"/>
        <v>9275253</v>
      </c>
      <c r="G733" s="118">
        <f t="shared" si="362"/>
        <v>37237</v>
      </c>
      <c r="H733" s="118">
        <f t="shared" si="362"/>
        <v>172221</v>
      </c>
      <c r="I733" s="118">
        <f t="shared" si="362"/>
        <v>-176174</v>
      </c>
      <c r="J733" s="118">
        <f t="shared" si="362"/>
        <v>10017</v>
      </c>
      <c r="K733" s="118">
        <f t="shared" si="362"/>
        <v>2224224</v>
      </c>
      <c r="L733" s="118">
        <f t="shared" si="362"/>
        <v>89211</v>
      </c>
      <c r="M733" s="118">
        <f t="shared" si="362"/>
        <v>-1696596</v>
      </c>
      <c r="N733" s="118">
        <f t="shared" si="362"/>
        <v>226194</v>
      </c>
      <c r="O733" s="118">
        <f t="shared" si="362"/>
        <v>82810</v>
      </c>
      <c r="P733" s="118">
        <f t="shared" si="362"/>
        <v>0</v>
      </c>
      <c r="Q733" s="118">
        <f t="shared" si="362"/>
        <v>244993</v>
      </c>
      <c r="R733" s="118">
        <f t="shared" si="362"/>
        <v>138465</v>
      </c>
      <c r="S733" s="118">
        <f t="shared" si="362"/>
        <v>640474</v>
      </c>
      <c r="T733" s="118">
        <f t="shared" si="362"/>
        <v>0</v>
      </c>
      <c r="U733" s="118">
        <f t="shared" si="362"/>
        <v>-13536</v>
      </c>
      <c r="V733" s="118">
        <f>SUM(E733:U733)</f>
        <v>0</v>
      </c>
      <c r="W733" s="118">
        <f>D733-V733</f>
        <v>0</v>
      </c>
      <c r="X733" s="150"/>
      <c r="Y733" s="142" t="s">
        <v>1217</v>
      </c>
      <c r="Z733" s="140"/>
    </row>
    <row r="734" spans="1:26" ht="20.25">
      <c r="A734" s="191" t="s">
        <v>1050</v>
      </c>
      <c r="B734" s="317"/>
      <c r="C734" s="336">
        <v>0.25</v>
      </c>
      <c r="D734" s="118">
        <f>SUM(E734:U734)</f>
        <v>0</v>
      </c>
      <c r="E734" s="219">
        <f>0-SUM(F734:U734)</f>
        <v>-2813698</v>
      </c>
      <c r="F734" s="118">
        <f aca="true" t="shared" si="363" ref="F734:U734">ROUND($C734*F733,0)</f>
        <v>2318813</v>
      </c>
      <c r="G734" s="118">
        <f t="shared" si="363"/>
        <v>9309</v>
      </c>
      <c r="H734" s="118">
        <f t="shared" si="363"/>
        <v>43055</v>
      </c>
      <c r="I734" s="118">
        <f t="shared" si="363"/>
        <v>-44044</v>
      </c>
      <c r="J734" s="118">
        <f t="shared" si="363"/>
        <v>2504</v>
      </c>
      <c r="K734" s="118">
        <f t="shared" si="363"/>
        <v>556056</v>
      </c>
      <c r="L734" s="118">
        <f t="shared" si="363"/>
        <v>22303</v>
      </c>
      <c r="M734" s="118">
        <f t="shared" si="363"/>
        <v>-424149</v>
      </c>
      <c r="N734" s="118">
        <f t="shared" si="363"/>
        <v>56549</v>
      </c>
      <c r="O734" s="118">
        <f t="shared" si="363"/>
        <v>20703</v>
      </c>
      <c r="P734" s="118">
        <f t="shared" si="363"/>
        <v>0</v>
      </c>
      <c r="Q734" s="118">
        <f t="shared" si="363"/>
        <v>61248</v>
      </c>
      <c r="R734" s="118">
        <f t="shared" si="363"/>
        <v>34616</v>
      </c>
      <c r="S734" s="118">
        <f t="shared" si="363"/>
        <v>160119</v>
      </c>
      <c r="T734" s="118">
        <f t="shared" si="363"/>
        <v>0</v>
      </c>
      <c r="U734" s="118">
        <f t="shared" si="363"/>
        <v>-3384</v>
      </c>
      <c r="V734" s="118">
        <f>SUM(E734:U734)</f>
        <v>0</v>
      </c>
      <c r="W734" s="118">
        <f>D734-V734</f>
        <v>0</v>
      </c>
      <c r="X734" s="150"/>
      <c r="Y734" s="142" t="s">
        <v>1217</v>
      </c>
      <c r="Z734" s="140"/>
    </row>
    <row r="735" spans="1:26" ht="20.25">
      <c r="A735" s="132" t="s">
        <v>1051</v>
      </c>
      <c r="B735" s="317"/>
      <c r="C735" s="132"/>
      <c r="D735" s="201">
        <v>66560840</v>
      </c>
      <c r="E735" s="201">
        <v>34136587</v>
      </c>
      <c r="F735" s="201">
        <v>15374276</v>
      </c>
      <c r="G735" s="201">
        <v>14685</v>
      </c>
      <c r="H735" s="201">
        <v>62043</v>
      </c>
      <c r="I735" s="201">
        <v>268897</v>
      </c>
      <c r="J735" s="201">
        <v>7106</v>
      </c>
      <c r="K735" s="201">
        <v>8610819</v>
      </c>
      <c r="L735" s="201">
        <v>115440</v>
      </c>
      <c r="M735" s="201">
        <v>4946668</v>
      </c>
      <c r="N735" s="201">
        <v>233019</v>
      </c>
      <c r="O735" s="201">
        <v>384337</v>
      </c>
      <c r="P735" s="201">
        <v>0</v>
      </c>
      <c r="Q735" s="201">
        <v>1626457</v>
      </c>
      <c r="R735" s="201">
        <v>94413</v>
      </c>
      <c r="S735" s="201">
        <v>676812</v>
      </c>
      <c r="T735" s="201">
        <v>0</v>
      </c>
      <c r="U735" s="201">
        <v>9281</v>
      </c>
      <c r="V735" s="118">
        <f>SUM(E735:U735)</f>
        <v>66560840</v>
      </c>
      <c r="W735" s="118">
        <f t="shared" si="359"/>
        <v>0</v>
      </c>
      <c r="X735" s="150"/>
      <c r="Y735" s="142" t="s">
        <v>125</v>
      </c>
      <c r="Z735" s="140"/>
    </row>
    <row r="736" spans="1:26" ht="20.25">
      <c r="A736" s="191" t="s">
        <v>1052</v>
      </c>
      <c r="B736" s="317"/>
      <c r="C736" s="337">
        <f>ROUND(1-E648,9)</f>
        <v>0.612378884</v>
      </c>
      <c r="D736" s="201"/>
      <c r="E736" s="201"/>
      <c r="F736" s="201"/>
      <c r="G736" s="201"/>
      <c r="H736" s="201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118"/>
      <c r="W736" s="118"/>
      <c r="X736" s="150"/>
      <c r="Z736" s="140"/>
    </row>
    <row r="737" spans="1:26" ht="20.25">
      <c r="A737" s="132"/>
      <c r="B737" s="149"/>
      <c r="C737" s="132"/>
      <c r="D737" s="228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50"/>
      <c r="Z737" s="140">
        <f>IF($C737="B","",VLOOKUP($C737,orig_alloc!$A$13:$B$227,2,FALSE))</f>
      </c>
    </row>
    <row r="738" spans="1:26" ht="20.25">
      <c r="A738" s="132"/>
      <c r="B738" s="149"/>
      <c r="C738" s="132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50"/>
      <c r="Z738" s="140">
        <f>IF($C738="B","",VLOOKUP($C738,orig_alloc!$A$13:$B$227,2,FALSE))</f>
      </c>
    </row>
    <row r="739" spans="1:26" ht="20.25">
      <c r="A739" s="132"/>
      <c r="B739" s="149"/>
      <c r="C739" s="132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50"/>
      <c r="Z739" s="140">
        <f>IF($C739="B","",VLOOKUP($C739,orig_alloc!$A$13:$B$227,2,FALSE))</f>
      </c>
    </row>
    <row r="740" spans="1:26" ht="20.25">
      <c r="A740" s="132"/>
      <c r="B740" s="149"/>
      <c r="C740" s="132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50"/>
      <c r="Z740" s="140">
        <f>IF($C740="B","",VLOOKUP($C740,orig_alloc!$A$13:$B$227,2,FALSE))</f>
      </c>
    </row>
    <row r="741" spans="1:26" ht="20.25">
      <c r="A741" s="132"/>
      <c r="B741" s="149"/>
      <c r="C741" s="132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50"/>
      <c r="Z741" s="140">
        <f>IF($C741="B","",VLOOKUP($C741,orig_alloc!$A$13:$B$227,2,FALSE))</f>
      </c>
    </row>
    <row r="742" spans="1:26" ht="20.25">
      <c r="A742" s="132"/>
      <c r="B742" s="149"/>
      <c r="C742" s="132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50"/>
      <c r="Z742" s="140">
        <f>IF($C742="B","",VLOOKUP($C742,orig_alloc!$A$13:$B$227,2,FALSE))</f>
      </c>
    </row>
    <row r="743" spans="1:24" ht="20.25">
      <c r="A743" s="132"/>
      <c r="B743" s="149"/>
      <c r="C743" s="132"/>
      <c r="D743" s="118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50"/>
    </row>
    <row r="744" spans="1:24" ht="20.25">
      <c r="A744" s="132"/>
      <c r="B744" s="149"/>
      <c r="C744" s="132"/>
      <c r="D744" s="118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50"/>
    </row>
    <row r="745" spans="1:24" ht="20.25">
      <c r="A745" s="277" t="s">
        <v>127</v>
      </c>
      <c r="B745" s="290" t="s">
        <v>1180</v>
      </c>
      <c r="C745" s="132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50"/>
    </row>
    <row r="746" spans="1:24" ht="20.25">
      <c r="A746" s="132" t="s">
        <v>128</v>
      </c>
      <c r="B746" s="149"/>
      <c r="C746" s="132"/>
      <c r="D746" s="118"/>
      <c r="E746" s="118"/>
      <c r="F746" s="118"/>
      <c r="G746" s="118"/>
      <c r="H746" s="118"/>
      <c r="I746" s="118"/>
      <c r="J746" s="118"/>
      <c r="K746" s="133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50"/>
    </row>
    <row r="747" spans="1:24" ht="20.25">
      <c r="A747" s="132" t="s">
        <v>78</v>
      </c>
      <c r="B747" s="149" t="s">
        <v>281</v>
      </c>
      <c r="C747" s="132"/>
      <c r="D747" s="118">
        <f aca="true" t="shared" si="364" ref="D747:W747">D687</f>
        <v>304458218</v>
      </c>
      <c r="E747" s="118">
        <f t="shared" si="364"/>
        <v>134589023</v>
      </c>
      <c r="F747" s="118">
        <f t="shared" si="364"/>
        <v>79764846</v>
      </c>
      <c r="G747" s="118">
        <f t="shared" si="364"/>
        <v>75475</v>
      </c>
      <c r="H747" s="118">
        <f t="shared" si="364"/>
        <v>490899</v>
      </c>
      <c r="I747" s="118">
        <f t="shared" si="364"/>
        <v>1007441</v>
      </c>
      <c r="J747" s="118">
        <f t="shared" si="364"/>
        <v>39719</v>
      </c>
      <c r="K747" s="118">
        <f t="shared" si="364"/>
        <v>46433220</v>
      </c>
      <c r="L747" s="118">
        <f t="shared" si="364"/>
        <v>436852</v>
      </c>
      <c r="M747" s="118">
        <f t="shared" si="364"/>
        <v>25233138</v>
      </c>
      <c r="N747" s="118">
        <f t="shared" si="364"/>
        <v>958962</v>
      </c>
      <c r="O747" s="118">
        <f t="shared" si="364"/>
        <v>2128437</v>
      </c>
      <c r="P747" s="118">
        <f t="shared" si="364"/>
        <v>0</v>
      </c>
      <c r="Q747" s="118">
        <f t="shared" si="364"/>
        <v>10100161</v>
      </c>
      <c r="R747" s="118">
        <f t="shared" si="364"/>
        <v>464068</v>
      </c>
      <c r="S747" s="118">
        <f t="shared" si="364"/>
        <v>2710904</v>
      </c>
      <c r="T747" s="118">
        <f t="shared" si="364"/>
        <v>0</v>
      </c>
      <c r="U747" s="118">
        <f t="shared" si="364"/>
        <v>25073</v>
      </c>
      <c r="V747" s="118">
        <f t="shared" si="364"/>
        <v>304458218</v>
      </c>
      <c r="W747" s="118">
        <f t="shared" si="364"/>
        <v>0</v>
      </c>
      <c r="X747" s="150"/>
    </row>
    <row r="748" spans="1:24" ht="20.25">
      <c r="A748" s="338" t="s">
        <v>65</v>
      </c>
      <c r="B748" s="149" t="s">
        <v>62</v>
      </c>
      <c r="C748" s="132"/>
      <c r="D748" s="118">
        <f aca="true" t="shared" si="365" ref="D748:W748">D669</f>
        <v>1978260</v>
      </c>
      <c r="E748" s="118">
        <f t="shared" si="365"/>
        <v>974251</v>
      </c>
      <c r="F748" s="118">
        <f t="shared" si="365"/>
        <v>478584</v>
      </c>
      <c r="G748" s="118">
        <f t="shared" si="365"/>
        <v>471</v>
      </c>
      <c r="H748" s="118">
        <f t="shared" si="365"/>
        <v>2297</v>
      </c>
      <c r="I748" s="118">
        <f t="shared" si="365"/>
        <v>7519</v>
      </c>
      <c r="J748" s="118">
        <f t="shared" si="365"/>
        <v>230</v>
      </c>
      <c r="K748" s="118">
        <f t="shared" si="365"/>
        <v>267725</v>
      </c>
      <c r="L748" s="118">
        <f t="shared" si="365"/>
        <v>3286</v>
      </c>
      <c r="M748" s="118">
        <f t="shared" si="365"/>
        <v>149463</v>
      </c>
      <c r="N748" s="118">
        <f t="shared" si="365"/>
        <v>6753</v>
      </c>
      <c r="O748" s="118">
        <f t="shared" si="365"/>
        <v>12038</v>
      </c>
      <c r="P748" s="118">
        <f t="shared" si="365"/>
        <v>0</v>
      </c>
      <c r="Q748" s="118">
        <f t="shared" si="365"/>
        <v>52881</v>
      </c>
      <c r="R748" s="118">
        <f t="shared" si="365"/>
        <v>2875</v>
      </c>
      <c r="S748" s="118">
        <f t="shared" si="365"/>
        <v>19647</v>
      </c>
      <c r="T748" s="118">
        <f t="shared" si="365"/>
        <v>0</v>
      </c>
      <c r="U748" s="118">
        <f t="shared" si="365"/>
        <v>240</v>
      </c>
      <c r="V748" s="118">
        <f t="shared" si="365"/>
        <v>1978260</v>
      </c>
      <c r="W748" s="118">
        <f t="shared" si="365"/>
        <v>0</v>
      </c>
      <c r="X748" s="150"/>
    </row>
    <row r="749" spans="1:24" ht="20.25">
      <c r="A749" s="231" t="s">
        <v>129</v>
      </c>
      <c r="B749" s="149" t="s">
        <v>130</v>
      </c>
      <c r="C749" s="132"/>
      <c r="D749" s="202">
        <f aca="true" t="shared" si="366" ref="D749:W749">SUM(D746:D748)</f>
        <v>306436478</v>
      </c>
      <c r="E749" s="202">
        <f t="shared" si="366"/>
        <v>135563274</v>
      </c>
      <c r="F749" s="202">
        <f t="shared" si="366"/>
        <v>80243430</v>
      </c>
      <c r="G749" s="202">
        <f t="shared" si="366"/>
        <v>75946</v>
      </c>
      <c r="H749" s="202">
        <f t="shared" si="366"/>
        <v>493196</v>
      </c>
      <c r="I749" s="202">
        <f t="shared" si="366"/>
        <v>1014960</v>
      </c>
      <c r="J749" s="202">
        <f t="shared" si="366"/>
        <v>39949</v>
      </c>
      <c r="K749" s="202">
        <f t="shared" si="366"/>
        <v>46700945</v>
      </c>
      <c r="L749" s="202">
        <f t="shared" si="366"/>
        <v>440138</v>
      </c>
      <c r="M749" s="202">
        <f t="shared" si="366"/>
        <v>25382601</v>
      </c>
      <c r="N749" s="202">
        <f t="shared" si="366"/>
        <v>965715</v>
      </c>
      <c r="O749" s="202">
        <f t="shared" si="366"/>
        <v>2140475</v>
      </c>
      <c r="P749" s="202">
        <f t="shared" si="366"/>
        <v>0</v>
      </c>
      <c r="Q749" s="202">
        <f t="shared" si="366"/>
        <v>10153042</v>
      </c>
      <c r="R749" s="202">
        <f t="shared" si="366"/>
        <v>466943</v>
      </c>
      <c r="S749" s="202">
        <f t="shared" si="366"/>
        <v>2730551</v>
      </c>
      <c r="T749" s="202">
        <f t="shared" si="366"/>
        <v>0</v>
      </c>
      <c r="U749" s="202">
        <f t="shared" si="366"/>
        <v>25313</v>
      </c>
      <c r="V749" s="202">
        <f t="shared" si="366"/>
        <v>306436478</v>
      </c>
      <c r="W749" s="202">
        <f t="shared" si="366"/>
        <v>0</v>
      </c>
      <c r="X749" s="150"/>
    </row>
    <row r="750" spans="1:24" ht="20.25">
      <c r="A750" s="231" t="s">
        <v>1362</v>
      </c>
      <c r="B750" s="149" t="s">
        <v>656</v>
      </c>
      <c r="C750" s="132"/>
      <c r="D750" s="118">
        <f aca="true" t="shared" si="367" ref="D750:W750">-D496</f>
        <v>-238506245</v>
      </c>
      <c r="E750" s="118">
        <f t="shared" si="367"/>
        <v>-109397610</v>
      </c>
      <c r="F750" s="118">
        <f t="shared" si="367"/>
        <v>-57540505</v>
      </c>
      <c r="G750" s="118">
        <f t="shared" si="367"/>
        <v>-32919</v>
      </c>
      <c r="H750" s="118">
        <f t="shared" si="367"/>
        <v>-299932</v>
      </c>
      <c r="I750" s="118">
        <f t="shared" si="367"/>
        <v>-872478</v>
      </c>
      <c r="J750" s="118">
        <f t="shared" si="367"/>
        <v>-25283</v>
      </c>
      <c r="K750" s="118">
        <f t="shared" si="367"/>
        <v>-36168224</v>
      </c>
      <c r="L750" s="118">
        <f t="shared" si="367"/>
        <v>-254390</v>
      </c>
      <c r="M750" s="118">
        <f t="shared" si="367"/>
        <v>-21542715</v>
      </c>
      <c r="N750" s="118">
        <f t="shared" si="367"/>
        <v>-555226</v>
      </c>
      <c r="O750" s="118">
        <f t="shared" si="367"/>
        <v>-1681589</v>
      </c>
      <c r="P750" s="118">
        <f t="shared" si="367"/>
        <v>0</v>
      </c>
      <c r="Q750" s="118">
        <f t="shared" si="367"/>
        <v>-8268412</v>
      </c>
      <c r="R750" s="118">
        <f t="shared" si="367"/>
        <v>-264233</v>
      </c>
      <c r="S750" s="118">
        <f t="shared" si="367"/>
        <v>-1576802</v>
      </c>
      <c r="T750" s="118">
        <f t="shared" si="367"/>
        <v>0</v>
      </c>
      <c r="U750" s="118">
        <f t="shared" si="367"/>
        <v>-25927</v>
      </c>
      <c r="V750" s="118">
        <f t="shared" si="367"/>
        <v>-238506245</v>
      </c>
      <c r="W750" s="118">
        <f t="shared" si="367"/>
        <v>0</v>
      </c>
      <c r="X750" s="150"/>
    </row>
    <row r="751" spans="1:24" ht="20.25">
      <c r="A751" s="132" t="s">
        <v>1296</v>
      </c>
      <c r="B751" s="149" t="s">
        <v>139</v>
      </c>
      <c r="C751" s="132"/>
      <c r="D751" s="118">
        <f>V751+W751</f>
        <v>0</v>
      </c>
      <c r="E751" s="118">
        <f aca="true" t="shared" si="368" ref="E751:U751">-ROUND(E726*(E749-E680),0)</f>
        <v>0</v>
      </c>
      <c r="F751" s="118">
        <f t="shared" si="368"/>
        <v>0</v>
      </c>
      <c r="G751" s="118">
        <f t="shared" si="368"/>
        <v>0</v>
      </c>
      <c r="H751" s="118">
        <f t="shared" si="368"/>
        <v>0</v>
      </c>
      <c r="I751" s="118">
        <f t="shared" si="368"/>
        <v>0</v>
      </c>
      <c r="J751" s="118">
        <f t="shared" si="368"/>
        <v>0</v>
      </c>
      <c r="K751" s="118">
        <f t="shared" si="368"/>
        <v>0</v>
      </c>
      <c r="L751" s="118">
        <f t="shared" si="368"/>
        <v>0</v>
      </c>
      <c r="M751" s="118">
        <f t="shared" si="368"/>
        <v>0</v>
      </c>
      <c r="N751" s="118">
        <f t="shared" si="368"/>
        <v>0</v>
      </c>
      <c r="O751" s="118">
        <f t="shared" si="368"/>
        <v>0</v>
      </c>
      <c r="P751" s="118">
        <f t="shared" si="368"/>
        <v>0</v>
      </c>
      <c r="Q751" s="118">
        <f t="shared" si="368"/>
        <v>0</v>
      </c>
      <c r="R751" s="118">
        <f t="shared" si="368"/>
        <v>0</v>
      </c>
      <c r="S751" s="118">
        <f t="shared" si="368"/>
        <v>0</v>
      </c>
      <c r="T751" s="118">
        <f t="shared" si="368"/>
        <v>0</v>
      </c>
      <c r="U751" s="118">
        <f t="shared" si="368"/>
        <v>0</v>
      </c>
      <c r="V751" s="118">
        <f>SUM(E751:U751)</f>
        <v>0</v>
      </c>
      <c r="W751" s="118">
        <f>-ROUND(W726*W747,0)</f>
        <v>0</v>
      </c>
      <c r="X751" s="150"/>
    </row>
    <row r="752" spans="1:24" ht="20.25">
      <c r="A752" s="240" t="s">
        <v>140</v>
      </c>
      <c r="B752" s="149" t="s">
        <v>141</v>
      </c>
      <c r="C752" s="132"/>
      <c r="D752" s="202">
        <f>V752+W752</f>
        <v>67930233</v>
      </c>
      <c r="E752" s="202">
        <f aca="true" t="shared" si="369" ref="E752:U752">SUM(E749:E751)</f>
        <v>26165664</v>
      </c>
      <c r="F752" s="202">
        <f t="shared" si="369"/>
        <v>22702925</v>
      </c>
      <c r="G752" s="202">
        <f t="shared" si="369"/>
        <v>43027</v>
      </c>
      <c r="H752" s="202">
        <f t="shared" si="369"/>
        <v>193264</v>
      </c>
      <c r="I752" s="202">
        <f t="shared" si="369"/>
        <v>142482</v>
      </c>
      <c r="J752" s="202">
        <f t="shared" si="369"/>
        <v>14666</v>
      </c>
      <c r="K752" s="202">
        <f t="shared" si="369"/>
        <v>10532721</v>
      </c>
      <c r="L752" s="202">
        <f t="shared" si="369"/>
        <v>185748</v>
      </c>
      <c r="M752" s="202">
        <f t="shared" si="369"/>
        <v>3839886</v>
      </c>
      <c r="N752" s="202">
        <f t="shared" si="369"/>
        <v>410489</v>
      </c>
      <c r="O752" s="202">
        <f t="shared" si="369"/>
        <v>458886</v>
      </c>
      <c r="P752" s="202">
        <f t="shared" si="369"/>
        <v>0</v>
      </c>
      <c r="Q752" s="202">
        <f t="shared" si="369"/>
        <v>1884630</v>
      </c>
      <c r="R752" s="202">
        <f t="shared" si="369"/>
        <v>202710</v>
      </c>
      <c r="S752" s="202">
        <f t="shared" si="369"/>
        <v>1153749</v>
      </c>
      <c r="T752" s="202">
        <f t="shared" si="369"/>
        <v>0</v>
      </c>
      <c r="U752" s="202">
        <f t="shared" si="369"/>
        <v>-614</v>
      </c>
      <c r="V752" s="202">
        <f>SUM(E752:U752)</f>
        <v>67930233</v>
      </c>
      <c r="W752" s="202">
        <f>SUM(W749:W751)</f>
        <v>0</v>
      </c>
      <c r="X752" s="150"/>
    </row>
    <row r="753" spans="1:24" ht="20.25">
      <c r="A753" s="132"/>
      <c r="B753" s="149"/>
      <c r="C753" s="132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50"/>
    </row>
    <row r="754" spans="1:24" ht="20.25">
      <c r="A754" s="132" t="s">
        <v>142</v>
      </c>
      <c r="B754" s="149"/>
      <c r="C754" s="132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50"/>
    </row>
    <row r="755" spans="1:24" ht="20.25">
      <c r="A755" s="132" t="s">
        <v>143</v>
      </c>
      <c r="B755" s="149" t="s">
        <v>665</v>
      </c>
      <c r="C755" s="132"/>
      <c r="D755" s="118">
        <f aca="true" t="shared" si="370" ref="D755:W755">-D502</f>
        <v>-16237028</v>
      </c>
      <c r="E755" s="118">
        <f t="shared" si="370"/>
        <v>-8415317</v>
      </c>
      <c r="F755" s="118">
        <f t="shared" si="370"/>
        <v>-3731597</v>
      </c>
      <c r="G755" s="118">
        <f t="shared" si="370"/>
        <v>-3568</v>
      </c>
      <c r="H755" s="118">
        <f t="shared" si="370"/>
        <v>-14657</v>
      </c>
      <c r="I755" s="118">
        <f t="shared" si="370"/>
        <v>-66211</v>
      </c>
      <c r="J755" s="118">
        <f t="shared" si="370"/>
        <v>-1733</v>
      </c>
      <c r="K755" s="118">
        <f t="shared" si="370"/>
        <v>-2064736</v>
      </c>
      <c r="L755" s="118">
        <f t="shared" si="370"/>
        <v>-28077</v>
      </c>
      <c r="M755" s="118">
        <f t="shared" si="370"/>
        <v>-1186227</v>
      </c>
      <c r="N755" s="118">
        <f t="shared" si="370"/>
        <v>-56066</v>
      </c>
      <c r="O755" s="118">
        <f t="shared" si="370"/>
        <v>-91990</v>
      </c>
      <c r="P755" s="118">
        <f t="shared" si="370"/>
        <v>0</v>
      </c>
      <c r="Q755" s="118">
        <f t="shared" si="370"/>
        <v>-387341</v>
      </c>
      <c r="R755" s="118">
        <f t="shared" si="370"/>
        <v>-22336</v>
      </c>
      <c r="S755" s="118">
        <f t="shared" si="370"/>
        <v>-164853</v>
      </c>
      <c r="T755" s="118">
        <f t="shared" si="370"/>
        <v>0</v>
      </c>
      <c r="U755" s="118">
        <f t="shared" si="370"/>
        <v>-2319</v>
      </c>
      <c r="V755" s="118">
        <f t="shared" si="370"/>
        <v>-16237028</v>
      </c>
      <c r="W755" s="118">
        <f t="shared" si="370"/>
        <v>0</v>
      </c>
      <c r="X755" s="150"/>
    </row>
    <row r="756" spans="1:24" ht="20.25">
      <c r="A756" s="132" t="s">
        <v>144</v>
      </c>
      <c r="B756" s="149" t="s">
        <v>560</v>
      </c>
      <c r="C756" s="132"/>
      <c r="D756" s="118">
        <f aca="true" t="shared" si="371" ref="D756:W756">-D518</f>
        <v>-6767194</v>
      </c>
      <c r="E756" s="118">
        <f t="shared" si="371"/>
        <v>-3769530</v>
      </c>
      <c r="F756" s="118">
        <f t="shared" si="371"/>
        <v>-1468364</v>
      </c>
      <c r="G756" s="118">
        <f t="shared" si="371"/>
        <v>-1320</v>
      </c>
      <c r="H756" s="118">
        <f t="shared" si="371"/>
        <v>-5423</v>
      </c>
      <c r="I756" s="118">
        <f t="shared" si="371"/>
        <v>-27195</v>
      </c>
      <c r="J756" s="118">
        <f t="shared" si="371"/>
        <v>-861</v>
      </c>
      <c r="K756" s="118">
        <f t="shared" si="371"/>
        <v>-769569</v>
      </c>
      <c r="L756" s="118">
        <f t="shared" si="371"/>
        <v>-10408</v>
      </c>
      <c r="M756" s="118">
        <f t="shared" si="371"/>
        <v>-443021</v>
      </c>
      <c r="N756" s="118">
        <f t="shared" si="371"/>
        <v>-20842</v>
      </c>
      <c r="O756" s="118">
        <f t="shared" si="371"/>
        <v>-34362</v>
      </c>
      <c r="P756" s="118">
        <f t="shared" si="371"/>
        <v>0</v>
      </c>
      <c r="Q756" s="118">
        <f t="shared" si="371"/>
        <v>-147469</v>
      </c>
      <c r="R756" s="118">
        <f t="shared" si="371"/>
        <v>-8457</v>
      </c>
      <c r="S756" s="118">
        <f t="shared" si="371"/>
        <v>-59509</v>
      </c>
      <c r="T756" s="118">
        <f t="shared" si="371"/>
        <v>0</v>
      </c>
      <c r="U756" s="118">
        <f t="shared" si="371"/>
        <v>-864</v>
      </c>
      <c r="V756" s="118">
        <f t="shared" si="371"/>
        <v>-6767194</v>
      </c>
      <c r="W756" s="118">
        <f t="shared" si="371"/>
        <v>0</v>
      </c>
      <c r="X756" s="150"/>
    </row>
    <row r="757" spans="1:24" ht="20.25">
      <c r="A757" s="240" t="s">
        <v>145</v>
      </c>
      <c r="B757" s="149" t="s">
        <v>146</v>
      </c>
      <c r="C757" s="132"/>
      <c r="D757" s="202">
        <f>V757+W757</f>
        <v>44926011</v>
      </c>
      <c r="E757" s="202">
        <f aca="true" t="shared" si="372" ref="E757:U757">SUM(E754:E756)+E752</f>
        <v>13980817</v>
      </c>
      <c r="F757" s="202">
        <f t="shared" si="372"/>
        <v>17502964</v>
      </c>
      <c r="G757" s="202">
        <f t="shared" si="372"/>
        <v>38139</v>
      </c>
      <c r="H757" s="202">
        <f t="shared" si="372"/>
        <v>173184</v>
      </c>
      <c r="I757" s="202">
        <f t="shared" si="372"/>
        <v>49076</v>
      </c>
      <c r="J757" s="202">
        <f t="shared" si="372"/>
        <v>12072</v>
      </c>
      <c r="K757" s="202">
        <f t="shared" si="372"/>
        <v>7698416</v>
      </c>
      <c r="L757" s="202">
        <f t="shared" si="372"/>
        <v>147263</v>
      </c>
      <c r="M757" s="202">
        <f t="shared" si="372"/>
        <v>2210638</v>
      </c>
      <c r="N757" s="202">
        <f t="shared" si="372"/>
        <v>333581</v>
      </c>
      <c r="O757" s="202">
        <f t="shared" si="372"/>
        <v>332534</v>
      </c>
      <c r="P757" s="202">
        <f t="shared" si="372"/>
        <v>0</v>
      </c>
      <c r="Q757" s="202">
        <f t="shared" si="372"/>
        <v>1349820</v>
      </c>
      <c r="R757" s="202">
        <f t="shared" si="372"/>
        <v>171917</v>
      </c>
      <c r="S757" s="202">
        <f t="shared" si="372"/>
        <v>929387</v>
      </c>
      <c r="T757" s="202">
        <f t="shared" si="372"/>
        <v>0</v>
      </c>
      <c r="U757" s="202">
        <f t="shared" si="372"/>
        <v>-3797</v>
      </c>
      <c r="V757" s="202">
        <f>SUM(E757:U757)</f>
        <v>44926011</v>
      </c>
      <c r="W757" s="202">
        <f>SUM(W754:W756)+W752</f>
        <v>0</v>
      </c>
      <c r="X757" s="150"/>
    </row>
    <row r="758" spans="1:24" ht="20.25">
      <c r="A758" s="132"/>
      <c r="B758" s="149"/>
      <c r="C758" s="132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50"/>
    </row>
    <row r="759" spans="1:24" ht="20.25">
      <c r="A759" s="132" t="s">
        <v>147</v>
      </c>
      <c r="B759" s="149"/>
      <c r="C759" s="132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50"/>
    </row>
    <row r="760" spans="1:24" ht="20.25">
      <c r="A760" s="132" t="s">
        <v>1252</v>
      </c>
      <c r="B760" s="149" t="s">
        <v>146</v>
      </c>
      <c r="C760" s="132"/>
      <c r="D760" s="118">
        <f aca="true" t="shared" si="373" ref="D760:W760">D757</f>
        <v>44926011</v>
      </c>
      <c r="E760" s="118">
        <f t="shared" si="373"/>
        <v>13980817</v>
      </c>
      <c r="F760" s="118">
        <f t="shared" si="373"/>
        <v>17502964</v>
      </c>
      <c r="G760" s="118">
        <f t="shared" si="373"/>
        <v>38139</v>
      </c>
      <c r="H760" s="118">
        <f t="shared" si="373"/>
        <v>173184</v>
      </c>
      <c r="I760" s="118">
        <f t="shared" si="373"/>
        <v>49076</v>
      </c>
      <c r="J760" s="118">
        <f t="shared" si="373"/>
        <v>12072</v>
      </c>
      <c r="K760" s="118">
        <f t="shared" si="373"/>
        <v>7698416</v>
      </c>
      <c r="L760" s="118">
        <f t="shared" si="373"/>
        <v>147263</v>
      </c>
      <c r="M760" s="118">
        <f t="shared" si="373"/>
        <v>2210638</v>
      </c>
      <c r="N760" s="118">
        <f t="shared" si="373"/>
        <v>333581</v>
      </c>
      <c r="O760" s="118">
        <f t="shared" si="373"/>
        <v>332534</v>
      </c>
      <c r="P760" s="118">
        <f t="shared" si="373"/>
        <v>0</v>
      </c>
      <c r="Q760" s="118">
        <f t="shared" si="373"/>
        <v>1349820</v>
      </c>
      <c r="R760" s="118">
        <f t="shared" si="373"/>
        <v>171917</v>
      </c>
      <c r="S760" s="118">
        <f t="shared" si="373"/>
        <v>929387</v>
      </c>
      <c r="T760" s="118">
        <f t="shared" si="373"/>
        <v>0</v>
      </c>
      <c r="U760" s="118">
        <f t="shared" si="373"/>
        <v>-3797</v>
      </c>
      <c r="V760" s="118">
        <f t="shared" si="373"/>
        <v>44926011</v>
      </c>
      <c r="W760" s="118">
        <f t="shared" si="373"/>
        <v>0</v>
      </c>
      <c r="X760" s="150"/>
    </row>
    <row r="761" spans="1:24" ht="20.25">
      <c r="A761" s="132" t="s">
        <v>37</v>
      </c>
      <c r="B761" s="149" t="s">
        <v>14</v>
      </c>
      <c r="C761" s="132"/>
      <c r="D761" s="118">
        <f aca="true" t="shared" si="374" ref="D761:W761">-D594</f>
        <v>-1109000</v>
      </c>
      <c r="E761" s="118">
        <f t="shared" si="374"/>
        <v>-574765</v>
      </c>
      <c r="F761" s="118">
        <f t="shared" si="374"/>
        <v>-254309</v>
      </c>
      <c r="G761" s="118">
        <f t="shared" si="374"/>
        <v>-243</v>
      </c>
      <c r="H761" s="118">
        <f t="shared" si="374"/>
        <v>-1001</v>
      </c>
      <c r="I761" s="118">
        <f t="shared" si="374"/>
        <v>-4533</v>
      </c>
      <c r="J761" s="118">
        <f t="shared" si="374"/>
        <v>-118</v>
      </c>
      <c r="K761" s="118">
        <f t="shared" si="374"/>
        <v>-140684</v>
      </c>
      <c r="L761" s="118">
        <f t="shared" si="374"/>
        <v>-1921</v>
      </c>
      <c r="M761" s="118">
        <f t="shared" si="374"/>
        <v>-81418</v>
      </c>
      <c r="N761" s="118">
        <f t="shared" si="374"/>
        <v>-3851</v>
      </c>
      <c r="O761" s="118">
        <f t="shared" si="374"/>
        <v>-6296</v>
      </c>
      <c r="P761" s="118">
        <f t="shared" si="374"/>
        <v>0</v>
      </c>
      <c r="Q761" s="118">
        <f t="shared" si="374"/>
        <v>-27235</v>
      </c>
      <c r="R761" s="118">
        <f t="shared" si="374"/>
        <v>-1571</v>
      </c>
      <c r="S761" s="118">
        <f t="shared" si="374"/>
        <v>-10895</v>
      </c>
      <c r="T761" s="118">
        <f t="shared" si="374"/>
        <v>0</v>
      </c>
      <c r="U761" s="118">
        <f t="shared" si="374"/>
        <v>-160</v>
      </c>
      <c r="V761" s="118">
        <f t="shared" si="374"/>
        <v>-1109000</v>
      </c>
      <c r="W761" s="118">
        <f t="shared" si="374"/>
        <v>0</v>
      </c>
      <c r="X761" s="150"/>
    </row>
    <row r="762" spans="1:24" ht="20.25">
      <c r="A762" s="240" t="s">
        <v>148</v>
      </c>
      <c r="B762" s="149" t="s">
        <v>149</v>
      </c>
      <c r="C762" s="132"/>
      <c r="D762" s="202">
        <f>V762+W762</f>
        <v>43817011</v>
      </c>
      <c r="E762" s="202">
        <f aca="true" t="shared" si="375" ref="E762:U762">SUM(E759:E761)</f>
        <v>13406052</v>
      </c>
      <c r="F762" s="202">
        <f t="shared" si="375"/>
        <v>17248655</v>
      </c>
      <c r="G762" s="202">
        <f t="shared" si="375"/>
        <v>37896</v>
      </c>
      <c r="H762" s="202">
        <f t="shared" si="375"/>
        <v>172183</v>
      </c>
      <c r="I762" s="202">
        <f t="shared" si="375"/>
        <v>44543</v>
      </c>
      <c r="J762" s="202">
        <f t="shared" si="375"/>
        <v>11954</v>
      </c>
      <c r="K762" s="202">
        <f t="shared" si="375"/>
        <v>7557732</v>
      </c>
      <c r="L762" s="202">
        <f t="shared" si="375"/>
        <v>145342</v>
      </c>
      <c r="M762" s="202">
        <f t="shared" si="375"/>
        <v>2129220</v>
      </c>
      <c r="N762" s="202">
        <f t="shared" si="375"/>
        <v>329730</v>
      </c>
      <c r="O762" s="202">
        <f t="shared" si="375"/>
        <v>326238</v>
      </c>
      <c r="P762" s="202">
        <f t="shared" si="375"/>
        <v>0</v>
      </c>
      <c r="Q762" s="202">
        <f t="shared" si="375"/>
        <v>1322585</v>
      </c>
      <c r="R762" s="202">
        <f t="shared" si="375"/>
        <v>170346</v>
      </c>
      <c r="S762" s="202">
        <f t="shared" si="375"/>
        <v>918492</v>
      </c>
      <c r="T762" s="202">
        <f t="shared" si="375"/>
        <v>0</v>
      </c>
      <c r="U762" s="202">
        <f t="shared" si="375"/>
        <v>-3957</v>
      </c>
      <c r="V762" s="202">
        <f>SUM(E762:U762)</f>
        <v>43817011</v>
      </c>
      <c r="W762" s="202">
        <f>SUM(W759:W761)</f>
        <v>0</v>
      </c>
      <c r="X762" s="150"/>
    </row>
    <row r="763" spans="1:24" ht="20.25">
      <c r="A763" s="132"/>
      <c r="B763" s="149"/>
      <c r="C763" s="132"/>
      <c r="D763" s="360"/>
      <c r="E763" s="360" t="s">
        <v>915</v>
      </c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50"/>
    </row>
    <row r="764" spans="1:24" ht="20.25">
      <c r="A764" s="132" t="s">
        <v>48</v>
      </c>
      <c r="B764" s="149"/>
      <c r="C764" s="132"/>
      <c r="D764" s="332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50"/>
    </row>
    <row r="765" spans="1:24" ht="20.25">
      <c r="A765" s="132" t="s">
        <v>119</v>
      </c>
      <c r="B765" s="149" t="s">
        <v>120</v>
      </c>
      <c r="C765" s="132"/>
      <c r="D765" s="279">
        <f aca="true" t="shared" si="376" ref="D765:U765">D725</f>
        <v>0.05787864</v>
      </c>
      <c r="E765" s="279">
        <f t="shared" si="376"/>
        <v>0.05787864</v>
      </c>
      <c r="F765" s="279">
        <f t="shared" si="376"/>
        <v>0.05787864</v>
      </c>
      <c r="G765" s="279">
        <f t="shared" si="376"/>
        <v>0.05787864</v>
      </c>
      <c r="H765" s="279">
        <f t="shared" si="376"/>
        <v>0.05787864</v>
      </c>
      <c r="I765" s="279">
        <f t="shared" si="376"/>
        <v>0.05787864</v>
      </c>
      <c r="J765" s="279">
        <f t="shared" si="376"/>
        <v>0.05787864</v>
      </c>
      <c r="K765" s="279">
        <f t="shared" si="376"/>
        <v>0.05787864</v>
      </c>
      <c r="L765" s="279">
        <f t="shared" si="376"/>
        <v>0.05787864</v>
      </c>
      <c r="M765" s="279">
        <f>M725</f>
        <v>0.05787864</v>
      </c>
      <c r="N765" s="279">
        <f t="shared" si="376"/>
        <v>0.05787864</v>
      </c>
      <c r="O765" s="279">
        <f>O725</f>
        <v>0.05787864</v>
      </c>
      <c r="P765" s="279">
        <f t="shared" si="376"/>
        <v>0.05787864</v>
      </c>
      <c r="Q765" s="279">
        <f t="shared" si="376"/>
        <v>0.05787864</v>
      </c>
      <c r="R765" s="279">
        <f t="shared" si="376"/>
        <v>0.05787864</v>
      </c>
      <c r="S765" s="279">
        <f t="shared" si="376"/>
        <v>0.05787864</v>
      </c>
      <c r="T765" s="279">
        <f t="shared" si="376"/>
        <v>0.05787864</v>
      </c>
      <c r="U765" s="279">
        <f t="shared" si="376"/>
        <v>0.05787864</v>
      </c>
      <c r="V765" s="279"/>
      <c r="W765" s="279">
        <f>W725</f>
        <v>0.05787864</v>
      </c>
      <c r="X765" s="150"/>
    </row>
    <row r="766" spans="1:24" ht="20.25">
      <c r="A766" s="132" t="s">
        <v>150</v>
      </c>
      <c r="B766" s="149" t="s">
        <v>151</v>
      </c>
      <c r="C766" s="132"/>
      <c r="D766" s="118">
        <f>W766+V766</f>
        <v>2536067</v>
      </c>
      <c r="E766" s="118">
        <f aca="true" t="shared" si="377" ref="E766:U766">ROUND(E765*E762,0)</f>
        <v>775924</v>
      </c>
      <c r="F766" s="118">
        <f t="shared" si="377"/>
        <v>998329</v>
      </c>
      <c r="G766" s="118">
        <f t="shared" si="377"/>
        <v>2193</v>
      </c>
      <c r="H766" s="118">
        <f t="shared" si="377"/>
        <v>9966</v>
      </c>
      <c r="I766" s="118">
        <f t="shared" si="377"/>
        <v>2578</v>
      </c>
      <c r="J766" s="118">
        <f t="shared" si="377"/>
        <v>692</v>
      </c>
      <c r="K766" s="118">
        <f t="shared" si="377"/>
        <v>437431</v>
      </c>
      <c r="L766" s="118">
        <f t="shared" si="377"/>
        <v>8412</v>
      </c>
      <c r="M766" s="118">
        <f t="shared" si="377"/>
        <v>123236</v>
      </c>
      <c r="N766" s="118">
        <f t="shared" si="377"/>
        <v>19084</v>
      </c>
      <c r="O766" s="118">
        <f t="shared" si="377"/>
        <v>18882</v>
      </c>
      <c r="P766" s="118">
        <f t="shared" si="377"/>
        <v>0</v>
      </c>
      <c r="Q766" s="118">
        <f t="shared" si="377"/>
        <v>76549</v>
      </c>
      <c r="R766" s="118">
        <f t="shared" si="377"/>
        <v>9859</v>
      </c>
      <c r="S766" s="118">
        <f t="shared" si="377"/>
        <v>53161</v>
      </c>
      <c r="T766" s="118">
        <f t="shared" si="377"/>
        <v>0</v>
      </c>
      <c r="U766" s="118">
        <f t="shared" si="377"/>
        <v>-229</v>
      </c>
      <c r="V766" s="118">
        <f>SUM(E766:U766)</f>
        <v>2536067</v>
      </c>
      <c r="W766" s="118">
        <f>ROUND(W765*W762,0)</f>
        <v>0</v>
      </c>
      <c r="X766" s="150"/>
    </row>
    <row r="767" spans="1:24" ht="20.25">
      <c r="A767" s="132" t="s">
        <v>49</v>
      </c>
      <c r="B767" s="149" t="s">
        <v>31</v>
      </c>
      <c r="C767" s="132"/>
      <c r="D767" s="118">
        <f aca="true" t="shared" si="378" ref="D767:W767">D624</f>
        <v>0</v>
      </c>
      <c r="E767" s="118">
        <f t="shared" si="378"/>
        <v>0</v>
      </c>
      <c r="F767" s="118">
        <f t="shared" si="378"/>
        <v>0</v>
      </c>
      <c r="G767" s="118">
        <f t="shared" si="378"/>
        <v>0</v>
      </c>
      <c r="H767" s="118">
        <f t="shared" si="378"/>
        <v>0</v>
      </c>
      <c r="I767" s="118">
        <f t="shared" si="378"/>
        <v>0</v>
      </c>
      <c r="J767" s="118">
        <f t="shared" si="378"/>
        <v>0</v>
      </c>
      <c r="K767" s="118">
        <f t="shared" si="378"/>
        <v>0</v>
      </c>
      <c r="L767" s="118">
        <f t="shared" si="378"/>
        <v>0</v>
      </c>
      <c r="M767" s="118">
        <f t="shared" si="378"/>
        <v>0</v>
      </c>
      <c r="N767" s="118">
        <f t="shared" si="378"/>
        <v>0</v>
      </c>
      <c r="O767" s="118">
        <f t="shared" si="378"/>
        <v>0</v>
      </c>
      <c r="P767" s="118">
        <f t="shared" si="378"/>
        <v>0</v>
      </c>
      <c r="Q767" s="118">
        <f t="shared" si="378"/>
        <v>0</v>
      </c>
      <c r="R767" s="118">
        <f t="shared" si="378"/>
        <v>0</v>
      </c>
      <c r="S767" s="118">
        <f t="shared" si="378"/>
        <v>0</v>
      </c>
      <c r="T767" s="118">
        <f t="shared" si="378"/>
        <v>0</v>
      </c>
      <c r="U767" s="118">
        <f t="shared" si="378"/>
        <v>0</v>
      </c>
      <c r="V767" s="118">
        <f t="shared" si="378"/>
        <v>0</v>
      </c>
      <c r="W767" s="118">
        <f t="shared" si="378"/>
        <v>0</v>
      </c>
      <c r="X767" s="150"/>
    </row>
    <row r="768" spans="1:24" ht="20.25">
      <c r="A768" s="240" t="s">
        <v>152</v>
      </c>
      <c r="B768" s="149" t="s">
        <v>153</v>
      </c>
      <c r="C768" s="132"/>
      <c r="D768" s="202">
        <f aca="true" t="shared" si="379" ref="D768:U768">SUM(D766:D767)</f>
        <v>2536067</v>
      </c>
      <c r="E768" s="202">
        <f t="shared" si="379"/>
        <v>775924</v>
      </c>
      <c r="F768" s="202">
        <f t="shared" si="379"/>
        <v>998329</v>
      </c>
      <c r="G768" s="202">
        <f t="shared" si="379"/>
        <v>2193</v>
      </c>
      <c r="H768" s="202">
        <f t="shared" si="379"/>
        <v>9966</v>
      </c>
      <c r="I768" s="202">
        <f t="shared" si="379"/>
        <v>2578</v>
      </c>
      <c r="J768" s="202">
        <f t="shared" si="379"/>
        <v>692</v>
      </c>
      <c r="K768" s="202">
        <f t="shared" si="379"/>
        <v>437431</v>
      </c>
      <c r="L768" s="202">
        <f t="shared" si="379"/>
        <v>8412</v>
      </c>
      <c r="M768" s="202">
        <f t="shared" si="379"/>
        <v>123236</v>
      </c>
      <c r="N768" s="202">
        <f t="shared" si="379"/>
        <v>19084</v>
      </c>
      <c r="O768" s="202">
        <f t="shared" si="379"/>
        <v>18882</v>
      </c>
      <c r="P768" s="202">
        <f t="shared" si="379"/>
        <v>0</v>
      </c>
      <c r="Q768" s="202">
        <f t="shared" si="379"/>
        <v>76549</v>
      </c>
      <c r="R768" s="202">
        <f t="shared" si="379"/>
        <v>9859</v>
      </c>
      <c r="S768" s="202">
        <f t="shared" si="379"/>
        <v>53161</v>
      </c>
      <c r="T768" s="202">
        <f t="shared" si="379"/>
        <v>0</v>
      </c>
      <c r="U768" s="202">
        <f t="shared" si="379"/>
        <v>-229</v>
      </c>
      <c r="V768" s="202">
        <f>SUM(E768:U768)</f>
        <v>2536067</v>
      </c>
      <c r="W768" s="202">
        <f>SUM(W766:W767)</f>
        <v>0</v>
      </c>
      <c r="X768" s="150"/>
    </row>
    <row r="769" spans="1:24" ht="20.25">
      <c r="A769" s="132"/>
      <c r="B769" s="149"/>
      <c r="C769" s="132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50"/>
    </row>
    <row r="770" spans="1:24" ht="20.25">
      <c r="A770" s="132" t="s">
        <v>154</v>
      </c>
      <c r="B770" s="149"/>
      <c r="C770" s="132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50"/>
    </row>
    <row r="771" spans="1:24" ht="20.25">
      <c r="A771" s="132" t="s">
        <v>48</v>
      </c>
      <c r="B771" s="149" t="s">
        <v>153</v>
      </c>
      <c r="C771" s="132"/>
      <c r="D771" s="118">
        <f aca="true" t="shared" si="380" ref="D771:W771">D768</f>
        <v>2536067</v>
      </c>
      <c r="E771" s="118">
        <f t="shared" si="380"/>
        <v>775924</v>
      </c>
      <c r="F771" s="118">
        <f t="shared" si="380"/>
        <v>998329</v>
      </c>
      <c r="G771" s="118">
        <f t="shared" si="380"/>
        <v>2193</v>
      </c>
      <c r="H771" s="118">
        <f t="shared" si="380"/>
        <v>9966</v>
      </c>
      <c r="I771" s="118">
        <f t="shared" si="380"/>
        <v>2578</v>
      </c>
      <c r="J771" s="118">
        <f t="shared" si="380"/>
        <v>692</v>
      </c>
      <c r="K771" s="118">
        <f t="shared" si="380"/>
        <v>437431</v>
      </c>
      <c r="L771" s="118">
        <f t="shared" si="380"/>
        <v>8412</v>
      </c>
      <c r="M771" s="118">
        <f t="shared" si="380"/>
        <v>123236</v>
      </c>
      <c r="N771" s="118">
        <f t="shared" si="380"/>
        <v>19084</v>
      </c>
      <c r="O771" s="118">
        <f t="shared" si="380"/>
        <v>18882</v>
      </c>
      <c r="P771" s="118">
        <f t="shared" si="380"/>
        <v>0</v>
      </c>
      <c r="Q771" s="118">
        <f t="shared" si="380"/>
        <v>76549</v>
      </c>
      <c r="R771" s="118">
        <f t="shared" si="380"/>
        <v>9859</v>
      </c>
      <c r="S771" s="118">
        <f t="shared" si="380"/>
        <v>53161</v>
      </c>
      <c r="T771" s="118">
        <f t="shared" si="380"/>
        <v>0</v>
      </c>
      <c r="U771" s="118">
        <f t="shared" si="380"/>
        <v>-229</v>
      </c>
      <c r="V771" s="118">
        <f t="shared" si="380"/>
        <v>2536067</v>
      </c>
      <c r="W771" s="118">
        <f t="shared" si="380"/>
        <v>0</v>
      </c>
      <c r="X771" s="150"/>
    </row>
    <row r="772" spans="1:24" ht="20.25">
      <c r="A772" s="132" t="s">
        <v>155</v>
      </c>
      <c r="B772" s="149" t="s">
        <v>710</v>
      </c>
      <c r="C772" s="132"/>
      <c r="D772" s="118">
        <f aca="true" t="shared" si="381" ref="D772:W772">D609</f>
        <v>394834</v>
      </c>
      <c r="E772" s="118">
        <f t="shared" si="381"/>
        <v>204635</v>
      </c>
      <c r="F772" s="118">
        <f t="shared" si="381"/>
        <v>90748</v>
      </c>
      <c r="G772" s="118">
        <f t="shared" si="381"/>
        <v>86</v>
      </c>
      <c r="H772" s="118">
        <f t="shared" si="381"/>
        <v>356</v>
      </c>
      <c r="I772" s="118">
        <f t="shared" si="381"/>
        <v>1610</v>
      </c>
      <c r="J772" s="118">
        <f t="shared" si="381"/>
        <v>43</v>
      </c>
      <c r="K772" s="118">
        <f t="shared" si="381"/>
        <v>50212</v>
      </c>
      <c r="L772" s="118">
        <f t="shared" si="381"/>
        <v>682</v>
      </c>
      <c r="M772" s="118">
        <f t="shared" si="381"/>
        <v>28841</v>
      </c>
      <c r="N772" s="118">
        <f t="shared" si="381"/>
        <v>1363</v>
      </c>
      <c r="O772" s="118">
        <f t="shared" si="381"/>
        <v>2237</v>
      </c>
      <c r="P772" s="118">
        <f t="shared" si="381"/>
        <v>0</v>
      </c>
      <c r="Q772" s="118">
        <f t="shared" si="381"/>
        <v>9410</v>
      </c>
      <c r="R772" s="118">
        <f t="shared" si="381"/>
        <v>542</v>
      </c>
      <c r="S772" s="118">
        <f t="shared" si="381"/>
        <v>4013</v>
      </c>
      <c r="T772" s="118">
        <f t="shared" si="381"/>
        <v>0</v>
      </c>
      <c r="U772" s="118">
        <f t="shared" si="381"/>
        <v>56</v>
      </c>
      <c r="V772" s="118">
        <f t="shared" si="381"/>
        <v>394834</v>
      </c>
      <c r="W772" s="118">
        <f t="shared" si="381"/>
        <v>0</v>
      </c>
      <c r="X772" s="150"/>
    </row>
    <row r="773" spans="1:24" ht="20.25">
      <c r="A773" s="132" t="s">
        <v>156</v>
      </c>
      <c r="B773" s="149" t="s">
        <v>712</v>
      </c>
      <c r="C773" s="132"/>
      <c r="D773" s="118">
        <f aca="true" t="shared" si="382" ref="D773:W773">D620</f>
        <v>0</v>
      </c>
      <c r="E773" s="118">
        <f t="shared" si="382"/>
        <v>0</v>
      </c>
      <c r="F773" s="118">
        <f t="shared" si="382"/>
        <v>0</v>
      </c>
      <c r="G773" s="118">
        <f t="shared" si="382"/>
        <v>0</v>
      </c>
      <c r="H773" s="118">
        <f t="shared" si="382"/>
        <v>0</v>
      </c>
      <c r="I773" s="118">
        <f t="shared" si="382"/>
        <v>0</v>
      </c>
      <c r="J773" s="118">
        <f t="shared" si="382"/>
        <v>0</v>
      </c>
      <c r="K773" s="118">
        <f t="shared" si="382"/>
        <v>0</v>
      </c>
      <c r="L773" s="118">
        <f t="shared" si="382"/>
        <v>0</v>
      </c>
      <c r="M773" s="118">
        <f t="shared" si="382"/>
        <v>0</v>
      </c>
      <c r="N773" s="118">
        <f t="shared" si="382"/>
        <v>0</v>
      </c>
      <c r="O773" s="118">
        <f t="shared" si="382"/>
        <v>0</v>
      </c>
      <c r="P773" s="118">
        <f t="shared" si="382"/>
        <v>0</v>
      </c>
      <c r="Q773" s="118">
        <f t="shared" si="382"/>
        <v>0</v>
      </c>
      <c r="R773" s="118">
        <f t="shared" si="382"/>
        <v>0</v>
      </c>
      <c r="S773" s="118">
        <f t="shared" si="382"/>
        <v>0</v>
      </c>
      <c r="T773" s="118">
        <f t="shared" si="382"/>
        <v>0</v>
      </c>
      <c r="U773" s="118">
        <f t="shared" si="382"/>
        <v>0</v>
      </c>
      <c r="V773" s="118">
        <f t="shared" si="382"/>
        <v>0</v>
      </c>
      <c r="W773" s="118">
        <f t="shared" si="382"/>
        <v>0</v>
      </c>
      <c r="X773" s="150"/>
    </row>
    <row r="774" spans="1:24" ht="20.25">
      <c r="A774" s="240" t="s">
        <v>46</v>
      </c>
      <c r="B774" s="149" t="s">
        <v>157</v>
      </c>
      <c r="C774" s="132"/>
      <c r="D774" s="202">
        <f aca="true" t="shared" si="383" ref="D774:U774">SUM(D770:D773)</f>
        <v>2930901</v>
      </c>
      <c r="E774" s="202">
        <f t="shared" si="383"/>
        <v>980559</v>
      </c>
      <c r="F774" s="202">
        <f t="shared" si="383"/>
        <v>1089077</v>
      </c>
      <c r="G774" s="202">
        <f t="shared" si="383"/>
        <v>2279</v>
      </c>
      <c r="H774" s="202">
        <f t="shared" si="383"/>
        <v>10322</v>
      </c>
      <c r="I774" s="202">
        <f t="shared" si="383"/>
        <v>4188</v>
      </c>
      <c r="J774" s="202">
        <f t="shared" si="383"/>
        <v>735</v>
      </c>
      <c r="K774" s="202">
        <f t="shared" si="383"/>
        <v>487643</v>
      </c>
      <c r="L774" s="202">
        <f t="shared" si="383"/>
        <v>9094</v>
      </c>
      <c r="M774" s="202">
        <f t="shared" si="383"/>
        <v>152077</v>
      </c>
      <c r="N774" s="202">
        <f t="shared" si="383"/>
        <v>20447</v>
      </c>
      <c r="O774" s="202">
        <f t="shared" si="383"/>
        <v>21119</v>
      </c>
      <c r="P774" s="202">
        <f t="shared" si="383"/>
        <v>0</v>
      </c>
      <c r="Q774" s="202">
        <f t="shared" si="383"/>
        <v>85959</v>
      </c>
      <c r="R774" s="202">
        <f t="shared" si="383"/>
        <v>10401</v>
      </c>
      <c r="S774" s="202">
        <f t="shared" si="383"/>
        <v>57174</v>
      </c>
      <c r="T774" s="202">
        <f t="shared" si="383"/>
        <v>0</v>
      </c>
      <c r="U774" s="202">
        <f t="shared" si="383"/>
        <v>-173</v>
      </c>
      <c r="V774" s="202">
        <f>SUM(E774:U774)</f>
        <v>2930901</v>
      </c>
      <c r="W774" s="202">
        <f>SUM(W770:W773)</f>
        <v>0</v>
      </c>
      <c r="X774" s="150"/>
    </row>
    <row r="775" spans="1:24" ht="20.25">
      <c r="A775" s="132"/>
      <c r="B775" s="149"/>
      <c r="C775" s="132"/>
      <c r="D775" s="118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50"/>
    </row>
    <row r="776" spans="1:24" ht="20.25">
      <c r="A776" s="312" t="s">
        <v>127</v>
      </c>
      <c r="B776" s="149"/>
      <c r="C776" s="132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50"/>
    </row>
    <row r="777" spans="1:24" ht="20.25">
      <c r="A777" s="132" t="s">
        <v>707</v>
      </c>
      <c r="B777" s="149"/>
      <c r="C777" s="132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50"/>
    </row>
    <row r="778" spans="1:24" ht="20.25">
      <c r="A778" s="132" t="s">
        <v>1253</v>
      </c>
      <c r="B778" s="149" t="s">
        <v>146</v>
      </c>
      <c r="C778" s="132"/>
      <c r="D778" s="118">
        <f aca="true" t="shared" si="384" ref="D778:W778">D757</f>
        <v>44926011</v>
      </c>
      <c r="E778" s="118">
        <f t="shared" si="384"/>
        <v>13980817</v>
      </c>
      <c r="F778" s="118">
        <f t="shared" si="384"/>
        <v>17502964</v>
      </c>
      <c r="G778" s="118">
        <f t="shared" si="384"/>
        <v>38139</v>
      </c>
      <c r="H778" s="118">
        <f t="shared" si="384"/>
        <v>173184</v>
      </c>
      <c r="I778" s="118">
        <f t="shared" si="384"/>
        <v>49076</v>
      </c>
      <c r="J778" s="118">
        <f t="shared" si="384"/>
        <v>12072</v>
      </c>
      <c r="K778" s="118">
        <f t="shared" si="384"/>
        <v>7698416</v>
      </c>
      <c r="L778" s="118">
        <f t="shared" si="384"/>
        <v>147263</v>
      </c>
      <c r="M778" s="118">
        <f t="shared" si="384"/>
        <v>2210638</v>
      </c>
      <c r="N778" s="118">
        <f t="shared" si="384"/>
        <v>333581</v>
      </c>
      <c r="O778" s="118">
        <f t="shared" si="384"/>
        <v>332534</v>
      </c>
      <c r="P778" s="118">
        <f t="shared" si="384"/>
        <v>0</v>
      </c>
      <c r="Q778" s="118">
        <f t="shared" si="384"/>
        <v>1349820</v>
      </c>
      <c r="R778" s="118">
        <f t="shared" si="384"/>
        <v>171917</v>
      </c>
      <c r="S778" s="118">
        <f t="shared" si="384"/>
        <v>929387</v>
      </c>
      <c r="T778" s="118">
        <f t="shared" si="384"/>
        <v>0</v>
      </c>
      <c r="U778" s="118">
        <f t="shared" si="384"/>
        <v>-3797</v>
      </c>
      <c r="V778" s="118">
        <f t="shared" si="384"/>
        <v>44926011</v>
      </c>
      <c r="W778" s="118">
        <f t="shared" si="384"/>
        <v>0</v>
      </c>
      <c r="X778" s="150"/>
    </row>
    <row r="779" spans="1:24" ht="20.25">
      <c r="A779" s="132" t="s">
        <v>158</v>
      </c>
      <c r="B779" s="149" t="s">
        <v>153</v>
      </c>
      <c r="C779" s="132"/>
      <c r="D779" s="118">
        <f aca="true" t="shared" si="385" ref="D779:W779">-D768</f>
        <v>-2536067</v>
      </c>
      <c r="E779" s="118">
        <f t="shared" si="385"/>
        <v>-775924</v>
      </c>
      <c r="F779" s="118">
        <f t="shared" si="385"/>
        <v>-998329</v>
      </c>
      <c r="G779" s="118">
        <f t="shared" si="385"/>
        <v>-2193</v>
      </c>
      <c r="H779" s="118">
        <f t="shared" si="385"/>
        <v>-9966</v>
      </c>
      <c r="I779" s="118">
        <f t="shared" si="385"/>
        <v>-2578</v>
      </c>
      <c r="J779" s="118">
        <f t="shared" si="385"/>
        <v>-692</v>
      </c>
      <c r="K779" s="118">
        <f t="shared" si="385"/>
        <v>-437431</v>
      </c>
      <c r="L779" s="118">
        <f t="shared" si="385"/>
        <v>-8412</v>
      </c>
      <c r="M779" s="118">
        <f t="shared" si="385"/>
        <v>-123236</v>
      </c>
      <c r="N779" s="118">
        <f t="shared" si="385"/>
        <v>-19084</v>
      </c>
      <c r="O779" s="118">
        <f t="shared" si="385"/>
        <v>-18882</v>
      </c>
      <c r="P779" s="118">
        <f t="shared" si="385"/>
        <v>0</v>
      </c>
      <c r="Q779" s="118">
        <f t="shared" si="385"/>
        <v>-76549</v>
      </c>
      <c r="R779" s="118">
        <f t="shared" si="385"/>
        <v>-9859</v>
      </c>
      <c r="S779" s="118">
        <f t="shared" si="385"/>
        <v>-53161</v>
      </c>
      <c r="T779" s="118">
        <f t="shared" si="385"/>
        <v>0</v>
      </c>
      <c r="U779" s="118">
        <f t="shared" si="385"/>
        <v>229</v>
      </c>
      <c r="V779" s="118">
        <f t="shared" si="385"/>
        <v>-2536067</v>
      </c>
      <c r="W779" s="118">
        <f t="shared" si="385"/>
        <v>0</v>
      </c>
      <c r="X779" s="150"/>
    </row>
    <row r="780" spans="1:24" ht="20.25">
      <c r="A780" s="240" t="s">
        <v>159</v>
      </c>
      <c r="B780" s="149" t="s">
        <v>160</v>
      </c>
      <c r="C780" s="132"/>
      <c r="D780" s="202">
        <f aca="true" t="shared" si="386" ref="D780:W780">SUM(D778:D779)</f>
        <v>42389944</v>
      </c>
      <c r="E780" s="202">
        <f t="shared" si="386"/>
        <v>13204893</v>
      </c>
      <c r="F780" s="202">
        <f t="shared" si="386"/>
        <v>16504635</v>
      </c>
      <c r="G780" s="202">
        <f t="shared" si="386"/>
        <v>35946</v>
      </c>
      <c r="H780" s="202">
        <f t="shared" si="386"/>
        <v>163218</v>
      </c>
      <c r="I780" s="202">
        <f t="shared" si="386"/>
        <v>46498</v>
      </c>
      <c r="J780" s="202">
        <f t="shared" si="386"/>
        <v>11380</v>
      </c>
      <c r="K780" s="202">
        <f t="shared" si="386"/>
        <v>7260985</v>
      </c>
      <c r="L780" s="202">
        <f t="shared" si="386"/>
        <v>138851</v>
      </c>
      <c r="M780" s="202">
        <f t="shared" si="386"/>
        <v>2087402</v>
      </c>
      <c r="N780" s="202">
        <f t="shared" si="386"/>
        <v>314497</v>
      </c>
      <c r="O780" s="202">
        <f t="shared" si="386"/>
        <v>313652</v>
      </c>
      <c r="P780" s="202">
        <f t="shared" si="386"/>
        <v>0</v>
      </c>
      <c r="Q780" s="202">
        <f t="shared" si="386"/>
        <v>1273271</v>
      </c>
      <c r="R780" s="202">
        <f t="shared" si="386"/>
        <v>162058</v>
      </c>
      <c r="S780" s="202">
        <f t="shared" si="386"/>
        <v>876226</v>
      </c>
      <c r="T780" s="202">
        <f t="shared" si="386"/>
        <v>0</v>
      </c>
      <c r="U780" s="202">
        <f t="shared" si="386"/>
        <v>-3568</v>
      </c>
      <c r="V780" s="202">
        <f t="shared" si="386"/>
        <v>42389944</v>
      </c>
      <c r="W780" s="202">
        <f t="shared" si="386"/>
        <v>0</v>
      </c>
      <c r="X780" s="150"/>
    </row>
    <row r="781" spans="1:24" ht="20.25">
      <c r="A781" s="132" t="s">
        <v>161</v>
      </c>
      <c r="B781" s="149" t="s">
        <v>118</v>
      </c>
      <c r="C781" s="132"/>
      <c r="D781" s="118"/>
      <c r="E781" s="279">
        <f aca="true" t="shared" si="387" ref="E781:U781">E724</f>
        <v>0.35</v>
      </c>
      <c r="F781" s="279">
        <f t="shared" si="387"/>
        <v>0.35</v>
      </c>
      <c r="G781" s="279">
        <f t="shared" si="387"/>
        <v>0.35</v>
      </c>
      <c r="H781" s="279">
        <f t="shared" si="387"/>
        <v>0.35</v>
      </c>
      <c r="I781" s="279">
        <f t="shared" si="387"/>
        <v>0.35</v>
      </c>
      <c r="J781" s="279">
        <f t="shared" si="387"/>
        <v>0.35</v>
      </c>
      <c r="K781" s="279">
        <f t="shared" si="387"/>
        <v>0.35</v>
      </c>
      <c r="L781" s="279">
        <f t="shared" si="387"/>
        <v>0.35</v>
      </c>
      <c r="M781" s="279">
        <f>M724</f>
        <v>0.35</v>
      </c>
      <c r="N781" s="279">
        <f t="shared" si="387"/>
        <v>0.35</v>
      </c>
      <c r="O781" s="279">
        <f>O724</f>
        <v>0.35</v>
      </c>
      <c r="P781" s="279">
        <f t="shared" si="387"/>
        <v>0.35</v>
      </c>
      <c r="Q781" s="279">
        <f t="shared" si="387"/>
        <v>0.35</v>
      </c>
      <c r="R781" s="279">
        <f t="shared" si="387"/>
        <v>0.35</v>
      </c>
      <c r="S781" s="279">
        <f t="shared" si="387"/>
        <v>0.35</v>
      </c>
      <c r="T781" s="279">
        <f t="shared" si="387"/>
        <v>0.35</v>
      </c>
      <c r="U781" s="279">
        <f t="shared" si="387"/>
        <v>0.35</v>
      </c>
      <c r="V781" s="279"/>
      <c r="W781" s="279">
        <f>W724</f>
        <v>0.35</v>
      </c>
      <c r="X781" s="150"/>
    </row>
    <row r="782" spans="1:24" ht="20.25">
      <c r="A782" s="132" t="s">
        <v>162</v>
      </c>
      <c r="B782" s="149" t="s">
        <v>163</v>
      </c>
      <c r="C782" s="132"/>
      <c r="D782" s="118">
        <f>W782+V782</f>
        <v>14836480</v>
      </c>
      <c r="E782" s="118">
        <f aca="true" t="shared" si="388" ref="E782:U782">ROUND(E781*E780,0)</f>
        <v>4621713</v>
      </c>
      <c r="F782" s="118">
        <f t="shared" si="388"/>
        <v>5776622</v>
      </c>
      <c r="G782" s="118">
        <f t="shared" si="388"/>
        <v>12581</v>
      </c>
      <c r="H782" s="118">
        <f t="shared" si="388"/>
        <v>57126</v>
      </c>
      <c r="I782" s="118">
        <f t="shared" si="388"/>
        <v>16274</v>
      </c>
      <c r="J782" s="118">
        <f t="shared" si="388"/>
        <v>3983</v>
      </c>
      <c r="K782" s="118">
        <f t="shared" si="388"/>
        <v>2541345</v>
      </c>
      <c r="L782" s="118">
        <f t="shared" si="388"/>
        <v>48598</v>
      </c>
      <c r="M782" s="118">
        <f t="shared" si="388"/>
        <v>730591</v>
      </c>
      <c r="N782" s="118">
        <f t="shared" si="388"/>
        <v>110074</v>
      </c>
      <c r="O782" s="118">
        <f t="shared" si="388"/>
        <v>109778</v>
      </c>
      <c r="P782" s="118">
        <f t="shared" si="388"/>
        <v>0</v>
      </c>
      <c r="Q782" s="118">
        <f t="shared" si="388"/>
        <v>445645</v>
      </c>
      <c r="R782" s="118">
        <f t="shared" si="388"/>
        <v>56720</v>
      </c>
      <c r="S782" s="118">
        <f t="shared" si="388"/>
        <v>306679</v>
      </c>
      <c r="T782" s="118">
        <f t="shared" si="388"/>
        <v>0</v>
      </c>
      <c r="U782" s="118">
        <f t="shared" si="388"/>
        <v>-1249</v>
      </c>
      <c r="V782" s="118">
        <f>SUM(E782:U782)</f>
        <v>14836480</v>
      </c>
      <c r="W782" s="118">
        <f>ROUND(W781*W780,0)</f>
        <v>0</v>
      </c>
      <c r="X782" s="150"/>
    </row>
    <row r="783" spans="1:24" ht="20.25">
      <c r="A783" s="132" t="s">
        <v>703</v>
      </c>
      <c r="B783" s="149" t="s">
        <v>690</v>
      </c>
      <c r="C783" s="132"/>
      <c r="D783" s="118">
        <f aca="true" t="shared" si="389" ref="D783:W783">D536</f>
        <v>1874337</v>
      </c>
      <c r="E783" s="118">
        <f t="shared" si="389"/>
        <v>971430</v>
      </c>
      <c r="F783" s="118">
        <f t="shared" si="389"/>
        <v>430799</v>
      </c>
      <c r="G783" s="118">
        <f t="shared" si="389"/>
        <v>412</v>
      </c>
      <c r="H783" s="118">
        <f t="shared" si="389"/>
        <v>1692</v>
      </c>
      <c r="I783" s="118">
        <f t="shared" si="389"/>
        <v>7642</v>
      </c>
      <c r="J783" s="118">
        <f t="shared" si="389"/>
        <v>200</v>
      </c>
      <c r="K783" s="118">
        <f t="shared" si="389"/>
        <v>238368</v>
      </c>
      <c r="L783" s="118">
        <f t="shared" si="389"/>
        <v>3241</v>
      </c>
      <c r="M783" s="118">
        <f t="shared" si="389"/>
        <v>136906</v>
      </c>
      <c r="N783" s="118">
        <f t="shared" si="389"/>
        <v>6470</v>
      </c>
      <c r="O783" s="118">
        <f t="shared" si="389"/>
        <v>10619</v>
      </c>
      <c r="P783" s="118">
        <f t="shared" si="389"/>
        <v>0</v>
      </c>
      <c r="Q783" s="118">
        <f t="shared" si="389"/>
        <v>44660</v>
      </c>
      <c r="R783" s="118">
        <f t="shared" si="389"/>
        <v>2576</v>
      </c>
      <c r="S783" s="118">
        <f t="shared" si="389"/>
        <v>19054</v>
      </c>
      <c r="T783" s="118">
        <f t="shared" si="389"/>
        <v>0</v>
      </c>
      <c r="U783" s="118">
        <f t="shared" si="389"/>
        <v>268</v>
      </c>
      <c r="V783" s="118">
        <f t="shared" si="389"/>
        <v>1874337</v>
      </c>
      <c r="W783" s="118">
        <f t="shared" si="389"/>
        <v>0</v>
      </c>
      <c r="X783" s="150"/>
    </row>
    <row r="784" spans="1:24" ht="20.25">
      <c r="A784" s="132" t="s">
        <v>704</v>
      </c>
      <c r="B784" s="149" t="s">
        <v>699</v>
      </c>
      <c r="C784" s="132"/>
      <c r="D784" s="118">
        <f aca="true" t="shared" si="390" ref="D784:W784">D552</f>
        <v>0</v>
      </c>
      <c r="E784" s="118">
        <f t="shared" si="390"/>
        <v>0</v>
      </c>
      <c r="F784" s="118">
        <f t="shared" si="390"/>
        <v>0</v>
      </c>
      <c r="G784" s="118">
        <f t="shared" si="390"/>
        <v>0</v>
      </c>
      <c r="H784" s="118">
        <f t="shared" si="390"/>
        <v>0</v>
      </c>
      <c r="I784" s="118">
        <f t="shared" si="390"/>
        <v>0</v>
      </c>
      <c r="J784" s="118">
        <f t="shared" si="390"/>
        <v>0</v>
      </c>
      <c r="K784" s="118">
        <f t="shared" si="390"/>
        <v>0</v>
      </c>
      <c r="L784" s="118">
        <f t="shared" si="390"/>
        <v>0</v>
      </c>
      <c r="M784" s="118">
        <f t="shared" si="390"/>
        <v>0</v>
      </c>
      <c r="N784" s="118">
        <f t="shared" si="390"/>
        <v>0</v>
      </c>
      <c r="O784" s="118">
        <f t="shared" si="390"/>
        <v>0</v>
      </c>
      <c r="P784" s="118">
        <f t="shared" si="390"/>
        <v>0</v>
      </c>
      <c r="Q784" s="118">
        <f t="shared" si="390"/>
        <v>0</v>
      </c>
      <c r="R784" s="118">
        <f t="shared" si="390"/>
        <v>0</v>
      </c>
      <c r="S784" s="118">
        <f t="shared" si="390"/>
        <v>0</v>
      </c>
      <c r="T784" s="118">
        <f t="shared" si="390"/>
        <v>0</v>
      </c>
      <c r="U784" s="118">
        <f t="shared" si="390"/>
        <v>0</v>
      </c>
      <c r="V784" s="118">
        <f t="shared" si="390"/>
        <v>0</v>
      </c>
      <c r="W784" s="118">
        <f t="shared" si="390"/>
        <v>0</v>
      </c>
      <c r="X784" s="150"/>
    </row>
    <row r="785" spans="1:24" ht="20.25">
      <c r="A785" s="132" t="s">
        <v>860</v>
      </c>
      <c r="B785" s="149" t="s">
        <v>701</v>
      </c>
      <c r="C785" s="132"/>
      <c r="D785" s="118">
        <f aca="true" t="shared" si="391" ref="D785:W785">-D557</f>
        <v>-143846</v>
      </c>
      <c r="E785" s="118">
        <f t="shared" si="391"/>
        <v>-74550</v>
      </c>
      <c r="F785" s="118">
        <f t="shared" si="391"/>
        <v>-33059</v>
      </c>
      <c r="G785" s="118">
        <f t="shared" si="391"/>
        <v>-32</v>
      </c>
      <c r="H785" s="118">
        <f t="shared" si="391"/>
        <v>-130</v>
      </c>
      <c r="I785" s="118">
        <f t="shared" si="391"/>
        <v>-587</v>
      </c>
      <c r="J785" s="118">
        <f t="shared" si="391"/>
        <v>-15</v>
      </c>
      <c r="K785" s="118">
        <f t="shared" si="391"/>
        <v>-18292</v>
      </c>
      <c r="L785" s="118">
        <f t="shared" si="391"/>
        <v>-249</v>
      </c>
      <c r="M785" s="118">
        <f t="shared" si="391"/>
        <v>-10509</v>
      </c>
      <c r="N785" s="118">
        <f t="shared" si="391"/>
        <v>-497</v>
      </c>
      <c r="O785" s="118">
        <f t="shared" si="391"/>
        <v>-815</v>
      </c>
      <c r="P785" s="118">
        <f t="shared" si="391"/>
        <v>0</v>
      </c>
      <c r="Q785" s="118">
        <f t="shared" si="391"/>
        <v>-3432</v>
      </c>
      <c r="R785" s="118">
        <f t="shared" si="391"/>
        <v>-198</v>
      </c>
      <c r="S785" s="118">
        <f t="shared" si="391"/>
        <v>-1460</v>
      </c>
      <c r="T785" s="118">
        <f t="shared" si="391"/>
        <v>0</v>
      </c>
      <c r="U785" s="118">
        <f t="shared" si="391"/>
        <v>-21</v>
      </c>
      <c r="V785" s="118">
        <f t="shared" si="391"/>
        <v>-143846</v>
      </c>
      <c r="W785" s="118">
        <f t="shared" si="391"/>
        <v>0</v>
      </c>
      <c r="X785" s="150"/>
    </row>
    <row r="786" spans="1:24" ht="20.25">
      <c r="A786" s="240" t="s">
        <v>164</v>
      </c>
      <c r="B786" s="149" t="s">
        <v>165</v>
      </c>
      <c r="C786" s="132"/>
      <c r="D786" s="202">
        <f>W786+V786</f>
        <v>16566971</v>
      </c>
      <c r="E786" s="202">
        <f aca="true" t="shared" si="392" ref="E786:U786">SUM(E782:E785)</f>
        <v>5518593</v>
      </c>
      <c r="F786" s="202">
        <f t="shared" si="392"/>
        <v>6174362</v>
      </c>
      <c r="G786" s="202">
        <f t="shared" si="392"/>
        <v>12961</v>
      </c>
      <c r="H786" s="202">
        <f t="shared" si="392"/>
        <v>58688</v>
      </c>
      <c r="I786" s="202">
        <f t="shared" si="392"/>
        <v>23329</v>
      </c>
      <c r="J786" s="202">
        <f t="shared" si="392"/>
        <v>4168</v>
      </c>
      <c r="K786" s="202">
        <f t="shared" si="392"/>
        <v>2761421</v>
      </c>
      <c r="L786" s="202">
        <f t="shared" si="392"/>
        <v>51590</v>
      </c>
      <c r="M786" s="202">
        <f t="shared" si="392"/>
        <v>856988</v>
      </c>
      <c r="N786" s="202">
        <f t="shared" si="392"/>
        <v>116047</v>
      </c>
      <c r="O786" s="202">
        <f t="shared" si="392"/>
        <v>119582</v>
      </c>
      <c r="P786" s="202">
        <f t="shared" si="392"/>
        <v>0</v>
      </c>
      <c r="Q786" s="202">
        <f t="shared" si="392"/>
        <v>486873</v>
      </c>
      <c r="R786" s="202">
        <f t="shared" si="392"/>
        <v>59098</v>
      </c>
      <c r="S786" s="202">
        <f t="shared" si="392"/>
        <v>324273</v>
      </c>
      <c r="T786" s="202">
        <f t="shared" si="392"/>
        <v>0</v>
      </c>
      <c r="U786" s="202">
        <f t="shared" si="392"/>
        <v>-1002</v>
      </c>
      <c r="V786" s="202">
        <f>SUM(E786:U786)</f>
        <v>16566971</v>
      </c>
      <c r="W786" s="202">
        <f>SUM(W782:W785)</f>
        <v>0</v>
      </c>
      <c r="X786" s="150"/>
    </row>
    <row r="787" spans="1:24" ht="20.25">
      <c r="A787" s="132"/>
      <c r="B787" s="149"/>
      <c r="C787" s="132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50"/>
    </row>
    <row r="788" spans="1:24" ht="20.25">
      <c r="A788" s="132" t="s">
        <v>4</v>
      </c>
      <c r="B788" s="149"/>
      <c r="C788" s="132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50"/>
    </row>
    <row r="789" spans="1:24" ht="20.25">
      <c r="A789" s="132" t="s">
        <v>166</v>
      </c>
      <c r="B789" s="149" t="s">
        <v>163</v>
      </c>
      <c r="C789" s="132"/>
      <c r="D789" s="118">
        <f aca="true" t="shared" si="393" ref="D789:W789">D782</f>
        <v>14836480</v>
      </c>
      <c r="E789" s="118">
        <f t="shared" si="393"/>
        <v>4621713</v>
      </c>
      <c r="F789" s="118">
        <f t="shared" si="393"/>
        <v>5776622</v>
      </c>
      <c r="G789" s="118">
        <f t="shared" si="393"/>
        <v>12581</v>
      </c>
      <c r="H789" s="118">
        <f t="shared" si="393"/>
        <v>57126</v>
      </c>
      <c r="I789" s="118">
        <f t="shared" si="393"/>
        <v>16274</v>
      </c>
      <c r="J789" s="118">
        <f t="shared" si="393"/>
        <v>3983</v>
      </c>
      <c r="K789" s="118">
        <f t="shared" si="393"/>
        <v>2541345</v>
      </c>
      <c r="L789" s="118">
        <f t="shared" si="393"/>
        <v>48598</v>
      </c>
      <c r="M789" s="118">
        <f t="shared" si="393"/>
        <v>730591</v>
      </c>
      <c r="N789" s="118">
        <f t="shared" si="393"/>
        <v>110074</v>
      </c>
      <c r="O789" s="118">
        <f t="shared" si="393"/>
        <v>109778</v>
      </c>
      <c r="P789" s="118">
        <f t="shared" si="393"/>
        <v>0</v>
      </c>
      <c r="Q789" s="118">
        <f t="shared" si="393"/>
        <v>445645</v>
      </c>
      <c r="R789" s="118">
        <f t="shared" si="393"/>
        <v>56720</v>
      </c>
      <c r="S789" s="118">
        <f t="shared" si="393"/>
        <v>306679</v>
      </c>
      <c r="T789" s="118">
        <f t="shared" si="393"/>
        <v>0</v>
      </c>
      <c r="U789" s="118">
        <f t="shared" si="393"/>
        <v>-1249</v>
      </c>
      <c r="V789" s="118">
        <f t="shared" si="393"/>
        <v>14836480</v>
      </c>
      <c r="W789" s="118">
        <f t="shared" si="393"/>
        <v>0</v>
      </c>
      <c r="X789" s="150"/>
    </row>
    <row r="790" spans="1:24" ht="20.25">
      <c r="A790" s="132" t="s">
        <v>859</v>
      </c>
      <c r="B790" s="149" t="s">
        <v>702</v>
      </c>
      <c r="C790" s="132"/>
      <c r="D790" s="118">
        <f aca="true" t="shared" si="394" ref="D790:W790">-D560</f>
        <v>0</v>
      </c>
      <c r="E790" s="118">
        <f t="shared" si="394"/>
        <v>0</v>
      </c>
      <c r="F790" s="118">
        <f t="shared" si="394"/>
        <v>0</v>
      </c>
      <c r="G790" s="118">
        <f t="shared" si="394"/>
        <v>0</v>
      </c>
      <c r="H790" s="118">
        <f t="shared" si="394"/>
        <v>0</v>
      </c>
      <c r="I790" s="118">
        <f t="shared" si="394"/>
        <v>0</v>
      </c>
      <c r="J790" s="118">
        <f t="shared" si="394"/>
        <v>0</v>
      </c>
      <c r="K790" s="118">
        <f t="shared" si="394"/>
        <v>0</v>
      </c>
      <c r="L790" s="118">
        <f t="shared" si="394"/>
        <v>0</v>
      </c>
      <c r="M790" s="118">
        <f t="shared" si="394"/>
        <v>0</v>
      </c>
      <c r="N790" s="118">
        <f t="shared" si="394"/>
        <v>0</v>
      </c>
      <c r="O790" s="118">
        <f t="shared" si="394"/>
        <v>0</v>
      </c>
      <c r="P790" s="118">
        <f t="shared" si="394"/>
        <v>0</v>
      </c>
      <c r="Q790" s="118">
        <f t="shared" si="394"/>
        <v>0</v>
      </c>
      <c r="R790" s="118">
        <f t="shared" si="394"/>
        <v>0</v>
      </c>
      <c r="S790" s="118">
        <f t="shared" si="394"/>
        <v>0</v>
      </c>
      <c r="T790" s="118">
        <f t="shared" si="394"/>
        <v>0</v>
      </c>
      <c r="U790" s="118">
        <f t="shared" si="394"/>
        <v>0</v>
      </c>
      <c r="V790" s="118">
        <f t="shared" si="394"/>
        <v>0</v>
      </c>
      <c r="W790" s="118">
        <f t="shared" si="394"/>
        <v>0</v>
      </c>
      <c r="X790" s="150"/>
    </row>
    <row r="791" spans="1:24" ht="20.25">
      <c r="A791" s="240" t="s">
        <v>167</v>
      </c>
      <c r="B791" s="149" t="s">
        <v>168</v>
      </c>
      <c r="C791" s="132"/>
      <c r="D791" s="202">
        <f aca="true" t="shared" si="395" ref="D791:W791">SUM(D788:D790)</f>
        <v>14836480</v>
      </c>
      <c r="E791" s="202">
        <f t="shared" si="395"/>
        <v>4621713</v>
      </c>
      <c r="F791" s="202">
        <f t="shared" si="395"/>
        <v>5776622</v>
      </c>
      <c r="G791" s="202">
        <f t="shared" si="395"/>
        <v>12581</v>
      </c>
      <c r="H791" s="202">
        <f t="shared" si="395"/>
        <v>57126</v>
      </c>
      <c r="I791" s="202">
        <f t="shared" si="395"/>
        <v>16274</v>
      </c>
      <c r="J791" s="202">
        <f t="shared" si="395"/>
        <v>3983</v>
      </c>
      <c r="K791" s="202">
        <f t="shared" si="395"/>
        <v>2541345</v>
      </c>
      <c r="L791" s="202">
        <f t="shared" si="395"/>
        <v>48598</v>
      </c>
      <c r="M791" s="202">
        <f t="shared" si="395"/>
        <v>730591</v>
      </c>
      <c r="N791" s="202">
        <f t="shared" si="395"/>
        <v>110074</v>
      </c>
      <c r="O791" s="202">
        <f t="shared" si="395"/>
        <v>109778</v>
      </c>
      <c r="P791" s="202">
        <f t="shared" si="395"/>
        <v>0</v>
      </c>
      <c r="Q791" s="202">
        <f t="shared" si="395"/>
        <v>445645</v>
      </c>
      <c r="R791" s="202">
        <f t="shared" si="395"/>
        <v>56720</v>
      </c>
      <c r="S791" s="202">
        <f t="shared" si="395"/>
        <v>306679</v>
      </c>
      <c r="T791" s="202">
        <f t="shared" si="395"/>
        <v>0</v>
      </c>
      <c r="U791" s="202">
        <f t="shared" si="395"/>
        <v>-1249</v>
      </c>
      <c r="V791" s="202">
        <f t="shared" si="395"/>
        <v>14836480</v>
      </c>
      <c r="W791" s="202">
        <f t="shared" si="395"/>
        <v>0</v>
      </c>
      <c r="X791" s="150"/>
    </row>
    <row r="792" spans="1:24" ht="20.25">
      <c r="A792" s="132"/>
      <c r="B792" s="149"/>
      <c r="C792" s="132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50"/>
    </row>
    <row r="793" spans="1:24" ht="20.25">
      <c r="A793" s="281" t="s">
        <v>496</v>
      </c>
      <c r="B793" s="149"/>
      <c r="C793" s="132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50"/>
    </row>
    <row r="794" spans="1:24" ht="20.25">
      <c r="A794" s="132" t="s">
        <v>1355</v>
      </c>
      <c r="B794" s="149" t="s">
        <v>141</v>
      </c>
      <c r="C794" s="132"/>
      <c r="D794" s="118">
        <f>D752-D26</f>
        <v>68303714</v>
      </c>
      <c r="E794" s="118">
        <f aca="true" t="shared" si="396" ref="E794:W794">E752-E26</f>
        <v>26360608</v>
      </c>
      <c r="F794" s="118">
        <f t="shared" si="396"/>
        <v>22796677</v>
      </c>
      <c r="G794" s="118">
        <f t="shared" si="396"/>
        <v>43110</v>
      </c>
      <c r="H794" s="118">
        <f t="shared" si="396"/>
        <v>193602</v>
      </c>
      <c r="I794" s="118">
        <f t="shared" si="396"/>
        <v>143773</v>
      </c>
      <c r="J794" s="118">
        <f t="shared" si="396"/>
        <v>14714</v>
      </c>
      <c r="K794" s="118">
        <f t="shared" si="396"/>
        <v>10584539</v>
      </c>
      <c r="L794" s="118">
        <f t="shared" si="396"/>
        <v>186304</v>
      </c>
      <c r="M794" s="118">
        <f t="shared" si="396"/>
        <v>3857013</v>
      </c>
      <c r="N794" s="118">
        <f t="shared" si="396"/>
        <v>411244</v>
      </c>
      <c r="O794" s="118">
        <f t="shared" si="396"/>
        <v>460551</v>
      </c>
      <c r="P794" s="118">
        <f t="shared" si="396"/>
        <v>0</v>
      </c>
      <c r="Q794" s="118">
        <f t="shared" si="396"/>
        <v>1877961</v>
      </c>
      <c r="R794" s="118">
        <f t="shared" si="396"/>
        <v>202322</v>
      </c>
      <c r="S794" s="118">
        <f t="shared" si="396"/>
        <v>1171882</v>
      </c>
      <c r="T794" s="118">
        <f t="shared" si="396"/>
        <v>0</v>
      </c>
      <c r="U794" s="118">
        <f t="shared" si="396"/>
        <v>-586</v>
      </c>
      <c r="V794" s="118">
        <f t="shared" si="396"/>
        <v>68303714</v>
      </c>
      <c r="W794" s="118">
        <f t="shared" si="396"/>
        <v>0</v>
      </c>
      <c r="X794" s="150"/>
    </row>
    <row r="795" spans="1:24" ht="20.25">
      <c r="A795" s="132" t="s">
        <v>169</v>
      </c>
      <c r="B795" s="149" t="s">
        <v>165</v>
      </c>
      <c r="C795" s="132"/>
      <c r="D795" s="118">
        <f aca="true" t="shared" si="397" ref="D795:W795">-D786</f>
        <v>-16566971</v>
      </c>
      <c r="E795" s="118">
        <f t="shared" si="397"/>
        <v>-5518593</v>
      </c>
      <c r="F795" s="118">
        <f t="shared" si="397"/>
        <v>-6174362</v>
      </c>
      <c r="G795" s="118">
        <f t="shared" si="397"/>
        <v>-12961</v>
      </c>
      <c r="H795" s="118">
        <f t="shared" si="397"/>
        <v>-58688</v>
      </c>
      <c r="I795" s="118">
        <f t="shared" si="397"/>
        <v>-23329</v>
      </c>
      <c r="J795" s="118">
        <f t="shared" si="397"/>
        <v>-4168</v>
      </c>
      <c r="K795" s="118">
        <f t="shared" si="397"/>
        <v>-2761421</v>
      </c>
      <c r="L795" s="118">
        <f t="shared" si="397"/>
        <v>-51590</v>
      </c>
      <c r="M795" s="118">
        <f t="shared" si="397"/>
        <v>-856988</v>
      </c>
      <c r="N795" s="118">
        <f t="shared" si="397"/>
        <v>-116047</v>
      </c>
      <c r="O795" s="118">
        <f t="shared" si="397"/>
        <v>-119582</v>
      </c>
      <c r="P795" s="118">
        <f t="shared" si="397"/>
        <v>0</v>
      </c>
      <c r="Q795" s="118">
        <f t="shared" si="397"/>
        <v>-486873</v>
      </c>
      <c r="R795" s="118">
        <f t="shared" si="397"/>
        <v>-59098</v>
      </c>
      <c r="S795" s="118">
        <f t="shared" si="397"/>
        <v>-324273</v>
      </c>
      <c r="T795" s="118">
        <f t="shared" si="397"/>
        <v>0</v>
      </c>
      <c r="U795" s="118">
        <f t="shared" si="397"/>
        <v>1002</v>
      </c>
      <c r="V795" s="118">
        <f t="shared" si="397"/>
        <v>-16566971</v>
      </c>
      <c r="W795" s="118">
        <f t="shared" si="397"/>
        <v>0</v>
      </c>
      <c r="X795" s="150"/>
    </row>
    <row r="796" spans="1:24" ht="20.25">
      <c r="A796" s="132" t="s">
        <v>170</v>
      </c>
      <c r="B796" s="149" t="s">
        <v>157</v>
      </c>
      <c r="C796" s="132"/>
      <c r="D796" s="118">
        <f aca="true" t="shared" si="398" ref="D796:W796">-D774</f>
        <v>-2930901</v>
      </c>
      <c r="E796" s="118">
        <f t="shared" si="398"/>
        <v>-980559</v>
      </c>
      <c r="F796" s="118">
        <f t="shared" si="398"/>
        <v>-1089077</v>
      </c>
      <c r="G796" s="118">
        <f t="shared" si="398"/>
        <v>-2279</v>
      </c>
      <c r="H796" s="118">
        <f t="shared" si="398"/>
        <v>-10322</v>
      </c>
      <c r="I796" s="118">
        <f t="shared" si="398"/>
        <v>-4188</v>
      </c>
      <c r="J796" s="118">
        <f t="shared" si="398"/>
        <v>-735</v>
      </c>
      <c r="K796" s="118">
        <f t="shared" si="398"/>
        <v>-487643</v>
      </c>
      <c r="L796" s="118">
        <f t="shared" si="398"/>
        <v>-9094</v>
      </c>
      <c r="M796" s="118">
        <f t="shared" si="398"/>
        <v>-152077</v>
      </c>
      <c r="N796" s="118">
        <f t="shared" si="398"/>
        <v>-20447</v>
      </c>
      <c r="O796" s="118">
        <f t="shared" si="398"/>
        <v>-21119</v>
      </c>
      <c r="P796" s="118">
        <f t="shared" si="398"/>
        <v>0</v>
      </c>
      <c r="Q796" s="118">
        <f t="shared" si="398"/>
        <v>-85959</v>
      </c>
      <c r="R796" s="118">
        <f t="shared" si="398"/>
        <v>-10401</v>
      </c>
      <c r="S796" s="118">
        <f t="shared" si="398"/>
        <v>-57174</v>
      </c>
      <c r="T796" s="118">
        <f t="shared" si="398"/>
        <v>0</v>
      </c>
      <c r="U796" s="118">
        <f t="shared" si="398"/>
        <v>173</v>
      </c>
      <c r="V796" s="118">
        <f t="shared" si="398"/>
        <v>-2930901</v>
      </c>
      <c r="W796" s="118">
        <f t="shared" si="398"/>
        <v>0</v>
      </c>
      <c r="X796" s="150"/>
    </row>
    <row r="797" spans="1:24" ht="20.25">
      <c r="A797" s="240" t="s">
        <v>1254</v>
      </c>
      <c r="B797" s="149" t="s">
        <v>171</v>
      </c>
      <c r="C797" s="132"/>
      <c r="D797" s="202">
        <f aca="true" t="shared" si="399" ref="D797:W797">SUM(D793:D796)</f>
        <v>48805842</v>
      </c>
      <c r="E797" s="202">
        <f t="shared" si="399"/>
        <v>19861456</v>
      </c>
      <c r="F797" s="202">
        <f t="shared" si="399"/>
        <v>15533238</v>
      </c>
      <c r="G797" s="202">
        <f t="shared" si="399"/>
        <v>27870</v>
      </c>
      <c r="H797" s="202">
        <f t="shared" si="399"/>
        <v>124592</v>
      </c>
      <c r="I797" s="202">
        <f t="shared" si="399"/>
        <v>116256</v>
      </c>
      <c r="J797" s="202">
        <f t="shared" si="399"/>
        <v>9811</v>
      </c>
      <c r="K797" s="202">
        <f t="shared" si="399"/>
        <v>7335475</v>
      </c>
      <c r="L797" s="202">
        <f t="shared" si="399"/>
        <v>125620</v>
      </c>
      <c r="M797" s="202">
        <f t="shared" si="399"/>
        <v>2847948</v>
      </c>
      <c r="N797" s="202">
        <f t="shared" si="399"/>
        <v>274750</v>
      </c>
      <c r="O797" s="202">
        <f t="shared" si="399"/>
        <v>319850</v>
      </c>
      <c r="P797" s="202">
        <f t="shared" si="399"/>
        <v>0</v>
      </c>
      <c r="Q797" s="202">
        <f t="shared" si="399"/>
        <v>1305129</v>
      </c>
      <c r="R797" s="202">
        <f t="shared" si="399"/>
        <v>132823</v>
      </c>
      <c r="S797" s="202">
        <f t="shared" si="399"/>
        <v>790435</v>
      </c>
      <c r="T797" s="202">
        <f t="shared" si="399"/>
        <v>0</v>
      </c>
      <c r="U797" s="202">
        <f t="shared" si="399"/>
        <v>589</v>
      </c>
      <c r="V797" s="202">
        <f t="shared" si="399"/>
        <v>48805842</v>
      </c>
      <c r="W797" s="202">
        <f t="shared" si="399"/>
        <v>0</v>
      </c>
      <c r="X797" s="150"/>
    </row>
    <row r="798" spans="1:24" ht="20.25">
      <c r="A798" s="132"/>
      <c r="B798" s="132"/>
      <c r="C798" s="132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50"/>
    </row>
    <row r="799" spans="1:47" ht="20.25">
      <c r="A799" s="132" t="s">
        <v>1255</v>
      </c>
      <c r="B799" s="132" t="s">
        <v>172</v>
      </c>
      <c r="C799" s="132"/>
      <c r="D799" s="326">
        <f aca="true" t="shared" si="400" ref="D799:W799">IF(D338=0,0,ROUND(D797/D338,9))</f>
        <v>0.087610003</v>
      </c>
      <c r="E799" s="326">
        <f t="shared" si="400"/>
        <v>0.069517109</v>
      </c>
      <c r="F799" s="326">
        <f t="shared" si="400"/>
        <v>0.120716878</v>
      </c>
      <c r="G799" s="326">
        <f t="shared" si="400"/>
        <v>0.226754971</v>
      </c>
      <c r="H799" s="326">
        <f t="shared" si="400"/>
        <v>0.239937759</v>
      </c>
      <c r="I799" s="326">
        <f t="shared" si="400"/>
        <v>0.05165705</v>
      </c>
      <c r="J799" s="326">
        <f t="shared" si="400"/>
        <v>0.16495452</v>
      </c>
      <c r="K799" s="326">
        <f t="shared" si="400"/>
        <v>0.101785154</v>
      </c>
      <c r="L799" s="326">
        <f t="shared" si="400"/>
        <v>0.130018258</v>
      </c>
      <c r="M799" s="326">
        <f t="shared" si="400"/>
        <v>0.068789157</v>
      </c>
      <c r="N799" s="326">
        <f t="shared" si="400"/>
        <v>0.140879013</v>
      </c>
      <c r="O799" s="326">
        <f t="shared" si="400"/>
        <v>0.099433894</v>
      </c>
      <c r="P799" s="326">
        <f t="shared" si="400"/>
        <v>0</v>
      </c>
      <c r="Q799" s="326">
        <f t="shared" si="400"/>
        <v>0.095876337</v>
      </c>
      <c r="R799" s="326">
        <f t="shared" si="400"/>
        <v>0.168090166</v>
      </c>
      <c r="S799" s="326">
        <f t="shared" si="400"/>
        <v>0.139539962</v>
      </c>
      <c r="T799" s="326">
        <f t="shared" si="400"/>
        <v>0</v>
      </c>
      <c r="U799" s="326">
        <f t="shared" si="400"/>
        <v>0.007582292</v>
      </c>
      <c r="V799" s="326">
        <f t="shared" si="400"/>
        <v>0.087610003</v>
      </c>
      <c r="W799" s="326">
        <f t="shared" si="400"/>
        <v>0</v>
      </c>
      <c r="X799" s="327"/>
      <c r="Y799" s="157"/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</row>
    <row r="800" spans="1:24" ht="15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</row>
    <row r="801" spans="1:24" ht="18">
      <c r="A801" s="339"/>
      <c r="B801" s="149"/>
      <c r="C801" s="136"/>
      <c r="D801" s="340"/>
      <c r="E801" s="340"/>
      <c r="F801" s="340"/>
      <c r="G801" s="340"/>
      <c r="H801" s="340"/>
      <c r="I801" s="340"/>
      <c r="J801" s="340"/>
      <c r="K801" s="340"/>
      <c r="L801" s="340"/>
      <c r="M801" s="340"/>
      <c r="N801" s="340"/>
      <c r="O801" s="340"/>
      <c r="P801" s="340"/>
      <c r="Q801" s="340"/>
      <c r="R801" s="340"/>
      <c r="S801" s="340"/>
      <c r="T801" s="340"/>
      <c r="U801" s="340"/>
      <c r="V801" s="340"/>
      <c r="W801" s="340"/>
      <c r="X801" s="341"/>
    </row>
    <row r="802" spans="1:24" ht="18">
      <c r="A802" s="136"/>
      <c r="B802" s="149"/>
      <c r="C802" s="136"/>
      <c r="D802" s="342"/>
      <c r="E802" s="342"/>
      <c r="F802" s="342"/>
      <c r="G802" s="342"/>
      <c r="H802" s="342"/>
      <c r="I802" s="342"/>
      <c r="J802" s="342"/>
      <c r="K802" s="342"/>
      <c r="L802" s="342"/>
      <c r="M802" s="342"/>
      <c r="N802" s="342"/>
      <c r="O802" s="342"/>
      <c r="P802" s="342"/>
      <c r="Q802" s="342"/>
      <c r="R802" s="342"/>
      <c r="S802" s="342"/>
      <c r="T802" s="342"/>
      <c r="U802" s="342"/>
      <c r="V802" s="342"/>
      <c r="W802" s="342"/>
      <c r="X802" s="136"/>
    </row>
    <row r="803" spans="1:24" ht="18">
      <c r="A803" s="136"/>
      <c r="B803" s="136"/>
      <c r="C803" s="136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  <c r="W803" s="342"/>
      <c r="X803" s="136"/>
    </row>
    <row r="804" spans="1:24" ht="18">
      <c r="A804" s="136"/>
      <c r="B804" s="136"/>
      <c r="C804" s="136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  <c r="W804" s="342"/>
      <c r="X804" s="136"/>
    </row>
    <row r="805" spans="1:24" ht="18">
      <c r="A805" s="136"/>
      <c r="B805" s="136"/>
      <c r="C805" s="136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  <c r="W805" s="342"/>
      <c r="X805" s="136"/>
    </row>
    <row r="806" spans="1:24" ht="18">
      <c r="A806" s="136"/>
      <c r="B806" s="136"/>
      <c r="C806" s="136"/>
      <c r="D806" s="342"/>
      <c r="E806" s="342"/>
      <c r="F806" s="342"/>
      <c r="G806" s="342"/>
      <c r="H806" s="342"/>
      <c r="I806" s="342"/>
      <c r="J806" s="342"/>
      <c r="K806" s="342"/>
      <c r="L806" s="342"/>
      <c r="M806" s="342"/>
      <c r="N806" s="342"/>
      <c r="O806" s="342"/>
      <c r="P806" s="342"/>
      <c r="Q806" s="342"/>
      <c r="R806" s="342"/>
      <c r="S806" s="342"/>
      <c r="T806" s="342"/>
      <c r="U806" s="342"/>
      <c r="V806" s="342"/>
      <c r="W806" s="342"/>
      <c r="X806" s="136"/>
    </row>
    <row r="807" spans="1:24" ht="18">
      <c r="A807" s="136"/>
      <c r="B807" s="136"/>
      <c r="C807" s="136"/>
      <c r="D807" s="342"/>
      <c r="E807" s="342"/>
      <c r="F807" s="342"/>
      <c r="G807" s="342"/>
      <c r="H807" s="342"/>
      <c r="I807" s="342"/>
      <c r="J807" s="342"/>
      <c r="K807" s="342"/>
      <c r="L807" s="342"/>
      <c r="M807" s="342"/>
      <c r="N807" s="342"/>
      <c r="O807" s="342"/>
      <c r="P807" s="342"/>
      <c r="Q807" s="342"/>
      <c r="R807" s="342"/>
      <c r="S807" s="342"/>
      <c r="T807" s="342"/>
      <c r="U807" s="342"/>
      <c r="V807" s="342"/>
      <c r="W807" s="342"/>
      <c r="X807" s="136"/>
    </row>
    <row r="808" spans="1:24" ht="18">
      <c r="A808" s="136"/>
      <c r="B808" s="136"/>
      <c r="C808" s="136"/>
      <c r="D808" s="342"/>
      <c r="E808" s="342"/>
      <c r="F808" s="342"/>
      <c r="G808" s="342"/>
      <c r="H808" s="342"/>
      <c r="I808" s="342"/>
      <c r="J808" s="342"/>
      <c r="K808" s="342"/>
      <c r="L808" s="342"/>
      <c r="M808" s="342"/>
      <c r="N808" s="342"/>
      <c r="O808" s="342"/>
      <c r="P808" s="342"/>
      <c r="Q808" s="342"/>
      <c r="R808" s="342"/>
      <c r="S808" s="342"/>
      <c r="T808" s="342"/>
      <c r="U808" s="342"/>
      <c r="V808" s="342"/>
      <c r="W808" s="342"/>
      <c r="X808" s="136"/>
    </row>
    <row r="809" spans="1:24" ht="15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</row>
    <row r="810" spans="1:24" ht="15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</row>
    <row r="811" spans="1:24" ht="15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</row>
    <row r="812" spans="1:24" ht="15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</row>
    <row r="813" spans="1:24" ht="15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</row>
    <row r="814" spans="1:24" ht="15">
      <c r="A814" s="132" t="s">
        <v>198</v>
      </c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</row>
    <row r="815" spans="1:24" ht="15">
      <c r="A815" s="132" t="s">
        <v>199</v>
      </c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</row>
    <row r="816" spans="1:24" ht="15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</row>
    <row r="817" spans="1:24" ht="15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</row>
    <row r="818" spans="1:24" ht="15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</row>
    <row r="819" spans="1:24" ht="15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</row>
    <row r="820" spans="1:24" ht="15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</row>
    <row r="821" spans="1:24" ht="15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</row>
    <row r="822" spans="1:24" ht="15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</row>
    <row r="823" spans="1:24" ht="15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</row>
    <row r="824" spans="1:24" ht="15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</row>
    <row r="825" spans="1:24" ht="15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</row>
    <row r="826" spans="1:24" ht="15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</row>
    <row r="827" spans="1:24" ht="15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</row>
    <row r="828" spans="1:24" ht="15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</row>
    <row r="829" spans="1:24" ht="15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</row>
    <row r="830" spans="1:24" ht="15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</row>
    <row r="831" spans="1:24" ht="15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</row>
    <row r="832" spans="1:24" ht="15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</row>
    <row r="833" spans="1:24" ht="15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</row>
    <row r="834" spans="1:24" ht="15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</row>
    <row r="835" spans="1:24" ht="15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</row>
    <row r="836" spans="1:24" ht="15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</row>
    <row r="837" spans="1:24" ht="15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</row>
    <row r="838" spans="1:24" ht="15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</row>
    <row r="839" spans="1:24" ht="15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</row>
    <row r="840" spans="1:24" ht="15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</row>
    <row r="841" spans="1:24" ht="15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</row>
    <row r="842" spans="1:24" ht="15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</row>
    <row r="843" spans="1:24" ht="15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</row>
    <row r="844" spans="1:24" ht="15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</row>
    <row r="845" spans="1:24" ht="15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</row>
    <row r="846" spans="1:24" ht="15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</row>
    <row r="847" spans="1:24" ht="15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</row>
    <row r="848" spans="1:24" ht="15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</row>
    <row r="849" spans="1:24" ht="15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</row>
    <row r="850" spans="1:24" ht="15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</row>
    <row r="851" spans="1:24" ht="15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</row>
    <row r="852" spans="1:24" ht="15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</row>
    <row r="853" spans="1:24" ht="15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</row>
    <row r="854" spans="1:24" ht="15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</row>
    <row r="855" spans="1:24" ht="15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</row>
    <row r="856" spans="1:24" ht="15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</row>
    <row r="857" spans="1:24" ht="15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</row>
    <row r="858" spans="1:24" ht="15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</row>
    <row r="859" spans="1:24" ht="15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</row>
    <row r="860" spans="1:24" ht="15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</row>
    <row r="861" spans="1:24" ht="15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</row>
    <row r="862" spans="1:24" ht="15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</row>
    <row r="863" spans="1:24" ht="15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</row>
    <row r="864" spans="1:24" ht="15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</row>
    <row r="865" spans="1:24" ht="15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</row>
    <row r="866" spans="1:24" ht="15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</row>
    <row r="867" spans="1:24" ht="15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</row>
    <row r="868" spans="1:24" ht="15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</row>
    <row r="869" spans="1:24" ht="15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</row>
    <row r="870" spans="1:24" ht="15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</row>
    <row r="871" spans="1:24" ht="15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</row>
    <row r="872" spans="1:24" ht="15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</row>
    <row r="873" spans="1:24" ht="15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</row>
    <row r="874" spans="1:24" ht="15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</row>
    <row r="875" spans="1:24" ht="15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</row>
    <row r="876" spans="1:24" ht="15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</row>
    <row r="877" spans="1:24" ht="15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</row>
    <row r="878" spans="1:24" ht="15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</row>
    <row r="879" spans="1:24" ht="15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</row>
    <row r="880" spans="1:24" ht="15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</row>
    <row r="881" spans="1:24" ht="15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</row>
    <row r="882" spans="1:24" ht="15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</row>
    <row r="883" spans="1:24" ht="15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</row>
    <row r="884" spans="1:24" ht="15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</row>
    <row r="885" spans="1:24" ht="15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</row>
    <row r="886" spans="1:24" ht="15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</row>
    <row r="887" spans="1:24" ht="15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</row>
    <row r="888" spans="1:24" ht="15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</row>
    <row r="889" spans="1:24" ht="15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</row>
    <row r="890" spans="1:24" ht="15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</row>
    <row r="891" spans="1:24" ht="15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</row>
    <row r="892" spans="1:24" ht="15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</row>
    <row r="893" spans="1:24" ht="15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</row>
    <row r="894" spans="1:24" ht="15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</row>
    <row r="895" spans="1:24" ht="15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</row>
    <row r="896" spans="1:24" ht="15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</row>
    <row r="897" spans="1:24" ht="15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</row>
    <row r="898" spans="1:24" ht="15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</row>
    <row r="899" spans="1:24" ht="15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</row>
    <row r="900" spans="1:24" ht="15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</row>
    <row r="901" spans="1:24" ht="15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</row>
    <row r="902" spans="1:24" ht="15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</row>
    <row r="903" spans="1:24" ht="15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</row>
    <row r="904" spans="1:24" ht="15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</row>
    <row r="905" spans="1:24" ht="15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</row>
    <row r="906" spans="1:24" ht="15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</row>
    <row r="907" spans="1:24" ht="15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</row>
    <row r="908" spans="1:24" ht="15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</row>
    <row r="909" spans="1:24" ht="15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</row>
    <row r="910" spans="1:24" ht="15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</row>
    <row r="911" spans="1:24" ht="15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</row>
    <row r="912" spans="1:24" ht="15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</row>
    <row r="913" spans="1:24" ht="15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</row>
    <row r="914" spans="1:24" ht="15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</row>
    <row r="915" spans="1:24" ht="15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</row>
    <row r="916" spans="1:24" ht="15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</row>
    <row r="917" spans="1:24" ht="15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</row>
    <row r="918" spans="1:24" ht="15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</row>
    <row r="919" spans="1:24" ht="15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</row>
    <row r="920" spans="1:24" ht="15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</row>
    <row r="921" spans="1:24" ht="15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</row>
    <row r="922" spans="1:24" ht="15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</row>
    <row r="923" spans="1:24" ht="15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</row>
    <row r="924" spans="1:24" ht="15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</row>
    <row r="925" spans="1:24" ht="15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</row>
    <row r="926" spans="1:24" ht="15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</row>
    <row r="927" spans="1:24" ht="15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</row>
    <row r="928" spans="1:24" ht="15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</row>
    <row r="929" spans="1:24" ht="15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</row>
    <row r="930" spans="1:24" ht="15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</row>
    <row r="931" spans="1:24" ht="15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</row>
    <row r="932" spans="1:24" ht="15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</row>
    <row r="933" spans="1:24" ht="15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</row>
    <row r="934" spans="1:24" ht="15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</row>
    <row r="935" spans="1:24" ht="15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</row>
    <row r="936" spans="1:24" ht="15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</row>
    <row r="937" spans="1:24" ht="15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</row>
    <row r="938" spans="1:24" ht="15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</row>
    <row r="939" spans="1:24" ht="15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</row>
    <row r="940" spans="1:24" ht="15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</row>
    <row r="941" spans="1:24" ht="15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</row>
    <row r="942" spans="1:24" ht="15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</row>
    <row r="943" spans="1:24" ht="15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</row>
    <row r="944" spans="1:24" ht="15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</row>
    <row r="945" spans="1:24" ht="15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</row>
    <row r="946" spans="1:24" ht="15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</row>
    <row r="947" spans="1:24" ht="15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</row>
    <row r="948" spans="1:24" ht="15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</row>
    <row r="949" spans="1:24" ht="15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</row>
    <row r="950" spans="1:24" ht="15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</row>
    <row r="951" spans="1:24" ht="15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</row>
    <row r="952" spans="1:24" ht="15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</row>
    <row r="953" spans="1:24" ht="15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</row>
    <row r="954" spans="1:24" ht="15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</row>
    <row r="955" spans="1:24" ht="15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</row>
    <row r="956" spans="1:24" ht="15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</row>
    <row r="957" spans="1:24" ht="15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</row>
    <row r="958" spans="1:24" ht="15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</row>
    <row r="959" spans="1:24" ht="15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</row>
    <row r="960" spans="1:24" ht="15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</row>
    <row r="961" spans="1:24" ht="15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</row>
    <row r="962" spans="1:24" ht="15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</row>
    <row r="963" spans="1:24" ht="15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</row>
    <row r="964" spans="1:24" ht="15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</row>
    <row r="965" spans="1:24" ht="1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</row>
    <row r="966" spans="1:24" ht="15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</row>
    <row r="967" spans="1:24" ht="15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</row>
    <row r="968" spans="1:24" ht="15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</row>
    <row r="969" spans="1:24" ht="15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</row>
    <row r="970" spans="1:24" ht="15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</row>
    <row r="971" spans="1:24" ht="15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</row>
    <row r="972" spans="1:24" ht="15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</row>
    <row r="973" spans="1:24" ht="15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</row>
    <row r="974" spans="1:24" ht="15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</row>
    <row r="975" spans="1:24" ht="1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</row>
    <row r="976" spans="1:24" ht="15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</row>
    <row r="977" spans="1:24" ht="15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</row>
    <row r="978" spans="1:24" ht="15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</row>
    <row r="979" spans="1:24" ht="15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</row>
    <row r="980" spans="1:24" ht="15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</row>
    <row r="981" spans="1:24" ht="15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</row>
    <row r="982" spans="1:24" ht="15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</row>
    <row r="983" spans="1:24" ht="15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</row>
    <row r="984" spans="1:24" ht="15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</row>
    <row r="985" spans="1:24" ht="1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</row>
    <row r="986" spans="1:24" ht="15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</row>
    <row r="987" spans="1:24" ht="15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</row>
    <row r="988" spans="1:24" ht="15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</row>
    <row r="989" spans="1:24" ht="15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</row>
    <row r="990" spans="1:24" ht="15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</row>
    <row r="991" spans="1:24" ht="15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</row>
    <row r="992" spans="1:24" ht="15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</row>
    <row r="993" spans="1:24" ht="15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</row>
    <row r="994" spans="1:24" ht="15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</row>
    <row r="995" spans="1:24" ht="1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</row>
    <row r="996" spans="1:24" ht="15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</row>
    <row r="997" spans="1:24" ht="15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</row>
    <row r="998" spans="1:24" ht="15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</row>
    <row r="999" spans="1:24" ht="15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</row>
    <row r="1000" spans="1:24" ht="15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</row>
    <row r="1001" spans="1:24" ht="15">
      <c r="A1001" s="136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</row>
    <row r="1002" spans="1:24" ht="15">
      <c r="A1002" s="136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</row>
    <row r="1003" spans="1:24" ht="15">
      <c r="A1003" s="136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</row>
    <row r="1004" spans="1:24" ht="15">
      <c r="A1004" s="136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</row>
    <row r="1005" spans="1:24" ht="15">
      <c r="A1005" s="136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</row>
    <row r="1006" spans="1:24" ht="15">
      <c r="A1006" s="136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</row>
    <row r="1007" spans="1:24" ht="15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</row>
    <row r="1008" spans="1:24" ht="1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</row>
    <row r="1009" spans="1:24" ht="15">
      <c r="A1009" s="136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</row>
    <row r="1010" spans="1:24" ht="15">
      <c r="A1010" s="136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</row>
  </sheetData>
  <printOptions headings="1"/>
  <pageMargins left="0.4" right="0.09" top="1" bottom="0.45" header="0.5" footer="0.3"/>
  <pageSetup horizontalDpi="300" verticalDpi="300" orientation="landscape" pageOrder="overThenDown" scale="40" r:id="rId4"/>
  <headerFooter alignWithMargins="0">
    <oddHeader>&amp;RPAGE  &amp;P OF &amp;N</oddHeader>
    <oddFooter>&amp;L&amp;Z&amp;F&amp;CELECTRIC CASE NO:  2006-00172&amp;R&amp;D  &amp;T</oddFooter>
  </headerFooter>
  <rowBreaks count="18" manualBreakCount="18">
    <brk id="47" max="22" man="1"/>
    <brk id="97" max="22" man="1"/>
    <brk id="148" max="22" man="1"/>
    <brk id="199" max="22" man="1"/>
    <brk id="234" max="22" man="1"/>
    <brk id="285" max="22" man="1"/>
    <brk id="297" max="22" man="1"/>
    <brk id="342" max="22" man="1"/>
    <brk id="392" max="22" man="1"/>
    <brk id="436" max="22" man="1"/>
    <brk id="465" max="22" man="1"/>
    <brk id="497" max="22" man="1"/>
    <brk id="552" max="22" man="1"/>
    <brk id="586" max="22" man="1"/>
    <brk id="626" max="22" man="1"/>
    <brk id="654" max="22" man="1"/>
    <brk id="695" max="255" man="1"/>
    <brk id="744" max="2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BP99"/>
  <sheetViews>
    <sheetView zoomScale="75" zoomScaleNormal="75" workbookViewId="0" topLeftCell="A4">
      <selection activeCell="C21" sqref="C21"/>
    </sheetView>
  </sheetViews>
  <sheetFormatPr defaultColWidth="9.77734375" defaultRowHeight="15"/>
  <cols>
    <col min="1" max="1" width="7.77734375" style="0" customWidth="1"/>
    <col min="2" max="2" width="21.3359375" style="0" customWidth="1"/>
    <col min="3" max="3" width="20.6640625" style="0" customWidth="1"/>
    <col min="4" max="4" width="16.5546875" style="0" customWidth="1"/>
    <col min="5" max="5" width="17.5546875" style="0" customWidth="1"/>
    <col min="6" max="6" width="16.6640625" style="0" customWidth="1"/>
    <col min="7" max="7" width="18.10546875" style="0" customWidth="1"/>
    <col min="8" max="8" width="16.77734375" style="0" customWidth="1"/>
    <col min="9" max="9" width="1.5625" style="0" customWidth="1"/>
    <col min="10" max="10" width="12.6640625" style="0" customWidth="1"/>
    <col min="11" max="11" width="13.10546875" style="0" customWidth="1"/>
    <col min="12" max="12" width="13.21484375" style="0" customWidth="1"/>
    <col min="14" max="14" width="13.21484375" style="0" customWidth="1"/>
    <col min="16" max="16" width="12.77734375" style="0" customWidth="1"/>
  </cols>
  <sheetData>
    <row r="1" spans="1:3" ht="15">
      <c r="A1" s="366" t="s">
        <v>716</v>
      </c>
      <c r="B1" s="366"/>
      <c r="C1" s="366"/>
    </row>
    <row r="2" spans="1:3" ht="15">
      <c r="A2" s="366" t="s">
        <v>717</v>
      </c>
      <c r="B2" s="366"/>
      <c r="C2" s="366"/>
    </row>
    <row r="3" spans="1:3" ht="15">
      <c r="A3" s="366" t="str">
        <f>orig_alloc!B4</f>
        <v>TWELVE MONTHS ENDING DECEMBER 31, 2007</v>
      </c>
      <c r="B3" s="366"/>
      <c r="C3" s="366"/>
    </row>
    <row r="4" ht="15">
      <c r="A4" s="15"/>
    </row>
    <row r="5" spans="1:3" ht="15">
      <c r="A5" s="366" t="s">
        <v>1328</v>
      </c>
      <c r="B5" s="366"/>
      <c r="C5" s="366"/>
    </row>
    <row r="6" spans="1:3" ht="15">
      <c r="A6" s="365" t="s">
        <v>866</v>
      </c>
      <c r="B6" s="365"/>
      <c r="C6" s="365"/>
    </row>
    <row r="8" spans="1:3" ht="15">
      <c r="A8" s="21"/>
      <c r="B8" s="13"/>
      <c r="C8" s="43"/>
    </row>
    <row r="9" spans="1:2" ht="15">
      <c r="A9" s="31"/>
      <c r="B9" s="31"/>
    </row>
    <row r="10" spans="1:16" ht="15">
      <c r="A10" s="51" t="s">
        <v>1333</v>
      </c>
      <c r="C10" s="32"/>
      <c r="D10" s="32"/>
      <c r="E10" s="32"/>
      <c r="F10" s="32"/>
      <c r="G10" s="32"/>
      <c r="H10" s="32"/>
      <c r="I10" s="31"/>
      <c r="J10" s="31"/>
      <c r="K10" s="31"/>
      <c r="L10" s="13"/>
      <c r="M10" s="13"/>
      <c r="N10" s="13"/>
      <c r="O10" s="13"/>
      <c r="P10" s="13"/>
    </row>
    <row r="11" spans="1:16" ht="15">
      <c r="A11" s="32"/>
      <c r="B11" s="32"/>
      <c r="C11" s="33"/>
      <c r="D11" s="35" t="s">
        <v>286</v>
      </c>
      <c r="E11" s="35" t="s">
        <v>751</v>
      </c>
      <c r="F11" s="35" t="s">
        <v>287</v>
      </c>
      <c r="G11" s="35" t="s">
        <v>752</v>
      </c>
      <c r="H11" s="10" t="s">
        <v>297</v>
      </c>
      <c r="I11" s="31"/>
      <c r="J11" s="31"/>
      <c r="K11" s="31"/>
      <c r="L11" s="13"/>
      <c r="M11" s="13"/>
      <c r="N11" s="13"/>
      <c r="O11" s="13"/>
      <c r="P11" s="13"/>
    </row>
    <row r="12" spans="1:16" ht="15">
      <c r="A12" s="32"/>
      <c r="B12" s="32"/>
      <c r="C12" s="353" t="s">
        <v>1184</v>
      </c>
      <c r="D12" s="35" t="s">
        <v>288</v>
      </c>
      <c r="E12" s="35" t="s">
        <v>288</v>
      </c>
      <c r="F12" s="35" t="s">
        <v>288</v>
      </c>
      <c r="G12" s="35" t="s">
        <v>288</v>
      </c>
      <c r="H12" s="10" t="s">
        <v>895</v>
      </c>
      <c r="I12" s="31"/>
      <c r="J12" s="31"/>
      <c r="K12" s="31"/>
      <c r="L12" s="13"/>
      <c r="M12" s="13"/>
      <c r="N12" s="13"/>
      <c r="O12" s="13"/>
      <c r="P12" s="13"/>
    </row>
    <row r="13" spans="1:16" ht="15">
      <c r="A13" s="32"/>
      <c r="B13" s="32" t="s">
        <v>289</v>
      </c>
      <c r="C13" s="354">
        <v>7415988</v>
      </c>
      <c r="D13" s="34">
        <f>(ROUND((D$20/C$20*$C13)/1000,0))*1000</f>
        <v>1445000</v>
      </c>
      <c r="E13" s="210">
        <f>(ROUND((E$20/$C$20*$C13)/1000,0))*1000</f>
        <v>768000</v>
      </c>
      <c r="F13" s="34">
        <f>(ROUND((F$20/$C$20*$C13)/1000,0))*1000</f>
        <v>8873000</v>
      </c>
      <c r="G13" s="34">
        <f>(ROUND((G$20/$C$20*$C13)/1000,0))*1000</f>
        <v>4301000</v>
      </c>
      <c r="H13" s="34">
        <f>(ROUND((H$20/$C$20*$C13),0))</f>
        <v>10928785</v>
      </c>
      <c r="I13" s="31"/>
      <c r="J13" s="31"/>
      <c r="K13" s="34"/>
      <c r="L13" s="14"/>
      <c r="M13" s="14"/>
      <c r="N13" s="14"/>
      <c r="O13" s="13"/>
      <c r="P13" s="13"/>
    </row>
    <row r="14" spans="1:16" ht="15">
      <c r="A14" s="32"/>
      <c r="B14" s="32" t="s">
        <v>290</v>
      </c>
      <c r="C14" s="354">
        <v>3220299</v>
      </c>
      <c r="D14" s="34">
        <f>(ROUND((D$20/C$20*$C14)/1000,0))*1000</f>
        <v>627000</v>
      </c>
      <c r="E14" s="34">
        <f aca="true" t="shared" si="0" ref="E14:G19">(ROUND((E$20/$C$20*$C14)/1000,0))*1000</f>
        <v>334000</v>
      </c>
      <c r="F14" s="34">
        <f t="shared" si="0"/>
        <v>3853000</v>
      </c>
      <c r="G14" s="34">
        <f t="shared" si="0"/>
        <v>1868000</v>
      </c>
      <c r="H14" s="34">
        <f aca="true" t="shared" si="1" ref="H14:H19">(ROUND((H$20/$C$20*$C14),0))</f>
        <v>4745687</v>
      </c>
      <c r="I14" s="31"/>
      <c r="J14" s="31"/>
      <c r="K14" s="34"/>
      <c r="L14" s="14"/>
      <c r="M14" s="14"/>
      <c r="N14" s="14"/>
      <c r="O14" s="13"/>
      <c r="P14" s="13"/>
    </row>
    <row r="15" spans="1:16" ht="15">
      <c r="A15" s="32"/>
      <c r="B15" s="32" t="s">
        <v>291</v>
      </c>
      <c r="C15" s="355">
        <v>475385</v>
      </c>
      <c r="D15" s="34">
        <f>(ROUND((D$20/C$20*$C15)/1000,0))*1000</f>
        <v>93000</v>
      </c>
      <c r="E15" s="34">
        <f t="shared" si="0"/>
        <v>49000</v>
      </c>
      <c r="F15" s="34">
        <f t="shared" si="0"/>
        <v>569000</v>
      </c>
      <c r="G15" s="34">
        <f t="shared" si="0"/>
        <v>276000</v>
      </c>
      <c r="H15" s="34">
        <f>(ROUND((H$20/$C$20*$C15),0))</f>
        <v>700565</v>
      </c>
      <c r="I15" s="31"/>
      <c r="J15" s="34"/>
      <c r="K15" s="34"/>
      <c r="L15" s="14"/>
      <c r="M15" s="14"/>
      <c r="N15" s="14"/>
      <c r="O15" s="13"/>
      <c r="P15" s="13"/>
    </row>
    <row r="16" spans="1:16" ht="15">
      <c r="A16" s="32"/>
      <c r="B16" s="32" t="s">
        <v>292</v>
      </c>
      <c r="C16" s="355">
        <v>3098017</v>
      </c>
      <c r="D16" s="34">
        <f>D20-SUM(D17:D19)-SUM(D13:D15)</f>
        <v>603000</v>
      </c>
      <c r="E16" s="34">
        <f>E20-SUM(E17:E19)-SUM(E13:E15)</f>
        <v>321000</v>
      </c>
      <c r="F16" s="34">
        <f>F20-SUM(F17:F19)-SUM(F13:F15)</f>
        <v>3708000</v>
      </c>
      <c r="G16" s="34">
        <f>G20-SUM(G17:G19)-SUM(G13:G15)</f>
        <v>1796000</v>
      </c>
      <c r="H16" s="34">
        <f>H20-SUM(H17:H19)-SUM(H13:H15)</f>
        <v>4565482</v>
      </c>
      <c r="I16" s="31"/>
      <c r="J16" s="34"/>
      <c r="K16" s="34"/>
      <c r="L16" s="14"/>
      <c r="M16" s="14"/>
      <c r="N16" s="14"/>
      <c r="O16" s="13"/>
      <c r="P16" s="13"/>
    </row>
    <row r="17" spans="1:16" ht="15">
      <c r="A17" s="32"/>
      <c r="B17" s="32" t="s">
        <v>293</v>
      </c>
      <c r="C17" s="355">
        <v>3068395</v>
      </c>
      <c r="D17" s="34">
        <f>(ROUND((D$20/C$20*$C17)/1000,0))*1000</f>
        <v>598000</v>
      </c>
      <c r="E17" s="34">
        <f t="shared" si="0"/>
        <v>318000</v>
      </c>
      <c r="F17" s="34">
        <f t="shared" si="0"/>
        <v>3671000</v>
      </c>
      <c r="G17" s="34">
        <f t="shared" si="0"/>
        <v>1780000</v>
      </c>
      <c r="H17" s="34">
        <f t="shared" si="1"/>
        <v>4521829</v>
      </c>
      <c r="I17" s="31"/>
      <c r="J17" s="34"/>
      <c r="K17" s="34"/>
      <c r="L17" s="14"/>
      <c r="M17" s="14"/>
      <c r="N17" s="14"/>
      <c r="O17" s="13"/>
      <c r="P17" s="13"/>
    </row>
    <row r="18" spans="1:16" ht="15">
      <c r="A18" s="32"/>
      <c r="B18" s="32" t="s">
        <v>294</v>
      </c>
      <c r="C18" s="355">
        <v>353775</v>
      </c>
      <c r="D18" s="34">
        <f>(ROUND((D$20/C$20*$C18)/1000,0))*1000</f>
        <v>69000</v>
      </c>
      <c r="E18" s="34">
        <f t="shared" si="0"/>
        <v>37000</v>
      </c>
      <c r="F18" s="34">
        <f t="shared" si="0"/>
        <v>423000</v>
      </c>
      <c r="G18" s="34">
        <f t="shared" si="0"/>
        <v>205000</v>
      </c>
      <c r="H18" s="34">
        <f t="shared" si="1"/>
        <v>521351</v>
      </c>
      <c r="I18" s="31"/>
      <c r="J18" s="34"/>
      <c r="K18" s="34"/>
      <c r="L18" s="14"/>
      <c r="M18" s="14"/>
      <c r="N18" s="14"/>
      <c r="O18" s="13"/>
      <c r="P18" s="13"/>
    </row>
    <row r="19" spans="1:16" ht="15">
      <c r="A19" s="32"/>
      <c r="B19" s="32" t="s">
        <v>295</v>
      </c>
      <c r="C19" s="356">
        <v>0</v>
      </c>
      <c r="D19" s="34">
        <f>(ROUND((D$20/C$20*$C19)/1000,0))*1000</f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1"/>
        <v>0</v>
      </c>
      <c r="I19" s="31"/>
      <c r="J19" s="34"/>
      <c r="K19" s="34"/>
      <c r="L19" s="14"/>
      <c r="M19" s="14"/>
      <c r="N19" s="14"/>
      <c r="O19" s="13"/>
      <c r="P19" s="13"/>
    </row>
    <row r="20" spans="1:16" ht="15">
      <c r="A20" s="32"/>
      <c r="B20" s="32" t="s">
        <v>296</v>
      </c>
      <c r="C20" s="357">
        <f>SUM(C13:C19)</f>
        <v>17631859</v>
      </c>
      <c r="D20" s="215">
        <v>3435000</v>
      </c>
      <c r="E20" s="215">
        <v>1827000</v>
      </c>
      <c r="F20" s="215">
        <v>21097000</v>
      </c>
      <c r="G20" s="215">
        <v>10226000</v>
      </c>
      <c r="H20" s="215">
        <v>25983699</v>
      </c>
      <c r="I20" s="31"/>
      <c r="J20" s="31"/>
      <c r="K20" s="31"/>
      <c r="L20" s="13"/>
      <c r="M20" s="13"/>
      <c r="N20" s="13"/>
      <c r="O20" s="13"/>
      <c r="P20" s="13"/>
    </row>
    <row r="21" spans="1:16" ht="15">
      <c r="A21" s="32"/>
      <c r="B21" s="32" t="s">
        <v>297</v>
      </c>
      <c r="C21" s="356">
        <v>6332295</v>
      </c>
      <c r="D21" s="61"/>
      <c r="E21" s="35"/>
      <c r="G21" s="32"/>
      <c r="H21" s="33" t="s">
        <v>1258</v>
      </c>
      <c r="I21" s="31"/>
      <c r="J21" s="31"/>
      <c r="K21" s="31"/>
      <c r="L21" s="13"/>
      <c r="M21" s="13"/>
      <c r="N21" s="13"/>
      <c r="O21" s="13"/>
      <c r="P21" s="13"/>
    </row>
    <row r="22" spans="1:16" ht="15">
      <c r="A22" s="32"/>
      <c r="B22" s="32" t="s">
        <v>298</v>
      </c>
      <c r="C22" s="357">
        <f>SUM(C20:C21)</f>
        <v>23964154</v>
      </c>
      <c r="D22" s="34"/>
      <c r="E22" s="209"/>
      <c r="F22" s="32"/>
      <c r="G22" s="32"/>
      <c r="H22" s="32"/>
      <c r="I22" s="31"/>
      <c r="J22" s="31"/>
      <c r="K22" s="31"/>
      <c r="L22" s="13"/>
      <c r="M22" s="13"/>
      <c r="N22" s="13"/>
      <c r="O22" s="13"/>
      <c r="P22" s="13"/>
    </row>
    <row r="23" spans="1:68" ht="15">
      <c r="A23" s="32"/>
      <c r="B23" s="32"/>
      <c r="C23" s="351"/>
      <c r="D23" s="34"/>
      <c r="E23" s="208"/>
      <c r="F23" s="32"/>
      <c r="G23" s="32"/>
      <c r="H23" s="32"/>
      <c r="I23" s="32"/>
      <c r="J23" s="32"/>
      <c r="K23" s="32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5">
      <c r="A24" s="158"/>
      <c r="B24" s="47"/>
      <c r="C24" s="352"/>
      <c r="D24" s="63"/>
      <c r="E24" s="63"/>
      <c r="F24" s="159"/>
      <c r="G24" s="159"/>
      <c r="H24" s="32"/>
      <c r="I24" s="32"/>
      <c r="J24" s="32"/>
      <c r="K24" s="32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5">
      <c r="A25" s="159"/>
      <c r="B25" s="160"/>
      <c r="C25" s="205"/>
      <c r="D25" s="63"/>
      <c r="E25" s="63"/>
      <c r="F25" s="159"/>
      <c r="G25" s="159"/>
      <c r="H25" s="32"/>
      <c r="I25" s="32"/>
      <c r="J25" s="32"/>
      <c r="K25" s="32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">
      <c r="A26" s="158"/>
      <c r="B26" s="159"/>
      <c r="C26" s="206"/>
      <c r="D26" s="162"/>
      <c r="E26" s="163"/>
      <c r="F26" s="162"/>
      <c r="G26" s="47"/>
      <c r="H26" s="32"/>
      <c r="I26" s="32"/>
      <c r="J26" s="32"/>
      <c r="K26" s="32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5">
      <c r="A27" s="159"/>
      <c r="B27" s="164"/>
      <c r="C27" s="161"/>
      <c r="D27" s="165"/>
      <c r="E27" s="166"/>
      <c r="F27" s="162"/>
      <c r="G27" s="275"/>
      <c r="H27" s="32"/>
      <c r="I27" s="32"/>
      <c r="J27" s="32"/>
      <c r="K27" s="32"/>
      <c r="L27" s="3"/>
      <c r="M27" s="3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5">
      <c r="A28" s="159"/>
      <c r="B28" s="159"/>
      <c r="C28" s="63"/>
      <c r="D28" s="169"/>
      <c r="E28" s="63"/>
      <c r="F28" s="63"/>
      <c r="G28" s="274"/>
      <c r="H28" s="32"/>
      <c r="I28" s="32"/>
      <c r="J28" s="32"/>
      <c r="K28" s="32"/>
      <c r="L28" s="3"/>
      <c r="M28" s="3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5">
      <c r="A29" s="159"/>
      <c r="B29" s="159"/>
      <c r="C29" s="63"/>
      <c r="D29" s="169"/>
      <c r="E29" s="63"/>
      <c r="F29" s="63"/>
      <c r="G29" s="274"/>
      <c r="H29" s="32"/>
      <c r="I29" s="32"/>
      <c r="J29" s="32"/>
      <c r="K29" s="32"/>
      <c r="L29" s="3"/>
      <c r="M29" s="3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5">
      <c r="A30" s="159"/>
      <c r="B30" s="168"/>
      <c r="C30" s="63"/>
      <c r="D30" s="169"/>
      <c r="E30" s="63"/>
      <c r="F30" s="63"/>
      <c r="G30" s="274"/>
      <c r="H30" s="32"/>
      <c r="I30" s="32"/>
      <c r="J30" s="32"/>
      <c r="K30" s="32"/>
      <c r="L30" s="3"/>
      <c r="M30" s="3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5">
      <c r="A31" s="159"/>
      <c r="B31" s="168"/>
      <c r="C31" s="64"/>
      <c r="D31" s="63"/>
      <c r="E31" s="210"/>
      <c r="F31" s="63"/>
      <c r="G31" s="47"/>
      <c r="H31" s="32"/>
      <c r="I31" s="32"/>
      <c r="J31" s="32"/>
      <c r="K31" s="32"/>
      <c r="L31" s="3"/>
      <c r="M31" s="3"/>
      <c r="N31" s="3"/>
      <c r="O31" s="3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5">
      <c r="A32" s="159"/>
      <c r="B32" s="164"/>
      <c r="C32" s="63"/>
      <c r="D32" s="169"/>
      <c r="E32" s="63"/>
      <c r="F32" s="63"/>
      <c r="G32" s="47"/>
      <c r="H32" s="32"/>
      <c r="I32" s="32"/>
      <c r="J32" s="32"/>
      <c r="K32" s="32"/>
      <c r="L32" s="3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5">
      <c r="A33" s="159"/>
      <c r="B33" s="159"/>
      <c r="C33" s="63"/>
      <c r="D33" s="63"/>
      <c r="E33" s="63"/>
      <c r="F33" s="63"/>
      <c r="G33" s="47"/>
      <c r="H33" s="32"/>
      <c r="I33" s="32"/>
      <c r="J33" s="32"/>
      <c r="K33" s="32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5">
      <c r="A34" s="159"/>
      <c r="B34" s="159"/>
      <c r="C34" s="63"/>
      <c r="D34" s="63"/>
      <c r="E34" s="63"/>
      <c r="F34" s="63"/>
      <c r="G34" s="47"/>
      <c r="H34" s="32"/>
      <c r="I34" s="32"/>
      <c r="J34" s="32"/>
      <c r="K34" s="32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5">
      <c r="A35" s="159"/>
      <c r="B35" s="168"/>
      <c r="C35" s="63"/>
      <c r="D35" s="63"/>
      <c r="E35" s="63"/>
      <c r="F35" s="63"/>
      <c r="G35" s="47"/>
      <c r="H35" s="32"/>
      <c r="I35" s="32"/>
      <c r="J35" s="32"/>
      <c r="K35" s="32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5">
      <c r="A36" s="159"/>
      <c r="B36" s="168"/>
      <c r="C36" s="64"/>
      <c r="D36" s="63"/>
      <c r="E36" s="63"/>
      <c r="F36" s="63"/>
      <c r="G36" s="47"/>
      <c r="H36" s="32"/>
      <c r="I36" s="32"/>
      <c r="J36" s="32"/>
      <c r="K36" s="32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5">
      <c r="A37" s="159"/>
      <c r="B37" s="164"/>
      <c r="C37" s="63"/>
      <c r="D37" s="170"/>
      <c r="E37" s="170"/>
      <c r="F37" s="159"/>
      <c r="G37" s="47"/>
      <c r="H37" s="32"/>
      <c r="I37" s="32"/>
      <c r="J37" s="32"/>
      <c r="K37" s="32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5">
      <c r="A38" s="159"/>
      <c r="B38" s="159"/>
      <c r="C38" s="63"/>
      <c r="D38" s="63"/>
      <c r="E38" s="63"/>
      <c r="F38" s="63"/>
      <c r="G38" s="47"/>
      <c r="H38" s="32"/>
      <c r="I38" s="32"/>
      <c r="J38" s="32"/>
      <c r="K38" s="32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15">
      <c r="A39" s="159"/>
      <c r="B39" s="159"/>
      <c r="C39" s="63"/>
      <c r="D39" s="63"/>
      <c r="E39" s="63"/>
      <c r="F39" s="63"/>
      <c r="G39" s="47"/>
      <c r="H39" s="32"/>
      <c r="I39" s="32"/>
      <c r="J39" s="32"/>
      <c r="K39" s="32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5">
      <c r="A40" s="159"/>
      <c r="B40" s="168"/>
      <c r="C40" s="63"/>
      <c r="D40" s="63"/>
      <c r="E40" s="63"/>
      <c r="F40" s="63"/>
      <c r="G40" s="47"/>
      <c r="H40" s="32"/>
      <c r="I40" s="32"/>
      <c r="J40" s="32"/>
      <c r="K40" s="32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5">
      <c r="A41" s="159"/>
      <c r="B41" s="159"/>
      <c r="C41" s="63"/>
      <c r="D41" s="63"/>
      <c r="E41" s="170"/>
      <c r="F41" s="159"/>
      <c r="G41" s="47"/>
      <c r="H41" s="32"/>
      <c r="I41" s="32"/>
      <c r="J41" s="32"/>
      <c r="K41" s="32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5">
      <c r="A42" s="159"/>
      <c r="B42" s="171"/>
      <c r="C42" s="172"/>
      <c r="D42" s="162"/>
      <c r="E42" s="163"/>
      <c r="F42" s="162"/>
      <c r="G42" s="47"/>
      <c r="H42" s="32"/>
      <c r="I42" s="32"/>
      <c r="J42" s="32"/>
      <c r="K42" s="32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15">
      <c r="A43" s="159"/>
      <c r="B43" s="159"/>
      <c r="C43" s="63"/>
      <c r="D43" s="63"/>
      <c r="E43" s="63"/>
      <c r="F43" s="63"/>
      <c r="G43" s="47"/>
      <c r="H43" s="32"/>
      <c r="I43" s="32"/>
      <c r="J43" s="32"/>
      <c r="K43" s="32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5">
      <c r="A44" s="159"/>
      <c r="B44" s="159"/>
      <c r="C44" s="63"/>
      <c r="D44" s="63"/>
      <c r="E44" s="63"/>
      <c r="F44" s="63"/>
      <c r="G44" s="47"/>
      <c r="H44" s="32"/>
      <c r="I44" s="32"/>
      <c r="J44" s="32"/>
      <c r="K44" s="32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5">
      <c r="A45" s="159"/>
      <c r="B45" s="167"/>
      <c r="C45" s="63"/>
      <c r="D45" s="63"/>
      <c r="E45" s="63"/>
      <c r="F45" s="63"/>
      <c r="G45" s="47"/>
      <c r="H45" s="34"/>
      <c r="I45" s="36"/>
      <c r="J45" s="32"/>
      <c r="K45" s="32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">
      <c r="A46" s="159"/>
      <c r="B46" s="159"/>
      <c r="C46" s="63"/>
      <c r="D46" s="63"/>
      <c r="E46" s="170"/>
      <c r="F46" s="63"/>
      <c r="G46" s="159"/>
      <c r="H46" s="32"/>
      <c r="I46" s="36"/>
      <c r="J46" s="32"/>
      <c r="K46" s="32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16" ht="15">
      <c r="A47" s="47"/>
      <c r="B47" s="173"/>
      <c r="C47" s="47"/>
      <c r="D47" s="174"/>
      <c r="E47" s="174"/>
      <c r="F47" s="174"/>
      <c r="G47" s="174"/>
      <c r="H47" s="31"/>
      <c r="I47" s="31"/>
      <c r="J47" s="31"/>
      <c r="K47" s="31"/>
      <c r="L47" s="13"/>
      <c r="M47" s="13"/>
      <c r="N47" s="13"/>
      <c r="O47" s="13"/>
      <c r="P47" s="13"/>
    </row>
    <row r="48" spans="1:16" ht="15">
      <c r="A48" s="47"/>
      <c r="B48" s="47"/>
      <c r="C48" s="47"/>
      <c r="D48" s="175"/>
      <c r="E48" s="47"/>
      <c r="F48" s="174"/>
      <c r="G48" s="174"/>
      <c r="H48" s="31"/>
      <c r="I48" s="31"/>
      <c r="J48" s="31"/>
      <c r="K48" s="31"/>
      <c r="L48" s="13"/>
      <c r="M48" s="13"/>
      <c r="N48" s="13"/>
      <c r="O48" s="13"/>
      <c r="P48" s="13"/>
    </row>
    <row r="49" spans="4:16" ht="15">
      <c r="D49" s="37"/>
      <c r="F49" s="31"/>
      <c r="G49" s="31"/>
      <c r="H49" s="31"/>
      <c r="I49" s="31"/>
      <c r="J49" s="31"/>
      <c r="K49" s="31"/>
      <c r="L49" s="13"/>
      <c r="M49" s="13"/>
      <c r="N49" s="13"/>
      <c r="O49" s="13"/>
      <c r="P49" s="13"/>
    </row>
    <row r="50" spans="4:16" ht="15">
      <c r="D50" s="37"/>
      <c r="F50" s="31"/>
      <c r="G50" s="31"/>
      <c r="H50" s="31"/>
      <c r="I50" s="31"/>
      <c r="J50" s="31"/>
      <c r="K50" s="31"/>
      <c r="L50" s="13"/>
      <c r="M50" s="13"/>
      <c r="N50" s="13"/>
      <c r="O50" s="13"/>
      <c r="P50" s="13"/>
    </row>
    <row r="51" spans="4:16" ht="15">
      <c r="D51" s="37"/>
      <c r="F51" s="31"/>
      <c r="G51" s="31"/>
      <c r="H51" s="31"/>
      <c r="I51" s="31"/>
      <c r="J51" s="31"/>
      <c r="K51" s="31"/>
      <c r="L51" s="13"/>
      <c r="M51" s="13"/>
      <c r="N51" s="13"/>
      <c r="O51" s="13"/>
      <c r="P51" s="13"/>
    </row>
    <row r="52" spans="4:16" ht="15">
      <c r="D52" s="37"/>
      <c r="F52" s="31"/>
      <c r="G52" s="31"/>
      <c r="H52" s="31"/>
      <c r="I52" s="31"/>
      <c r="J52" s="31"/>
      <c r="K52" s="31"/>
      <c r="L52" s="13"/>
      <c r="M52" s="13"/>
      <c r="N52" s="13"/>
      <c r="O52" s="13"/>
      <c r="P52" s="13"/>
    </row>
    <row r="53" spans="4:16" ht="15">
      <c r="D53" s="37"/>
      <c r="F53" s="31"/>
      <c r="G53" s="31"/>
      <c r="H53" s="31"/>
      <c r="I53" s="31"/>
      <c r="J53" s="31"/>
      <c r="K53" s="31"/>
      <c r="L53" s="13"/>
      <c r="M53" s="13"/>
      <c r="N53" s="13"/>
      <c r="O53" s="13"/>
      <c r="P53" s="13"/>
    </row>
    <row r="54" spans="4:16" ht="15">
      <c r="D54" s="37"/>
      <c r="E54" s="31"/>
      <c r="F54" s="31"/>
      <c r="G54" s="31"/>
      <c r="H54" s="31"/>
      <c r="I54" s="31"/>
      <c r="J54" s="31"/>
      <c r="K54" s="31"/>
      <c r="L54" s="13"/>
      <c r="M54" s="13"/>
      <c r="N54" s="13"/>
      <c r="O54" s="13"/>
      <c r="P54" s="13"/>
    </row>
    <row r="55" spans="1:16" ht="15">
      <c r="A55" s="31"/>
      <c r="C55" s="38"/>
      <c r="D55" s="38"/>
      <c r="E55" s="38"/>
      <c r="F55" s="38"/>
      <c r="G55" s="38"/>
      <c r="H55" s="38"/>
      <c r="I55" s="38"/>
      <c r="J55" s="31"/>
      <c r="K55" s="39"/>
      <c r="L55" s="13"/>
      <c r="M55" s="13"/>
      <c r="N55" s="13"/>
      <c r="O55" s="13"/>
      <c r="P55" s="13"/>
    </row>
    <row r="56" spans="1:16" ht="15">
      <c r="A56" s="13"/>
      <c r="C56" s="29"/>
      <c r="D56" s="29"/>
      <c r="E56" s="29"/>
      <c r="F56" s="29"/>
      <c r="G56" s="29"/>
      <c r="H56" s="29"/>
      <c r="I56" s="30"/>
      <c r="J56" s="13"/>
      <c r="L56" s="13"/>
      <c r="M56" s="13"/>
      <c r="N56" s="13"/>
      <c r="O56" s="13"/>
      <c r="P56" s="13"/>
    </row>
    <row r="57" spans="1:16" ht="15">
      <c r="A57" s="13"/>
      <c r="B57" s="29"/>
      <c r="C57" s="29"/>
      <c r="D57" s="29"/>
      <c r="E57" s="29"/>
      <c r="F57" s="29"/>
      <c r="G57" s="29"/>
      <c r="H57" s="29"/>
      <c r="I57" s="13"/>
      <c r="J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L58" s="13"/>
      <c r="M58" s="13"/>
      <c r="N58" s="13"/>
      <c r="O58" s="13"/>
      <c r="P58" s="13"/>
    </row>
    <row r="59" spans="4:16" ht="1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4:16" ht="1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4:16" ht="1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4:16" ht="1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4:16" ht="1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4:16" ht="15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4:16" ht="15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4:16" ht="1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2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</sheetData>
  <mergeCells count="5">
    <mergeCell ref="A6:C6"/>
    <mergeCell ref="A1:C1"/>
    <mergeCell ref="A2:C2"/>
    <mergeCell ref="A3:C3"/>
    <mergeCell ref="A5:C5"/>
  </mergeCells>
  <printOptions headings="1"/>
  <pageMargins left="0.5" right="0.25" top="0.74" bottom="0.3" header="0.39" footer="0.25"/>
  <pageSetup fitToHeight="1" fitToWidth="1" horizontalDpi="300" verticalDpi="300" orientation="landscape" scale="72" r:id="rId1"/>
  <headerFooter alignWithMargins="0">
    <oddFooter>&amp;C&amp;RPage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9"/>
  <sheetViews>
    <sheetView zoomScale="75" zoomScaleNormal="75" workbookViewId="0" topLeftCell="I11">
      <selection activeCell="N37" sqref="N37"/>
    </sheetView>
  </sheetViews>
  <sheetFormatPr defaultColWidth="8.88671875" defaultRowHeight="15"/>
  <cols>
    <col min="1" max="1" width="4.3359375" style="0" bestFit="1" customWidth="1"/>
    <col min="2" max="2" width="18.6640625" style="0" customWidth="1"/>
    <col min="3" max="4" width="13.77734375" style="0" bestFit="1" customWidth="1"/>
    <col min="5" max="6" width="12.6640625" style="0" bestFit="1" customWidth="1"/>
    <col min="7" max="7" width="13.21484375" style="0" bestFit="1" customWidth="1"/>
    <col min="8" max="8" width="12.77734375" style="0" customWidth="1"/>
    <col min="9" max="9" width="12.6640625" style="0" bestFit="1" customWidth="1"/>
    <col min="10" max="10" width="12.4453125" style="0" bestFit="1" customWidth="1"/>
    <col min="11" max="11" width="13.21484375" style="0" bestFit="1" customWidth="1"/>
    <col min="12" max="12" width="11.10546875" style="0" bestFit="1" customWidth="1"/>
    <col min="13" max="13" width="13.3359375" style="0" customWidth="1"/>
    <col min="14" max="14" width="13.5546875" style="0" bestFit="1" customWidth="1"/>
    <col min="15" max="16" width="12.3359375" style="0" bestFit="1" customWidth="1"/>
    <col min="17" max="17" width="12.21484375" style="0" bestFit="1" customWidth="1"/>
    <col min="18" max="18" width="11.3359375" style="0" bestFit="1" customWidth="1"/>
    <col min="19" max="19" width="9.99609375" style="0" bestFit="1" customWidth="1"/>
  </cols>
  <sheetData>
    <row r="1" spans="1:14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97" t="str">
        <f>+coss!A1</f>
        <v>DUKE ENERGY KENTUCKY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>
      <c r="A3" s="96" t="str">
        <f>VERSION</f>
        <v>FR-9v-2     (AVERAGE  &amp;  EXCESS)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>
      <c r="A4" s="96" t="str">
        <f>+coss!A6</f>
        <v>ELECTRIC CASE NO:  2006-00172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">
      <c r="A5" s="96" t="s">
        <v>998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">
      <c r="A6" s="183" t="str">
        <f>+coss!A3</f>
        <v>TWELVE MONTHS ENDING DECEMBER 31, 2007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2" spans="3:14" ht="15">
      <c r="C12" s="10"/>
      <c r="D12" s="10"/>
      <c r="E12" s="10"/>
      <c r="F12" s="10"/>
      <c r="G12" s="10" t="s">
        <v>999</v>
      </c>
      <c r="H12" s="10"/>
      <c r="I12" s="98">
        <f>+coss!C734</f>
        <v>0.25</v>
      </c>
      <c r="J12" s="10"/>
      <c r="N12" s="10" t="s">
        <v>1003</v>
      </c>
    </row>
    <row r="13" spans="3:14" ht="15">
      <c r="C13" s="10"/>
      <c r="E13" s="10"/>
      <c r="F13" s="10"/>
      <c r="G13" s="10" t="s">
        <v>1001</v>
      </c>
      <c r="H13" s="10"/>
      <c r="I13" s="10" t="s">
        <v>1002</v>
      </c>
      <c r="J13" s="10"/>
      <c r="L13" s="10" t="s">
        <v>1003</v>
      </c>
      <c r="M13" s="10" t="s">
        <v>1004</v>
      </c>
      <c r="N13" s="10" t="s">
        <v>1016</v>
      </c>
    </row>
    <row r="14" spans="3:14" ht="15">
      <c r="C14" s="10"/>
      <c r="D14" s="10" t="s">
        <v>1000</v>
      </c>
      <c r="E14" s="10" t="s">
        <v>1005</v>
      </c>
      <c r="F14" s="10" t="s">
        <v>1000</v>
      </c>
      <c r="G14" s="10" t="s">
        <v>1006</v>
      </c>
      <c r="H14" s="10" t="s">
        <v>1007</v>
      </c>
      <c r="I14" s="10" t="s">
        <v>1008</v>
      </c>
      <c r="J14" s="10" t="s">
        <v>1009</v>
      </c>
      <c r="K14" s="10" t="s">
        <v>1003</v>
      </c>
      <c r="L14" s="10" t="s">
        <v>1010</v>
      </c>
      <c r="M14" s="10" t="s">
        <v>1011</v>
      </c>
      <c r="N14" s="10" t="s">
        <v>1012</v>
      </c>
    </row>
    <row r="15" spans="1:14" ht="15">
      <c r="A15" s="10" t="s">
        <v>1013</v>
      </c>
      <c r="B15" s="47"/>
      <c r="C15" s="99" t="s">
        <v>1268</v>
      </c>
      <c r="D15" s="99" t="s">
        <v>1001</v>
      </c>
      <c r="E15" s="99" t="s">
        <v>1014</v>
      </c>
      <c r="F15" s="99" t="s">
        <v>1004</v>
      </c>
      <c r="G15" s="99" t="s">
        <v>1004</v>
      </c>
      <c r="H15" s="99" t="s">
        <v>1015</v>
      </c>
      <c r="I15" s="99" t="s">
        <v>1015</v>
      </c>
      <c r="J15" s="99" t="s">
        <v>1016</v>
      </c>
      <c r="K15" s="100" t="s">
        <v>1001</v>
      </c>
      <c r="L15" s="100" t="s">
        <v>1016</v>
      </c>
      <c r="M15" s="100" t="s">
        <v>1017</v>
      </c>
      <c r="N15" s="10" t="s">
        <v>1018</v>
      </c>
    </row>
    <row r="16" spans="1:14" ht="15">
      <c r="A16" s="101" t="s">
        <v>1019</v>
      </c>
      <c r="B16" s="101" t="s">
        <v>1020</v>
      </c>
      <c r="C16" s="102" t="s">
        <v>1021</v>
      </c>
      <c r="D16" s="102" t="s">
        <v>1022</v>
      </c>
      <c r="E16" s="102" t="s">
        <v>1023</v>
      </c>
      <c r="F16" s="102" t="s">
        <v>1024</v>
      </c>
      <c r="G16" s="102" t="s">
        <v>1025</v>
      </c>
      <c r="H16" s="102" t="s">
        <v>1026</v>
      </c>
      <c r="I16" s="102" t="s">
        <v>1027</v>
      </c>
      <c r="J16" s="102" t="s">
        <v>1028</v>
      </c>
      <c r="K16" s="102" t="s">
        <v>1029</v>
      </c>
      <c r="L16" s="103" t="s">
        <v>1030</v>
      </c>
      <c r="M16" s="103" t="s">
        <v>1031</v>
      </c>
      <c r="N16" s="103" t="s">
        <v>1032</v>
      </c>
    </row>
    <row r="17" spans="1:13" ht="15">
      <c r="A17" s="47"/>
      <c r="B17" s="99"/>
      <c r="C17" s="104"/>
      <c r="D17" s="104"/>
      <c r="E17" s="104"/>
      <c r="F17" s="104" t="s">
        <v>1033</v>
      </c>
      <c r="G17" s="104"/>
      <c r="H17" s="104"/>
      <c r="I17" s="104" t="str">
        <f>"(F) * "&amp;I12*100&amp;"%"</f>
        <v>(F) * 25%</v>
      </c>
      <c r="J17" s="104"/>
      <c r="K17" s="105" t="s">
        <v>1034</v>
      </c>
      <c r="L17" s="105"/>
      <c r="M17" s="105"/>
    </row>
    <row r="19" spans="1:19" ht="19.5" customHeight="1">
      <c r="A19" s="10">
        <v>1</v>
      </c>
      <c r="B19" t="s">
        <v>1035</v>
      </c>
      <c r="C19" s="106">
        <f>+coss!$E$17</f>
        <v>285706013</v>
      </c>
      <c r="D19" s="106">
        <f>+coss!$E$729</f>
        <v>97639085</v>
      </c>
      <c r="E19" s="106">
        <f>+coss!$E$731</f>
        <v>-2765907</v>
      </c>
      <c r="F19" s="178">
        <f>IF(C19=0,"-",ROUND(E19/C19,8))</f>
        <v>-0.00968095</v>
      </c>
      <c r="G19" s="106">
        <f>+coss!$E$732</f>
        <v>108893878</v>
      </c>
      <c r="H19" s="106">
        <f>+coss!$E$733</f>
        <v>-11254793</v>
      </c>
      <c r="I19" s="106">
        <f>+coss!$E$734</f>
        <v>-2813698</v>
      </c>
      <c r="J19" s="106">
        <f>+J36-SUM(J20:J35)</f>
        <v>34136587</v>
      </c>
      <c r="K19" s="106">
        <f>+D19-I19+J19</f>
        <v>134589370</v>
      </c>
      <c r="L19" s="179">
        <f aca="true" t="shared" si="0" ref="L19:L36">IF(D19=0,"-",ROUND((J19-I19)/D19,4))</f>
        <v>0.3784</v>
      </c>
      <c r="M19" s="178">
        <f>IF(C19=0,"-",((N19*$C$39)+E19)/C19)</f>
        <v>0.06951784837577758</v>
      </c>
      <c r="N19" s="106">
        <f>+J19-I19</f>
        <v>36950285</v>
      </c>
      <c r="R19" s="178"/>
      <c r="S19" s="182"/>
    </row>
    <row r="20" spans="1:19" ht="19.5" customHeight="1">
      <c r="A20" s="10">
        <v>2</v>
      </c>
      <c r="B20" t="s">
        <v>1216</v>
      </c>
      <c r="C20" s="107">
        <f>+coss!$F$17</f>
        <v>128674948</v>
      </c>
      <c r="D20" s="107">
        <f>+coss!$F$729</f>
        <v>66709383</v>
      </c>
      <c r="E20" s="107">
        <f>+coss!$F$731</f>
        <v>7538348</v>
      </c>
      <c r="F20" s="178">
        <f>IF(C20=0,"-",ROUND(E20/C20,8))</f>
        <v>0.05858443</v>
      </c>
      <c r="G20" s="107">
        <f>+coss!$F$732</f>
        <v>57434130</v>
      </c>
      <c r="H20" s="107">
        <f>+coss!$F$733</f>
        <v>9275253</v>
      </c>
      <c r="I20" s="107">
        <f>+coss!$F$734</f>
        <v>2318813</v>
      </c>
      <c r="J20" s="107">
        <f aca="true" t="shared" si="1" ref="J20:J35">ROUND($J$36/$C$36*C20,0)</f>
        <v>15374276</v>
      </c>
      <c r="K20" s="108">
        <f aca="true" t="shared" si="2" ref="K20:K35">+D20-I20+J20</f>
        <v>79764846</v>
      </c>
      <c r="L20" s="179">
        <f t="shared" si="0"/>
        <v>0.1957</v>
      </c>
      <c r="M20" s="178">
        <f aca="true" t="shared" si="3" ref="M20:M35">IF(C20=0,"-",((N20*$C$39)+E20)/C20)</f>
        <v>0.12071687693274445</v>
      </c>
      <c r="N20" s="108">
        <f aca="true" t="shared" si="4" ref="N20:N35">+J20-I20</f>
        <v>13055463</v>
      </c>
      <c r="R20" s="178"/>
      <c r="S20" s="182"/>
    </row>
    <row r="21" spans="1:19" ht="19.5" customHeight="1">
      <c r="A21" s="10">
        <v>3</v>
      </c>
      <c r="B21" t="s">
        <v>1205</v>
      </c>
      <c r="C21" s="107">
        <f>+coss!$G$17</f>
        <v>122908</v>
      </c>
      <c r="D21" s="107">
        <f>+coss!$G$729</f>
        <v>70100</v>
      </c>
      <c r="E21" s="107">
        <f>+coss!$G$731</f>
        <v>24578</v>
      </c>
      <c r="F21" s="178">
        <f>IF(C21=0,"-",ROUND(E21/C21,8))</f>
        <v>0.19997071</v>
      </c>
      <c r="G21" s="107">
        <f>+coss!$G$732</f>
        <v>32863</v>
      </c>
      <c r="H21" s="107">
        <f>+coss!$G$733</f>
        <v>37237</v>
      </c>
      <c r="I21" s="107">
        <f>+coss!$G$734</f>
        <v>9309</v>
      </c>
      <c r="J21" s="107">
        <f t="shared" si="1"/>
        <v>14685</v>
      </c>
      <c r="K21" s="108">
        <f t="shared" si="2"/>
        <v>75476</v>
      </c>
      <c r="L21" s="179">
        <f t="shared" si="0"/>
        <v>0.0767</v>
      </c>
      <c r="M21" s="178">
        <f t="shared" si="3"/>
        <v>0.22675618251361995</v>
      </c>
      <c r="N21" s="108">
        <f t="shared" si="4"/>
        <v>5376</v>
      </c>
      <c r="R21" s="178"/>
      <c r="S21" s="182"/>
    </row>
    <row r="22" spans="1:19" ht="19.5" customHeight="1">
      <c r="A22" s="10">
        <v>4</v>
      </c>
      <c r="B22" t="s">
        <v>1200</v>
      </c>
      <c r="C22" s="107">
        <f>+coss!$H$17</f>
        <v>519268</v>
      </c>
      <c r="D22" s="107">
        <f>+coss!$H$729</f>
        <v>471911</v>
      </c>
      <c r="E22" s="107">
        <f>+coss!$H$731</f>
        <v>112964</v>
      </c>
      <c r="F22" s="178">
        <f aca="true" t="shared" si="5" ref="F22:F35">IF(C22=0,"-",ROUND(E22/C22,8))</f>
        <v>0.2175447</v>
      </c>
      <c r="G22" s="107">
        <f>+coss!$H$732</f>
        <v>299690</v>
      </c>
      <c r="H22" s="107">
        <f>+coss!$H$733</f>
        <v>172221</v>
      </c>
      <c r="I22" s="107">
        <f>+coss!$H$734</f>
        <v>43055</v>
      </c>
      <c r="J22" s="107">
        <f t="shared" si="1"/>
        <v>62043</v>
      </c>
      <c r="K22" s="108">
        <f t="shared" si="2"/>
        <v>490899</v>
      </c>
      <c r="L22" s="179">
        <f t="shared" si="0"/>
        <v>0.0402</v>
      </c>
      <c r="M22" s="178">
        <f t="shared" si="3"/>
        <v>0.2399374701491176</v>
      </c>
      <c r="N22" s="108">
        <f t="shared" si="4"/>
        <v>18988</v>
      </c>
      <c r="R22" s="178"/>
      <c r="S22" s="182"/>
    </row>
    <row r="23" spans="1:19" ht="19.5" customHeight="1">
      <c r="A23" s="10">
        <v>5</v>
      </c>
      <c r="B23" t="s">
        <v>1199</v>
      </c>
      <c r="C23" s="107">
        <f>+coss!$I$17</f>
        <v>2250535</v>
      </c>
      <c r="D23" s="107">
        <f>+coss!$I$729</f>
        <v>694501</v>
      </c>
      <c r="E23" s="107">
        <f>+coss!$I$731</f>
        <v>-75382</v>
      </c>
      <c r="F23" s="178">
        <f t="shared" si="5"/>
        <v>-0.03349515</v>
      </c>
      <c r="G23" s="107">
        <f>+coss!$I$732</f>
        <v>870675</v>
      </c>
      <c r="H23" s="107">
        <f>+coss!$I$733</f>
        <v>-176174</v>
      </c>
      <c r="I23" s="107">
        <f>+coss!$I$734</f>
        <v>-44044</v>
      </c>
      <c r="J23" s="107">
        <f t="shared" si="1"/>
        <v>268897</v>
      </c>
      <c r="K23" s="108">
        <f t="shared" si="2"/>
        <v>1007442</v>
      </c>
      <c r="L23" s="179">
        <f t="shared" si="0"/>
        <v>0.4506</v>
      </c>
      <c r="M23" s="178">
        <f t="shared" si="3"/>
        <v>0.05165725498063526</v>
      </c>
      <c r="N23" s="108">
        <f t="shared" si="4"/>
        <v>312941</v>
      </c>
      <c r="R23" s="178"/>
      <c r="S23" s="182"/>
    </row>
    <row r="24" spans="1:19" ht="19.5" customHeight="1">
      <c r="A24" s="10">
        <v>6</v>
      </c>
      <c r="B24" t="s">
        <v>1201</v>
      </c>
      <c r="C24" s="107">
        <f>+coss!$J$17</f>
        <v>59477</v>
      </c>
      <c r="D24" s="107">
        <f>+coss!$J$729</f>
        <v>35117</v>
      </c>
      <c r="E24" s="107">
        <f>+coss!$J$731</f>
        <v>6993</v>
      </c>
      <c r="F24" s="178">
        <f t="shared" si="5"/>
        <v>0.11757486</v>
      </c>
      <c r="G24" s="107">
        <f>+coss!$J$732</f>
        <v>25100</v>
      </c>
      <c r="H24" s="107">
        <f>+coss!$J$733</f>
        <v>10017</v>
      </c>
      <c r="I24" s="107">
        <f>+coss!$J$734</f>
        <v>2504</v>
      </c>
      <c r="J24" s="107">
        <f t="shared" si="1"/>
        <v>7106</v>
      </c>
      <c r="K24" s="108">
        <f t="shared" si="2"/>
        <v>39719</v>
      </c>
      <c r="L24" s="179">
        <f t="shared" si="0"/>
        <v>0.131</v>
      </c>
      <c r="M24" s="178">
        <f t="shared" si="3"/>
        <v>0.16495733853704794</v>
      </c>
      <c r="N24" s="108">
        <f t="shared" si="4"/>
        <v>4602</v>
      </c>
      <c r="R24" s="178"/>
      <c r="S24" s="182"/>
    </row>
    <row r="25" spans="1:19" ht="19.5" customHeight="1">
      <c r="A25" s="10">
        <v>7</v>
      </c>
      <c r="B25" t="s">
        <v>1214</v>
      </c>
      <c r="C25" s="107">
        <f>+coss!$K$17</f>
        <v>72068221</v>
      </c>
      <c r="D25" s="107">
        <f>+coss!$K$729</f>
        <v>38378456</v>
      </c>
      <c r="E25" s="107">
        <f>+coss!$K$731</f>
        <v>2402908</v>
      </c>
      <c r="F25" s="178">
        <f t="shared" si="5"/>
        <v>0.03334213</v>
      </c>
      <c r="G25" s="107">
        <f>+coss!$K$732</f>
        <v>36154232</v>
      </c>
      <c r="H25" s="107">
        <f>+coss!$K$733</f>
        <v>2224224</v>
      </c>
      <c r="I25" s="107">
        <f>+coss!$K$734</f>
        <v>556056</v>
      </c>
      <c r="J25" s="107">
        <f t="shared" si="1"/>
        <v>8610819</v>
      </c>
      <c r="K25" s="108">
        <f t="shared" si="2"/>
        <v>46433219</v>
      </c>
      <c r="L25" s="179">
        <f t="shared" si="0"/>
        <v>0.2099</v>
      </c>
      <c r="M25" s="178">
        <f t="shared" si="3"/>
        <v>0.10178515127804379</v>
      </c>
      <c r="N25" s="108">
        <f t="shared" si="4"/>
        <v>8054763</v>
      </c>
      <c r="R25" s="178"/>
      <c r="S25" s="182"/>
    </row>
    <row r="26" spans="1:19" ht="19.5" customHeight="1">
      <c r="A26" s="10">
        <v>8</v>
      </c>
      <c r="B26" t="s">
        <v>1354</v>
      </c>
      <c r="C26" s="107">
        <f>+coss!$L$17</f>
        <v>966172</v>
      </c>
      <c r="D26" s="107">
        <f>+coss!$L$729</f>
        <v>343715</v>
      </c>
      <c r="E26" s="107">
        <f>+coss!$L$731</f>
        <v>68585</v>
      </c>
      <c r="F26" s="178">
        <f t="shared" si="5"/>
        <v>0.07098633</v>
      </c>
      <c r="G26" s="107">
        <f>+coss!$L$732</f>
        <v>254504</v>
      </c>
      <c r="H26" s="107">
        <f>+coss!$L$733</f>
        <v>89211</v>
      </c>
      <c r="I26" s="107">
        <f>+coss!$L$734</f>
        <v>22303</v>
      </c>
      <c r="J26" s="107">
        <f t="shared" si="1"/>
        <v>115440</v>
      </c>
      <c r="K26" s="108">
        <f t="shared" si="2"/>
        <v>436852</v>
      </c>
      <c r="L26" s="179">
        <f t="shared" si="0"/>
        <v>0.271</v>
      </c>
      <c r="M26" s="178">
        <f t="shared" si="3"/>
        <v>0.13001839436364124</v>
      </c>
      <c r="N26" s="108">
        <f t="shared" si="4"/>
        <v>93137</v>
      </c>
      <c r="R26" s="178"/>
      <c r="S26" s="182"/>
    </row>
    <row r="27" spans="1:19" ht="19.5" customHeight="1">
      <c r="A27" s="10">
        <v>9</v>
      </c>
      <c r="B27" t="s">
        <v>1215</v>
      </c>
      <c r="C27" s="107">
        <f>+coss!$M$17</f>
        <v>41401118</v>
      </c>
      <c r="D27" s="107">
        <f>+coss!$M$729</f>
        <v>19862321</v>
      </c>
      <c r="E27" s="107">
        <f>+coss!$M$731</f>
        <v>-441027</v>
      </c>
      <c r="F27" s="178">
        <f t="shared" si="5"/>
        <v>-0.01065254</v>
      </c>
      <c r="G27" s="107">
        <f>+coss!$M$732</f>
        <v>21558917</v>
      </c>
      <c r="H27" s="107">
        <f>+coss!$M$733</f>
        <v>-1696596</v>
      </c>
      <c r="I27" s="107">
        <f>+coss!$M$734</f>
        <v>-424149</v>
      </c>
      <c r="J27" s="107">
        <f t="shared" si="1"/>
        <v>4946668</v>
      </c>
      <c r="K27" s="108">
        <f t="shared" si="2"/>
        <v>25233138</v>
      </c>
      <c r="L27" s="179">
        <f t="shared" si="0"/>
        <v>0.2704</v>
      </c>
      <c r="M27" s="178">
        <f t="shared" si="3"/>
        <v>0.06878915493606302</v>
      </c>
      <c r="N27" s="108">
        <f t="shared" si="4"/>
        <v>5370817</v>
      </c>
      <c r="R27" s="178"/>
      <c r="S27" s="182"/>
    </row>
    <row r="28" spans="1:19" ht="19.5" customHeight="1">
      <c r="A28" s="10">
        <v>10</v>
      </c>
      <c r="B28" t="s">
        <v>1206</v>
      </c>
      <c r="C28" s="107">
        <f>+coss!$N$17</f>
        <v>1950255</v>
      </c>
      <c r="D28" s="107">
        <f>+coss!$N$729</f>
        <v>782491</v>
      </c>
      <c r="E28" s="107">
        <f>+coss!$N$731</f>
        <v>166683</v>
      </c>
      <c r="F28" s="178">
        <f t="shared" si="5"/>
        <v>0.08546729</v>
      </c>
      <c r="G28" s="107">
        <f>+coss!$N$732</f>
        <v>556297</v>
      </c>
      <c r="H28" s="107">
        <f>+coss!$N$733</f>
        <v>226194</v>
      </c>
      <c r="I28" s="107">
        <f>+coss!$N$734</f>
        <v>56549</v>
      </c>
      <c r="J28" s="107">
        <f t="shared" si="1"/>
        <v>233019</v>
      </c>
      <c r="K28" s="108">
        <f t="shared" si="2"/>
        <v>958961</v>
      </c>
      <c r="L28" s="179">
        <f t="shared" si="0"/>
        <v>0.2255</v>
      </c>
      <c r="M28" s="178">
        <f t="shared" si="3"/>
        <v>0.1408787577314146</v>
      </c>
      <c r="N28" s="108">
        <f t="shared" si="4"/>
        <v>176470</v>
      </c>
      <c r="R28" s="178"/>
      <c r="S28" s="182"/>
    </row>
    <row r="29" spans="1:19" ht="19.5" customHeight="1">
      <c r="A29" s="10">
        <v>11</v>
      </c>
      <c r="B29" t="s">
        <v>1209</v>
      </c>
      <c r="C29" s="107">
        <f>+coss!$O$17</f>
        <v>3216710</v>
      </c>
      <c r="D29" s="107">
        <f>+coss!$O$729</f>
        <v>1764802</v>
      </c>
      <c r="E29" s="107">
        <f>+coss!$O$731</f>
        <v>97168</v>
      </c>
      <c r="F29" s="178">
        <f t="shared" si="5"/>
        <v>0.03020726</v>
      </c>
      <c r="G29" s="107">
        <f>+coss!$O$732</f>
        <v>1681992</v>
      </c>
      <c r="H29" s="107">
        <f>+coss!$O$733</f>
        <v>82810</v>
      </c>
      <c r="I29" s="107">
        <f>+coss!$O$734</f>
        <v>20703</v>
      </c>
      <c r="J29" s="107">
        <f t="shared" si="1"/>
        <v>384337</v>
      </c>
      <c r="K29" s="108">
        <f t="shared" si="2"/>
        <v>2128436</v>
      </c>
      <c r="L29" s="179">
        <f t="shared" si="0"/>
        <v>0.206</v>
      </c>
      <c r="M29" s="178">
        <f t="shared" si="3"/>
        <v>0.09943382620890785</v>
      </c>
      <c r="N29" s="108">
        <f t="shared" si="4"/>
        <v>363634</v>
      </c>
      <c r="R29" s="178"/>
      <c r="S29" s="182"/>
    </row>
    <row r="30" spans="1:19" ht="19.5" customHeight="1" hidden="1">
      <c r="A30" s="10">
        <v>12</v>
      </c>
      <c r="B30" t="s">
        <v>1210</v>
      </c>
      <c r="C30" s="107">
        <f>+coss!$P$17</f>
        <v>0</v>
      </c>
      <c r="D30" s="107">
        <f>+coss!$P$729</f>
        <v>0</v>
      </c>
      <c r="E30" s="107">
        <f>+coss!$P$731</f>
        <v>0</v>
      </c>
      <c r="F30" s="178" t="str">
        <f t="shared" si="5"/>
        <v>-</v>
      </c>
      <c r="G30" s="107">
        <f>+coss!$P$732</f>
        <v>0</v>
      </c>
      <c r="H30" s="107">
        <f>+coss!$P$733</f>
        <v>0</v>
      </c>
      <c r="I30" s="107">
        <f>+coss!$P$734</f>
        <v>0</v>
      </c>
      <c r="J30" s="107">
        <f t="shared" si="1"/>
        <v>0</v>
      </c>
      <c r="K30" s="108">
        <f t="shared" si="2"/>
        <v>0</v>
      </c>
      <c r="L30" s="179" t="str">
        <f t="shared" si="0"/>
        <v>-</v>
      </c>
      <c r="M30" s="178" t="str">
        <f t="shared" si="3"/>
        <v>-</v>
      </c>
      <c r="N30" s="108">
        <f t="shared" si="4"/>
        <v>0</v>
      </c>
      <c r="R30" s="178"/>
      <c r="S30" s="182"/>
    </row>
    <row r="31" spans="1:19" ht="19.5" customHeight="1">
      <c r="A31" s="10">
        <v>13</v>
      </c>
      <c r="B31" t="s">
        <v>1207</v>
      </c>
      <c r="C31" s="107">
        <f>+coss!$Q$17</f>
        <v>13612629</v>
      </c>
      <c r="D31" s="107">
        <f>+coss!$Q$729</f>
        <v>8534952</v>
      </c>
      <c r="E31" s="107">
        <f>+coss!$Q$731</f>
        <v>346628</v>
      </c>
      <c r="F31" s="178">
        <f t="shared" si="5"/>
        <v>0.02546371</v>
      </c>
      <c r="G31" s="107">
        <f>+coss!$Q$732</f>
        <v>8289959</v>
      </c>
      <c r="H31" s="107">
        <f>+coss!$Q$733</f>
        <v>244993</v>
      </c>
      <c r="I31" s="107">
        <f>+coss!$Q$734</f>
        <v>61248</v>
      </c>
      <c r="J31" s="107">
        <f t="shared" si="1"/>
        <v>1626457</v>
      </c>
      <c r="K31" s="108">
        <f t="shared" si="2"/>
        <v>10100161</v>
      </c>
      <c r="L31" s="179">
        <f t="shared" si="0"/>
        <v>0.1834</v>
      </c>
      <c r="M31" s="178">
        <f t="shared" si="3"/>
        <v>0.09587633223874359</v>
      </c>
      <c r="N31" s="108">
        <f t="shared" si="4"/>
        <v>1565209</v>
      </c>
      <c r="R31" s="178"/>
      <c r="S31" s="182"/>
    </row>
    <row r="32" spans="1:19" ht="19.5" customHeight="1">
      <c r="A32" s="10">
        <v>14</v>
      </c>
      <c r="B32" t="s">
        <v>1208</v>
      </c>
      <c r="C32" s="107">
        <f>+coss!$R$17</f>
        <v>790189</v>
      </c>
      <c r="D32" s="107">
        <f>+coss!$R$729</f>
        <v>404272</v>
      </c>
      <c r="E32" s="107">
        <f>+coss!$R$731</f>
        <v>96205</v>
      </c>
      <c r="F32" s="178">
        <f t="shared" si="5"/>
        <v>0.12174935</v>
      </c>
      <c r="G32" s="107">
        <f>+coss!$R$732</f>
        <v>265807</v>
      </c>
      <c r="H32" s="107">
        <f>+coss!$R$733</f>
        <v>138465</v>
      </c>
      <c r="I32" s="107">
        <f>+coss!$R$734</f>
        <v>34616</v>
      </c>
      <c r="J32" s="107">
        <f t="shared" si="1"/>
        <v>94413</v>
      </c>
      <c r="K32" s="108">
        <f t="shared" si="2"/>
        <v>464069</v>
      </c>
      <c r="L32" s="179">
        <f t="shared" si="0"/>
        <v>0.1479</v>
      </c>
      <c r="M32" s="178">
        <f t="shared" si="3"/>
        <v>0.1680906974490255</v>
      </c>
      <c r="N32" s="108">
        <f t="shared" si="4"/>
        <v>59797</v>
      </c>
      <c r="R32" s="178"/>
      <c r="S32" s="182"/>
    </row>
    <row r="33" spans="1:19" ht="19.5" customHeight="1">
      <c r="A33" s="10">
        <v>15</v>
      </c>
      <c r="B33" t="s">
        <v>1036</v>
      </c>
      <c r="C33" s="107">
        <f>+coss!$S$17</f>
        <v>5664578</v>
      </c>
      <c r="D33" s="107">
        <f>+coss!$S$729</f>
        <v>2194212</v>
      </c>
      <c r="E33" s="107">
        <f>+coss!$S$731</f>
        <v>474023</v>
      </c>
      <c r="F33" s="178">
        <f t="shared" si="5"/>
        <v>0.08368196</v>
      </c>
      <c r="G33" s="107">
        <f>+coss!$S$732</f>
        <v>1553738</v>
      </c>
      <c r="H33" s="107">
        <f>+coss!$S$733</f>
        <v>640474</v>
      </c>
      <c r="I33" s="107">
        <f>+coss!$S$734</f>
        <v>160119</v>
      </c>
      <c r="J33" s="107">
        <f t="shared" si="1"/>
        <v>676812</v>
      </c>
      <c r="K33" s="108">
        <f t="shared" si="2"/>
        <v>2710905</v>
      </c>
      <c r="L33" s="179">
        <f t="shared" si="0"/>
        <v>0.2355</v>
      </c>
      <c r="M33" s="178">
        <f t="shared" si="3"/>
        <v>0.13953994149442586</v>
      </c>
      <c r="N33" s="108">
        <f t="shared" si="4"/>
        <v>516693</v>
      </c>
      <c r="R33" s="178"/>
      <c r="S33" s="182"/>
    </row>
    <row r="34" spans="1:19" ht="19.5" customHeight="1" hidden="1">
      <c r="A34" s="10"/>
      <c r="B34" t="s">
        <v>1211</v>
      </c>
      <c r="C34" s="107">
        <f>+coss!$T$17</f>
        <v>0</v>
      </c>
      <c r="D34" s="107">
        <f>+coss!$T$729</f>
        <v>0</v>
      </c>
      <c r="E34" s="107">
        <f>+coss!$T$731</f>
        <v>0</v>
      </c>
      <c r="F34" s="178" t="str">
        <f t="shared" si="5"/>
        <v>-</v>
      </c>
      <c r="G34" s="107">
        <f>+coss!$T$732</f>
        <v>0</v>
      </c>
      <c r="H34" s="107">
        <f>+coss!$T$733</f>
        <v>0</v>
      </c>
      <c r="I34" s="107">
        <f>+coss!$T$734</f>
        <v>0</v>
      </c>
      <c r="J34" s="107">
        <f t="shared" si="1"/>
        <v>0</v>
      </c>
      <c r="K34" s="108">
        <f t="shared" si="2"/>
        <v>0</v>
      </c>
      <c r="L34" s="179" t="str">
        <f t="shared" si="0"/>
        <v>-</v>
      </c>
      <c r="M34" s="178" t="str">
        <f t="shared" si="3"/>
        <v>-</v>
      </c>
      <c r="N34" s="108">
        <f t="shared" si="4"/>
        <v>0</v>
      </c>
      <c r="R34" s="178"/>
      <c r="S34" s="182"/>
    </row>
    <row r="35" spans="1:19" ht="19.5" customHeight="1">
      <c r="A35" s="10">
        <v>16</v>
      </c>
      <c r="B35" t="s">
        <v>862</v>
      </c>
      <c r="C35" s="107">
        <f>+coss!$U$17</f>
        <v>77681</v>
      </c>
      <c r="D35" s="107">
        <f>+coss!$U$729</f>
        <v>12408</v>
      </c>
      <c r="E35" s="107">
        <f>+coss!$U$731</f>
        <v>-7167</v>
      </c>
      <c r="F35" s="178">
        <f t="shared" si="5"/>
        <v>-0.09226194</v>
      </c>
      <c r="G35" s="107">
        <f>+coss!$U$732</f>
        <v>25944</v>
      </c>
      <c r="H35" s="107">
        <f>+coss!$U$733</f>
        <v>-13536</v>
      </c>
      <c r="I35" s="107">
        <f>+coss!$U$734</f>
        <v>-3384</v>
      </c>
      <c r="J35" s="109">
        <f t="shared" si="1"/>
        <v>9281</v>
      </c>
      <c r="K35" s="108">
        <f t="shared" si="2"/>
        <v>25073</v>
      </c>
      <c r="L35" s="179">
        <f t="shared" si="0"/>
        <v>1.0207</v>
      </c>
      <c r="M35" s="178">
        <f t="shared" si="3"/>
        <v>0.007579441122797076</v>
      </c>
      <c r="N35" s="108">
        <f t="shared" si="4"/>
        <v>12665</v>
      </c>
      <c r="O35" s="47"/>
      <c r="P35" s="47"/>
      <c r="Q35" s="47"/>
      <c r="R35" s="350"/>
      <c r="S35" s="182"/>
    </row>
    <row r="36" spans="1:19" ht="19.5" customHeight="1" thickBot="1">
      <c r="A36" s="10">
        <v>17</v>
      </c>
      <c r="B36" t="s">
        <v>1037</v>
      </c>
      <c r="C36" s="93">
        <f>SUM(C19:C35)</f>
        <v>557080702</v>
      </c>
      <c r="D36" s="93">
        <f>SUM(D19:D35)</f>
        <v>237897726</v>
      </c>
      <c r="E36" s="93">
        <f>SUM(E19:E35)</f>
        <v>8045600</v>
      </c>
      <c r="F36" s="180">
        <f>IF(C36=0,"-",ROUND(E36/C36,8))</f>
        <v>0.01444243</v>
      </c>
      <c r="G36" s="93">
        <f>SUM(G19:G35)</f>
        <v>237897726</v>
      </c>
      <c r="H36" s="93">
        <f>SUM(H19:H35)</f>
        <v>0</v>
      </c>
      <c r="I36" s="93">
        <f>SUM(I19:I35)</f>
        <v>0</v>
      </c>
      <c r="J36" s="110">
        <v>66560840</v>
      </c>
      <c r="K36" s="93">
        <f>SUM(K19:K35)</f>
        <v>304458566</v>
      </c>
      <c r="L36" s="111">
        <f t="shared" si="0"/>
        <v>0.2798</v>
      </c>
      <c r="M36" s="180">
        <f>ROUND(IF(C36=0,"-",((N36*$C$39)+E36)/C36),5)</f>
        <v>0.08761</v>
      </c>
      <c r="N36" s="93">
        <f>SUM(N19:N35)</f>
        <v>66560840</v>
      </c>
      <c r="O36" s="47"/>
      <c r="P36" s="47"/>
      <c r="Q36" s="47"/>
      <c r="R36" s="350"/>
      <c r="S36" s="182"/>
    </row>
    <row r="37" ht="15" thickTop="1">
      <c r="C37" s="66" t="str">
        <f>IF(C36-coss!V17=0," ","check #")</f>
        <v> </v>
      </c>
    </row>
    <row r="39" spans="2:3" ht="15">
      <c r="B39" t="s">
        <v>1213</v>
      </c>
      <c r="C39" s="181">
        <f>+coss!C736</f>
        <v>0.612378884</v>
      </c>
    </row>
  </sheetData>
  <printOptions/>
  <pageMargins left="0.28" right="0.26" top="1.12" bottom="1" header="0.73" footer="0.5"/>
  <pageSetup fitToHeight="1" fitToWidth="1" horizontalDpi="600" verticalDpi="600" orientation="landscape" scale="62" r:id="rId1"/>
  <headerFooter alignWithMargins="0">
    <oddHeader>&amp;Cw fuel&amp;R&amp;11WPFR-9v-1
PAGE  &amp;P OF &amp;N&amp;"Arial,Regular"
&amp;"Arial MT,Regular"&amp;12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H211"/>
  <sheetViews>
    <sheetView workbookViewId="0" topLeftCell="B76">
      <selection activeCell="D93" sqref="D93"/>
    </sheetView>
  </sheetViews>
  <sheetFormatPr defaultColWidth="8.88671875" defaultRowHeight="15"/>
  <cols>
    <col min="1" max="1" width="27.99609375" style="13" customWidth="1"/>
    <col min="2" max="2" width="26.5546875" style="13" customWidth="1"/>
    <col min="3" max="3" width="2.77734375" style="13" customWidth="1"/>
    <col min="4" max="4" width="12.88671875" style="13" bestFit="1" customWidth="1"/>
    <col min="5" max="5" width="16.6640625" style="13" bestFit="1" customWidth="1"/>
    <col min="6" max="6" width="14.5546875" style="13" bestFit="1" customWidth="1"/>
    <col min="7" max="7" width="13.6640625" style="0" customWidth="1"/>
    <col min="8" max="8" width="15.6640625" style="0" customWidth="1"/>
  </cols>
  <sheetData>
    <row r="1" ht="15"/>
    <row r="2" spans="4:6" ht="15">
      <c r="D2" s="82" t="s">
        <v>896</v>
      </c>
      <c r="E2" s="82" t="s">
        <v>897</v>
      </c>
      <c r="F2" s="82" t="s">
        <v>898</v>
      </c>
    </row>
    <row r="3" spans="1:7" ht="15">
      <c r="A3" s="88" t="s">
        <v>899</v>
      </c>
      <c r="D3" s="83">
        <f>+coss!V97</f>
        <v>1122822000</v>
      </c>
      <c r="E3" s="200">
        <f>+[1]!PLANT_IN_SERVICE</f>
        <v>1122822000</v>
      </c>
      <c r="F3" s="83">
        <f>E3-D3</f>
        <v>0</v>
      </c>
      <c r="G3" s="66"/>
    </row>
    <row r="4" spans="1:7" ht="15">
      <c r="A4" s="88" t="s">
        <v>865</v>
      </c>
      <c r="D4" s="83">
        <f>+coss!V148</f>
        <v>540093766</v>
      </c>
      <c r="E4" s="83">
        <f>-'[1]SCH_B1'!$I$20</f>
        <v>540093766</v>
      </c>
      <c r="F4" s="83">
        <f>E4-D4</f>
        <v>0</v>
      </c>
      <c r="G4" s="66"/>
    </row>
    <row r="5" spans="1:7" ht="15.75" thickBot="1">
      <c r="A5" s="88" t="s">
        <v>861</v>
      </c>
      <c r="D5" s="84">
        <f>+D3-D4</f>
        <v>582728234</v>
      </c>
      <c r="E5" s="84">
        <f>+E3-E4</f>
        <v>582728234</v>
      </c>
      <c r="F5" s="84">
        <f>+F3-F4</f>
        <v>0</v>
      </c>
      <c r="G5" s="66"/>
    </row>
    <row r="6" spans="1:6" ht="15.75" thickTop="1">
      <c r="A6" s="88"/>
      <c r="B6" s="66"/>
      <c r="D6" s="86"/>
      <c r="E6" s="86"/>
      <c r="F6" s="86"/>
    </row>
    <row r="7" spans="1:6" ht="15.75">
      <c r="A7" s="91" t="s">
        <v>481</v>
      </c>
      <c r="B7" s="200"/>
      <c r="D7" s="83"/>
      <c r="E7" s="83"/>
      <c r="F7" s="83"/>
    </row>
    <row r="8" spans="1:6" ht="15">
      <c r="A8" s="88" t="s">
        <v>900</v>
      </c>
      <c r="D8" s="222">
        <f>coss!V324</f>
        <v>13994731</v>
      </c>
      <c r="E8" s="222">
        <f>+'[1]SCH_B5s'!$O$17</f>
        <v>13962791</v>
      </c>
      <c r="F8" s="83">
        <f>E8-D8</f>
        <v>-31940</v>
      </c>
    </row>
    <row r="9" spans="1:6" ht="15">
      <c r="A9" s="88" t="s">
        <v>901</v>
      </c>
      <c r="D9" s="222">
        <f>+coss!D301</f>
        <v>8873933</v>
      </c>
      <c r="E9" s="222">
        <f>+'[1]SCH_B5s'!$O$26</f>
        <v>8873933</v>
      </c>
      <c r="F9" s="83">
        <f aca="true" t="shared" si="0" ref="F9:F31">E9-D9</f>
        <v>0</v>
      </c>
    </row>
    <row r="10" spans="1:6" ht="15">
      <c r="A10" s="88" t="s">
        <v>902</v>
      </c>
      <c r="D10" s="222">
        <f>+coss!D310</f>
        <v>8467889</v>
      </c>
      <c r="E10" s="222">
        <f>+'[1]SCH_B5s'!$O$34</f>
        <v>8467889</v>
      </c>
      <c r="F10" s="83">
        <f t="shared" si="0"/>
        <v>0</v>
      </c>
    </row>
    <row r="11" spans="1:6" ht="15">
      <c r="A11" s="88" t="s">
        <v>949</v>
      </c>
      <c r="D11" s="222">
        <f>coss!V317</f>
        <v>6699569</v>
      </c>
      <c r="E11" s="222">
        <f>+'[1]SCH_B5s'!$O$36</f>
        <v>6699569</v>
      </c>
      <c r="F11" s="83">
        <f t="shared" si="0"/>
        <v>0</v>
      </c>
    </row>
    <row r="12" spans="1:6" ht="15">
      <c r="A12" s="88" t="s">
        <v>903</v>
      </c>
      <c r="D12" s="222"/>
      <c r="E12" s="222"/>
      <c r="F12" s="83">
        <f t="shared" si="0"/>
        <v>0</v>
      </c>
    </row>
    <row r="13" spans="1:6" ht="15">
      <c r="A13" s="88" t="s">
        <v>1274</v>
      </c>
      <c r="D13" s="222">
        <f>+coss!D302</f>
        <v>5919968</v>
      </c>
      <c r="E13" s="222">
        <f>+'[1]SCH_B5s'!$O$32</f>
        <v>5919968</v>
      </c>
      <c r="F13" s="83">
        <f t="shared" si="0"/>
        <v>0</v>
      </c>
    </row>
    <row r="14" spans="1:6" ht="15.75" thickBot="1">
      <c r="A14" s="88" t="s">
        <v>952</v>
      </c>
      <c r="D14" s="235">
        <f>SUM(D8:D13)</f>
        <v>43956090</v>
      </c>
      <c r="E14" s="84">
        <f>SUM(E8:E13)</f>
        <v>43924150</v>
      </c>
      <c r="F14" s="84">
        <f>SUM(F8:F13)</f>
        <v>-31940</v>
      </c>
    </row>
    <row r="15" spans="1:7" ht="15.75" thickTop="1">
      <c r="A15" s="88" t="s">
        <v>904</v>
      </c>
      <c r="D15" s="222">
        <f>coss!V330</f>
        <v>43956090</v>
      </c>
      <c r="E15" s="83">
        <f>+'[1]SCH_B1'!$I$26+'[1]SCH_B1'!$I$28</f>
        <v>43924150</v>
      </c>
      <c r="F15" s="83">
        <f t="shared" si="0"/>
        <v>-31940</v>
      </c>
      <c r="G15" s="13"/>
    </row>
    <row r="16" spans="1:6" ht="15">
      <c r="A16" s="88"/>
      <c r="D16" s="150"/>
      <c r="E16" s="83"/>
      <c r="F16" s="83"/>
    </row>
    <row r="17" spans="1:6" ht="15">
      <c r="A17" s="88" t="s">
        <v>905</v>
      </c>
      <c r="B17" s="85" t="s">
        <v>906</v>
      </c>
      <c r="C17" s="85"/>
      <c r="D17" s="150">
        <v>0</v>
      </c>
      <c r="E17" s="83"/>
      <c r="F17" s="83">
        <f t="shared" si="0"/>
        <v>0</v>
      </c>
    </row>
    <row r="18" spans="1:6" ht="15">
      <c r="A18" s="89" t="s">
        <v>907</v>
      </c>
      <c r="B18" s="85" t="s">
        <v>908</v>
      </c>
      <c r="C18" s="85"/>
      <c r="D18" s="222"/>
      <c r="E18" s="83"/>
      <c r="F18" s="83">
        <f t="shared" si="0"/>
        <v>0</v>
      </c>
    </row>
    <row r="19" ht="15">
      <c r="D19" s="150"/>
    </row>
    <row r="20" spans="1:6" ht="15">
      <c r="A20" s="88"/>
      <c r="B20" s="85"/>
      <c r="C20" s="85"/>
      <c r="D20" s="222"/>
      <c r="E20" s="83"/>
      <c r="F20" s="83"/>
    </row>
    <row r="21" spans="1:6" ht="15">
      <c r="A21" s="88" t="s">
        <v>947</v>
      </c>
      <c r="B21" s="85"/>
      <c r="C21" s="85"/>
      <c r="D21" s="222">
        <f>coss!V292</f>
        <v>4263000</v>
      </c>
      <c r="E21" s="83">
        <f>+'[1]SCH_B1'!$I$24</f>
        <v>4263000</v>
      </c>
      <c r="F21" s="83">
        <f>E21-D21</f>
        <v>0</v>
      </c>
    </row>
    <row r="22" spans="1:6" ht="15">
      <c r="A22" s="88"/>
      <c r="B22" s="85"/>
      <c r="C22" s="85"/>
      <c r="D22" s="236"/>
      <c r="E22" s="85"/>
      <c r="F22" s="83"/>
    </row>
    <row r="23" spans="1:6" ht="15">
      <c r="A23" s="13" t="s">
        <v>951</v>
      </c>
      <c r="B23" s="85" t="s">
        <v>911</v>
      </c>
      <c r="C23" s="85"/>
      <c r="D23" s="222">
        <f>coss!V273</f>
        <v>1295808</v>
      </c>
      <c r="E23" s="83">
        <f>+'[1]WPB-6''s'!$T$103</f>
        <v>1295808</v>
      </c>
      <c r="F23" s="83">
        <f t="shared" si="0"/>
        <v>0</v>
      </c>
    </row>
    <row r="24" spans="1:6" ht="15">
      <c r="A24" s="13" t="s">
        <v>948</v>
      </c>
      <c r="B24" s="85"/>
      <c r="C24" s="85"/>
      <c r="D24" s="222">
        <f>coss!V281</f>
        <v>0</v>
      </c>
      <c r="E24" s="83"/>
      <c r="F24" s="83">
        <f>E24-D24</f>
        <v>0</v>
      </c>
    </row>
    <row r="25" spans="2:6" ht="15">
      <c r="B25" s="85"/>
      <c r="C25" s="85"/>
      <c r="D25" s="95">
        <f>SUM(D21:D24)</f>
        <v>5558808</v>
      </c>
      <c r="E25" s="95">
        <f>SUM(E21:E24)</f>
        <v>5558808</v>
      </c>
      <c r="F25" s="95">
        <f>SUM(F21:F24)</f>
        <v>0</v>
      </c>
    </row>
    <row r="26" spans="2:6" ht="15">
      <c r="B26" s="85"/>
      <c r="C26" s="85"/>
      <c r="D26" s="222"/>
      <c r="E26" s="83"/>
      <c r="F26" s="83"/>
    </row>
    <row r="27" spans="2:6" ht="15">
      <c r="B27" s="85"/>
      <c r="C27" s="85"/>
      <c r="D27" s="222"/>
      <c r="E27" s="83" t="s">
        <v>1324</v>
      </c>
      <c r="F27" s="83"/>
    </row>
    <row r="28" spans="1:6" ht="15">
      <c r="A28" s="90" t="s">
        <v>950</v>
      </c>
      <c r="B28" s="85" t="s">
        <v>912</v>
      </c>
      <c r="C28" s="85"/>
      <c r="D28" s="222">
        <f>coss!V247</f>
        <v>41336603</v>
      </c>
      <c r="E28" s="83">
        <f>-'[1]WPB-6's'!$T$104-'[1]WPB-6's'!$T$105</f>
        <v>41336603</v>
      </c>
      <c r="F28" s="83">
        <f>E28-D28</f>
        <v>0</v>
      </c>
    </row>
    <row r="29" spans="1:6" ht="15">
      <c r="A29" s="13" t="s">
        <v>950</v>
      </c>
      <c r="B29" s="85" t="s">
        <v>1222</v>
      </c>
      <c r="C29" s="85"/>
      <c r="D29" s="222">
        <f>coss!V256</f>
        <v>-34872</v>
      </c>
      <c r="E29" s="83">
        <f>-'[1]WPB-6''s'!$T$106</f>
        <v>-34872</v>
      </c>
      <c r="F29" s="83">
        <f t="shared" si="0"/>
        <v>0</v>
      </c>
    </row>
    <row r="30" spans="1:6" ht="15">
      <c r="A30" s="88" t="s">
        <v>909</v>
      </c>
      <c r="B30" s="85" t="s">
        <v>910</v>
      </c>
      <c r="C30" s="85"/>
      <c r="D30" s="222">
        <f>coss!V259</f>
        <v>0</v>
      </c>
      <c r="E30" s="83">
        <f>-'[1]SCH_B6'!$P$25</f>
        <v>0</v>
      </c>
      <c r="F30" s="83">
        <f>E30-D30</f>
        <v>0</v>
      </c>
    </row>
    <row r="31" spans="1:6" ht="15">
      <c r="A31" s="13" t="s">
        <v>950</v>
      </c>
      <c r="B31" s="85"/>
      <c r="C31" s="85"/>
      <c r="D31" s="222"/>
      <c r="E31" s="83"/>
      <c r="F31" s="83">
        <f t="shared" si="0"/>
        <v>0</v>
      </c>
    </row>
    <row r="32" spans="2:6" ht="15">
      <c r="B32" s="85"/>
      <c r="C32" s="85"/>
      <c r="D32" s="95">
        <f>SUM(D28:D31)</f>
        <v>41301731</v>
      </c>
      <c r="E32" s="94">
        <f>SUM(E28:E31)</f>
        <v>41301731</v>
      </c>
      <c r="F32" s="94">
        <f>SUM(F28:F31)</f>
        <v>0</v>
      </c>
    </row>
    <row r="33" spans="1:6" ht="15.75" thickBot="1">
      <c r="A33" s="88" t="s">
        <v>913</v>
      </c>
      <c r="B33" s="85" t="s">
        <v>914</v>
      </c>
      <c r="C33" s="85"/>
      <c r="D33" s="235">
        <f>+D25-D32</f>
        <v>-35742923</v>
      </c>
      <c r="E33" s="84">
        <f>+E25-E32</f>
        <v>-35742923</v>
      </c>
      <c r="F33" s="84">
        <f>+F25-F32</f>
        <v>0</v>
      </c>
    </row>
    <row r="34" spans="4:6" ht="15.75" thickTop="1">
      <c r="D34" s="150" t="s">
        <v>915</v>
      </c>
      <c r="E34" s="83"/>
      <c r="F34" s="83"/>
    </row>
    <row r="35" spans="1:6" ht="15">
      <c r="A35" s="88" t="s">
        <v>1223</v>
      </c>
      <c r="B35" s="85" t="s">
        <v>915</v>
      </c>
      <c r="C35" s="85"/>
      <c r="D35" s="150"/>
      <c r="E35" s="83">
        <f>+'[1]SCH_B6'!$P$34</f>
        <v>0</v>
      </c>
      <c r="F35" s="83">
        <f>E35-D35</f>
        <v>0</v>
      </c>
    </row>
    <row r="36" spans="1:6" ht="15">
      <c r="A36" s="88"/>
      <c r="D36" s="150"/>
      <c r="F36" s="83"/>
    </row>
    <row r="37" spans="1:6" ht="15.75">
      <c r="A37" s="91" t="s">
        <v>916</v>
      </c>
      <c r="D37" s="237">
        <f>+coss!V336</f>
        <v>590941401</v>
      </c>
      <c r="E37" s="83">
        <f>+'[1]SCH_B1'!$I$40</f>
        <v>590909461</v>
      </c>
      <c r="F37" s="83">
        <f>E37-D37</f>
        <v>-31940</v>
      </c>
    </row>
    <row r="38" spans="1:6" ht="15">
      <c r="A38" s="78"/>
      <c r="D38" s="150"/>
      <c r="F38" s="83"/>
    </row>
    <row r="39" spans="1:7" ht="15">
      <c r="A39" s="78" t="s">
        <v>917</v>
      </c>
      <c r="B39" s="13" t="s">
        <v>918</v>
      </c>
      <c r="D39" s="222">
        <f>coss!V362</f>
        <v>143824037</v>
      </c>
      <c r="E39" s="83">
        <f>+'[1]SCH_C2'!$N$27</f>
        <v>58082367</v>
      </c>
      <c r="F39" s="83">
        <f aca="true" t="shared" si="1" ref="F39:F53">E39-D39</f>
        <v>-85741670</v>
      </c>
      <c r="G39" t="s">
        <v>1366</v>
      </c>
    </row>
    <row r="40" spans="1:6" ht="15">
      <c r="A40" s="78"/>
      <c r="B40" s="13" t="s">
        <v>919</v>
      </c>
      <c r="D40" s="222">
        <f>coss!V369</f>
        <v>16939554</v>
      </c>
      <c r="E40" s="83">
        <f>+'[1]SCH_C2'!$N$29</f>
        <v>16939554</v>
      </c>
      <c r="F40" s="83">
        <f t="shared" si="1"/>
        <v>0</v>
      </c>
    </row>
    <row r="41" spans="1:6" ht="15">
      <c r="A41" s="52"/>
      <c r="B41" s="13" t="s">
        <v>920</v>
      </c>
      <c r="D41" s="222">
        <f>coss!V383</f>
        <v>6730324</v>
      </c>
      <c r="E41" s="83">
        <f>+'[1]SCH_C2'!$N$30</f>
        <v>6730324</v>
      </c>
      <c r="F41" s="83">
        <f t="shared" si="1"/>
        <v>0</v>
      </c>
    </row>
    <row r="42" spans="1:6" ht="15">
      <c r="A42" s="79"/>
      <c r="B42" s="13" t="s">
        <v>921</v>
      </c>
      <c r="D42" s="222">
        <f>coss!V391</f>
        <v>5788726</v>
      </c>
      <c r="E42" s="83">
        <f>+'[1]SCH_C2'!$N$31</f>
        <v>5533205</v>
      </c>
      <c r="F42" s="83">
        <f t="shared" si="1"/>
        <v>-255521</v>
      </c>
    </row>
    <row r="43" spans="2:6" ht="15">
      <c r="B43" s="13" t="s">
        <v>922</v>
      </c>
      <c r="D43" s="222">
        <f>coss!V398</f>
        <v>105046</v>
      </c>
      <c r="E43" s="83">
        <f>+'[1]SCH_C2'!$N$32</f>
        <v>105046</v>
      </c>
      <c r="F43" s="83">
        <f t="shared" si="1"/>
        <v>0</v>
      </c>
    </row>
    <row r="44" spans="1:6" ht="15">
      <c r="A44" s="83"/>
      <c r="B44" s="13" t="s">
        <v>295</v>
      </c>
      <c r="D44" s="222">
        <f>coss!V404</f>
        <v>728</v>
      </c>
      <c r="E44" s="83">
        <f>+'[1]SCH_C2'!$N$33</f>
        <v>728</v>
      </c>
      <c r="F44" s="83">
        <f t="shared" si="1"/>
        <v>0</v>
      </c>
    </row>
    <row r="45" spans="2:8" ht="15">
      <c r="B45" s="13" t="s">
        <v>923</v>
      </c>
      <c r="D45" s="222">
        <f>coss!V434</f>
        <v>24311101</v>
      </c>
      <c r="E45" s="83">
        <f>+'[1]SCH_C2'!$N$34+'[1]SCH_C2'!$N$35</f>
        <v>24311101</v>
      </c>
      <c r="F45" s="83">
        <f t="shared" si="1"/>
        <v>0</v>
      </c>
      <c r="G45" s="66"/>
      <c r="H45" s="66"/>
    </row>
    <row r="46" spans="2:6" ht="15">
      <c r="B46" s="13" t="s">
        <v>924</v>
      </c>
      <c r="D46" s="150"/>
      <c r="E46" s="83" t="s">
        <v>915</v>
      </c>
      <c r="F46" s="83" t="s">
        <v>915</v>
      </c>
    </row>
    <row r="47" spans="2:6" ht="15.75" thickBot="1">
      <c r="B47" s="13" t="s">
        <v>925</v>
      </c>
      <c r="D47" s="235">
        <f>SUM(D39:D46)</f>
        <v>197699516</v>
      </c>
      <c r="E47" s="84">
        <f>+'[1]SCH_C2'!$N$36</f>
        <v>111702325</v>
      </c>
      <c r="F47" s="84">
        <f t="shared" si="1"/>
        <v>-85997191</v>
      </c>
    </row>
    <row r="48" spans="1:6" ht="15.75" thickTop="1">
      <c r="A48" s="13" t="s">
        <v>865</v>
      </c>
      <c r="B48" s="13" t="s">
        <v>926</v>
      </c>
      <c r="D48" s="222">
        <f>coss!V464</f>
        <v>33172220</v>
      </c>
      <c r="E48" s="83">
        <f>+'[1]SCH_C2'!$N$38</f>
        <v>33172220</v>
      </c>
      <c r="F48" s="83">
        <f t="shared" si="1"/>
        <v>0</v>
      </c>
    </row>
    <row r="49" spans="1:6" ht="15">
      <c r="A49" s="13" t="s">
        <v>927</v>
      </c>
      <c r="B49" s="13" t="s">
        <v>927</v>
      </c>
      <c r="D49" s="232">
        <f>coss!V472</f>
        <v>5695145</v>
      </c>
      <c r="E49" s="232">
        <f>+'[1]SCH_C2.1 - Forecast Period'!$J$269+'[1]SCH_C2.1 - Forecast Period'!$J$270+'[1]SCH_C2.1 - Forecast Period'!$J$271+'[1]SCH_C2.1 - Forecast Period'!$J$272+'[1]SCH_D2.35'!$S$68</f>
        <v>5625540</v>
      </c>
      <c r="F49" s="86">
        <f t="shared" si="1"/>
        <v>-69605</v>
      </c>
    </row>
    <row r="50" spans="1:6" ht="15">
      <c r="A50" s="13" t="s">
        <v>928</v>
      </c>
      <c r="B50" s="13" t="s">
        <v>953</v>
      </c>
      <c r="D50" s="238">
        <f>coss!V483</f>
        <v>1861675</v>
      </c>
      <c r="E50" s="87">
        <f>+'[1]SCH_C2'!$N$43-E49</f>
        <v>1931280</v>
      </c>
      <c r="F50" s="87">
        <f t="shared" si="1"/>
        <v>69605</v>
      </c>
    </row>
    <row r="51" spans="1:6" ht="15">
      <c r="A51" s="13" t="s">
        <v>929</v>
      </c>
      <c r="B51" s="13" t="s">
        <v>929</v>
      </c>
      <c r="D51" s="232">
        <f>D50+D49</f>
        <v>7556820</v>
      </c>
      <c r="E51" s="83">
        <f>+'[1]SCH_C2'!$N$43</f>
        <v>7556820</v>
      </c>
      <c r="F51" s="86">
        <f>E51-D51</f>
        <v>0</v>
      </c>
    </row>
    <row r="52" spans="2:7" ht="15">
      <c r="B52" s="13" t="s">
        <v>930</v>
      </c>
      <c r="D52" s="238">
        <f>coss!V488</f>
        <v>77689</v>
      </c>
      <c r="E52" s="83">
        <f>+'[1]SCH_C1'!$P$62</f>
        <v>77689</v>
      </c>
      <c r="F52" s="86">
        <f>E52-D52</f>
        <v>0</v>
      </c>
      <c r="G52" t="s">
        <v>931</v>
      </c>
    </row>
    <row r="53" spans="2:6" ht="16.5" thickBot="1">
      <c r="B53" s="92" t="s">
        <v>932</v>
      </c>
      <c r="C53" s="92"/>
      <c r="D53" s="235">
        <f>D47+D48+D51+D52</f>
        <v>238506245</v>
      </c>
      <c r="E53" s="84">
        <f>E47+E48+E51+E52</f>
        <v>152509054</v>
      </c>
      <c r="F53" s="84">
        <f t="shared" si="1"/>
        <v>-85997191</v>
      </c>
    </row>
    <row r="54" spans="2:6" ht="15.75" thickTop="1">
      <c r="B54" s="13" t="s">
        <v>933</v>
      </c>
      <c r="D54" s="150"/>
      <c r="F54" s="83"/>
    </row>
    <row r="55" spans="2:6" ht="15">
      <c r="B55" s="13" t="s">
        <v>934</v>
      </c>
      <c r="D55" s="222">
        <f>coss!V502</f>
        <v>16237028</v>
      </c>
      <c r="E55" s="83">
        <f>-'[1]SCH_E1'!$Q$23</f>
        <v>16237028</v>
      </c>
      <c r="F55" s="83">
        <f>E55-D55</f>
        <v>0</v>
      </c>
    </row>
    <row r="56" spans="2:6" ht="15">
      <c r="B56" s="13" t="s">
        <v>935</v>
      </c>
      <c r="D56" s="222">
        <f>coss!V518</f>
        <v>6767194</v>
      </c>
      <c r="E56" s="83">
        <f>('[1]SCH_E1'!$Q$28+'[1]SCH_E1'!$Q$36)*-1</f>
        <v>6767194</v>
      </c>
      <c r="F56" s="83">
        <f>E56-D56</f>
        <v>0</v>
      </c>
    </row>
    <row r="57" spans="2:6" ht="15">
      <c r="B57" s="13" t="s">
        <v>936</v>
      </c>
      <c r="D57" s="222">
        <f>coss!V536</f>
        <v>1874337</v>
      </c>
      <c r="E57" s="83">
        <f>'[1]SCH_E1'!$Q$123</f>
        <v>1874337</v>
      </c>
      <c r="F57" s="83">
        <f>E57-D57</f>
        <v>0</v>
      </c>
    </row>
    <row r="58" spans="2:6" ht="15">
      <c r="B58" s="13" t="s">
        <v>937</v>
      </c>
      <c r="D58" s="222">
        <f>coss!V552-coss!V557</f>
        <v>-143846</v>
      </c>
      <c r="E58" s="83">
        <f>'[1]SCH_E1'!$Q$124</f>
        <v>-143846</v>
      </c>
      <c r="F58" s="83">
        <f>E58-D58</f>
        <v>0</v>
      </c>
    </row>
    <row r="59" spans="2:6" ht="15">
      <c r="B59" s="13" t="s">
        <v>915</v>
      </c>
      <c r="D59" s="222" t="s">
        <v>915</v>
      </c>
      <c r="F59" s="83" t="s">
        <v>915</v>
      </c>
    </row>
    <row r="60" spans="2:7" ht="15">
      <c r="B60" s="13" t="s">
        <v>938</v>
      </c>
      <c r="D60" s="222">
        <f>SUM(D57:D59)</f>
        <v>1730491</v>
      </c>
      <c r="E60" s="83">
        <f>E58+E57</f>
        <v>1730491</v>
      </c>
      <c r="F60" s="83">
        <f>E60-D60</f>
        <v>0</v>
      </c>
      <c r="G60" s="80"/>
    </row>
    <row r="61" spans="2:7" ht="15">
      <c r="B61" s="13" t="s">
        <v>954</v>
      </c>
      <c r="D61" s="222">
        <f>coss!V580</f>
        <v>16566971</v>
      </c>
      <c r="E61" s="83">
        <f>'[1]SCH_E1'!$M$126</f>
        <v>1339384</v>
      </c>
      <c r="F61" s="83">
        <f>E61-D61</f>
        <v>-15227587</v>
      </c>
      <c r="G61" s="81">
        <f>'[1]SCH_E1'!$M$121/'[1]SCH_E1'!$M$114</f>
        <v>0.3497935798688499</v>
      </c>
    </row>
    <row r="62" spans="4:6" ht="15">
      <c r="D62" s="150"/>
      <c r="E62" s="83">
        <f>'[1]SCH_C1'!$G$26</f>
        <v>15227942</v>
      </c>
      <c r="F62" s="83"/>
    </row>
    <row r="63" spans="2:6" ht="15">
      <c r="B63" s="13" t="s">
        <v>939</v>
      </c>
      <c r="D63" s="150"/>
      <c r="F63" s="83"/>
    </row>
    <row r="64" spans="4:6" ht="15">
      <c r="D64" s="150"/>
      <c r="F64" s="83"/>
    </row>
    <row r="65" spans="2:6" ht="15">
      <c r="B65" s="13" t="s">
        <v>940</v>
      </c>
      <c r="D65" s="222">
        <f>coss!V609</f>
        <v>394834</v>
      </c>
      <c r="E65" s="83">
        <f>'[1]SCH_E1'!$Q$105</f>
        <v>394834</v>
      </c>
      <c r="F65" s="83">
        <f aca="true" t="shared" si="2" ref="F65:F72">E65-D65</f>
        <v>0</v>
      </c>
    </row>
    <row r="66" spans="2:6" ht="15">
      <c r="B66" s="13" t="s">
        <v>941</v>
      </c>
      <c r="D66" s="222">
        <f>coss!V620</f>
        <v>0</v>
      </c>
      <c r="E66" s="83"/>
      <c r="F66" s="83">
        <f t="shared" si="2"/>
        <v>0</v>
      </c>
    </row>
    <row r="67" spans="2:6" ht="15">
      <c r="B67" s="13" t="s">
        <v>942</v>
      </c>
      <c r="D67" s="238">
        <f>coss!V624</f>
        <v>0</v>
      </c>
      <c r="E67" s="87"/>
      <c r="F67" s="87">
        <f t="shared" si="2"/>
        <v>0</v>
      </c>
    </row>
    <row r="68" spans="2:6" ht="15">
      <c r="B68" s="13" t="s">
        <v>943</v>
      </c>
      <c r="D68" s="222">
        <f>SUM(D65:D67)</f>
        <v>394834</v>
      </c>
      <c r="E68" s="83">
        <f>SUM(E65:E67)</f>
        <v>394834</v>
      </c>
      <c r="F68" s="83">
        <f t="shared" si="2"/>
        <v>0</v>
      </c>
    </row>
    <row r="69" spans="2:7" ht="15">
      <c r="B69" s="13" t="s">
        <v>944</v>
      </c>
      <c r="D69" s="222">
        <f>coss!V639</f>
        <v>2536069</v>
      </c>
      <c r="E69" s="83">
        <f>'[1]SCH_E1'!$Q$106</f>
        <v>0</v>
      </c>
      <c r="F69" s="83">
        <f t="shared" si="2"/>
        <v>-2536069</v>
      </c>
      <c r="G69" s="347">
        <f>'[1]SCH_E1'!$Q$81/'[1]SCH_E1'!$Q$73</f>
        <v>0.057878084947240775</v>
      </c>
    </row>
    <row r="70" spans="2:6" ht="15">
      <c r="B70" s="13" t="s">
        <v>1334</v>
      </c>
      <c r="D70" s="222">
        <f>D69+D68</f>
        <v>2930903</v>
      </c>
      <c r="E70" s="83">
        <f>E69+E68</f>
        <v>394834</v>
      </c>
      <c r="F70" s="83">
        <f t="shared" si="2"/>
        <v>-2536069</v>
      </c>
    </row>
    <row r="71" spans="4:6" ht="15">
      <c r="D71" s="222">
        <f>+D70-D69</f>
        <v>394834</v>
      </c>
      <c r="E71" s="83">
        <f>'[1]SCH_C1'!$G$25</f>
        <v>2678861</v>
      </c>
      <c r="F71" s="83"/>
    </row>
    <row r="72" spans="2:7" ht="15">
      <c r="B72" s="13" t="s">
        <v>945</v>
      </c>
      <c r="D72" s="222">
        <f>coss!V691</f>
        <v>348</v>
      </c>
      <c r="E72" s="83">
        <f>'[1]SCH_C1'!$I$32*-1</f>
        <v>-48805840</v>
      </c>
      <c r="F72" s="83">
        <f t="shared" si="2"/>
        <v>-48806188</v>
      </c>
      <c r="G72" s="66">
        <f>F70+F61</f>
        <v>-17763656</v>
      </c>
    </row>
    <row r="73" spans="4:6" ht="15">
      <c r="D73" s="150"/>
      <c r="E73" s="83">
        <f>'[1]SCH_A'!$I$31*-1</f>
        <v>-46520476</v>
      </c>
      <c r="F73" s="83">
        <f>E73-D72</f>
        <v>-46520824</v>
      </c>
    </row>
    <row r="74" spans="2:7" ht="15">
      <c r="B74" s="13" t="s">
        <v>946</v>
      </c>
      <c r="D74" s="222"/>
      <c r="E74" s="83">
        <f>'[1]SCH_C1'!$G$20</f>
        <v>255521</v>
      </c>
      <c r="F74" s="83">
        <f>E74-D74</f>
        <v>255521</v>
      </c>
      <c r="G74" s="66"/>
    </row>
    <row r="75" spans="2:7" ht="15">
      <c r="B75" s="13" t="s">
        <v>1353</v>
      </c>
      <c r="D75" s="232">
        <f>+coss!D487</f>
        <v>77689</v>
      </c>
      <c r="E75" s="83">
        <f>'[1]SCH_C1'!$G$22</f>
        <v>77689</v>
      </c>
      <c r="F75" s="83">
        <f>E75-D75</f>
        <v>0</v>
      </c>
      <c r="G75" s="66"/>
    </row>
    <row r="76" spans="2:8" ht="15">
      <c r="B76" s="3" t="s">
        <v>1339</v>
      </c>
      <c r="D76" s="222">
        <f>+coss!D669</f>
        <v>1978260</v>
      </c>
      <c r="E76" s="83">
        <f>'[1]SCH_C2'!$N$19</f>
        <v>2036580</v>
      </c>
      <c r="F76" s="83">
        <f>+D76-E76</f>
        <v>-58320</v>
      </c>
      <c r="G76" s="66"/>
      <c r="H76" s="66"/>
    </row>
    <row r="77" spans="2:8" ht="15">
      <c r="B77" s="3" t="s">
        <v>1340</v>
      </c>
      <c r="D77" s="222">
        <f>+revenue</f>
        <v>237897726</v>
      </c>
      <c r="E77" s="83">
        <f>+'[1]SCH_C2'!$N$17</f>
        <v>172138103</v>
      </c>
      <c r="F77" s="83">
        <f>+D77-E77</f>
        <v>65759623</v>
      </c>
      <c r="G77" s="66">
        <f>F77+F76</f>
        <v>65701303</v>
      </c>
      <c r="H77" s="66"/>
    </row>
    <row r="78" spans="2:8" ht="15.75" thickBot="1">
      <c r="B78" s="3" t="s">
        <v>305</v>
      </c>
      <c r="D78" s="235">
        <f>SUM(D76:D77)</f>
        <v>239875986</v>
      </c>
      <c r="E78" s="235">
        <f>SUM(E76:E77)</f>
        <v>174174683</v>
      </c>
      <c r="F78" s="235">
        <f>SUM(F76:F77)</f>
        <v>65701303</v>
      </c>
      <c r="G78" s="66"/>
      <c r="H78" s="66"/>
    </row>
    <row r="79" spans="4:7" ht="15.75" thickTop="1">
      <c r="D79" s="222">
        <f>D78-G77</f>
        <v>174174683</v>
      </c>
      <c r="E79" s="83"/>
      <c r="F79" s="83"/>
      <c r="G79" s="66"/>
    </row>
    <row r="80" spans="2:7" ht="15">
      <c r="B80" s="13" t="s">
        <v>1268</v>
      </c>
      <c r="D80" s="222">
        <f>+CAPITALIZATION</f>
        <v>557080702</v>
      </c>
      <c r="E80" s="83">
        <f>+'[1]SCH_A'!$I$17</f>
        <v>557080702</v>
      </c>
      <c r="F80" s="83">
        <f>+D80-E80</f>
        <v>0</v>
      </c>
      <c r="G80" s="66"/>
    </row>
    <row r="81" spans="2:5" ht="20.25">
      <c r="B81" s="11" t="s">
        <v>1348</v>
      </c>
      <c r="D81" s="239"/>
      <c r="E81" s="11"/>
    </row>
    <row r="82" spans="2:8" ht="15">
      <c r="B82" s="13" t="s">
        <v>1341</v>
      </c>
      <c r="D82" s="222">
        <f>+coss!D700</f>
        <v>275774125</v>
      </c>
      <c r="E82" s="83">
        <f>'[1]SCH_J1.1'!$G$18</f>
        <v>275774125</v>
      </c>
      <c r="F82" s="83">
        <f>+D82-E82</f>
        <v>0</v>
      </c>
      <c r="H82" s="66"/>
    </row>
    <row r="83" spans="2:6" ht="15">
      <c r="B83" s="13" t="s">
        <v>1342</v>
      </c>
      <c r="D83" s="222">
        <f>+coss!D701</f>
        <v>0</v>
      </c>
      <c r="E83" s="83">
        <v>0</v>
      </c>
      <c r="F83" s="83">
        <f aca="true" t="shared" si="3" ref="F83:F94">+D83-E83</f>
        <v>0</v>
      </c>
    </row>
    <row r="84" spans="2:6" ht="15">
      <c r="B84" s="13" t="s">
        <v>1343</v>
      </c>
      <c r="D84" s="222">
        <f>+coss!D702</f>
        <v>345393322</v>
      </c>
      <c r="E84" s="83">
        <f>'[1]SCH_J1.1'!$G$17</f>
        <v>345393322</v>
      </c>
      <c r="F84" s="83">
        <f t="shared" si="3"/>
        <v>0</v>
      </c>
    </row>
    <row r="85" spans="2:6" ht="15">
      <c r="B85" s="13" t="s">
        <v>1344</v>
      </c>
      <c r="D85" s="222">
        <f>+coss!D703</f>
        <v>57645769</v>
      </c>
      <c r="E85" s="358">
        <f>'[1]SCH_J1.1'!$G$19</f>
        <v>57645769.23076923</v>
      </c>
      <c r="F85" s="83">
        <f t="shared" si="3"/>
        <v>-0.23076923191547394</v>
      </c>
    </row>
    <row r="86" spans="2:6" ht="15">
      <c r="B86" s="13" t="s">
        <v>1345</v>
      </c>
      <c r="D86" s="222">
        <f>+coss!D704</f>
        <v>0</v>
      </c>
      <c r="E86" s="83">
        <v>0</v>
      </c>
      <c r="F86" s="83">
        <f t="shared" si="3"/>
        <v>0</v>
      </c>
    </row>
    <row r="87" spans="2:6" ht="15" thickBot="1">
      <c r="B87" s="13" t="s">
        <v>1346</v>
      </c>
      <c r="D87" s="235">
        <f>SUM(D81:D86)</f>
        <v>678813216</v>
      </c>
      <c r="E87" s="84">
        <f>SUM(E81:E86)</f>
        <v>678813216.2307693</v>
      </c>
      <c r="F87" s="84">
        <f t="shared" si="3"/>
        <v>-0.23076927661895752</v>
      </c>
    </row>
    <row r="88" spans="2:6" ht="21" thickTop="1">
      <c r="B88" s="13" t="s">
        <v>306</v>
      </c>
      <c r="D88" s="150"/>
      <c r="E88" s="23"/>
      <c r="F88" s="83"/>
    </row>
    <row r="89" spans="2:6" ht="20.25">
      <c r="B89" s="13" t="s">
        <v>1347</v>
      </c>
      <c r="D89" s="150"/>
      <c r="E89" s="23"/>
      <c r="F89" s="83"/>
    </row>
    <row r="90" spans="2:6" ht="15">
      <c r="B90" s="13" t="s">
        <v>1341</v>
      </c>
      <c r="D90" s="234">
        <f>+coss!D708</f>
        <v>0.0609</v>
      </c>
      <c r="E90" s="234">
        <f>'[1]SCH_J1.1'!$K$18</f>
        <v>0.0609</v>
      </c>
      <c r="F90" s="363">
        <f t="shared" si="3"/>
        <v>0</v>
      </c>
    </row>
    <row r="91" spans="2:6" ht="15">
      <c r="B91" s="13" t="s">
        <v>1342</v>
      </c>
      <c r="D91" s="234">
        <f>+coss!D709</f>
        <v>0</v>
      </c>
      <c r="E91" s="234">
        <v>0</v>
      </c>
      <c r="F91" s="363">
        <f t="shared" si="3"/>
        <v>0</v>
      </c>
    </row>
    <row r="92" spans="2:6" ht="15">
      <c r="B92" s="13" t="s">
        <v>1343</v>
      </c>
      <c r="D92" s="234">
        <f>+coss!D710</f>
        <v>0.115</v>
      </c>
      <c r="E92" s="234">
        <f>'[1]SCH_J1.1'!$K$17</f>
        <v>0.115</v>
      </c>
      <c r="F92" s="363">
        <f t="shared" si="3"/>
        <v>0</v>
      </c>
    </row>
    <row r="93" spans="2:6" ht="15">
      <c r="B93" s="13" t="s">
        <v>1344</v>
      </c>
      <c r="D93" s="234">
        <f>+coss!D711</f>
        <v>0.05138</v>
      </c>
      <c r="E93" s="234">
        <f>'[1]SCH_J1.1'!$K$19</f>
        <v>0.05138</v>
      </c>
      <c r="F93" s="363">
        <f t="shared" si="3"/>
        <v>0</v>
      </c>
    </row>
    <row r="94" spans="2:6" ht="15">
      <c r="B94" s="13" t="s">
        <v>1345</v>
      </c>
      <c r="D94" s="234">
        <f>+coss!D712</f>
        <v>0</v>
      </c>
      <c r="E94" s="234">
        <v>0</v>
      </c>
      <c r="F94" s="363">
        <f t="shared" si="3"/>
        <v>0</v>
      </c>
    </row>
    <row r="95" spans="4:5" ht="15">
      <c r="D95" s="150"/>
      <c r="E95" s="233"/>
    </row>
    <row r="96" ht="15">
      <c r="D96" s="150"/>
    </row>
    <row r="97" ht="15">
      <c r="D97" s="150"/>
    </row>
    <row r="98" ht="15">
      <c r="D98" s="150"/>
    </row>
    <row r="99" ht="15">
      <c r="D99" s="150"/>
    </row>
    <row r="100" ht="15">
      <c r="D100" s="150"/>
    </row>
    <row r="101" ht="15">
      <c r="D101" s="150"/>
    </row>
    <row r="102" ht="15">
      <c r="D102" s="150"/>
    </row>
    <row r="103" ht="15">
      <c r="D103" s="150"/>
    </row>
    <row r="104" ht="15">
      <c r="D104" s="150"/>
    </row>
    <row r="105" ht="15">
      <c r="D105" s="150"/>
    </row>
    <row r="106" ht="15">
      <c r="D106" s="150"/>
    </row>
    <row r="107" ht="15">
      <c r="D107" s="150"/>
    </row>
    <row r="108" ht="15">
      <c r="D108" s="150"/>
    </row>
    <row r="109" ht="15">
      <c r="D109" s="150"/>
    </row>
    <row r="110" ht="15">
      <c r="D110" s="150"/>
    </row>
    <row r="111" ht="15">
      <c r="D111" s="150"/>
    </row>
    <row r="112" ht="15">
      <c r="D112" s="150"/>
    </row>
    <row r="113" ht="15">
      <c r="D113" s="150"/>
    </row>
    <row r="114" ht="15">
      <c r="D114" s="150"/>
    </row>
    <row r="115" ht="15">
      <c r="D115" s="150"/>
    </row>
    <row r="116" ht="15">
      <c r="D116" s="150"/>
    </row>
    <row r="117" ht="15">
      <c r="D117" s="150"/>
    </row>
    <row r="118" ht="15">
      <c r="D118" s="150"/>
    </row>
    <row r="119" ht="15">
      <c r="D119" s="150"/>
    </row>
    <row r="120" ht="15">
      <c r="D120" s="150"/>
    </row>
    <row r="121" ht="15">
      <c r="D121" s="150"/>
    </row>
    <row r="122" ht="15">
      <c r="D122" s="150"/>
    </row>
    <row r="123" ht="15">
      <c r="D123" s="150"/>
    </row>
    <row r="124" ht="15">
      <c r="D124" s="150"/>
    </row>
    <row r="125" ht="15">
      <c r="D125" s="150"/>
    </row>
    <row r="126" ht="15">
      <c r="D126" s="150"/>
    </row>
    <row r="127" ht="15">
      <c r="D127" s="150"/>
    </row>
    <row r="128" ht="15">
      <c r="D128" s="150"/>
    </row>
    <row r="129" ht="15">
      <c r="D129" s="150"/>
    </row>
    <row r="130" ht="15">
      <c r="D130" s="150"/>
    </row>
    <row r="131" ht="15">
      <c r="D131" s="150"/>
    </row>
    <row r="132" ht="15">
      <c r="D132" s="150"/>
    </row>
    <row r="133" ht="15">
      <c r="D133" s="150"/>
    </row>
    <row r="134" ht="15">
      <c r="D134" s="150"/>
    </row>
    <row r="135" ht="15">
      <c r="D135" s="150"/>
    </row>
    <row r="136" ht="15">
      <c r="D136" s="150"/>
    </row>
    <row r="137" ht="15">
      <c r="D137" s="150"/>
    </row>
    <row r="138" ht="15">
      <c r="D138" s="150"/>
    </row>
    <row r="139" ht="15">
      <c r="D139" s="150"/>
    </row>
    <row r="140" ht="15">
      <c r="D140" s="150"/>
    </row>
    <row r="141" ht="15">
      <c r="D141" s="150"/>
    </row>
    <row r="142" ht="15">
      <c r="D142" s="150"/>
    </row>
    <row r="143" ht="15">
      <c r="D143" s="150"/>
    </row>
    <row r="144" ht="15">
      <c r="D144" s="150"/>
    </row>
    <row r="145" ht="15">
      <c r="D145" s="150"/>
    </row>
    <row r="146" ht="15">
      <c r="D146" s="150"/>
    </row>
    <row r="147" ht="15">
      <c r="D147" s="150"/>
    </row>
    <row r="148" ht="15">
      <c r="D148" s="150"/>
    </row>
    <row r="149" ht="15">
      <c r="D149" s="150"/>
    </row>
    <row r="150" ht="15">
      <c r="D150" s="150"/>
    </row>
    <row r="151" ht="15">
      <c r="D151" s="150"/>
    </row>
    <row r="152" ht="15">
      <c r="D152" s="150"/>
    </row>
    <row r="153" ht="15">
      <c r="D153" s="150"/>
    </row>
    <row r="154" ht="15">
      <c r="D154" s="150"/>
    </row>
    <row r="155" ht="15">
      <c r="D155" s="150"/>
    </row>
    <row r="156" ht="15">
      <c r="D156" s="150"/>
    </row>
    <row r="157" ht="15">
      <c r="D157" s="150"/>
    </row>
    <row r="158" ht="15">
      <c r="D158" s="150"/>
    </row>
    <row r="159" ht="15">
      <c r="D159" s="150"/>
    </row>
    <row r="160" ht="15">
      <c r="D160" s="150"/>
    </row>
    <row r="161" ht="15">
      <c r="D161" s="150"/>
    </row>
    <row r="162" ht="15">
      <c r="D162" s="150"/>
    </row>
    <row r="163" ht="15">
      <c r="D163" s="150"/>
    </row>
    <row r="164" ht="15">
      <c r="D164" s="150"/>
    </row>
    <row r="165" ht="15">
      <c r="D165" s="150"/>
    </row>
    <row r="166" ht="15">
      <c r="D166" s="150"/>
    </row>
    <row r="167" ht="15">
      <c r="D167" s="150"/>
    </row>
    <row r="168" ht="15">
      <c r="D168" s="150"/>
    </row>
    <row r="169" ht="15">
      <c r="D169" s="150"/>
    </row>
    <row r="170" ht="15">
      <c r="D170" s="150"/>
    </row>
    <row r="171" ht="15">
      <c r="D171" s="150"/>
    </row>
    <row r="172" ht="15">
      <c r="D172" s="150"/>
    </row>
    <row r="173" ht="15">
      <c r="D173" s="150"/>
    </row>
    <row r="174" ht="15">
      <c r="D174" s="150"/>
    </row>
    <row r="175" ht="15">
      <c r="D175" s="150"/>
    </row>
    <row r="176" ht="15">
      <c r="D176" s="150"/>
    </row>
    <row r="177" ht="15">
      <c r="D177" s="150"/>
    </row>
    <row r="178" ht="15">
      <c r="D178" s="150"/>
    </row>
    <row r="179" ht="15">
      <c r="D179" s="150"/>
    </row>
    <row r="180" ht="15">
      <c r="D180" s="150"/>
    </row>
    <row r="181" ht="15">
      <c r="D181" s="150"/>
    </row>
    <row r="182" ht="15">
      <c r="D182" s="150"/>
    </row>
    <row r="183" ht="15">
      <c r="D183" s="150"/>
    </row>
    <row r="184" ht="15">
      <c r="D184" s="150"/>
    </row>
    <row r="185" ht="15">
      <c r="D185" s="150"/>
    </row>
    <row r="186" ht="15">
      <c r="D186" s="150"/>
    </row>
    <row r="187" ht="15">
      <c r="D187" s="150"/>
    </row>
    <row r="188" ht="15">
      <c r="D188" s="150"/>
    </row>
    <row r="189" ht="15">
      <c r="D189" s="150"/>
    </row>
    <row r="190" ht="15">
      <c r="D190" s="150"/>
    </row>
    <row r="191" ht="15">
      <c r="D191" s="150"/>
    </row>
    <row r="192" ht="15">
      <c r="D192" s="150"/>
    </row>
    <row r="193" ht="15">
      <c r="D193" s="150"/>
    </row>
    <row r="194" ht="15">
      <c r="D194" s="150"/>
    </row>
    <row r="195" ht="15">
      <c r="D195" s="150"/>
    </row>
    <row r="196" ht="15">
      <c r="D196" s="150"/>
    </row>
    <row r="197" ht="15">
      <c r="D197" s="150"/>
    </row>
    <row r="198" ht="15">
      <c r="D198" s="150"/>
    </row>
    <row r="199" ht="15">
      <c r="D199" s="150"/>
    </row>
    <row r="200" ht="15">
      <c r="D200" s="150"/>
    </row>
    <row r="201" ht="15">
      <c r="D201" s="150"/>
    </row>
    <row r="202" ht="15">
      <c r="D202" s="150"/>
    </row>
    <row r="203" ht="15">
      <c r="D203" s="150"/>
    </row>
    <row r="204" ht="15">
      <c r="D204" s="150"/>
    </row>
    <row r="205" ht="15">
      <c r="D205" s="150"/>
    </row>
    <row r="206" ht="15">
      <c r="D206" s="150"/>
    </row>
    <row r="207" ht="15">
      <c r="D207" s="150"/>
    </row>
    <row r="208" ht="15">
      <c r="D208" s="150"/>
    </row>
    <row r="209" ht="15">
      <c r="D209" s="150"/>
    </row>
    <row r="210" ht="15">
      <c r="D210" s="150"/>
    </row>
    <row r="211" ht="15">
      <c r="D211" s="15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t61190</cp:lastModifiedBy>
  <cp:lastPrinted>2006-06-22T19:15:22Z</cp:lastPrinted>
  <dcterms:created xsi:type="dcterms:W3CDTF">1998-02-13T14:07:51Z</dcterms:created>
  <dcterms:modified xsi:type="dcterms:W3CDTF">2006-07-17T15:32:00Z</dcterms:modified>
  <cp:category/>
  <cp:version/>
  <cp:contentType/>
  <cp:contentStatus/>
</cp:coreProperties>
</file>