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4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EFC">'[1]INPUT'!$C$14</definedName>
    <definedName name="_xlnm.Print_Area" localSheetId="0">'Sheet1'!$A$1:$B$26</definedName>
    <definedName name="PRO_BASE_FUEL">'[1]INPUT'!$C$16</definedName>
  </definedNames>
  <calcPr fullCalcOnLoad="1"/>
</workbook>
</file>

<file path=xl/sharedStrings.xml><?xml version="1.0" encoding="utf-8"?>
<sst xmlns="http://schemas.openxmlformats.org/spreadsheetml/2006/main" count="136" uniqueCount="83">
  <si>
    <t>Current Revenue Production</t>
  </si>
  <si>
    <t>Remainder</t>
  </si>
  <si>
    <t>Revenue Increase (Decrease)</t>
  </si>
  <si>
    <t>Remainder to Recover</t>
  </si>
  <si>
    <t>Ratio</t>
  </si>
  <si>
    <t>Proposed Revenue Production</t>
  </si>
  <si>
    <t>PROPOSED ANNUALIZED</t>
  </si>
  <si>
    <t>PROPOSED</t>
  </si>
  <si>
    <t>% OF REV TO</t>
  </si>
  <si>
    <t>REVENUE LESS</t>
  </si>
  <si>
    <t>TOTAL LESS</t>
  </si>
  <si>
    <t>TOTAL</t>
  </si>
  <si>
    <t>LINE</t>
  </si>
  <si>
    <t>RATE</t>
  </si>
  <si>
    <t>CLASS /</t>
  </si>
  <si>
    <t>CUSTOMER</t>
  </si>
  <si>
    <t>FUEL COST</t>
  </si>
  <si>
    <t>REVENUE</t>
  </si>
  <si>
    <t xml:space="preserve"> NO.</t>
  </si>
  <si>
    <t>CODE</t>
  </si>
  <si>
    <t>DESCRIPTION</t>
  </si>
  <si>
    <t>BILLS(1)</t>
  </si>
  <si>
    <t>SALES</t>
  </si>
  <si>
    <t>RATES</t>
  </si>
  <si>
    <t>REVENUE (2)</t>
  </si>
  <si>
    <t>(F + H)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</si>
  <si>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</si>
  <si>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</si>
  <si>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</si>
  <si>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</si>
  <si>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</si>
  <si>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</si>
  <si>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</si>
  <si>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</si>
  <si>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</si>
  <si>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(KWH)</t>
  </si>
  <si>
    <t>($/KWH)</t>
  </si>
  <si>
    <t>($)</t>
  </si>
  <si>
    <t>(%)</t>
  </si>
  <si>
    <t>RS</t>
  </si>
  <si>
    <t>RESIDENTIAL</t>
  </si>
  <si>
    <t>SUMMER:</t>
  </si>
  <si>
    <t>CUSTOMER CHARGE:</t>
  </si>
  <si>
    <t>BILLS</t>
  </si>
  <si>
    <t>ENERGY CHARGE (3):</t>
  </si>
  <si>
    <t>FIRST 1000 KWH</t>
  </si>
  <si>
    <t>ADDITIONAL KWH</t>
  </si>
  <si>
    <t xml:space="preserve">TOTAL </t>
  </si>
  <si>
    <t>TOTAL SUMMER</t>
  </si>
  <si>
    <t>WINTER:</t>
  </si>
  <si>
    <t>TOTAL WINTER</t>
  </si>
  <si>
    <t xml:space="preserve">  TOTAL RATE RS</t>
  </si>
  <si>
    <t>(1) BILLS THAT TERMINATE IN RESPECTIVE RATE STEPS.</t>
  </si>
  <si>
    <t>First Pass RS Rate Design</t>
  </si>
  <si>
    <t>Customer Charges (Summer)</t>
  </si>
  <si>
    <t>Customer Charges (Winter)</t>
  </si>
  <si>
    <t># of Bills</t>
  </si>
  <si>
    <t xml:space="preserve">Monthly </t>
  </si>
  <si>
    <t>Charge</t>
  </si>
  <si>
    <t>Total Customer Charge revenue</t>
  </si>
  <si>
    <t>Annual</t>
  </si>
  <si>
    <t>Revenue</t>
  </si>
  <si>
    <t>Proposed</t>
  </si>
  <si>
    <t>Current</t>
  </si>
  <si>
    <t xml:space="preserve">Customer Charges </t>
  </si>
  <si>
    <t>Energy Charge (Summer)</t>
  </si>
  <si>
    <t>First 1000 kWh</t>
  </si>
  <si>
    <t>Additional kWh</t>
  </si>
  <si>
    <t>Energy Charge (Winter)</t>
  </si>
  <si>
    <t>Billed</t>
  </si>
  <si>
    <t>kWh</t>
  </si>
  <si>
    <t>Total Energy Charge Revenue</t>
  </si>
  <si>
    <t>Check</t>
  </si>
  <si>
    <t>Total Rate RS</t>
  </si>
  <si>
    <t>Proposed Rate RS</t>
  </si>
  <si>
    <t>Difference</t>
  </si>
  <si>
    <t>Revised</t>
  </si>
  <si>
    <t>Customer</t>
  </si>
  <si>
    <t>RS Redesign To A Flat kWh Charge</t>
  </si>
  <si>
    <t>kWh Sales</t>
  </si>
  <si>
    <t>Test Period</t>
  </si>
  <si>
    <t>Energy</t>
  </si>
  <si>
    <t>Current Fuel Cost Revenue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</si>
</sst>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"/>
    <numFmt numFmtId="165" formatCode="&quot;$&quot;#,##0.0000"/>
    <numFmt numFmtId="166" formatCode="&quot;$&quot;#,##0.00000"/>
    <numFmt numFmtId="167" formatCode="&quot;$&quot;#,##0.000000"/>
    <numFmt numFmtId="168" formatCode="_(* #,##0.0_);_(* \(#,##0.0\);_(* &quot;-&quot;??_);_(@_)"/>
    <numFmt numFmtId="169" formatCode="_(* #,##0_);_(* \(#,##0\);_(* &quot;-&quot;??_);_(@_)"/>
    <numFmt numFmtId="170" formatCode="&quot;$&quot;#,##0.00"/>
    <numFmt numFmtId="171" formatCode="&quot;$&quot;#,##0.0"/>
    <numFmt numFmtId="172" formatCode="&quot;$&quot;#,##0"/>
    <numFmt numFmtId="173" formatCode="0.0_)"/>
    <numFmt numFmtId="174" formatCode="&quot;$&quot;#,##0.000000_);\(&quot;$&quot;#,##0.000000\)"/>
    <numFmt numFmtId="175" formatCode="0.0000_)"/>
    <numFmt numFmtId="176" formatCode="0.00_)"/>
    <numFmt numFmtId="177" formatCode="_(&quot;$&quot;* #,##0.00000_);_(&quot;$&quot;* \(#,##0.00000\);_(&quot;$&quot;* &quot;-&quot;?????_);_(@_)"/>
    <numFmt numFmtId="178" formatCode="#,##0.00000"/>
    <numFmt numFmtId="179" formatCode="&quot;$&quot;#,##0.00000_);[Red]\(&quot;$&quot;#,##0.00000\)"/>
    <numFmt numFmtId="180" formatCode="&quot;$&quot;#,##0.000000_);[Red]\(&quot;$&quot;#,##0.000000\)"/>
    <numFmt numFmtId="181" formatCode="_(&quot;$&quot;* #,##0.000000_);_(&quot;$&quot;* \(#,##0.000000\);_(&quot;$&quot;* &quot;-&quot;??????_);_(@_)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_(&quot;$&quot;* #,##0.00000_);_(&quot;$&quot;* \(#,##0.00000\);_(&quot;$&quot;* &quot;-&quot;??_);_(@_)"/>
    <numFmt numFmtId="185" formatCode="_(&quot;$&quot;* #,##0.000000_);_(&quot;$&quot;* \(#,##0.000000\);_(&quot;$&quot;* &quot;-&quot;??_);_(@_)"/>
  </numFmts>
  <fonts count="8">
    <font>
      <sz val="10"/>
      <name val="Arial"/>
      <family val="0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67" fontId="1" fillId="0" borderId="0" xfId="0" applyNumberFormat="1" applyFont="1" applyAlignment="1">
      <alignment/>
    </xf>
    <xf numFmtId="169" fontId="1" fillId="0" borderId="0" xfId="15" applyNumberFormat="1" applyFont="1" applyAlignment="1">
      <alignment/>
    </xf>
    <xf numFmtId="170" fontId="0" fillId="0" borderId="0" xfId="0" applyNumberFormat="1" applyAlignment="1">
      <alignment/>
    </xf>
    <xf numFmtId="164" fontId="0" fillId="0" borderId="0" xfId="0" applyNumberFormat="1" applyAlignment="1">
      <alignment/>
    </xf>
    <xf numFmtId="172" fontId="0" fillId="0" borderId="0" xfId="0" applyNumberFormat="1" applyAlignment="1">
      <alignment/>
    </xf>
    <xf numFmtId="167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 applyProtection="1">
      <alignment horizontal="centerContinuous"/>
      <protection/>
    </xf>
    <xf numFmtId="0" fontId="3" fillId="0" borderId="0" xfId="0" applyFont="1" applyAlignment="1">
      <alignment horizontal="centerContinuous"/>
    </xf>
    <xf numFmtId="0" fontId="3" fillId="0" borderId="1" xfId="0" applyFont="1" applyBorder="1" applyAlignment="1" applyProtection="1">
      <alignment horizontal="fill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 quotePrefix="1">
      <alignment horizont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37" fontId="5" fillId="0" borderId="0" xfId="0" applyNumberFormat="1" applyFont="1" applyBorder="1" applyAlignment="1" applyProtection="1">
      <alignment/>
      <protection locked="0"/>
    </xf>
    <xf numFmtId="37" fontId="5" fillId="0" borderId="0" xfId="0" applyNumberFormat="1" applyFont="1" applyAlignment="1" applyProtection="1">
      <alignment/>
      <protection locked="0"/>
    </xf>
    <xf numFmtId="7" fontId="5" fillId="0" borderId="0" xfId="0" applyNumberFormat="1" applyFont="1" applyAlignment="1" applyProtection="1">
      <alignment/>
      <protection locked="0"/>
    </xf>
    <xf numFmtId="37" fontId="4" fillId="0" borderId="1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173" fontId="4" fillId="0" borderId="1" xfId="0" applyNumberFormat="1" applyFont="1" applyBorder="1" applyAlignment="1" applyProtection="1">
      <alignment/>
      <protection/>
    </xf>
    <xf numFmtId="173" fontId="4" fillId="0" borderId="0" xfId="0" applyNumberFormat="1" applyFont="1" applyAlignment="1" applyProtection="1">
      <alignment/>
      <protection/>
    </xf>
    <xf numFmtId="174" fontId="5" fillId="0" borderId="0" xfId="0" applyNumberFormat="1" applyFont="1" applyAlignment="1" applyProtection="1">
      <alignment/>
      <protection locked="0"/>
    </xf>
    <xf numFmtId="175" fontId="5" fillId="0" borderId="0" xfId="0" applyNumberFormat="1" applyFont="1" applyAlignment="1" applyProtection="1">
      <alignment/>
      <protection locked="0"/>
    </xf>
    <xf numFmtId="37" fontId="5" fillId="0" borderId="1" xfId="0" applyNumberFormat="1" applyFont="1" applyBorder="1" applyAlignment="1" applyProtection="1">
      <alignment/>
      <protection locked="0"/>
    </xf>
    <xf numFmtId="173" fontId="5" fillId="0" borderId="1" xfId="0" applyNumberFormat="1" applyFont="1" applyBorder="1" applyAlignment="1" applyProtection="1">
      <alignment/>
      <protection/>
    </xf>
    <xf numFmtId="0" fontId="3" fillId="0" borderId="0" xfId="0" applyFont="1" applyAlignment="1" quotePrefix="1">
      <alignment horizontal="left"/>
    </xf>
    <xf numFmtId="37" fontId="4" fillId="0" borderId="0" xfId="0" applyNumberFormat="1" applyFont="1" applyBorder="1" applyAlignment="1" applyProtection="1">
      <alignment/>
      <protection locked="0"/>
    </xf>
    <xf numFmtId="37" fontId="4" fillId="0" borderId="2" xfId="0" applyNumberFormat="1" applyFont="1" applyBorder="1" applyAlignment="1" applyProtection="1">
      <alignment/>
      <protection locked="0"/>
    </xf>
    <xf numFmtId="37" fontId="4" fillId="0" borderId="2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173" fontId="4" fillId="0" borderId="0" xfId="0" applyNumberFormat="1" applyFont="1" applyBorder="1" applyAlignment="1" applyProtection="1">
      <alignment/>
      <protection/>
    </xf>
    <xf numFmtId="37" fontId="4" fillId="0" borderId="3" xfId="0" applyNumberFormat="1" applyFont="1" applyBorder="1" applyAlignment="1" applyProtection="1">
      <alignment/>
      <protection/>
    </xf>
    <xf numFmtId="176" fontId="5" fillId="0" borderId="0" xfId="0" applyNumberFormat="1" applyFont="1" applyAlignment="1" applyProtection="1">
      <alignment/>
      <protection locked="0"/>
    </xf>
    <xf numFmtId="173" fontId="4" fillId="0" borderId="3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176" fontId="4" fillId="0" borderId="0" xfId="0" applyNumberFormat="1" applyFont="1" applyAlignment="1" applyProtection="1">
      <alignment/>
      <protection/>
    </xf>
    <xf numFmtId="0" fontId="3" fillId="0" borderId="0" xfId="0" applyFont="1" applyAlignment="1" applyProtection="1" quotePrefix="1">
      <alignment horizontal="left"/>
      <protection/>
    </xf>
    <xf numFmtId="37" fontId="5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/>
      <protection/>
    </xf>
    <xf numFmtId="0" fontId="1" fillId="0" borderId="0" xfId="0" applyFont="1" applyAlignment="1">
      <alignment/>
    </xf>
    <xf numFmtId="37" fontId="1" fillId="0" borderId="0" xfId="0" applyNumberFormat="1" applyFont="1" applyBorder="1" applyAlignment="1" applyProtection="1">
      <alignment/>
      <protection locked="0"/>
    </xf>
    <xf numFmtId="37" fontId="0" fillId="0" borderId="0" xfId="0" applyNumberFormat="1" applyAlignment="1">
      <alignment/>
    </xf>
    <xf numFmtId="44" fontId="0" fillId="0" borderId="0" xfId="17" applyAlignment="1">
      <alignment/>
    </xf>
    <xf numFmtId="42" fontId="0" fillId="0" borderId="0" xfId="17" applyNumberFormat="1" applyAlignment="1">
      <alignment/>
    </xf>
    <xf numFmtId="42" fontId="0" fillId="0" borderId="1" xfId="17" applyNumberFormat="1" applyBorder="1" applyAlignment="1">
      <alignment/>
    </xf>
    <xf numFmtId="37" fontId="1" fillId="0" borderId="1" xfId="0" applyNumberFormat="1" applyFont="1" applyBorder="1" applyAlignment="1" applyProtection="1">
      <alignment/>
      <protection locked="0"/>
    </xf>
    <xf numFmtId="172" fontId="1" fillId="0" borderId="0" xfId="17" applyNumberFormat="1" applyFont="1" applyAlignment="1">
      <alignment/>
    </xf>
    <xf numFmtId="177" fontId="0" fillId="0" borderId="0" xfId="17" applyNumberFormat="1" applyAlignment="1">
      <alignment/>
    </xf>
    <xf numFmtId="37" fontId="0" fillId="0" borderId="0" xfId="17" applyNumberFormat="1" applyAlignment="1">
      <alignment/>
    </xf>
    <xf numFmtId="179" fontId="0" fillId="0" borderId="0" xfId="0" applyNumberFormat="1" applyAlignment="1">
      <alignment/>
    </xf>
    <xf numFmtId="42" fontId="0" fillId="0" borderId="0" xfId="0" applyNumberFormat="1" applyAlignment="1">
      <alignment/>
    </xf>
    <xf numFmtId="172" fontId="0" fillId="0" borderId="1" xfId="0" applyNumberFormat="1" applyBorder="1" applyAlignment="1">
      <alignment/>
    </xf>
    <xf numFmtId="180" fontId="0" fillId="0" borderId="0" xfId="17" applyNumberFormat="1" applyAlignment="1">
      <alignment/>
    </xf>
    <xf numFmtId="44" fontId="1" fillId="0" borderId="0" xfId="17" applyFont="1" applyAlignment="1">
      <alignment/>
    </xf>
    <xf numFmtId="0" fontId="6" fillId="0" borderId="0" xfId="0" applyFont="1" applyAlignment="1">
      <alignment/>
    </xf>
    <xf numFmtId="185" fontId="0" fillId="0" borderId="0" xfId="17" applyNumberFormat="1" applyAlignment="1">
      <alignment/>
    </xf>
    <xf numFmtId="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5" fontId="1" fillId="0" borderId="0" xfId="0" applyNumberFormat="1" applyFont="1" applyBorder="1" applyAlignment="1" applyProtection="1">
      <alignment/>
      <protection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LHP%20ELEC%20SCH-M%20and%20N%2012%20months%20Forecasted%20Dec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PRINT"/>
      <sheetName val="SCH M"/>
      <sheetName val="SCH M-2.1"/>
      <sheetName val="SCH M-2.2"/>
      <sheetName val="SCH M-2.3"/>
      <sheetName val="Rate RS"/>
      <sheetName val="Rate DS"/>
      <sheetName val="Rate DT-Pri"/>
      <sheetName val="Rate DT-Sec"/>
      <sheetName val="Rate EH"/>
      <sheetName val="Rate GSFL"/>
      <sheetName val="Rate DP"/>
      <sheetName val="Rate TT"/>
      <sheetName val="Rate DT RTP-P"/>
      <sheetName val="Rate DT RTP-S"/>
      <sheetName val="Rate DS RTP"/>
      <sheetName val="Rate TT RTP"/>
      <sheetName val="Rate SL"/>
      <sheetName val="Rate TL"/>
      <sheetName val="Rate OL"/>
      <sheetName val="Rate NSU"/>
      <sheetName val="Rate NSP"/>
      <sheetName val="Rate SC"/>
      <sheetName val="Rate SE"/>
      <sheetName val="SCH N"/>
      <sheetName val="BILL CALC"/>
    </sheetNames>
    <sheetDataSet>
      <sheetData sheetId="0">
        <row r="14">
          <cell r="C14">
            <v>-0.002525</v>
          </cell>
        </row>
        <row r="16">
          <cell r="C16">
            <v>0.021619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workbookViewId="0" topLeftCell="F19">
      <selection activeCell="K38" sqref="K38"/>
    </sheetView>
  </sheetViews>
  <sheetFormatPr defaultColWidth="9.140625" defaultRowHeight="12.75"/>
  <cols>
    <col min="1" max="1" width="30.28125" style="0" customWidth="1"/>
    <col min="2" max="2" width="14.57421875" style="0" customWidth="1"/>
    <col min="5" max="5" width="9.7109375" style="0" bestFit="1" customWidth="1"/>
    <col min="7" max="7" width="12.00390625" style="0" customWidth="1"/>
    <col min="8" max="8" width="13.421875" style="0" bestFit="1" customWidth="1"/>
    <col min="9" max="9" width="12.140625" style="0" bestFit="1" customWidth="1"/>
    <col min="10" max="10" width="12.57421875" style="0" customWidth="1"/>
    <col min="11" max="11" width="12.28125" style="0" bestFit="1" customWidth="1"/>
    <col min="12" max="12" width="12.140625" style="0" bestFit="1" customWidth="1"/>
    <col min="13" max="13" width="13.421875" style="0" bestFit="1" customWidth="1"/>
    <col min="15" max="15" width="12.28125" style="0" bestFit="1" customWidth="1"/>
    <col min="16" max="16" width="10.140625" style="0" bestFit="1" customWidth="1"/>
    <col min="17" max="17" width="13.421875" style="0" bestFit="1" customWidth="1"/>
  </cols>
  <sheetData>
    <row r="1" spans="1:16" ht="15">
      <c r="A1" s="64" t="s">
        <v>53</v>
      </c>
      <c r="B1" s="64"/>
      <c r="N1" s="61" t="s">
        <v>76</v>
      </c>
      <c r="O1" s="61"/>
      <c r="P1" s="61" t="s">
        <v>76</v>
      </c>
    </row>
    <row r="2" spans="14:16" ht="12.75">
      <c r="N2" s="61" t="s">
        <v>62</v>
      </c>
      <c r="O2" s="61" t="s">
        <v>76</v>
      </c>
      <c r="P2" s="61" t="s">
        <v>62</v>
      </c>
    </row>
    <row r="3" spans="1:17" ht="12.75">
      <c r="A3" t="s">
        <v>5</v>
      </c>
      <c r="B3" s="7">
        <v>130274764</v>
      </c>
      <c r="H3" s="61"/>
      <c r="I3" s="61" t="s">
        <v>63</v>
      </c>
      <c r="J3" s="61" t="s">
        <v>63</v>
      </c>
      <c r="K3" s="61" t="s">
        <v>62</v>
      </c>
      <c r="L3" s="61" t="s">
        <v>62</v>
      </c>
      <c r="M3" s="61"/>
      <c r="N3" s="61" t="s">
        <v>57</v>
      </c>
      <c r="O3" s="61" t="s">
        <v>62</v>
      </c>
      <c r="P3" s="61" t="s">
        <v>57</v>
      </c>
      <c r="Q3" s="61"/>
    </row>
    <row r="4" spans="1:17" ht="12.75">
      <c r="A4" t="s">
        <v>0</v>
      </c>
      <c r="B4" s="7">
        <v>101458832</v>
      </c>
      <c r="H4" s="61"/>
      <c r="I4" s="61" t="s">
        <v>57</v>
      </c>
      <c r="J4" s="61" t="s">
        <v>60</v>
      </c>
      <c r="K4" s="61" t="s">
        <v>60</v>
      </c>
      <c r="L4" s="61" t="s">
        <v>57</v>
      </c>
      <c r="M4" s="61" t="s">
        <v>61</v>
      </c>
      <c r="N4" s="61" t="s">
        <v>77</v>
      </c>
      <c r="O4" s="61" t="s">
        <v>60</v>
      </c>
      <c r="P4" s="61" t="s">
        <v>70</v>
      </c>
      <c r="Q4" s="61" t="s">
        <v>61</v>
      </c>
    </row>
    <row r="5" spans="1:17" ht="12.75">
      <c r="A5" t="s">
        <v>64</v>
      </c>
      <c r="B5" s="7">
        <v>15913730</v>
      </c>
      <c r="H5" s="62" t="s">
        <v>56</v>
      </c>
      <c r="I5" s="62" t="s">
        <v>58</v>
      </c>
      <c r="J5" s="62" t="s">
        <v>61</v>
      </c>
      <c r="K5" s="62" t="s">
        <v>61</v>
      </c>
      <c r="L5" s="62" t="s">
        <v>58</v>
      </c>
      <c r="M5" s="62" t="s">
        <v>72</v>
      </c>
      <c r="N5" s="62" t="s">
        <v>58</v>
      </c>
      <c r="O5" s="62" t="s">
        <v>61</v>
      </c>
      <c r="P5" s="62" t="s">
        <v>58</v>
      </c>
      <c r="Q5" s="62" t="s">
        <v>72</v>
      </c>
    </row>
    <row r="6" spans="1:2" ht="12.75">
      <c r="A6" t="s">
        <v>82</v>
      </c>
      <c r="B6" s="63">
        <v>-3819747</v>
      </c>
    </row>
    <row r="7" spans="1:11" ht="12.75">
      <c r="A7" t="s">
        <v>1</v>
      </c>
      <c r="B7" s="5">
        <f>B4-B5+B6</f>
        <v>81725355</v>
      </c>
      <c r="E7" t="s">
        <v>54</v>
      </c>
      <c r="H7" s="44">
        <v>485805</v>
      </c>
      <c r="I7" s="43">
        <v>3.73</v>
      </c>
      <c r="J7" s="47">
        <f>ROUND(H7*I7,2)</f>
        <v>1812052.65</v>
      </c>
      <c r="K7" s="47"/>
    </row>
    <row r="8" spans="2:11" ht="12.75">
      <c r="B8" s="5"/>
      <c r="E8" t="s">
        <v>55</v>
      </c>
      <c r="H8" s="49">
        <v>971624</v>
      </c>
      <c r="I8" s="43">
        <v>3.73</v>
      </c>
      <c r="J8" s="48">
        <f>ROUND(H8*I8,2)</f>
        <v>3624157.52</v>
      </c>
      <c r="K8" s="47"/>
    </row>
    <row r="9" spans="1:15" ht="12.75">
      <c r="A9" t="s">
        <v>2</v>
      </c>
      <c r="B9" s="7">
        <f>B3-B4</f>
        <v>28815932</v>
      </c>
      <c r="E9" t="s">
        <v>59</v>
      </c>
      <c r="H9" s="45">
        <f>SUM(H7:H8)</f>
        <v>1457429</v>
      </c>
      <c r="J9" s="47">
        <f>SUM(J7:J8)</f>
        <v>5436210.17</v>
      </c>
      <c r="K9" s="50">
        <f>B5</f>
        <v>15913730</v>
      </c>
      <c r="L9" s="46">
        <f>ROUND(K9/H9,2)</f>
        <v>10.92</v>
      </c>
      <c r="M9" s="5">
        <f>ROUND(H9*L9,0)</f>
        <v>15915125</v>
      </c>
      <c r="N9" s="57">
        <v>5</v>
      </c>
      <c r="O9" s="5">
        <f>ROUND(H9*N9,0)</f>
        <v>7287145</v>
      </c>
    </row>
    <row r="10" spans="1:2" ht="12.75">
      <c r="A10" t="s">
        <v>3</v>
      </c>
      <c r="B10" s="5">
        <f>B7+B9</f>
        <v>110541287</v>
      </c>
    </row>
    <row r="12" spans="1:8" ht="12.75">
      <c r="A12" t="s">
        <v>4</v>
      </c>
      <c r="B12">
        <f>+B10/B7</f>
        <v>1.3525947608303446</v>
      </c>
      <c r="H12" s="61" t="s">
        <v>69</v>
      </c>
    </row>
    <row r="13" ht="12.75">
      <c r="H13" s="62" t="s">
        <v>70</v>
      </c>
    </row>
    <row r="14" ht="12.75">
      <c r="E14" t="s">
        <v>65</v>
      </c>
    </row>
    <row r="15" spans="2:17" ht="12.75">
      <c r="B15" s="7"/>
      <c r="F15" t="s">
        <v>66</v>
      </c>
      <c r="H15" s="8">
        <v>382736649</v>
      </c>
      <c r="I15" s="51">
        <v>0.06562</v>
      </c>
      <c r="J15" s="47">
        <f>ROUND(H15*I15,2)</f>
        <v>25115178.91</v>
      </c>
      <c r="K15" s="47">
        <f>ROUND((J15/$J$23)*$K$23,0)</f>
        <v>29911679</v>
      </c>
      <c r="L15" s="56">
        <f>ROUND(K15/H15,7)+0</f>
        <v>0.0781521</v>
      </c>
      <c r="M15" s="5">
        <f>ROUND(H15*L15,0)</f>
        <v>29911673</v>
      </c>
      <c r="O15" s="47">
        <f>ROUND((J15/$J$23)*$O$23,0)</f>
        <v>32168004</v>
      </c>
      <c r="P15" s="56">
        <f>ROUND(O15/H15,7)</f>
        <v>0.0840474</v>
      </c>
      <c r="Q15" s="5">
        <f>ROUND(H15*P15,0)</f>
        <v>32168020</v>
      </c>
    </row>
    <row r="16" spans="2:17" ht="12.75">
      <c r="B16" s="1"/>
      <c r="F16" t="s">
        <v>67</v>
      </c>
      <c r="H16" s="8">
        <v>197395902</v>
      </c>
      <c r="I16" s="51">
        <v>0.06873</v>
      </c>
      <c r="J16" s="47">
        <f>ROUND(H16*I16,2)</f>
        <v>13567020.34</v>
      </c>
      <c r="K16" s="47">
        <f>ROUND((J16/$J$23)*$K$23,0)</f>
        <v>16158052</v>
      </c>
      <c r="L16" s="56">
        <f>ROUND(K16/H16,7)-0.000004</f>
        <v>0.0818521</v>
      </c>
      <c r="M16" s="5">
        <f>ROUND(H16*L16,0)</f>
        <v>16157269</v>
      </c>
      <c r="O16" s="47">
        <f>ROUND((J16/$J$23)*$O$23,0)</f>
        <v>17376901</v>
      </c>
      <c r="P16" s="56">
        <f>ROUND(O16/H16,7)</f>
        <v>0.0880307</v>
      </c>
      <c r="Q16" s="5">
        <f>ROUND(H16*P16,0)</f>
        <v>17376899</v>
      </c>
    </row>
    <row r="17" spans="11:12" ht="12.75">
      <c r="K17" s="47"/>
      <c r="L17" s="53"/>
    </row>
    <row r="18" spans="2:12" ht="12.75">
      <c r="B18" s="4"/>
      <c r="K18" s="47"/>
      <c r="L18" s="53"/>
    </row>
    <row r="19" spans="2:12" ht="12.75">
      <c r="B19" s="6"/>
      <c r="E19" t="s">
        <v>68</v>
      </c>
      <c r="K19" s="47"/>
      <c r="L19" s="53"/>
    </row>
    <row r="20" spans="2:17" ht="12.75">
      <c r="B20" s="6"/>
      <c r="F20" t="s">
        <v>66</v>
      </c>
      <c r="H20" s="8">
        <v>675864431</v>
      </c>
      <c r="I20" s="51">
        <v>0.06562</v>
      </c>
      <c r="J20" s="47">
        <f>ROUND(H20*I20,2)</f>
        <v>44350223.96</v>
      </c>
      <c r="K20" s="47">
        <f>ROUND((J20/$J$23)*$K$23,0)</f>
        <v>52820236</v>
      </c>
      <c r="L20" s="56">
        <f>ROUND(K20/H20,7)+0</f>
        <v>0.0781521</v>
      </c>
      <c r="M20" s="5">
        <f>ROUND(H20*L20,0)</f>
        <v>52820225</v>
      </c>
      <c r="O20" s="47">
        <f>ROUND((J20/$J$23)*$O$23,0)</f>
        <v>56804620</v>
      </c>
      <c r="P20" s="56">
        <f>ROUND(O20/H20,7)</f>
        <v>0.0840474</v>
      </c>
      <c r="Q20" s="5">
        <f>ROUND(H20*P20,0)</f>
        <v>56804648</v>
      </c>
    </row>
    <row r="21" spans="2:17" ht="12.75">
      <c r="B21" s="2"/>
      <c r="F21" t="s">
        <v>67</v>
      </c>
      <c r="H21" s="8">
        <v>256774018</v>
      </c>
      <c r="I21" s="51">
        <v>0.05059</v>
      </c>
      <c r="J21" s="47">
        <f>ROUND(H21*I21,2)</f>
        <v>12990197.57</v>
      </c>
      <c r="K21" s="47">
        <f>ROUND((J21/$J$23)*$K$23,0)</f>
        <v>15471067</v>
      </c>
      <c r="L21" s="56">
        <f>ROUND(K21/H21,7)-0.000002</f>
        <v>0.060249699999999996</v>
      </c>
      <c r="M21" s="5">
        <f>ROUND(H21*L21,0)</f>
        <v>15470558</v>
      </c>
      <c r="O21" s="47">
        <f>ROUND((J21/$J$23)*$O$23,0)</f>
        <v>16638095</v>
      </c>
      <c r="P21" s="56">
        <f>ROUND(O21/H21,7)</f>
        <v>0.0647966</v>
      </c>
      <c r="Q21" s="5">
        <f>ROUND(H21*P21,0)</f>
        <v>16638083</v>
      </c>
    </row>
    <row r="22" ht="12.75">
      <c r="B22" s="3"/>
    </row>
    <row r="23" spans="2:17" ht="12.75">
      <c r="B23" s="3"/>
      <c r="E23" t="s">
        <v>71</v>
      </c>
      <c r="H23" s="52">
        <f>SUM(H15:H21)</f>
        <v>1512771000</v>
      </c>
      <c r="J23" s="47">
        <f>SUM(J15:J21)</f>
        <v>96022620.78</v>
      </c>
      <c r="K23" s="5">
        <f>B3-K9</f>
        <v>114361034</v>
      </c>
      <c r="M23" s="47">
        <f>SUM(M15:M21)</f>
        <v>114359725</v>
      </c>
      <c r="O23" s="5">
        <f>B3-O9</f>
        <v>122987619</v>
      </c>
      <c r="Q23" s="47">
        <f>SUM(Q15:Q21)</f>
        <v>122987650</v>
      </c>
    </row>
    <row r="24" spans="2:3" ht="12.75">
      <c r="B24" s="2"/>
      <c r="C24" s="8"/>
    </row>
    <row r="25" spans="2:17" ht="12.75">
      <c r="B25" s="4"/>
      <c r="K25" t="s">
        <v>73</v>
      </c>
      <c r="M25" s="54">
        <f>SUM(M23,M9)</f>
        <v>130274850</v>
      </c>
      <c r="Q25" s="54">
        <f>SUM(Q23,O9)</f>
        <v>130274795</v>
      </c>
    </row>
    <row r="26" spans="11:17" ht="12.75">
      <c r="K26" t="s">
        <v>74</v>
      </c>
      <c r="M26" s="55">
        <f>B3</f>
        <v>130274764</v>
      </c>
      <c r="Q26" s="55">
        <f>B3</f>
        <v>130274764</v>
      </c>
    </row>
    <row r="27" spans="11:17" ht="12.75">
      <c r="K27" t="s">
        <v>75</v>
      </c>
      <c r="M27" s="60">
        <f>M25-M26</f>
        <v>86</v>
      </c>
      <c r="Q27" s="60">
        <f>Q25-Q26</f>
        <v>31</v>
      </c>
    </row>
    <row r="31" ht="12.75">
      <c r="E31" s="58" t="s">
        <v>78</v>
      </c>
    </row>
    <row r="33" spans="5:13" ht="12.75">
      <c r="E33" s="61"/>
      <c r="F33" s="61"/>
      <c r="G33" s="61" t="s">
        <v>77</v>
      </c>
      <c r="H33" s="61"/>
      <c r="I33" s="61"/>
      <c r="J33" s="61" t="s">
        <v>81</v>
      </c>
      <c r="K33" s="61" t="s">
        <v>62</v>
      </c>
      <c r="L33" s="61"/>
      <c r="M33" s="61"/>
    </row>
    <row r="34" spans="5:13" ht="12.75">
      <c r="E34" s="61"/>
      <c r="F34" s="61" t="s">
        <v>77</v>
      </c>
      <c r="G34" s="61" t="s">
        <v>58</v>
      </c>
      <c r="H34" s="61" t="s">
        <v>80</v>
      </c>
      <c r="I34" s="61" t="s">
        <v>62</v>
      </c>
      <c r="J34" s="61" t="s">
        <v>58</v>
      </c>
      <c r="K34" s="61" t="s">
        <v>81</v>
      </c>
      <c r="L34" s="61" t="s">
        <v>61</v>
      </c>
      <c r="M34" s="61"/>
    </row>
    <row r="35" spans="5:13" ht="12.75">
      <c r="E35" s="62" t="s">
        <v>56</v>
      </c>
      <c r="F35" s="62" t="s">
        <v>58</v>
      </c>
      <c r="G35" s="62" t="s">
        <v>61</v>
      </c>
      <c r="H35" s="62" t="s">
        <v>79</v>
      </c>
      <c r="I35" s="62" t="s">
        <v>61</v>
      </c>
      <c r="J35" s="62" t="s">
        <v>61</v>
      </c>
      <c r="K35" s="62" t="s">
        <v>58</v>
      </c>
      <c r="L35" s="62" t="s">
        <v>72</v>
      </c>
      <c r="M35" s="62" t="s">
        <v>75</v>
      </c>
    </row>
    <row r="36" spans="5:13" ht="12.75">
      <c r="E36" s="45">
        <f>H9</f>
        <v>1457429</v>
      </c>
      <c r="F36" s="46">
        <f>N9</f>
        <v>5</v>
      </c>
      <c r="G36" s="47">
        <f>O9</f>
        <v>7287145</v>
      </c>
      <c r="H36" s="45">
        <f>H23</f>
        <v>1512771000</v>
      </c>
      <c r="I36" s="5">
        <f>B3</f>
        <v>130274764</v>
      </c>
      <c r="J36" s="5">
        <f>I36-G36</f>
        <v>122987619</v>
      </c>
      <c r="K36" s="59">
        <f>ROUND(J36/H36,6)-0.000001</f>
        <v>0.081299</v>
      </c>
      <c r="L36" s="5">
        <f>ROUND(K36*H36,0)</f>
        <v>122986770</v>
      </c>
      <c r="M36" s="60">
        <f>L36+G36-I36</f>
        <v>-849</v>
      </c>
    </row>
    <row r="38" ht="12.75">
      <c r="L38" s="5">
        <f>L36+G36</f>
        <v>130273915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r:id="rId1"/>
  <headerFooter alignWithMargins="0">
    <oddFooter>&amp;L&amp;F&amp;R&amp;D,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0"/>
  <sheetViews>
    <sheetView workbookViewId="0" topLeftCell="A22">
      <selection activeCell="F25" sqref="F25"/>
    </sheetView>
  </sheetViews>
  <sheetFormatPr defaultColWidth="9.140625" defaultRowHeight="12.75"/>
  <cols>
    <col min="6" max="6" width="14.7109375" style="0" bestFit="1" customWidth="1"/>
    <col min="8" max="8" width="16.7109375" style="0" bestFit="1" customWidth="1"/>
    <col min="10" max="10" width="14.57421875" style="0" bestFit="1" customWidth="1"/>
    <col min="12" max="12" width="19.7109375" style="0" bestFit="1" customWidth="1"/>
  </cols>
  <sheetData>
    <row r="1" spans="1:18" ht="15.75">
      <c r="A1" s="9" t="s">
        <v>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15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15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3" t="s">
        <v>7</v>
      </c>
      <c r="M3" s="13"/>
      <c r="N3" s="13" t="s">
        <v>8</v>
      </c>
      <c r="O3" s="13"/>
      <c r="P3" s="12"/>
      <c r="Q3" s="12"/>
      <c r="R3" s="13" t="s">
        <v>7</v>
      </c>
    </row>
    <row r="4" spans="1:18" ht="15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3" t="s">
        <v>9</v>
      </c>
      <c r="M4" s="13"/>
      <c r="N4" s="13" t="s">
        <v>10</v>
      </c>
      <c r="O4" s="13"/>
      <c r="P4" s="12"/>
      <c r="Q4" s="12"/>
      <c r="R4" s="13" t="s">
        <v>11</v>
      </c>
    </row>
    <row r="5" spans="1:18" ht="15.75">
      <c r="A5" s="13" t="s">
        <v>12</v>
      </c>
      <c r="B5" s="12"/>
      <c r="C5" s="13" t="s">
        <v>13</v>
      </c>
      <c r="D5" s="13" t="s">
        <v>14</v>
      </c>
      <c r="E5" s="13"/>
      <c r="F5" s="13" t="s">
        <v>15</v>
      </c>
      <c r="G5" s="12"/>
      <c r="H5" s="12"/>
      <c r="I5" s="12"/>
      <c r="J5" s="13" t="s">
        <v>7</v>
      </c>
      <c r="K5" s="13"/>
      <c r="L5" s="13" t="s">
        <v>16</v>
      </c>
      <c r="M5" s="13"/>
      <c r="N5" s="13" t="s">
        <v>16</v>
      </c>
      <c r="O5" s="13"/>
      <c r="P5" s="13" t="s">
        <v>16</v>
      </c>
      <c r="Q5" s="13"/>
      <c r="R5" s="13" t="s">
        <v>17</v>
      </c>
    </row>
    <row r="6" spans="1:18" ht="15.75">
      <c r="A6" s="13" t="s">
        <v>18</v>
      </c>
      <c r="B6" s="12"/>
      <c r="C6" s="13" t="s">
        <v>19</v>
      </c>
      <c r="D6" s="13" t="s">
        <v>20</v>
      </c>
      <c r="E6" s="13"/>
      <c r="F6" s="13" t="s">
        <v>21</v>
      </c>
      <c r="G6" s="12"/>
      <c r="H6" s="13" t="s">
        <v>22</v>
      </c>
      <c r="I6" s="13"/>
      <c r="J6" s="13" t="s">
        <v>23</v>
      </c>
      <c r="K6" s="13"/>
      <c r="L6" s="13" t="s">
        <v>17</v>
      </c>
      <c r="M6" s="13"/>
      <c r="N6" s="13" t="s">
        <v>17</v>
      </c>
      <c r="O6" s="13"/>
      <c r="P6" s="13" t="s">
        <v>24</v>
      </c>
      <c r="Q6" s="13"/>
      <c r="R6" s="13" t="s">
        <v>25</v>
      </c>
    </row>
    <row r="7" spans="1:18" ht="15.75">
      <c r="A7" s="12"/>
      <c r="B7" s="12"/>
      <c r="C7" s="13" t="s">
        <v>26</v>
      </c>
      <c r="D7" s="13" t="s">
        <v>27</v>
      </c>
      <c r="E7" s="13"/>
      <c r="F7" s="13" t="s">
        <v>28</v>
      </c>
      <c r="G7" s="12"/>
      <c r="H7" s="13" t="s">
        <v>29</v>
      </c>
      <c r="I7" s="13"/>
      <c r="J7" s="13" t="s">
        <v>30</v>
      </c>
      <c r="K7" s="13"/>
      <c r="L7" s="13" t="s">
        <v>31</v>
      </c>
      <c r="M7" s="13"/>
      <c r="N7" s="13" t="s">
        <v>32</v>
      </c>
      <c r="O7" s="13"/>
      <c r="P7" s="13" t="s">
        <v>33</v>
      </c>
      <c r="Q7" s="13"/>
      <c r="R7" s="13" t="s">
        <v>34</v>
      </c>
    </row>
    <row r="8" spans="1:18" ht="15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ht="15.75">
      <c r="A9" s="12"/>
      <c r="B9" s="12"/>
      <c r="C9" s="12"/>
      <c r="D9" s="12"/>
      <c r="E9" s="12"/>
      <c r="F9" s="12"/>
      <c r="G9" s="12"/>
      <c r="H9" s="13" t="s">
        <v>35</v>
      </c>
      <c r="I9" s="13"/>
      <c r="J9" s="14" t="s">
        <v>36</v>
      </c>
      <c r="K9" s="13"/>
      <c r="L9" s="13" t="s">
        <v>37</v>
      </c>
      <c r="M9" s="13"/>
      <c r="N9" s="13" t="s">
        <v>38</v>
      </c>
      <c r="O9" s="13"/>
      <c r="P9" s="13" t="s">
        <v>37</v>
      </c>
      <c r="Q9" s="13"/>
      <c r="R9" s="13" t="s">
        <v>37</v>
      </c>
    </row>
    <row r="10" spans="1:18" ht="15.75">
      <c r="A10" s="15">
        <v>1</v>
      </c>
      <c r="B10" s="12"/>
      <c r="C10" s="16" t="s">
        <v>39</v>
      </c>
      <c r="D10" s="16" t="s">
        <v>40</v>
      </c>
      <c r="E10" s="16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pans="1:18" ht="15.75">
      <c r="A11" s="15">
        <v>2</v>
      </c>
      <c r="B11" s="12"/>
      <c r="C11" s="16" t="s">
        <v>41</v>
      </c>
      <c r="D11" s="12"/>
      <c r="E11" s="12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</row>
    <row r="12" spans="1:18" ht="15.75">
      <c r="A12" s="12">
        <v>3</v>
      </c>
      <c r="B12" s="12"/>
      <c r="C12" s="12" t="s">
        <v>42</v>
      </c>
      <c r="D12" s="12"/>
      <c r="E12" s="12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8" ht="15.75">
      <c r="A13" s="15">
        <v>4</v>
      </c>
      <c r="B13" s="12"/>
      <c r="C13" s="16" t="s">
        <v>43</v>
      </c>
      <c r="D13" s="12"/>
      <c r="E13" s="12"/>
      <c r="F13" s="18">
        <v>485805</v>
      </c>
      <c r="G13" s="17"/>
      <c r="H13" s="19"/>
      <c r="I13" s="19"/>
      <c r="J13" s="20">
        <v>3.73</v>
      </c>
      <c r="K13" s="20"/>
      <c r="L13" s="21">
        <f>ROUND(F13*J13,0)</f>
        <v>1812053</v>
      </c>
      <c r="M13" s="22"/>
      <c r="N13" s="23" t="e">
        <f>ROUND((L13/$L$44)*100,1)</f>
        <v>#DIV/0!</v>
      </c>
      <c r="O13" s="24"/>
      <c r="P13" s="21"/>
      <c r="Q13" s="22"/>
      <c r="R13" s="21">
        <f>L13+P13</f>
        <v>1812053</v>
      </c>
    </row>
    <row r="14" spans="1:18" ht="15.75">
      <c r="A14" s="15"/>
      <c r="B14" s="12"/>
      <c r="C14" s="16"/>
      <c r="D14" s="12"/>
      <c r="E14" s="12"/>
      <c r="F14" s="18"/>
      <c r="G14" s="17"/>
      <c r="H14" s="19"/>
      <c r="I14" s="19"/>
      <c r="J14" s="20"/>
      <c r="K14" s="20"/>
      <c r="L14" s="22"/>
      <c r="M14" s="22"/>
      <c r="N14" s="24"/>
      <c r="O14" s="24"/>
      <c r="P14" s="22"/>
      <c r="Q14" s="22"/>
      <c r="R14" s="22"/>
    </row>
    <row r="15" spans="1:18" ht="15.75">
      <c r="A15" s="12">
        <v>5</v>
      </c>
      <c r="B15" s="12"/>
      <c r="C15" s="12" t="s">
        <v>44</v>
      </c>
      <c r="D15" s="12"/>
      <c r="E15" s="12"/>
      <c r="F15" s="19"/>
      <c r="G15" s="17"/>
      <c r="H15" s="19"/>
      <c r="I15" s="19"/>
      <c r="J15" s="19"/>
      <c r="K15" s="19"/>
      <c r="L15" s="22"/>
      <c r="M15" s="22"/>
      <c r="N15" s="24"/>
      <c r="O15" s="24"/>
      <c r="P15" s="22"/>
      <c r="Q15" s="22"/>
      <c r="R15" s="22"/>
    </row>
    <row r="16" spans="1:18" ht="15.75">
      <c r="A16" s="15">
        <v>6</v>
      </c>
      <c r="B16" s="12"/>
      <c r="C16" s="16" t="s">
        <v>45</v>
      </c>
      <c r="D16" s="12"/>
      <c r="E16" s="12"/>
      <c r="F16" s="19"/>
      <c r="G16" s="17"/>
      <c r="H16" s="19">
        <v>382736649</v>
      </c>
      <c r="I16" s="19"/>
      <c r="J16" s="25">
        <v>0.06562</v>
      </c>
      <c r="K16" s="26"/>
      <c r="L16" s="22">
        <f>ROUND((H16*J16),0)</f>
        <v>25115179</v>
      </c>
      <c r="M16" s="22"/>
      <c r="N16" s="24" t="e">
        <f>ROUND((L16/$L$44)*100,1)</f>
        <v>#DIV/0!</v>
      </c>
      <c r="O16" s="24"/>
      <c r="P16" s="22" t="e">
        <f>ROUND(($P$30/$H$30)*$H16,0)</f>
        <v>#DIV/0!</v>
      </c>
      <c r="Q16" s="22"/>
      <c r="R16" s="22" t="e">
        <f>L16+P16</f>
        <v>#DIV/0!</v>
      </c>
    </row>
    <row r="17" spans="1:18" ht="15.75">
      <c r="A17" s="15">
        <v>7</v>
      </c>
      <c r="B17" s="12"/>
      <c r="C17" s="16" t="s">
        <v>46</v>
      </c>
      <c r="D17" s="12"/>
      <c r="E17" s="12"/>
      <c r="F17" s="18"/>
      <c r="G17" s="17"/>
      <c r="H17" s="27">
        <v>197395902</v>
      </c>
      <c r="I17" s="19"/>
      <c r="J17" s="25">
        <v>0.06873</v>
      </c>
      <c r="K17" s="26"/>
      <c r="L17" s="21">
        <f>ROUND((H17*J17),0)</f>
        <v>13567020</v>
      </c>
      <c r="M17" s="22"/>
      <c r="N17" s="28" t="e">
        <f>ROUND((L17/$L$44)*100,1)-0.1</f>
        <v>#DIV/0!</v>
      </c>
      <c r="O17" s="24"/>
      <c r="P17" s="21" t="e">
        <f>ROUND(($P$30/$H$30)*$H17,0)</f>
        <v>#DIV/0!</v>
      </c>
      <c r="Q17" s="22"/>
      <c r="R17" s="21" t="e">
        <f>L17+P17</f>
        <v>#DIV/0!</v>
      </c>
    </row>
    <row r="18" spans="1:18" ht="15.75">
      <c r="A18" s="15">
        <v>8</v>
      </c>
      <c r="B18" s="12"/>
      <c r="C18" s="16"/>
      <c r="D18" s="29" t="s">
        <v>47</v>
      </c>
      <c r="E18" s="12"/>
      <c r="F18" s="30"/>
      <c r="G18" s="17"/>
      <c r="H18" s="31">
        <f>SUM(H16:H17)</f>
        <v>580132551</v>
      </c>
      <c r="I18" s="19"/>
      <c r="J18" s="26"/>
      <c r="K18" s="26"/>
      <c r="L18" s="32">
        <f>SUM(L16:L17)</f>
        <v>38682199</v>
      </c>
      <c r="M18" s="22"/>
      <c r="N18" s="23" t="e">
        <f>ROUND((L18/$L$44)*100,1)</f>
        <v>#DIV/0!</v>
      </c>
      <c r="O18" s="24"/>
      <c r="P18" s="21" t="e">
        <f>ROUND(($P$30/$H$30)*$H18,0)</f>
        <v>#DIV/0!</v>
      </c>
      <c r="Q18" s="22"/>
      <c r="R18" s="32" t="e">
        <f>SUM(R16:R17)</f>
        <v>#DIV/0!</v>
      </c>
    </row>
    <row r="19" spans="1:18" ht="15.75">
      <c r="A19" s="15"/>
      <c r="B19" s="12"/>
      <c r="C19" s="16"/>
      <c r="D19" s="29"/>
      <c r="E19" s="12"/>
      <c r="F19" s="30"/>
      <c r="G19" s="17"/>
      <c r="H19" s="30"/>
      <c r="I19" s="19"/>
      <c r="J19" s="26"/>
      <c r="K19" s="26"/>
      <c r="L19" s="33"/>
      <c r="M19" s="22"/>
      <c r="N19" s="34"/>
      <c r="O19" s="24"/>
      <c r="P19" s="33"/>
      <c r="Q19" s="22"/>
      <c r="R19" s="33"/>
    </row>
    <row r="20" spans="1:18" ht="15.75">
      <c r="A20" s="15"/>
      <c r="B20" s="12"/>
      <c r="C20" s="16"/>
      <c r="D20" s="12"/>
      <c r="E20" s="12"/>
      <c r="F20" s="18"/>
      <c r="G20" s="17"/>
      <c r="H20" s="18"/>
      <c r="I20" s="19"/>
      <c r="J20" s="26"/>
      <c r="K20" s="26"/>
      <c r="L20" s="33"/>
      <c r="M20" s="22"/>
      <c r="N20" s="34"/>
      <c r="O20" s="24"/>
      <c r="P20" s="33"/>
      <c r="Q20" s="22"/>
      <c r="R20" s="33"/>
    </row>
    <row r="21" spans="1:18" ht="16.5" thickBot="1">
      <c r="A21" s="15">
        <v>9</v>
      </c>
      <c r="B21" s="12"/>
      <c r="C21" s="16" t="s">
        <v>48</v>
      </c>
      <c r="D21" s="12"/>
      <c r="E21" s="12"/>
      <c r="F21" s="35">
        <f>F13</f>
        <v>485805</v>
      </c>
      <c r="G21" s="17"/>
      <c r="H21" s="35">
        <f>H18</f>
        <v>580132551</v>
      </c>
      <c r="I21" s="22"/>
      <c r="J21" s="36"/>
      <c r="K21" s="36"/>
      <c r="L21" s="35">
        <f>L13+L18</f>
        <v>40494252</v>
      </c>
      <c r="M21" s="22"/>
      <c r="N21" s="37" t="e">
        <f>ROUND((L21/$L$44)*100,1)</f>
        <v>#DIV/0!</v>
      </c>
      <c r="O21" s="24"/>
      <c r="P21" s="35" t="e">
        <f>ROUND($P$44/$H$44*H21,0)</f>
        <v>#DIV/0!</v>
      </c>
      <c r="Q21" s="22"/>
      <c r="R21" s="35" t="e">
        <f>R13+R18</f>
        <v>#DIV/0!</v>
      </c>
    </row>
    <row r="22" spans="1:18" ht="16.5" thickTop="1">
      <c r="A22" s="15"/>
      <c r="B22" s="12"/>
      <c r="C22" s="16"/>
      <c r="D22" s="12"/>
      <c r="E22" s="12"/>
      <c r="F22" s="33"/>
      <c r="G22" s="17"/>
      <c r="H22" s="33"/>
      <c r="I22" s="22"/>
      <c r="J22" s="36"/>
      <c r="K22" s="36"/>
      <c r="L22" s="33"/>
      <c r="M22" s="22"/>
      <c r="N22" s="34"/>
      <c r="O22" s="24"/>
      <c r="P22" s="33"/>
      <c r="Q22" s="22"/>
      <c r="R22" s="33"/>
    </row>
    <row r="23" spans="1:18" ht="15.75">
      <c r="A23" s="15">
        <v>10</v>
      </c>
      <c r="B23" s="12"/>
      <c r="C23" s="16" t="s">
        <v>49</v>
      </c>
      <c r="D23" s="12"/>
      <c r="E23" s="12"/>
      <c r="F23" s="19"/>
      <c r="G23" s="17"/>
      <c r="H23" s="19"/>
      <c r="I23" s="19"/>
      <c r="J23" s="36"/>
      <c r="K23" s="36"/>
      <c r="L23" s="22"/>
      <c r="M23" s="22"/>
      <c r="N23" s="24"/>
      <c r="O23" s="24"/>
      <c r="P23" s="22"/>
      <c r="Q23" s="22"/>
      <c r="R23" s="22"/>
    </row>
    <row r="24" spans="1:18" ht="15.75">
      <c r="A24" s="12">
        <v>11</v>
      </c>
      <c r="B24" s="12"/>
      <c r="C24" s="12" t="s">
        <v>42</v>
      </c>
      <c r="D24" s="12"/>
      <c r="E24" s="12"/>
      <c r="F24" s="19"/>
      <c r="G24" s="17"/>
      <c r="H24" s="19"/>
      <c r="I24" s="19"/>
      <c r="J24" s="36"/>
      <c r="K24" s="36"/>
      <c r="L24" s="22"/>
      <c r="M24" s="22"/>
      <c r="N24" s="24"/>
      <c r="O24" s="24"/>
      <c r="P24" s="22"/>
      <c r="Q24" s="22"/>
      <c r="R24" s="22"/>
    </row>
    <row r="25" spans="1:18" ht="15.75">
      <c r="A25" s="15">
        <v>12</v>
      </c>
      <c r="B25" s="12"/>
      <c r="C25" s="16" t="s">
        <v>43</v>
      </c>
      <c r="D25" s="12"/>
      <c r="E25" s="12"/>
      <c r="F25" s="18">
        <v>971624</v>
      </c>
      <c r="G25" s="17"/>
      <c r="H25" s="19"/>
      <c r="I25" s="19"/>
      <c r="J25" s="20">
        <v>3.73</v>
      </c>
      <c r="K25" s="20"/>
      <c r="L25" s="21">
        <f>ROUND(F25*J25,0)</f>
        <v>3624158</v>
      </c>
      <c r="M25" s="22"/>
      <c r="N25" s="23" t="e">
        <f>ROUND((L25/$L$44)*100,1)</f>
        <v>#DIV/0!</v>
      </c>
      <c r="O25" s="24"/>
      <c r="P25" s="21"/>
      <c r="Q25" s="22"/>
      <c r="R25" s="21">
        <f>L25+P25</f>
        <v>3624158</v>
      </c>
    </row>
    <row r="26" spans="1:18" ht="15.75">
      <c r="A26" s="15"/>
      <c r="B26" s="12"/>
      <c r="C26" s="16"/>
      <c r="D26" s="12"/>
      <c r="E26" s="12"/>
      <c r="F26" s="18"/>
      <c r="G26" s="17"/>
      <c r="H26" s="19"/>
      <c r="I26" s="19"/>
      <c r="J26" s="20"/>
      <c r="K26" s="20"/>
      <c r="L26" s="33"/>
      <c r="M26" s="22"/>
      <c r="N26" s="34"/>
      <c r="O26" s="24"/>
      <c r="P26" s="33"/>
      <c r="Q26" s="22"/>
      <c r="R26" s="33"/>
    </row>
    <row r="27" spans="1:18" ht="15.75">
      <c r="A27" s="12">
        <v>13</v>
      </c>
      <c r="B27" s="12"/>
      <c r="C27" s="12" t="s">
        <v>44</v>
      </c>
      <c r="D27" s="12"/>
      <c r="E27" s="12"/>
      <c r="F27" s="38"/>
      <c r="G27" s="17"/>
      <c r="H27" s="38"/>
      <c r="I27" s="38"/>
      <c r="J27" s="36"/>
      <c r="K27" s="36"/>
      <c r="L27" s="22"/>
      <c r="M27" s="22"/>
      <c r="N27" s="24"/>
      <c r="O27" s="24"/>
      <c r="P27" s="17"/>
      <c r="Q27" s="17"/>
      <c r="R27" s="22"/>
    </row>
    <row r="28" spans="1:18" ht="15.75">
      <c r="A28" s="15">
        <v>14</v>
      </c>
      <c r="B28" s="12"/>
      <c r="C28" s="16" t="s">
        <v>45</v>
      </c>
      <c r="D28" s="12"/>
      <c r="E28" s="12"/>
      <c r="F28" s="19"/>
      <c r="G28" s="17"/>
      <c r="H28" s="19">
        <v>675864431</v>
      </c>
      <c r="I28" s="19"/>
      <c r="J28" s="25">
        <v>0.06562</v>
      </c>
      <c r="K28" s="26"/>
      <c r="L28" s="22">
        <f>ROUND((H28*J28),0)</f>
        <v>44350224</v>
      </c>
      <c r="M28" s="22"/>
      <c r="N28" s="24" t="e">
        <f>ROUND((L28/$L$44)*100,1)</f>
        <v>#DIV/0!</v>
      </c>
      <c r="O28" s="24"/>
      <c r="P28" s="22" t="e">
        <f>ROUND(($P$42/$H$42)*$H28,0)</f>
        <v>#DIV/0!</v>
      </c>
      <c r="Q28" s="22"/>
      <c r="R28" s="22" t="e">
        <f>L28+P28</f>
        <v>#DIV/0!</v>
      </c>
    </row>
    <row r="29" spans="1:18" ht="15.75">
      <c r="A29" s="15">
        <v>15</v>
      </c>
      <c r="B29" s="12"/>
      <c r="C29" s="16" t="s">
        <v>46</v>
      </c>
      <c r="D29" s="12"/>
      <c r="E29" s="12"/>
      <c r="F29" s="18"/>
      <c r="G29" s="17"/>
      <c r="H29" s="27">
        <v>256774018</v>
      </c>
      <c r="I29" s="19"/>
      <c r="J29" s="25">
        <v>0.05059</v>
      </c>
      <c r="K29" s="26"/>
      <c r="L29" s="21">
        <f>ROUND((H29*J29),0)</f>
        <v>12990198</v>
      </c>
      <c r="M29" s="22"/>
      <c r="N29" s="23" t="e">
        <f>ROUND((L29/$L$44)*100,1)</f>
        <v>#DIV/0!</v>
      </c>
      <c r="O29" s="24"/>
      <c r="P29" s="21" t="e">
        <f>ROUND(($P$42/$H$42)*$H29,0)</f>
        <v>#DIV/0!</v>
      </c>
      <c r="Q29" s="22"/>
      <c r="R29" s="21" t="e">
        <f>L29+P29</f>
        <v>#DIV/0!</v>
      </c>
    </row>
    <row r="30" spans="1:18" ht="15.75">
      <c r="A30" s="15">
        <v>16</v>
      </c>
      <c r="B30" s="12"/>
      <c r="C30" s="16"/>
      <c r="D30" s="12" t="s">
        <v>11</v>
      </c>
      <c r="E30" s="12"/>
      <c r="F30" s="30"/>
      <c r="G30" s="17"/>
      <c r="H30" s="31">
        <f>SUM(H28:H29)</f>
        <v>932638449</v>
      </c>
      <c r="I30" s="19"/>
      <c r="J30" s="26"/>
      <c r="K30" s="26"/>
      <c r="L30" s="32">
        <f>SUM(L28:L29)</f>
        <v>57340422</v>
      </c>
      <c r="M30" s="22"/>
      <c r="N30" s="23" t="e">
        <f>ROUND((L30/$L$44)*100,1)</f>
        <v>#DIV/0!</v>
      </c>
      <c r="O30" s="24"/>
      <c r="P30" s="21" t="e">
        <f>ROUND(($P$42/$H$42)*$H30,0)</f>
        <v>#DIV/0!</v>
      </c>
      <c r="Q30" s="22"/>
      <c r="R30" s="32" t="e">
        <f>SUM(R28:R29)</f>
        <v>#DIV/0!</v>
      </c>
    </row>
    <row r="31" spans="1:18" ht="15.75">
      <c r="A31" s="15"/>
      <c r="B31" s="12"/>
      <c r="C31" s="16"/>
      <c r="D31" s="12"/>
      <c r="E31" s="12"/>
      <c r="F31" s="30"/>
      <c r="G31" s="17"/>
      <c r="H31" s="30"/>
      <c r="I31" s="19"/>
      <c r="J31" s="26"/>
      <c r="K31" s="26"/>
      <c r="L31" s="33"/>
      <c r="M31" s="22"/>
      <c r="N31" s="34"/>
      <c r="O31" s="24"/>
      <c r="P31" s="33"/>
      <c r="Q31" s="22"/>
      <c r="R31" s="33"/>
    </row>
    <row r="32" spans="1:18" ht="15.75">
      <c r="A32" s="15"/>
      <c r="B32" s="12"/>
      <c r="C32" s="16"/>
      <c r="D32" s="12"/>
      <c r="E32" s="12"/>
      <c r="F32" s="19"/>
      <c r="G32" s="17"/>
      <c r="H32" s="30"/>
      <c r="I32" s="19"/>
      <c r="J32" s="26"/>
      <c r="K32" s="26"/>
      <c r="L32" s="33"/>
      <c r="M32" s="22"/>
      <c r="N32" s="34"/>
      <c r="O32" s="24"/>
      <c r="P32" s="33"/>
      <c r="Q32" s="22"/>
      <c r="R32" s="33"/>
    </row>
    <row r="33" spans="1:18" ht="16.5" thickBot="1">
      <c r="A33" s="15">
        <v>17</v>
      </c>
      <c r="B33" s="12"/>
      <c r="C33" s="16" t="s">
        <v>50</v>
      </c>
      <c r="D33" s="12"/>
      <c r="E33" s="12"/>
      <c r="F33" s="35">
        <f>F25</f>
        <v>971624</v>
      </c>
      <c r="G33" s="17"/>
      <c r="H33" s="35">
        <f>H30</f>
        <v>932638449</v>
      </c>
      <c r="I33" s="22"/>
      <c r="J33" s="36"/>
      <c r="K33" s="36"/>
      <c r="L33" s="35">
        <f>L25+L30</f>
        <v>60964580</v>
      </c>
      <c r="M33" s="22"/>
      <c r="N33" s="37" t="e">
        <f>ROUND((L33/$L$44)*100,1)</f>
        <v>#DIV/0!</v>
      </c>
      <c r="O33" s="24"/>
      <c r="P33" s="35" t="e">
        <f>ROUND($P$44/$H$44*H33,0)</f>
        <v>#DIV/0!</v>
      </c>
      <c r="Q33" s="22"/>
      <c r="R33" s="35" t="e">
        <f>R25+R30</f>
        <v>#DIV/0!</v>
      </c>
    </row>
    <row r="34" spans="1:18" ht="16.5" thickTop="1">
      <c r="A34" s="15"/>
      <c r="B34" s="12"/>
      <c r="C34" s="16"/>
      <c r="D34" s="12"/>
      <c r="E34" s="12"/>
      <c r="F34" s="17"/>
      <c r="G34" s="17"/>
      <c r="H34" s="17"/>
      <c r="I34" s="17"/>
      <c r="J34" s="39"/>
      <c r="K34" s="39"/>
      <c r="L34" s="22"/>
      <c r="M34" s="22"/>
      <c r="N34" s="24"/>
      <c r="O34" s="24"/>
      <c r="P34" s="22"/>
      <c r="Q34" s="22"/>
      <c r="R34" s="22"/>
    </row>
    <row r="35" spans="1:18" ht="16.5" thickBot="1">
      <c r="A35" s="15">
        <v>18</v>
      </c>
      <c r="B35" s="12"/>
      <c r="C35" s="40" t="s">
        <v>51</v>
      </c>
      <c r="D35" s="12"/>
      <c r="E35" s="12"/>
      <c r="F35" s="35">
        <f>F21+F33</f>
        <v>1457429</v>
      </c>
      <c r="G35" s="17"/>
      <c r="H35" s="35">
        <f>H21+H33</f>
        <v>1512771000</v>
      </c>
      <c r="I35" s="22"/>
      <c r="J35" s="39"/>
      <c r="K35" s="39"/>
      <c r="L35" s="35">
        <f>L21+L33</f>
        <v>101458832</v>
      </c>
      <c r="M35" s="22"/>
      <c r="N35" s="37">
        <v>100</v>
      </c>
      <c r="O35" s="24"/>
      <c r="P35" s="41">
        <v>0</v>
      </c>
      <c r="Q35" s="19"/>
      <c r="R35" s="35" t="e">
        <f>R21+R33</f>
        <v>#DIV/0!</v>
      </c>
    </row>
    <row r="36" spans="1:18" ht="16.5" thickTop="1">
      <c r="A36" s="12"/>
      <c r="B36" s="12"/>
      <c r="C36" s="12"/>
      <c r="D36" s="12"/>
      <c r="E36" s="12"/>
      <c r="F36" s="17"/>
      <c r="G36" s="17"/>
      <c r="H36" s="17"/>
      <c r="I36" s="17"/>
      <c r="J36" s="17"/>
      <c r="K36" s="17"/>
      <c r="L36" s="22"/>
      <c r="M36" s="22"/>
      <c r="N36" s="22"/>
      <c r="O36" s="22"/>
      <c r="P36" s="22"/>
      <c r="Q36" s="22"/>
      <c r="R36" s="22"/>
    </row>
    <row r="37" spans="1:18" ht="15.75">
      <c r="A37" s="12"/>
      <c r="B37" s="12"/>
      <c r="C37" s="16" t="s">
        <v>52</v>
      </c>
      <c r="D37" s="12"/>
      <c r="E37" s="12"/>
      <c r="F37" s="12"/>
      <c r="G37" s="12"/>
      <c r="H37" s="12"/>
      <c r="I37" s="12"/>
      <c r="J37" s="12"/>
      <c r="K37" s="12"/>
      <c r="L37" s="42"/>
      <c r="M37" s="42"/>
      <c r="N37" s="42"/>
      <c r="O37" s="42"/>
      <c r="P37" s="42"/>
      <c r="Q37" s="42"/>
      <c r="R37" s="42"/>
    </row>
    <row r="38" spans="1:18" ht="15.75">
      <c r="A38" s="12"/>
      <c r="B38" s="12"/>
      <c r="C38" s="16" t="str">
        <f>"(2) REFLECTS FUEL COMPONENT OF "&amp;TEXT(EFC,"$0.000000;($0.000000)")&amp;"  PER KWH."</f>
        <v>(2) REFLECTS FUEL COMPONENT OF ($0.002525)  PER KWH.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 ht="15.75">
      <c r="A39" s="12"/>
      <c r="B39" s="12"/>
      <c r="C39" s="16" t="str">
        <f>"(3) REFLECTS FUEL COST RECOVERY INCLUDED IN BASE RATES OF "&amp;TEXT(PRO_BASE_FUEL,"$0.000000;($0.000000)")&amp;"  PER KWH."</f>
        <v>(3) REFLECTS FUEL COST RECOVERY INCLUDED IN BASE RATES OF $0.021619  PER KWH.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15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Cinergy</dc:creator>
  <cp:keywords/>
  <dc:description/>
  <cp:lastModifiedBy>Mark E. Musick</cp:lastModifiedBy>
  <cp:lastPrinted>2004-05-04T15:59:22Z</cp:lastPrinted>
  <dcterms:created xsi:type="dcterms:W3CDTF">2004-04-12T21:08:28Z</dcterms:created>
  <dcterms:modified xsi:type="dcterms:W3CDTF">2006-05-25T17:03:27Z</dcterms:modified>
  <cp:category/>
  <cp:version/>
  <cp:contentType/>
  <cp:contentStatus/>
</cp:coreProperties>
</file>