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48" windowWidth="8424" windowHeight="8436" activeTab="0"/>
  </bookViews>
  <sheets>
    <sheet name="DS (2)" sheetId="1" r:id="rId1"/>
    <sheet name="DS" sheetId="2" r:id="rId2"/>
  </sheets>
  <definedNames/>
  <calcPr fullCalcOnLoad="1"/>
</workbook>
</file>

<file path=xl/sharedStrings.xml><?xml version="1.0" encoding="utf-8"?>
<sst xmlns="http://schemas.openxmlformats.org/spreadsheetml/2006/main" count="140" uniqueCount="39">
  <si>
    <t>CUSTOMER CHARGE:</t>
  </si>
  <si>
    <t xml:space="preserve">  LOAD MANAGEMENT RIDER</t>
  </si>
  <si>
    <t xml:space="preserve">  SINGLE PHASE</t>
  </si>
  <si>
    <t>TOTAL CUSTOMER CHARGE</t>
  </si>
  <si>
    <t>DEMAND CHARGE:</t>
  </si>
  <si>
    <t xml:space="preserve">  ADDITIONAL KW</t>
  </si>
  <si>
    <t>TOTAL DEMAND</t>
  </si>
  <si>
    <t>ENERGY CHARGE:</t>
  </si>
  <si>
    <t xml:space="preserve">  ADDITIONAL KWH</t>
  </si>
  <si>
    <t>TOTAL ENERGY</t>
  </si>
  <si>
    <t>CUSTOMER</t>
  </si>
  <si>
    <t>SALES</t>
  </si>
  <si>
    <t>BILLS</t>
  </si>
  <si>
    <t>Proposed</t>
  </si>
  <si>
    <t>Revenues</t>
  </si>
  <si>
    <t>Rates</t>
  </si>
  <si>
    <t>Total</t>
  </si>
  <si>
    <t>Calculated</t>
  </si>
  <si>
    <t>Current</t>
  </si>
  <si>
    <t>Revenue</t>
  </si>
  <si>
    <t>Check</t>
  </si>
  <si>
    <t>Final</t>
  </si>
  <si>
    <t>Rate</t>
  </si>
  <si>
    <t>Adjustment</t>
  </si>
  <si>
    <t>Old Base Cost of Fuel</t>
  </si>
  <si>
    <t>Less Fuel</t>
  </si>
  <si>
    <t>Energy</t>
  </si>
  <si>
    <t>Fixed</t>
  </si>
  <si>
    <t>%</t>
  </si>
  <si>
    <t>Variable</t>
  </si>
  <si>
    <t>Increase /</t>
  </si>
  <si>
    <t>Decrease</t>
  </si>
  <si>
    <t>Difference</t>
  </si>
  <si>
    <t>COSS Increase for Rate DS</t>
  </si>
  <si>
    <t>DP</t>
  </si>
  <si>
    <t xml:space="preserve">  FIRST 300KWH/KW</t>
  </si>
  <si>
    <t xml:space="preserve"> </t>
  </si>
  <si>
    <t>Primary Voltage</t>
  </si>
  <si>
    <t xml:space="preserve"> TOTAL RATE DP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</si>
</sst>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0.0000%"/>
    <numFmt numFmtId="166" formatCode="0.000000%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 locked="0"/>
    </xf>
    <xf numFmtId="37" fontId="7" fillId="0" borderId="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7" fontId="5" fillId="0" borderId="0" xfId="0" applyNumberFormat="1" applyFont="1" applyAlignment="1" quotePrefix="1">
      <alignment horizontal="center"/>
    </xf>
    <xf numFmtId="44" fontId="0" fillId="0" borderId="0" xfId="17" applyAlignment="1">
      <alignment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tabSelected="1" workbookViewId="0" topLeftCell="A1">
      <pane xSplit="1" ySplit="4" topLeftCell="K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"/>
    </sheetView>
  </sheetViews>
  <sheetFormatPr defaultColWidth="9.140625" defaultRowHeight="12.75"/>
  <cols>
    <col min="1" max="1" width="35.8515625" style="0" bestFit="1" customWidth="1"/>
    <col min="2" max="2" width="14.7109375" style="0" customWidth="1"/>
    <col min="3" max="3" width="16.8515625" style="0" customWidth="1"/>
    <col min="4" max="4" width="12.28125" style="0" customWidth="1"/>
    <col min="5" max="5" width="11.7109375" style="0" customWidth="1"/>
    <col min="6" max="7" width="12.7109375" style="13" customWidth="1"/>
    <col min="8" max="8" width="17.421875" style="13" customWidth="1"/>
    <col min="9" max="11" width="12.7109375" style="13" customWidth="1"/>
    <col min="12" max="12" width="12.7109375" style="0" customWidth="1"/>
    <col min="13" max="13" width="12.7109375" style="13" customWidth="1"/>
    <col min="14" max="14" width="12.7109375" style="0" customWidth="1"/>
    <col min="15" max="15" width="10.7109375" style="0" customWidth="1"/>
    <col min="16" max="16" width="11.140625" style="10" bestFit="1" customWidth="1"/>
    <col min="17" max="17" width="12.7109375" style="13" customWidth="1"/>
    <col min="18" max="18" width="12.7109375" style="0" customWidth="1"/>
    <col min="19" max="19" width="10.8515625" style="15" bestFit="1" customWidth="1"/>
  </cols>
  <sheetData>
    <row r="2" spans="5:19" ht="12.75">
      <c r="E2" s="9" t="s">
        <v>18</v>
      </c>
      <c r="F2" s="33" t="s">
        <v>18</v>
      </c>
      <c r="G2" s="33" t="s">
        <v>27</v>
      </c>
      <c r="H2" s="33" t="s">
        <v>13</v>
      </c>
      <c r="I2" s="33" t="s">
        <v>17</v>
      </c>
      <c r="J2" s="33" t="s">
        <v>18</v>
      </c>
      <c r="K2" s="33" t="s">
        <v>29</v>
      </c>
      <c r="L2" s="33" t="s">
        <v>13</v>
      </c>
      <c r="M2" s="33" t="s">
        <v>17</v>
      </c>
      <c r="N2" s="33" t="s">
        <v>16</v>
      </c>
      <c r="P2" s="36" t="s">
        <v>21</v>
      </c>
      <c r="R2" s="9" t="s">
        <v>21</v>
      </c>
      <c r="S2" s="38" t="s">
        <v>30</v>
      </c>
    </row>
    <row r="3" spans="2:19" ht="12.75">
      <c r="B3" s="6" t="s">
        <v>10</v>
      </c>
      <c r="C3" s="4"/>
      <c r="D3" s="9" t="s">
        <v>18</v>
      </c>
      <c r="E3" s="9" t="s">
        <v>15</v>
      </c>
      <c r="F3" s="33" t="s">
        <v>19</v>
      </c>
      <c r="G3" s="33" t="s">
        <v>19</v>
      </c>
      <c r="H3" s="33" t="s">
        <v>27</v>
      </c>
      <c r="I3" s="33" t="s">
        <v>27</v>
      </c>
      <c r="J3" s="33" t="s">
        <v>29</v>
      </c>
      <c r="K3" s="33" t="s">
        <v>19</v>
      </c>
      <c r="L3" s="33" t="s">
        <v>26</v>
      </c>
      <c r="M3" s="33" t="s">
        <v>26</v>
      </c>
      <c r="N3" s="33" t="s">
        <v>13</v>
      </c>
      <c r="O3" s="33" t="s">
        <v>13</v>
      </c>
      <c r="P3" s="36" t="s">
        <v>22</v>
      </c>
      <c r="Q3" s="33" t="s">
        <v>19</v>
      </c>
      <c r="R3" s="33" t="s">
        <v>13</v>
      </c>
      <c r="S3" s="38" t="s">
        <v>31</v>
      </c>
    </row>
    <row r="4" spans="2:19" ht="12.75">
      <c r="B4" s="7" t="s">
        <v>12</v>
      </c>
      <c r="C4" s="8" t="s">
        <v>11</v>
      </c>
      <c r="D4" s="5" t="s">
        <v>15</v>
      </c>
      <c r="E4" s="5" t="s">
        <v>25</v>
      </c>
      <c r="F4" s="14" t="s">
        <v>25</v>
      </c>
      <c r="G4" s="14" t="s">
        <v>28</v>
      </c>
      <c r="H4" s="14" t="s">
        <v>14</v>
      </c>
      <c r="I4" s="14" t="s">
        <v>14</v>
      </c>
      <c r="J4" s="14" t="s">
        <v>19</v>
      </c>
      <c r="K4" s="14" t="s">
        <v>28</v>
      </c>
      <c r="L4" s="14" t="s">
        <v>14</v>
      </c>
      <c r="M4" s="14" t="s">
        <v>14</v>
      </c>
      <c r="N4" s="14" t="s">
        <v>19</v>
      </c>
      <c r="O4" s="14" t="s">
        <v>15</v>
      </c>
      <c r="P4" s="37" t="s">
        <v>23</v>
      </c>
      <c r="Q4" s="14" t="s">
        <v>20</v>
      </c>
      <c r="R4" s="40" t="s">
        <v>15</v>
      </c>
      <c r="S4" s="39" t="s">
        <v>28</v>
      </c>
    </row>
    <row r="5" spans="1:2" ht="15">
      <c r="A5" s="3" t="s">
        <v>34</v>
      </c>
      <c r="B5" s="1"/>
    </row>
    <row r="6" spans="1:2" ht="15">
      <c r="A6" s="2"/>
      <c r="B6" s="1"/>
    </row>
    <row r="7" spans="1:2" ht="15">
      <c r="A7" s="2"/>
      <c r="B7" s="2"/>
    </row>
    <row r="8" spans="1:2" ht="15">
      <c r="A8" s="1" t="s">
        <v>0</v>
      </c>
      <c r="B8" s="2"/>
    </row>
    <row r="9" spans="1:19" ht="15">
      <c r="A9" s="1" t="s">
        <v>1</v>
      </c>
      <c r="B9" s="24">
        <v>24</v>
      </c>
      <c r="C9" s="25"/>
      <c r="D9" s="20">
        <v>100</v>
      </c>
      <c r="E9" s="20">
        <v>100</v>
      </c>
      <c r="F9" s="13">
        <f>+B9*E9</f>
        <v>2400</v>
      </c>
      <c r="G9" s="15">
        <f>ROUND(+F9/$F$28,6)</f>
        <v>0.001998</v>
      </c>
      <c r="H9" s="15"/>
      <c r="I9" s="13">
        <f>+$H$28*G9</f>
        <v>2265.6780540000004</v>
      </c>
      <c r="N9" s="13">
        <f>+I9+M9</f>
        <v>2265.6780540000004</v>
      </c>
      <c r="O9" s="11">
        <f>ROUND(+N9/B9,2)</f>
        <v>94.4</v>
      </c>
      <c r="P9" s="11">
        <v>5.6</v>
      </c>
      <c r="Q9" s="13">
        <f>+B9*(O9+P9)</f>
        <v>2400</v>
      </c>
      <c r="R9" s="11">
        <f>+O9+P9</f>
        <v>100</v>
      </c>
      <c r="S9" s="15">
        <f>IF(D9=0,0,(R9-D9)/D9)</f>
        <v>0</v>
      </c>
    </row>
    <row r="10" spans="1:19" ht="15">
      <c r="A10" s="1" t="s">
        <v>2</v>
      </c>
      <c r="B10" s="26">
        <v>0</v>
      </c>
      <c r="C10" s="25"/>
      <c r="D10" s="20">
        <v>0</v>
      </c>
      <c r="E10" s="20">
        <v>0</v>
      </c>
      <c r="F10" s="13">
        <f>+B10*E10</f>
        <v>0</v>
      </c>
      <c r="G10" s="15">
        <f>ROUND(+F10/$F$28,6)</f>
        <v>0</v>
      </c>
      <c r="H10" s="15"/>
      <c r="I10" s="13">
        <f>+$H$28*G10</f>
        <v>0</v>
      </c>
      <c r="N10" s="13">
        <f>+I10+M10</f>
        <v>0</v>
      </c>
      <c r="O10" s="11">
        <v>0</v>
      </c>
      <c r="P10" s="11">
        <v>0</v>
      </c>
      <c r="Q10" s="13">
        <v>0</v>
      </c>
      <c r="R10" s="11">
        <f>+O10+P10</f>
        <v>0</v>
      </c>
      <c r="S10" s="15">
        <f>IF(D10=0,0,(R10-D10)/D10)</f>
        <v>0</v>
      </c>
    </row>
    <row r="11" spans="1:19" ht="15">
      <c r="A11" s="1" t="s">
        <v>37</v>
      </c>
      <c r="B11" s="26">
        <v>127</v>
      </c>
      <c r="C11" s="25"/>
      <c r="D11" s="20">
        <v>100</v>
      </c>
      <c r="E11" s="20">
        <v>100</v>
      </c>
      <c r="F11" s="13">
        <f>+B11*E11</f>
        <v>12700</v>
      </c>
      <c r="G11" s="15">
        <f>100%-G9-G10-G15-G16-G20-G21-G22</f>
        <v>0.01057600000000003</v>
      </c>
      <c r="H11" s="42"/>
      <c r="I11" s="13">
        <f>+$H$28*G11</f>
        <v>11992.898448000034</v>
      </c>
      <c r="N11" s="13">
        <f>+I11+M11</f>
        <v>11992.898448000034</v>
      </c>
      <c r="O11" s="11">
        <f>ROUND(+N11/B11,2)</f>
        <v>94.43</v>
      </c>
      <c r="P11" s="11">
        <v>5.57</v>
      </c>
      <c r="Q11" s="13">
        <f>+B11*(O11+P11)</f>
        <v>12700</v>
      </c>
      <c r="R11" s="11">
        <f>+O11+P11</f>
        <v>100</v>
      </c>
      <c r="S11" s="15">
        <f>IF(D11=0,0,(R11-D11)/D11)</f>
        <v>0</v>
      </c>
    </row>
    <row r="12" spans="1:18" ht="15">
      <c r="A12" s="1" t="s">
        <v>3</v>
      </c>
      <c r="B12" s="27">
        <f>SUM(B9:B11)</f>
        <v>151</v>
      </c>
      <c r="C12" s="25"/>
      <c r="D12" s="21"/>
      <c r="E12" s="21"/>
      <c r="F12" s="16">
        <f>SUM(F9:F11)</f>
        <v>15100</v>
      </c>
      <c r="G12" s="16"/>
      <c r="H12" s="16">
        <v>2765</v>
      </c>
      <c r="I12" s="16">
        <f>SUM(I9:I11)</f>
        <v>14258.576502000034</v>
      </c>
      <c r="J12" s="16"/>
      <c r="K12" s="16"/>
      <c r="L12" s="35"/>
      <c r="M12" s="16"/>
      <c r="N12" s="16">
        <f>SUM(N9:N11)</f>
        <v>14258.576502000034</v>
      </c>
      <c r="O12" s="11"/>
      <c r="P12" s="11"/>
      <c r="Q12" s="16">
        <f>SUM(Q9:Q11)</f>
        <v>15100</v>
      </c>
      <c r="R12" s="11"/>
    </row>
    <row r="13" spans="1:18" ht="15">
      <c r="A13" s="2"/>
      <c r="B13" s="28"/>
      <c r="C13" s="25"/>
      <c r="D13" s="21"/>
      <c r="E13" s="21"/>
      <c r="O13" s="11"/>
      <c r="P13" s="11"/>
      <c r="R13" s="11"/>
    </row>
    <row r="14" spans="1:18" ht="15">
      <c r="A14" s="1" t="s">
        <v>4</v>
      </c>
      <c r="B14" s="28"/>
      <c r="C14" s="25"/>
      <c r="D14" s="21"/>
      <c r="E14" s="21"/>
      <c r="O14" s="11"/>
      <c r="P14" s="11"/>
      <c r="R14" s="11"/>
    </row>
    <row r="15" spans="1:19" ht="15">
      <c r="A15" s="1" t="s">
        <v>5</v>
      </c>
      <c r="B15" s="28"/>
      <c r="C15" s="29">
        <v>0</v>
      </c>
      <c r="D15" s="20">
        <v>0</v>
      </c>
      <c r="E15" s="20">
        <v>0</v>
      </c>
      <c r="F15" s="13">
        <f>+C15*E15</f>
        <v>0</v>
      </c>
      <c r="G15" s="15">
        <f>ROUND(+F15/$F$28,6)</f>
        <v>0</v>
      </c>
      <c r="H15" s="15"/>
      <c r="I15" s="13">
        <f>+$H$28*G15</f>
        <v>0</v>
      </c>
      <c r="N15" s="13">
        <f>+I15+M15</f>
        <v>0</v>
      </c>
      <c r="O15" s="11">
        <v>0</v>
      </c>
      <c r="P15" s="11">
        <v>0</v>
      </c>
      <c r="Q15" s="13">
        <f>+C15*(O15+P15)</f>
        <v>0</v>
      </c>
      <c r="R15" s="11">
        <f>+O15+P15</f>
        <v>0</v>
      </c>
      <c r="S15" s="15">
        <f>IF(D15=0,0,(R15-D15)/D15)</f>
        <v>0</v>
      </c>
    </row>
    <row r="16" spans="1:19" ht="15">
      <c r="A16" s="1" t="s">
        <v>5</v>
      </c>
      <c r="B16" s="28"/>
      <c r="C16" s="29">
        <v>76672</v>
      </c>
      <c r="D16" s="20">
        <v>6.08</v>
      </c>
      <c r="E16" s="20">
        <v>6.08</v>
      </c>
      <c r="F16" s="13">
        <f>+C16*E16</f>
        <v>466165.76</v>
      </c>
      <c r="G16" s="15">
        <f>ROUND(+F16/$F$28,6)</f>
        <v>0.388171</v>
      </c>
      <c r="H16" s="15"/>
      <c r="I16" s="13">
        <f>+$H$28*G16</f>
        <v>440175.43338299997</v>
      </c>
      <c r="N16" s="13">
        <f>+I16+M16</f>
        <v>440175.43338299997</v>
      </c>
      <c r="O16" s="11">
        <f>ROUND(+N16/C16,2)</f>
        <v>5.74</v>
      </c>
      <c r="P16" s="11">
        <v>1.76</v>
      </c>
      <c r="Q16" s="13">
        <f>+C16*(O16+P16)</f>
        <v>575040</v>
      </c>
      <c r="R16" s="11">
        <f>+O16+P16</f>
        <v>7.5</v>
      </c>
      <c r="S16" s="15">
        <f>IF(D16=0,0,(R16-D16)/D16)</f>
        <v>0.23355263157894735</v>
      </c>
    </row>
    <row r="17" spans="1:18" ht="15">
      <c r="A17" s="1" t="s">
        <v>6</v>
      </c>
      <c r="B17" s="28"/>
      <c r="C17" s="27">
        <f>SUM(C15:C16)</f>
        <v>76672</v>
      </c>
      <c r="D17" s="21"/>
      <c r="F17" s="16">
        <f>SUM(F15:F16)</f>
        <v>466165.76</v>
      </c>
      <c r="G17" s="16"/>
      <c r="H17" s="16">
        <f>766800+143450+220958</f>
        <v>1131208</v>
      </c>
      <c r="I17" s="16">
        <f>SUM(I15:I16)</f>
        <v>440175.43338299997</v>
      </c>
      <c r="J17" s="16"/>
      <c r="K17" s="16"/>
      <c r="L17" s="35"/>
      <c r="M17" s="16"/>
      <c r="N17" s="16">
        <f>SUM(N15:N16)</f>
        <v>440175.43338299997</v>
      </c>
      <c r="O17" s="11"/>
      <c r="Q17" s="16">
        <f>SUM(Q15:Q16)</f>
        <v>575040</v>
      </c>
      <c r="R17" s="11"/>
    </row>
    <row r="18" spans="1:4" ht="15">
      <c r="A18" s="1"/>
      <c r="B18" s="28"/>
      <c r="C18" s="30"/>
      <c r="D18" s="21"/>
    </row>
    <row r="19" spans="1:4" ht="15">
      <c r="A19" s="1" t="s">
        <v>7</v>
      </c>
      <c r="B19" s="28"/>
      <c r="C19" s="31"/>
      <c r="D19" s="21"/>
    </row>
    <row r="20" spans="1:19" ht="15">
      <c r="A20" s="3" t="s">
        <v>35</v>
      </c>
      <c r="B20" s="28"/>
      <c r="C20" s="26">
        <v>23550976</v>
      </c>
      <c r="D20" s="21">
        <v>0.04252</v>
      </c>
      <c r="E20" s="10">
        <f>+D20-$B$31</f>
        <v>0.023429000000000002</v>
      </c>
      <c r="F20" s="13">
        <f>+C20*E20</f>
        <v>551775.816704</v>
      </c>
      <c r="G20" s="15">
        <f>ROUND(+F20/$F$28,6)</f>
        <v>0.459458</v>
      </c>
      <c r="H20" s="15"/>
      <c r="I20" s="13">
        <f>+$H$28*G20</f>
        <v>521012.96663399995</v>
      </c>
      <c r="J20" s="13">
        <f>+C20*(D20-E20)</f>
        <v>449611.682816</v>
      </c>
      <c r="K20" s="15">
        <f>1-K21-K22</f>
        <v>0.691902</v>
      </c>
      <c r="M20" s="13">
        <f>($L$25-$M$23-$M$24)*K20</f>
        <v>781528.909374</v>
      </c>
      <c r="N20" s="13">
        <f>+I20+M20</f>
        <v>1302541.876008</v>
      </c>
      <c r="O20" s="10">
        <f>ROUND(+N20/C20,6)</f>
        <v>0.055307</v>
      </c>
      <c r="P20" s="10">
        <v>-0.0036</v>
      </c>
      <c r="Q20" s="13">
        <f>+C20*(O20+P20)</f>
        <v>1217750.3160320001</v>
      </c>
      <c r="R20" s="10">
        <f>+O20+P20</f>
        <v>0.051707</v>
      </c>
      <c r="S20" s="15">
        <f>IF(D20=0,0,(R20-D20)/D20)</f>
        <v>0.21606302916274694</v>
      </c>
    </row>
    <row r="21" spans="1:19" ht="15">
      <c r="A21" s="1" t="s">
        <v>8</v>
      </c>
      <c r="B21" s="28"/>
      <c r="C21" s="26">
        <v>10487024</v>
      </c>
      <c r="D21" s="21">
        <v>0.0351</v>
      </c>
      <c r="E21" s="10">
        <f>+D21-$B$31</f>
        <v>0.016009</v>
      </c>
      <c r="F21" s="13">
        <f>+C21*E21</f>
        <v>167886.76721599998</v>
      </c>
      <c r="G21" s="15">
        <f>ROUND(+F21/$F$28,6)</f>
        <v>0.139797</v>
      </c>
      <c r="H21" s="15"/>
      <c r="I21" s="13">
        <f>+$H$28*G21</f>
        <v>158526.023481</v>
      </c>
      <c r="J21" s="13">
        <f>+C21*(D21-E21)</f>
        <v>200207.775184</v>
      </c>
      <c r="K21" s="15">
        <f>ROUND(J21/($J$25-$J$23-$J$24),6)</f>
        <v>0.308098</v>
      </c>
      <c r="M21" s="13">
        <f>($L$25-$M$23-$M$24)*K21</f>
        <v>348008.09062599996</v>
      </c>
      <c r="N21" s="13">
        <f>+I21+M21</f>
        <v>506534.11410699994</v>
      </c>
      <c r="O21" s="10">
        <f>ROUND(+N21/C21,6)</f>
        <v>0.048301</v>
      </c>
      <c r="P21" s="10">
        <v>-0.004855</v>
      </c>
      <c r="Q21" s="13">
        <f>+C21*(O21+P21)</f>
        <v>455619.244704</v>
      </c>
      <c r="R21" s="10">
        <f>+O21+P21</f>
        <v>0.043446</v>
      </c>
      <c r="S21" s="15">
        <f>IF(D21=0,0,(R21-D21)/D21)</f>
        <v>0.23777777777777775</v>
      </c>
    </row>
    <row r="22" spans="1:19" ht="15">
      <c r="A22" s="1" t="s">
        <v>8</v>
      </c>
      <c r="B22" s="28"/>
      <c r="C22" s="26">
        <v>0</v>
      </c>
      <c r="D22" s="21">
        <v>0</v>
      </c>
      <c r="E22" s="10">
        <v>0</v>
      </c>
      <c r="F22" s="13">
        <f>+C22*E22</f>
        <v>0</v>
      </c>
      <c r="G22" s="15">
        <f>ROUND(+F22/$F$28,6)</f>
        <v>0</v>
      </c>
      <c r="H22" s="15"/>
      <c r="I22" s="13">
        <f>+$H$28*G22</f>
        <v>0</v>
      </c>
      <c r="J22" s="13">
        <f>+C22*(D22-E22)</f>
        <v>0</v>
      </c>
      <c r="K22" s="15">
        <f>ROUND(J22/($J$25-$J$23-$J$24),6)</f>
        <v>0</v>
      </c>
      <c r="M22" s="13">
        <f>($L$25-$M$23-$M$24)*K22</f>
        <v>0</v>
      </c>
      <c r="N22" s="13">
        <f>+I22+M22</f>
        <v>0</v>
      </c>
      <c r="O22" s="10">
        <v>0</v>
      </c>
      <c r="P22" s="10">
        <v>0</v>
      </c>
      <c r="Q22" s="13">
        <f>+C22*(O22+P22)</f>
        <v>0</v>
      </c>
      <c r="R22" s="10">
        <f>+O22+P22</f>
        <v>0</v>
      </c>
      <c r="S22" s="15">
        <f>IF(D22=0,0,(R22-D22)/D22)</f>
        <v>0</v>
      </c>
    </row>
    <row r="23" spans="1:19" ht="15">
      <c r="A23" s="1" t="s">
        <v>36</v>
      </c>
      <c r="B23" s="28"/>
      <c r="C23" s="26">
        <v>0</v>
      </c>
      <c r="D23" s="32">
        <v>0</v>
      </c>
      <c r="E23" s="10"/>
      <c r="J23" s="13">
        <f>+C23*(D23-E23)</f>
        <v>0</v>
      </c>
      <c r="K23" s="15"/>
      <c r="M23" s="13">
        <f>+C23*O23</f>
        <v>0</v>
      </c>
      <c r="N23" s="13">
        <f>+I23+M23</f>
        <v>0</v>
      </c>
      <c r="O23" s="10">
        <f>ROUND(+D23*(1+$C$33),6)</f>
        <v>0</v>
      </c>
      <c r="P23" s="10">
        <v>0</v>
      </c>
      <c r="Q23" s="13">
        <f>+C23*(O23+P23)</f>
        <v>0</v>
      </c>
      <c r="R23" s="10">
        <f>+O23+P23</f>
        <v>0</v>
      </c>
      <c r="S23" s="15">
        <f>IF(D23=0,0,(R23-D23)/D23)</f>
        <v>0</v>
      </c>
    </row>
    <row r="24" spans="1:19" ht="15">
      <c r="A24" s="1" t="s">
        <v>36</v>
      </c>
      <c r="B24" s="28"/>
      <c r="C24" s="26">
        <v>0</v>
      </c>
      <c r="D24" s="32">
        <v>0</v>
      </c>
      <c r="E24" s="10"/>
      <c r="J24" s="13">
        <f>+C24*(D24-E24)</f>
        <v>0</v>
      </c>
      <c r="K24" s="15"/>
      <c r="M24" s="13">
        <f>+C24*O24</f>
        <v>0</v>
      </c>
      <c r="N24" s="13">
        <f>+I24+M24</f>
        <v>0</v>
      </c>
      <c r="O24" s="10">
        <f>ROUND(+D24*(1+$C$33),6)</f>
        <v>0</v>
      </c>
      <c r="P24" s="10">
        <v>0</v>
      </c>
      <c r="Q24" s="13">
        <f>+C24*(O24+P24)</f>
        <v>0</v>
      </c>
      <c r="R24" s="10">
        <f>+O24+P24</f>
        <v>0</v>
      </c>
      <c r="S24" s="15">
        <f>IF(D24=0,0,(R24-D24)/D24)</f>
        <v>0</v>
      </c>
    </row>
    <row r="25" spans="1:17" ht="15">
      <c r="A25" s="1" t="s">
        <v>9</v>
      </c>
      <c r="B25" s="28"/>
      <c r="C25" s="27">
        <f>SUM(C20:C24)</f>
        <v>34038000</v>
      </c>
      <c r="F25" s="16">
        <f>SUM(F20:F24)</f>
        <v>719662.58392</v>
      </c>
      <c r="G25" s="16"/>
      <c r="H25" s="16">
        <v>0</v>
      </c>
      <c r="I25" s="16">
        <f>SUM(I20:I24)</f>
        <v>679538.9901149999</v>
      </c>
      <c r="J25" s="16">
        <f>SUM(J20:J24)</f>
        <v>649819.458</v>
      </c>
      <c r="K25" s="17">
        <f>SUM(K20:K24)</f>
        <v>1</v>
      </c>
      <c r="L25" s="16">
        <v>1129537</v>
      </c>
      <c r="M25" s="16">
        <f>SUM(M20:M24)</f>
        <v>1129537</v>
      </c>
      <c r="N25" s="16">
        <f>SUM(N20:N24)</f>
        <v>1809075.990115</v>
      </c>
      <c r="Q25" s="16">
        <f>SUM(Q20:Q24)</f>
        <v>1673369.560736</v>
      </c>
    </row>
    <row r="26" spans="1:3" ht="15">
      <c r="A26" s="1"/>
      <c r="B26" s="4"/>
      <c r="C26" s="22"/>
    </row>
    <row r="27" spans="1:3" ht="15">
      <c r="A27" s="1"/>
      <c r="B27" s="4"/>
      <c r="C27" s="19"/>
    </row>
    <row r="28" spans="1:17" ht="15.75" thickBot="1">
      <c r="A28" s="3" t="s">
        <v>38</v>
      </c>
      <c r="B28" s="23">
        <f>B12</f>
        <v>151</v>
      </c>
      <c r="C28" s="23">
        <f>C25</f>
        <v>34038000</v>
      </c>
      <c r="F28" s="18">
        <f>+F12+F17+F25</f>
        <v>1200928.34392</v>
      </c>
      <c r="G28" s="34">
        <f>SUM(G9:G25)</f>
        <v>1</v>
      </c>
      <c r="H28" s="18">
        <f>+H12+H17+H25</f>
        <v>1133973</v>
      </c>
      <c r="I28" s="18">
        <f>+I12+I17+I25</f>
        <v>1133973</v>
      </c>
      <c r="J28" s="18">
        <f>+J12+J17+J25</f>
        <v>649819.458</v>
      </c>
      <c r="K28" s="18"/>
      <c r="L28" s="18">
        <f>+L12+L17+L25</f>
        <v>1129537</v>
      </c>
      <c r="M28" s="18">
        <f>+M12+M17+M25</f>
        <v>1129537</v>
      </c>
      <c r="N28" s="18">
        <f>+N12+N17+N25</f>
        <v>2263510</v>
      </c>
      <c r="Q28" s="18">
        <f>+Q12+Q17+Q25</f>
        <v>2263509.560736</v>
      </c>
    </row>
    <row r="29" ht="13.5" thickTop="1"/>
    <row r="30" spans="6:17" ht="13.5" thickBot="1">
      <c r="F30" s="13">
        <v>85946</v>
      </c>
      <c r="P30" s="10" t="s">
        <v>32</v>
      </c>
      <c r="Q30" s="18">
        <f>+Q28-N28</f>
        <v>-0.439263999927789</v>
      </c>
    </row>
    <row r="31" spans="1:8" ht="13.5" thickTop="1">
      <c r="A31" t="s">
        <v>24</v>
      </c>
      <c r="B31" s="10">
        <v>0.019091</v>
      </c>
      <c r="C31" s="10" t="s">
        <v>36</v>
      </c>
      <c r="F31" s="13">
        <f>F28-F30</f>
        <v>1114982.34392</v>
      </c>
      <c r="H31" s="13">
        <f>H28+1131078</f>
        <v>2265051</v>
      </c>
    </row>
    <row r="32" ht="12.75">
      <c r="B32" s="10"/>
    </row>
    <row r="33" spans="1:3" ht="12.75">
      <c r="A33" s="12" t="s">
        <v>33</v>
      </c>
      <c r="B33" s="13">
        <f>2255959-1850748</f>
        <v>405211</v>
      </c>
      <c r="C33" s="15">
        <f>+B33/71942507</f>
        <v>0.0056324281276436475</v>
      </c>
    </row>
    <row r="36" ht="12.75">
      <c r="H36" s="13">
        <v>143711</v>
      </c>
    </row>
    <row r="37" ht="12.75">
      <c r="H37" s="13">
        <v>43102</v>
      </c>
    </row>
    <row r="38" ht="12.75">
      <c r="H38" s="13">
        <v>90391</v>
      </c>
    </row>
    <row r="39" ht="12.75">
      <c r="H39" s="13">
        <v>86138</v>
      </c>
    </row>
    <row r="40" ht="12.75">
      <c r="H40" s="13">
        <f>SUM(H37:H39)</f>
        <v>219631</v>
      </c>
    </row>
  </sheetData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workbookViewId="0" topLeftCell="A1">
      <pane xSplit="1" ySplit="4" topLeftCell="P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"/>
    </sheetView>
  </sheetViews>
  <sheetFormatPr defaultColWidth="9.140625" defaultRowHeight="12.75"/>
  <cols>
    <col min="1" max="1" width="35.8515625" style="0" bestFit="1" customWidth="1"/>
    <col min="2" max="2" width="14.7109375" style="0" customWidth="1"/>
    <col min="3" max="3" width="16.8515625" style="0" customWidth="1"/>
    <col min="4" max="4" width="12.28125" style="0" customWidth="1"/>
    <col min="5" max="5" width="11.7109375" style="0" customWidth="1"/>
    <col min="6" max="7" width="12.7109375" style="13" customWidth="1"/>
    <col min="8" max="8" width="17.421875" style="13" customWidth="1"/>
    <col min="9" max="11" width="12.7109375" style="13" customWidth="1"/>
    <col min="12" max="12" width="12.7109375" style="0" customWidth="1"/>
    <col min="13" max="13" width="12.7109375" style="13" customWidth="1"/>
    <col min="14" max="14" width="12.7109375" style="0" customWidth="1"/>
    <col min="15" max="15" width="10.7109375" style="0" customWidth="1"/>
    <col min="16" max="16" width="11.140625" style="10" bestFit="1" customWidth="1"/>
    <col min="17" max="17" width="12.7109375" style="13" customWidth="1"/>
    <col min="18" max="18" width="12.7109375" style="0" customWidth="1"/>
    <col min="19" max="19" width="10.8515625" style="15" bestFit="1" customWidth="1"/>
  </cols>
  <sheetData>
    <row r="2" spans="5:19" ht="12.75">
      <c r="E2" s="9" t="s">
        <v>18</v>
      </c>
      <c r="F2" s="33" t="s">
        <v>18</v>
      </c>
      <c r="G2" s="33" t="s">
        <v>27</v>
      </c>
      <c r="H2" s="33" t="s">
        <v>13</v>
      </c>
      <c r="I2" s="33" t="s">
        <v>17</v>
      </c>
      <c r="J2" s="33" t="s">
        <v>18</v>
      </c>
      <c r="K2" s="33" t="s">
        <v>29</v>
      </c>
      <c r="L2" s="33" t="s">
        <v>13</v>
      </c>
      <c r="M2" s="33" t="s">
        <v>17</v>
      </c>
      <c r="N2" s="33" t="s">
        <v>16</v>
      </c>
      <c r="P2" s="36" t="s">
        <v>21</v>
      </c>
      <c r="R2" s="9" t="s">
        <v>21</v>
      </c>
      <c r="S2" s="38" t="s">
        <v>30</v>
      </c>
    </row>
    <row r="3" spans="2:19" ht="12.75">
      <c r="B3" s="6" t="s">
        <v>10</v>
      </c>
      <c r="C3" s="4"/>
      <c r="D3" s="9" t="s">
        <v>18</v>
      </c>
      <c r="E3" s="9" t="s">
        <v>15</v>
      </c>
      <c r="F3" s="33" t="s">
        <v>19</v>
      </c>
      <c r="G3" s="33" t="s">
        <v>19</v>
      </c>
      <c r="H3" s="33" t="s">
        <v>27</v>
      </c>
      <c r="I3" s="33" t="s">
        <v>27</v>
      </c>
      <c r="J3" s="33" t="s">
        <v>29</v>
      </c>
      <c r="K3" s="33" t="s">
        <v>19</v>
      </c>
      <c r="L3" s="33" t="s">
        <v>26</v>
      </c>
      <c r="M3" s="33" t="s">
        <v>26</v>
      </c>
      <c r="N3" s="33" t="s">
        <v>13</v>
      </c>
      <c r="O3" s="33" t="s">
        <v>13</v>
      </c>
      <c r="P3" s="36" t="s">
        <v>22</v>
      </c>
      <c r="Q3" s="33" t="s">
        <v>19</v>
      </c>
      <c r="R3" s="33" t="s">
        <v>13</v>
      </c>
      <c r="S3" s="38" t="s">
        <v>31</v>
      </c>
    </row>
    <row r="4" spans="2:19" ht="12.75">
      <c r="B4" s="7" t="s">
        <v>12</v>
      </c>
      <c r="C4" s="8" t="s">
        <v>11</v>
      </c>
      <c r="D4" s="5" t="s">
        <v>15</v>
      </c>
      <c r="E4" s="5" t="s">
        <v>25</v>
      </c>
      <c r="F4" s="14" t="s">
        <v>25</v>
      </c>
      <c r="G4" s="14" t="s">
        <v>28</v>
      </c>
      <c r="H4" s="14" t="s">
        <v>14</v>
      </c>
      <c r="I4" s="14" t="s">
        <v>14</v>
      </c>
      <c r="J4" s="14" t="s">
        <v>19</v>
      </c>
      <c r="K4" s="14" t="s">
        <v>28</v>
      </c>
      <c r="L4" s="14" t="s">
        <v>14</v>
      </c>
      <c r="M4" s="14" t="s">
        <v>14</v>
      </c>
      <c r="N4" s="14" t="s">
        <v>19</v>
      </c>
      <c r="O4" s="14" t="s">
        <v>15</v>
      </c>
      <c r="P4" s="37" t="s">
        <v>23</v>
      </c>
      <c r="Q4" s="14" t="s">
        <v>20</v>
      </c>
      <c r="R4" s="40" t="s">
        <v>15</v>
      </c>
      <c r="S4" s="39" t="s">
        <v>28</v>
      </c>
    </row>
    <row r="5" spans="1:2" ht="15">
      <c r="A5" s="3" t="s">
        <v>34</v>
      </c>
      <c r="B5" s="1"/>
    </row>
    <row r="6" spans="1:2" ht="15">
      <c r="A6" s="2"/>
      <c r="B6" s="1"/>
    </row>
    <row r="7" spans="1:2" ht="15">
      <c r="A7" s="2"/>
      <c r="B7" s="2"/>
    </row>
    <row r="8" spans="1:2" ht="15">
      <c r="A8" s="1" t="s">
        <v>0</v>
      </c>
      <c r="B8" s="2"/>
    </row>
    <row r="9" spans="1:19" ht="15">
      <c r="A9" s="1" t="s">
        <v>1</v>
      </c>
      <c r="B9" s="24">
        <v>24</v>
      </c>
      <c r="C9" s="25"/>
      <c r="D9" s="20">
        <v>100</v>
      </c>
      <c r="E9" s="20">
        <v>100</v>
      </c>
      <c r="F9" s="13">
        <f>+B9*E9</f>
        <v>2400</v>
      </c>
      <c r="G9" s="15">
        <f>ROUND(+F9/$F$28,6)</f>
        <v>0.001998</v>
      </c>
      <c r="H9" s="15"/>
      <c r="I9" s="13">
        <f>+$H$28*G9</f>
        <v>2251.2425040000003</v>
      </c>
      <c r="N9" s="13">
        <f>+I9+M9</f>
        <v>2251.2425040000003</v>
      </c>
      <c r="O9" s="11">
        <f>ROUND(+N9/B9,2)</f>
        <v>93.8</v>
      </c>
      <c r="P9" s="11">
        <v>6.2</v>
      </c>
      <c r="Q9" s="13">
        <f>+B9*(O9+P9)</f>
        <v>2400</v>
      </c>
      <c r="R9" s="11">
        <f>+O9+P9</f>
        <v>100</v>
      </c>
      <c r="S9" s="15">
        <f>IF(D9=0,0,(R9-D9)/D9)</f>
        <v>0</v>
      </c>
    </row>
    <row r="10" spans="1:19" ht="15">
      <c r="A10" s="1" t="s">
        <v>2</v>
      </c>
      <c r="B10" s="26">
        <v>0</v>
      </c>
      <c r="C10" s="25"/>
      <c r="D10" s="20">
        <v>0</v>
      </c>
      <c r="E10" s="20">
        <v>0</v>
      </c>
      <c r="F10" s="13">
        <f>+B10*E10</f>
        <v>0</v>
      </c>
      <c r="G10" s="15">
        <f>ROUND(+F10/$F$28,6)</f>
        <v>0</v>
      </c>
      <c r="H10" s="15"/>
      <c r="I10" s="13">
        <f>+$H$28*G10</f>
        <v>0</v>
      </c>
      <c r="N10" s="13">
        <f>+I10+M10</f>
        <v>0</v>
      </c>
      <c r="O10" s="11">
        <v>0</v>
      </c>
      <c r="P10" s="11">
        <v>0</v>
      </c>
      <c r="Q10" s="13">
        <v>0</v>
      </c>
      <c r="R10" s="11">
        <f>+O10+P10</f>
        <v>0</v>
      </c>
      <c r="S10" s="15">
        <f>IF(D10=0,0,(R10-D10)/D10)</f>
        <v>0</v>
      </c>
    </row>
    <row r="11" spans="1:19" ht="15">
      <c r="A11" s="1" t="s">
        <v>37</v>
      </c>
      <c r="B11" s="26">
        <v>127</v>
      </c>
      <c r="C11" s="25"/>
      <c r="D11" s="20">
        <v>100</v>
      </c>
      <c r="E11" s="20">
        <v>100</v>
      </c>
      <c r="F11" s="13">
        <f>+B11*E11</f>
        <v>12700</v>
      </c>
      <c r="G11" s="15">
        <f>100%-G9-G10-G15-G16-G20-G21-G22</f>
        <v>0.01057600000000003</v>
      </c>
      <c r="H11" s="41"/>
      <c r="I11" s="13">
        <f>+$H$28*G11</f>
        <v>11916.486848000033</v>
      </c>
      <c r="N11" s="13">
        <f>+I11+M11</f>
        <v>11916.486848000033</v>
      </c>
      <c r="O11" s="11">
        <f>ROUND(+N11/B11,2)</f>
        <v>93.83</v>
      </c>
      <c r="P11" s="11">
        <v>6.17</v>
      </c>
      <c r="Q11" s="13">
        <f>+B11*(O11+P11)</f>
        <v>12700</v>
      </c>
      <c r="R11" s="11">
        <f>+O11+P11</f>
        <v>100</v>
      </c>
      <c r="S11" s="15">
        <f>IF(D11=0,0,(R11-D11)/D11)</f>
        <v>0</v>
      </c>
    </row>
    <row r="12" spans="1:18" ht="15">
      <c r="A12" s="1" t="s">
        <v>3</v>
      </c>
      <c r="B12" s="27">
        <f>SUM(B9:B11)</f>
        <v>151</v>
      </c>
      <c r="C12" s="25"/>
      <c r="D12" s="21"/>
      <c r="E12" s="21"/>
      <c r="F12" s="16">
        <f>SUM(F9:F11)</f>
        <v>15100</v>
      </c>
      <c r="G12" s="16"/>
      <c r="H12" s="16">
        <v>2757</v>
      </c>
      <c r="I12" s="16">
        <f>SUM(I9:I11)</f>
        <v>14167.729352000033</v>
      </c>
      <c r="J12" s="16"/>
      <c r="K12" s="16"/>
      <c r="L12" s="35"/>
      <c r="M12" s="16"/>
      <c r="N12" s="16">
        <f>SUM(N9:N11)</f>
        <v>14167.729352000033</v>
      </c>
      <c r="O12" s="11"/>
      <c r="P12" s="11"/>
      <c r="Q12" s="16">
        <f>SUM(Q9:Q11)</f>
        <v>15100</v>
      </c>
      <c r="R12" s="11"/>
    </row>
    <row r="13" spans="1:18" ht="15">
      <c r="A13" s="2"/>
      <c r="B13" s="28"/>
      <c r="C13" s="25"/>
      <c r="D13" s="21"/>
      <c r="E13" s="21"/>
      <c r="O13" s="11"/>
      <c r="P13" s="11"/>
      <c r="R13" s="11"/>
    </row>
    <row r="14" spans="1:18" ht="15">
      <c r="A14" s="1" t="s">
        <v>4</v>
      </c>
      <c r="B14" s="28"/>
      <c r="C14" s="25"/>
      <c r="D14" s="21"/>
      <c r="E14" s="21"/>
      <c r="O14" s="11"/>
      <c r="P14" s="11"/>
      <c r="R14" s="11"/>
    </row>
    <row r="15" spans="1:19" ht="15">
      <c r="A15" s="1" t="s">
        <v>5</v>
      </c>
      <c r="B15" s="28"/>
      <c r="C15" s="29">
        <v>0</v>
      </c>
      <c r="D15" s="20">
        <v>0</v>
      </c>
      <c r="E15" s="20">
        <v>0</v>
      </c>
      <c r="F15" s="13">
        <f>+C15*E15</f>
        <v>0</v>
      </c>
      <c r="G15" s="15">
        <f>ROUND(+F15/$F$28,6)</f>
        <v>0</v>
      </c>
      <c r="H15" s="15"/>
      <c r="I15" s="13">
        <f>+$H$28*G15</f>
        <v>0</v>
      </c>
      <c r="N15" s="13">
        <f>+I15+M15</f>
        <v>0</v>
      </c>
      <c r="O15" s="11">
        <v>0</v>
      </c>
      <c r="P15" s="11">
        <v>0</v>
      </c>
      <c r="Q15" s="13">
        <f>+C15*(O15+P15)</f>
        <v>0</v>
      </c>
      <c r="R15" s="11">
        <f>+O15+P15</f>
        <v>0</v>
      </c>
      <c r="S15" s="15">
        <f>IF(D15=0,0,(R15-D15)/D15)</f>
        <v>0</v>
      </c>
    </row>
    <row r="16" spans="1:19" ht="15">
      <c r="A16" s="1" t="s">
        <v>5</v>
      </c>
      <c r="B16" s="28"/>
      <c r="C16" s="29">
        <v>76672</v>
      </c>
      <c r="D16" s="20">
        <v>6.08</v>
      </c>
      <c r="E16" s="20">
        <v>6.08</v>
      </c>
      <c r="F16" s="13">
        <f>+C16*E16</f>
        <v>466165.76</v>
      </c>
      <c r="G16" s="15">
        <f>ROUND(+F16/$F$28,6)</f>
        <v>0.388171</v>
      </c>
      <c r="H16" s="15"/>
      <c r="I16" s="13">
        <f>+$H$28*G16</f>
        <v>437370.897908</v>
      </c>
      <c r="N16" s="13">
        <f>+I16+M16</f>
        <v>437370.897908</v>
      </c>
      <c r="O16" s="11">
        <f>ROUND(+N16/C16,2)</f>
        <v>5.7</v>
      </c>
      <c r="P16" s="11">
        <v>1.8</v>
      </c>
      <c r="Q16" s="13">
        <f>+C16*(O16+P16)</f>
        <v>575040</v>
      </c>
      <c r="R16" s="11">
        <f>+O16+P16</f>
        <v>7.5</v>
      </c>
      <c r="S16" s="15">
        <f>IF(D16=0,0,(R16-D16)/D16)</f>
        <v>0.23355263157894735</v>
      </c>
    </row>
    <row r="17" spans="1:18" ht="15">
      <c r="A17" s="1" t="s">
        <v>6</v>
      </c>
      <c r="B17" s="28"/>
      <c r="C17" s="27">
        <f>SUM(C15:C16)</f>
        <v>76672</v>
      </c>
      <c r="D17" s="21"/>
      <c r="F17" s="16">
        <f>SUM(F15:F16)</f>
        <v>466165.76</v>
      </c>
      <c r="G17" s="16"/>
      <c r="H17" s="16">
        <f>761249+143477+219265</f>
        <v>1123991</v>
      </c>
      <c r="I17" s="16">
        <f>SUM(I15:I16)</f>
        <v>437370.897908</v>
      </c>
      <c r="J17" s="16"/>
      <c r="K17" s="16"/>
      <c r="L17" s="35"/>
      <c r="M17" s="16"/>
      <c r="N17" s="16">
        <f>SUM(N15:N16)</f>
        <v>437370.897908</v>
      </c>
      <c r="O17" s="11"/>
      <c r="Q17" s="16">
        <f>SUM(Q15:Q16)</f>
        <v>575040</v>
      </c>
      <c r="R17" s="11"/>
    </row>
    <row r="18" spans="1:4" ht="15">
      <c r="A18" s="1"/>
      <c r="B18" s="28"/>
      <c r="C18" s="30"/>
      <c r="D18" s="21"/>
    </row>
    <row r="19" spans="1:4" ht="15">
      <c r="A19" s="1" t="s">
        <v>7</v>
      </c>
      <c r="B19" s="28"/>
      <c r="C19" s="31"/>
      <c r="D19" s="21"/>
    </row>
    <row r="20" spans="1:19" ht="15">
      <c r="A20" s="3" t="s">
        <v>35</v>
      </c>
      <c r="B20" s="28"/>
      <c r="C20" s="26">
        <v>23550976</v>
      </c>
      <c r="D20" s="21">
        <v>0.04252</v>
      </c>
      <c r="E20" s="10">
        <f>+D20-$B$31</f>
        <v>0.023429000000000002</v>
      </c>
      <c r="F20" s="13">
        <f>+C20*E20</f>
        <v>551775.816704</v>
      </c>
      <c r="G20" s="15">
        <f>ROUND(+F20/$F$28,6)</f>
        <v>0.459458</v>
      </c>
      <c r="H20" s="15"/>
      <c r="I20" s="13">
        <f>+$H$28*G20</f>
        <v>517693.38258399995</v>
      </c>
      <c r="J20" s="13">
        <f>+C20*(D20-E20)</f>
        <v>449611.682816</v>
      </c>
      <c r="K20" s="15">
        <f>1-K21-K22</f>
        <v>0.691902</v>
      </c>
      <c r="M20" s="13">
        <f>($L$25-$M$23-$M$24)*K20</f>
        <v>781303.349322</v>
      </c>
      <c r="N20" s="13">
        <f>+I20+M20</f>
        <v>1298996.731906</v>
      </c>
      <c r="O20" s="10">
        <f>ROUND(+N20/C20,6)</f>
        <v>0.055157</v>
      </c>
      <c r="P20" s="10">
        <v>-0.00366</v>
      </c>
      <c r="Q20" s="13">
        <f>+C20*(O20+P20)</f>
        <v>1212804.611072</v>
      </c>
      <c r="R20" s="10">
        <f>+O20+P20</f>
        <v>0.051497</v>
      </c>
      <c r="S20" s="15">
        <f>IF(D20=0,0,(R20-D20)/D20)</f>
        <v>0.21112417685794915</v>
      </c>
    </row>
    <row r="21" spans="1:19" ht="15">
      <c r="A21" s="1" t="s">
        <v>8</v>
      </c>
      <c r="B21" s="28"/>
      <c r="C21" s="26">
        <v>10487024</v>
      </c>
      <c r="D21" s="21">
        <v>0.0351</v>
      </c>
      <c r="E21" s="10">
        <f>+D21-$B$31</f>
        <v>0.016009</v>
      </c>
      <c r="F21" s="13">
        <f>+C21*E21</f>
        <v>167886.76721599998</v>
      </c>
      <c r="G21" s="15">
        <f>ROUND(+F21/$F$28,6)</f>
        <v>0.139797</v>
      </c>
      <c r="H21" s="15"/>
      <c r="I21" s="13">
        <f>+$H$28*G21</f>
        <v>157515.990156</v>
      </c>
      <c r="J21" s="13">
        <f>+C21*(D21-E21)</f>
        <v>200207.775184</v>
      </c>
      <c r="K21" s="15">
        <f>ROUND(J21/($J$25-$J$23-$J$24),6)</f>
        <v>0.308098</v>
      </c>
      <c r="M21" s="13">
        <f>($L$25-$M$23-$M$24)*K21</f>
        <v>347907.650678</v>
      </c>
      <c r="N21" s="13">
        <f>+I21+M21</f>
        <v>505423.640834</v>
      </c>
      <c r="O21" s="10">
        <f>ROUND(+N21/C21,6)</f>
        <v>0.048195</v>
      </c>
      <c r="P21" s="10">
        <v>-0.004998</v>
      </c>
      <c r="Q21" s="13">
        <f>+C21*(O21+P21)</f>
        <v>453007.975728</v>
      </c>
      <c r="R21" s="10">
        <f>+O21+P21</f>
        <v>0.043197</v>
      </c>
      <c r="S21" s="15">
        <f>IF(D21=0,0,(R21-D21)/D21)</f>
        <v>0.2306837606837607</v>
      </c>
    </row>
    <row r="22" spans="1:19" ht="15">
      <c r="A22" s="1" t="s">
        <v>8</v>
      </c>
      <c r="B22" s="28"/>
      <c r="C22" s="26">
        <v>0</v>
      </c>
      <c r="D22" s="21">
        <v>0</v>
      </c>
      <c r="E22" s="10">
        <v>0</v>
      </c>
      <c r="F22" s="13">
        <f>+C22*E22</f>
        <v>0</v>
      </c>
      <c r="G22" s="15">
        <f>ROUND(+F22/$F$28,6)</f>
        <v>0</v>
      </c>
      <c r="H22" s="15"/>
      <c r="I22" s="13">
        <f>+$H$28*G22</f>
        <v>0</v>
      </c>
      <c r="J22" s="13">
        <f>+C22*(D22-E22)</f>
        <v>0</v>
      </c>
      <c r="K22" s="15">
        <f>ROUND(J22/($J$25-$J$23-$J$24),6)</f>
        <v>0</v>
      </c>
      <c r="M22" s="13">
        <f>($L$25-$M$23-$M$24)*K22</f>
        <v>0</v>
      </c>
      <c r="N22" s="13">
        <f>+I22+M22</f>
        <v>0</v>
      </c>
      <c r="O22" s="10">
        <v>0</v>
      </c>
      <c r="P22" s="10">
        <v>0</v>
      </c>
      <c r="Q22" s="13">
        <f>+C22*(O22+P22)</f>
        <v>0</v>
      </c>
      <c r="R22" s="10">
        <f>+O22+P22</f>
        <v>0</v>
      </c>
      <c r="S22" s="15">
        <f>IF(D22=0,0,(R22-D22)/D22)</f>
        <v>0</v>
      </c>
    </row>
    <row r="23" spans="1:19" ht="15">
      <c r="A23" s="1" t="s">
        <v>36</v>
      </c>
      <c r="B23" s="28"/>
      <c r="C23" s="26">
        <v>0</v>
      </c>
      <c r="D23" s="32">
        <v>0</v>
      </c>
      <c r="E23" s="10"/>
      <c r="J23" s="13">
        <f>+C23*(D23-E23)</f>
        <v>0</v>
      </c>
      <c r="K23" s="15"/>
      <c r="M23" s="13">
        <f>+C23*O23</f>
        <v>0</v>
      </c>
      <c r="N23" s="13">
        <f>+I23+M23</f>
        <v>0</v>
      </c>
      <c r="O23" s="10">
        <f>ROUND(+D23*(1+$C$33),6)</f>
        <v>0</v>
      </c>
      <c r="P23" s="10">
        <v>0</v>
      </c>
      <c r="Q23" s="13">
        <f>+C23*(O23+P23)</f>
        <v>0</v>
      </c>
      <c r="R23" s="10">
        <f>+O23+P23</f>
        <v>0</v>
      </c>
      <c r="S23" s="15">
        <f>IF(D23=0,0,(R23-D23)/D23)</f>
        <v>0</v>
      </c>
    </row>
    <row r="24" spans="1:19" ht="15">
      <c r="A24" s="1" t="s">
        <v>36</v>
      </c>
      <c r="B24" s="28"/>
      <c r="C24" s="26">
        <v>0</v>
      </c>
      <c r="D24" s="32">
        <v>0</v>
      </c>
      <c r="E24" s="10"/>
      <c r="J24" s="13">
        <f>+C24*(D24-E24)</f>
        <v>0</v>
      </c>
      <c r="K24" s="15"/>
      <c r="M24" s="13">
        <f>+C24*O24</f>
        <v>0</v>
      </c>
      <c r="N24" s="13">
        <f>+I24+M24</f>
        <v>0</v>
      </c>
      <c r="O24" s="10">
        <f>ROUND(+D24*(1+$C$33),6)</f>
        <v>0</v>
      </c>
      <c r="P24" s="10">
        <v>0</v>
      </c>
      <c r="Q24" s="13">
        <f>+C24*(O24+P24)</f>
        <v>0</v>
      </c>
      <c r="R24" s="10">
        <f>+O24+P24</f>
        <v>0</v>
      </c>
      <c r="S24" s="15">
        <f>IF(D24=0,0,(R24-D24)/D24)</f>
        <v>0</v>
      </c>
    </row>
    <row r="25" spans="1:17" ht="15">
      <c r="A25" s="1" t="s">
        <v>9</v>
      </c>
      <c r="B25" s="28"/>
      <c r="C25" s="27">
        <f>SUM(C20:C24)</f>
        <v>34038000</v>
      </c>
      <c r="F25" s="16">
        <f>SUM(F20:F24)</f>
        <v>719662.58392</v>
      </c>
      <c r="G25" s="16"/>
      <c r="H25" s="16">
        <v>0</v>
      </c>
      <c r="I25" s="16">
        <f>SUM(I20:I24)</f>
        <v>675209.37274</v>
      </c>
      <c r="J25" s="16">
        <f>SUM(J20:J24)</f>
        <v>649819.458</v>
      </c>
      <c r="K25" s="17">
        <f>SUM(K20:K24)</f>
        <v>1</v>
      </c>
      <c r="L25" s="16">
        <v>1129211</v>
      </c>
      <c r="M25" s="16">
        <f>SUM(M20:M24)</f>
        <v>1129211</v>
      </c>
      <c r="N25" s="16">
        <f>SUM(N20:N24)</f>
        <v>1804420.37274</v>
      </c>
      <c r="Q25" s="16">
        <f>SUM(Q20:Q24)</f>
        <v>1665812.5868000002</v>
      </c>
    </row>
    <row r="26" spans="1:3" ht="15">
      <c r="A26" s="1"/>
      <c r="B26" s="4"/>
      <c r="C26" s="22"/>
    </row>
    <row r="27" spans="1:3" ht="15">
      <c r="A27" s="1"/>
      <c r="B27" s="4"/>
      <c r="C27" s="19"/>
    </row>
    <row r="28" spans="1:17" ht="15.75" thickBot="1">
      <c r="A28" s="3" t="s">
        <v>38</v>
      </c>
      <c r="B28" s="23">
        <f>B12</f>
        <v>151</v>
      </c>
      <c r="C28" s="23">
        <f>C25</f>
        <v>34038000</v>
      </c>
      <c r="F28" s="18">
        <f>+F12+F17+F25</f>
        <v>1200928.34392</v>
      </c>
      <c r="G28" s="34">
        <f>SUM(G9:G25)</f>
        <v>1</v>
      </c>
      <c r="H28" s="18">
        <f>+H12+H17+H25</f>
        <v>1126748</v>
      </c>
      <c r="I28" s="18">
        <f>+I12+I17+I25</f>
        <v>1126748</v>
      </c>
      <c r="J28" s="18">
        <f>+J12+J17+J25</f>
        <v>649819.458</v>
      </c>
      <c r="K28" s="18"/>
      <c r="L28" s="18">
        <f>+L12+L17+L25</f>
        <v>1129211</v>
      </c>
      <c r="M28" s="18">
        <f>+M12+M17+M25</f>
        <v>1129211</v>
      </c>
      <c r="N28" s="18">
        <f>+N12+N17+N25</f>
        <v>2255959</v>
      </c>
      <c r="Q28" s="18">
        <f>+Q12+Q17+Q25</f>
        <v>2255952.5868</v>
      </c>
    </row>
    <row r="29" ht="13.5" thickTop="1"/>
    <row r="30" spans="6:17" ht="13.5" thickBot="1">
      <c r="F30" s="13">
        <v>85946</v>
      </c>
      <c r="P30" s="10" t="s">
        <v>32</v>
      </c>
      <c r="Q30" s="18">
        <f>+Q28-N28</f>
        <v>-6.413199999835342</v>
      </c>
    </row>
    <row r="31" spans="1:8" ht="13.5" thickTop="1">
      <c r="A31" t="s">
        <v>24</v>
      </c>
      <c r="B31" s="10">
        <v>0.019091</v>
      </c>
      <c r="C31" s="10" t="s">
        <v>36</v>
      </c>
      <c r="F31" s="13">
        <f>F28-F30</f>
        <v>1114982.34392</v>
      </c>
      <c r="H31" s="13">
        <f>H28+1131078</f>
        <v>2257826</v>
      </c>
    </row>
    <row r="32" ht="12.75">
      <c r="B32" s="10"/>
    </row>
    <row r="33" spans="1:3" ht="12.75">
      <c r="A33" s="12" t="s">
        <v>33</v>
      </c>
      <c r="B33" s="13">
        <f>2255959-1850748</f>
        <v>405211</v>
      </c>
      <c r="C33" s="15">
        <f>+B33/71942507</f>
        <v>0.0056324281276436475</v>
      </c>
    </row>
    <row r="36" ht="12.75">
      <c r="H36" s="13">
        <v>143711</v>
      </c>
    </row>
    <row r="37" ht="12.75">
      <c r="H37" s="13">
        <v>43102</v>
      </c>
    </row>
    <row r="38" ht="12.75">
      <c r="H38" s="13">
        <v>90391</v>
      </c>
    </row>
    <row r="39" ht="12.75">
      <c r="H39" s="13">
        <v>86138</v>
      </c>
    </row>
    <row r="40" ht="12.75">
      <c r="H40" s="13">
        <f>SUM(H37:H39)</f>
        <v>219631</v>
      </c>
    </row>
  </sheetData>
  <printOptions/>
  <pageMargins left="0.75" right="0.75" top="1" bottom="1" header="0.5" footer="0.5"/>
  <pageSetup fitToHeight="1" fitToWidth="1" horizontalDpi="300" verticalDpi="3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Beagle</dc:creator>
  <cp:keywords/>
  <dc:description/>
  <cp:lastModifiedBy>Jeff Pipher</cp:lastModifiedBy>
  <cp:lastPrinted>2006-05-16T13:10:51Z</cp:lastPrinted>
  <dcterms:created xsi:type="dcterms:W3CDTF">2006-05-15T14:16:57Z</dcterms:created>
  <dcterms:modified xsi:type="dcterms:W3CDTF">2006-05-24T20:55:23Z</dcterms:modified>
  <cp:category/>
  <cp:version/>
  <cp:contentType/>
  <cp:contentStatus/>
</cp:coreProperties>
</file>