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68" windowHeight="7128" activeTab="0"/>
  </bookViews>
  <sheets>
    <sheet name="Attach PFO-4" sheetId="1" r:id="rId1"/>
    <sheet name="Sheet2" sheetId="2" r:id="rId2"/>
    <sheet name="Sheet3" sheetId="3" r:id="rId3"/>
  </sheets>
  <externalReferences>
    <externalReference r:id="rId6"/>
  </externalReferences>
  <definedNames>
    <definedName name="VERSION">'[1]macro'!$B$5:$B$5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<sst xmlns="http://schemas.openxmlformats.org/spreadsheetml/2006/main" count="72" uniqueCount="63">
  <si>
    <t>Attachment PFO-4</t>
  </si>
  <si>
    <t>COMPUTATION OF THE RATE INCREASE AMOUNT BY RATE CLASS</t>
  </si>
  <si>
    <t>Gross</t>
  </si>
  <si>
    <t>Proposed</t>
  </si>
  <si>
    <t>Revenues</t>
  </si>
  <si>
    <t>Reduction</t>
  </si>
  <si>
    <t>ROR</t>
  </si>
  <si>
    <t>Increase</t>
  </si>
  <si>
    <t>Present</t>
  </si>
  <si>
    <t>Net Operating</t>
  </si>
  <si>
    <t>At Average</t>
  </si>
  <si>
    <t>Subsidy ()</t>
  </si>
  <si>
    <t>In Subsidy ()</t>
  </si>
  <si>
    <t>Rate</t>
  </si>
  <si>
    <t>Percent</t>
  </si>
  <si>
    <t>At Proposed</t>
  </si>
  <si>
    <t>With</t>
  </si>
  <si>
    <t>Line</t>
  </si>
  <si>
    <t>Capitalization</t>
  </si>
  <si>
    <t>Revenues (1)</t>
  </si>
  <si>
    <t>Income</t>
  </si>
  <si>
    <t>Excess</t>
  </si>
  <si>
    <t>Rates</t>
  </si>
  <si>
    <t>Subsidy/Excess</t>
  </si>
  <si>
    <t>No.</t>
  </si>
  <si>
    <t>Rate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</si>
  <si>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</si>
  <si>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</si>
  <si>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</si>
  <si>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</si>
  <si>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</si>
  <si>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</si>
  <si>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</si>
  <si>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</si>
  <si>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</si>
  <si>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</si>
  <si>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</si>
  <si>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</si>
  <si>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(C) / (A)</t>
  </si>
  <si>
    <t>(B) - (G) + (H)</t>
  </si>
  <si>
    <t>(H) - (G)</t>
  </si>
  <si>
    <t>Rate RS</t>
  </si>
  <si>
    <t>Rate DS</t>
  </si>
  <si>
    <t>Rate DS-RTP</t>
  </si>
  <si>
    <t>Rate GS-FL</t>
  </si>
  <si>
    <t>Rate EH</t>
  </si>
  <si>
    <t>Rate SP</t>
  </si>
  <si>
    <t>Rate DT - Secondary</t>
  </si>
  <si>
    <t>Rate DT RTP-Sec.</t>
  </si>
  <si>
    <t>Rate DT-Primary</t>
  </si>
  <si>
    <t>Rate DT RTP-Primary</t>
  </si>
  <si>
    <t>Rate DP</t>
  </si>
  <si>
    <t>Rate DP-RTP</t>
  </si>
  <si>
    <t>Rate TT</t>
  </si>
  <si>
    <t>Rate TT-RTP</t>
  </si>
  <si>
    <t>Lighting</t>
  </si>
  <si>
    <t>Blank</t>
  </si>
  <si>
    <t>Other</t>
  </si>
  <si>
    <t xml:space="preserve">     Total</t>
  </si>
  <si>
    <t xml:space="preserve"> </t>
  </si>
  <si>
    <t>Tax Complement</t>
  </si>
  <si>
    <t>Average ROR</t>
  </si>
  <si>
    <t>(1) Note: Present revenues for all rates except RTP include present base and FAC revenues.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</si>
</sst>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%"/>
    <numFmt numFmtId="166" formatCode="_(* #,##0_);_(* \(#,##0\);_(* &quot;-&quot;??_);_(@_)"/>
    <numFmt numFmtId="167" formatCode="0.0000000%"/>
  </numFmts>
  <fonts count="4">
    <font>
      <sz val="10"/>
      <name val="Arial"/>
      <family val="0"/>
    </font>
    <font>
      <b/>
      <u val="double"/>
      <sz val="12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19" applyNumberFormat="1" applyAlignment="1">
      <alignment/>
    </xf>
    <xf numFmtId="164" fontId="0" fillId="0" borderId="0" xfId="15" applyNumberFormat="1" applyAlignment="1">
      <alignment/>
    </xf>
    <xf numFmtId="166" fontId="0" fillId="0" borderId="0" xfId="15" applyNumberFormat="1" applyAlignment="1">
      <alignment/>
    </xf>
    <xf numFmtId="10" fontId="0" fillId="0" borderId="0" xfId="19" applyNumberFormat="1" applyAlignment="1">
      <alignment/>
    </xf>
    <xf numFmtId="166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5" fontId="0" fillId="0" borderId="2" xfId="19" applyNumberFormat="1" applyBorder="1" applyAlignment="1">
      <alignment/>
    </xf>
    <xf numFmtId="164" fontId="0" fillId="0" borderId="2" xfId="15" applyNumberFormat="1" applyBorder="1" applyAlignment="1">
      <alignment/>
    </xf>
    <xf numFmtId="37" fontId="0" fillId="0" borderId="2" xfId="15" applyNumberFormat="1" applyBorder="1" applyAlignment="1">
      <alignment/>
    </xf>
    <xf numFmtId="10" fontId="0" fillId="0" borderId="2" xfId="19" applyNumberFormat="1" applyBorder="1" applyAlignment="1">
      <alignment/>
    </xf>
    <xf numFmtId="167" fontId="0" fillId="0" borderId="0" xfId="19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LH&amp;P%20Electric%20Case%202006\COSS\ULH&amp;P_CLASS_ALLOCATION_PROPOSED%20SUBSIDY%20EXCESS%2025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orig_alloc"/>
      <sheetName val="coss"/>
      <sheetName val="backup"/>
      <sheetName val="Attachment PFO-4"/>
      <sheetName val="special study sheet"/>
      <sheetName val="SFR_tie"/>
      <sheetName val="SFR_factors"/>
      <sheetName val="Sheet1"/>
      <sheetName val="print_macros"/>
    </sheetNames>
    <sheetDataSet>
      <sheetData sheetId="0">
        <row r="5">
          <cell r="B5" t="str">
            <v>FR-9v-1    KW ( 12  COIN  PEAK )</v>
          </cell>
        </row>
      </sheetData>
      <sheetData sheetId="2">
        <row r="1">
          <cell r="A1" t="str">
            <v>DUKE ENERGY KENTUCKY</v>
          </cell>
        </row>
        <row r="3">
          <cell r="A3" t="str">
            <v>TWELVE MONTHS ENDING DECEMBER 31, 2007</v>
          </cell>
        </row>
        <row r="6">
          <cell r="A6" t="str">
            <v>ELECTRIC CASE NO:  2006-00172</v>
          </cell>
        </row>
        <row r="734">
          <cell r="C734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7109375" style="0" customWidth="1"/>
    <col min="3" max="3" width="17.7109375" style="0" customWidth="1"/>
    <col min="4" max="4" width="15.00390625" style="0" customWidth="1"/>
    <col min="5" max="5" width="12.7109375" style="0" customWidth="1"/>
    <col min="6" max="6" width="13.421875" style="0" customWidth="1"/>
    <col min="7" max="7" width="14.7109375" style="0" customWidth="1"/>
    <col min="8" max="8" width="11.8515625" style="0" customWidth="1"/>
    <col min="9" max="9" width="11.57421875" style="0" customWidth="1"/>
    <col min="10" max="10" width="14.57421875" style="0" customWidth="1"/>
    <col min="11" max="11" width="14.140625" style="0" customWidth="1"/>
    <col min="13" max="13" width="13.140625" style="0" customWidth="1"/>
    <col min="14" max="14" width="15.8515625" style="0" customWidth="1"/>
    <col min="15" max="15" width="14.00390625" style="3" customWidth="1"/>
    <col min="16" max="16" width="16.421875" style="3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5">
      <c r="A2" s="4" t="str">
        <f>+'[1]coss'!A1</f>
        <v>DUKE ENERGY KENTUCKY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customHeight="1">
      <c r="A3" s="1" t="str">
        <f>VERSION</f>
        <v>FR-9v-1    KW ( 12  COIN  PEAK )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 t="str">
        <f>+'[1]coss'!A6</f>
        <v>ELECTRIC CASE NO:  2006-00172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tr">
        <f>+'[1]coss'!A3</f>
        <v>TWELVE MONTHS ENDING DECEMBER 31, 2007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3:16" ht="12.75">
      <c r="C9" s="7"/>
      <c r="D9" s="7"/>
      <c r="E9" s="7"/>
      <c r="F9" s="7"/>
      <c r="G9" s="7" t="s">
        <v>2</v>
      </c>
      <c r="H9" s="7"/>
      <c r="I9" s="8">
        <f>+'[1]coss'!C734</f>
        <v>0.25</v>
      </c>
      <c r="J9" s="7"/>
      <c r="N9" s="9" t="s">
        <v>3</v>
      </c>
      <c r="P9" s="10"/>
    </row>
    <row r="10" spans="3:16" ht="12.75">
      <c r="C10" s="7"/>
      <c r="E10" s="7"/>
      <c r="F10" s="7"/>
      <c r="G10" s="7" t="s">
        <v>4</v>
      </c>
      <c r="H10" s="7"/>
      <c r="I10" s="7" t="s">
        <v>5</v>
      </c>
      <c r="J10" s="7"/>
      <c r="L10" s="7" t="s">
        <v>3</v>
      </c>
      <c r="M10" s="7" t="s">
        <v>6</v>
      </c>
      <c r="N10" s="9" t="s">
        <v>7</v>
      </c>
      <c r="O10" s="11"/>
      <c r="P10" s="10"/>
    </row>
    <row r="11" spans="3:16" ht="12.75">
      <c r="C11" s="7"/>
      <c r="D11" s="7" t="s">
        <v>8</v>
      </c>
      <c r="E11" s="7" t="s">
        <v>9</v>
      </c>
      <c r="F11" s="7" t="s">
        <v>8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3</v>
      </c>
      <c r="L11" s="7" t="s">
        <v>14</v>
      </c>
      <c r="M11" s="7" t="s">
        <v>15</v>
      </c>
      <c r="N11" s="9" t="s">
        <v>16</v>
      </c>
      <c r="O11" s="11"/>
      <c r="P11" s="10"/>
    </row>
    <row r="12" spans="1:16" ht="12.75">
      <c r="A12" s="7" t="s">
        <v>17</v>
      </c>
      <c r="B12" s="3"/>
      <c r="C12" s="11" t="s">
        <v>18</v>
      </c>
      <c r="D12" s="11" t="s">
        <v>19</v>
      </c>
      <c r="E12" s="11" t="s">
        <v>20</v>
      </c>
      <c r="F12" s="11" t="s">
        <v>6</v>
      </c>
      <c r="G12" s="11" t="s">
        <v>6</v>
      </c>
      <c r="H12" s="11" t="s">
        <v>21</v>
      </c>
      <c r="I12" s="11" t="s">
        <v>21</v>
      </c>
      <c r="J12" s="11" t="s">
        <v>7</v>
      </c>
      <c r="K12" s="12" t="s">
        <v>4</v>
      </c>
      <c r="L12" s="12" t="s">
        <v>7</v>
      </c>
      <c r="M12" s="12" t="s">
        <v>22</v>
      </c>
      <c r="N12" s="9" t="s">
        <v>23</v>
      </c>
      <c r="O12" s="11"/>
      <c r="P12" s="10"/>
    </row>
    <row r="13" spans="1:16" ht="12.75">
      <c r="A13" s="13" t="s">
        <v>24</v>
      </c>
      <c r="B13" s="13" t="s">
        <v>25</v>
      </c>
      <c r="C13" s="14" t="s">
        <v>26</v>
      </c>
      <c r="D13" s="14" t="s">
        <v>27</v>
      </c>
      <c r="E13" s="14" t="s">
        <v>28</v>
      </c>
      <c r="F13" s="14" t="s">
        <v>29</v>
      </c>
      <c r="G13" s="14" t="s">
        <v>30</v>
      </c>
      <c r="H13" s="14" t="s">
        <v>31</v>
      </c>
      <c r="I13" s="14" t="s">
        <v>32</v>
      </c>
      <c r="J13" s="14" t="s">
        <v>33</v>
      </c>
      <c r="K13" s="14" t="s">
        <v>34</v>
      </c>
      <c r="L13" s="15" t="s">
        <v>35</v>
      </c>
      <c r="M13" s="15" t="s">
        <v>36</v>
      </c>
      <c r="N13" s="16" t="s">
        <v>37</v>
      </c>
      <c r="O13" s="11"/>
      <c r="P13" s="10"/>
    </row>
    <row r="14" spans="1:14" ht="12.75">
      <c r="A14" s="3"/>
      <c r="B14" s="11"/>
      <c r="C14" s="17"/>
      <c r="D14" s="17"/>
      <c r="E14" s="17"/>
      <c r="F14" s="17" t="s">
        <v>38</v>
      </c>
      <c r="G14" s="17"/>
      <c r="H14" s="17"/>
      <c r="I14" s="17" t="str">
        <f>"(F) * "&amp;I9*100&amp;"%"</f>
        <v>(F) * 25%</v>
      </c>
      <c r="J14" s="17"/>
      <c r="K14" s="18" t="s">
        <v>39</v>
      </c>
      <c r="L14" s="18"/>
      <c r="M14" s="18"/>
      <c r="N14" s="9" t="s">
        <v>40</v>
      </c>
    </row>
    <row r="15" spans="1:16" ht="12.75">
      <c r="A15" s="7">
        <v>1</v>
      </c>
      <c r="B15" t="s">
        <v>41</v>
      </c>
      <c r="C15" s="19">
        <v>260738880</v>
      </c>
      <c r="D15" s="19">
        <v>97639085</v>
      </c>
      <c r="E15" s="19">
        <v>135024</v>
      </c>
      <c r="F15" s="20">
        <f>ROUND(E15/C15,8)</f>
        <v>0.00051785</v>
      </c>
      <c r="G15" s="21">
        <f>ROUND(G32-SUM(G16:G31),0)</f>
        <v>103567898</v>
      </c>
      <c r="H15" s="21">
        <f>ROUND(D15-G15,0)</f>
        <v>-5928813</v>
      </c>
      <c r="I15" s="22">
        <f>ROUND($I$9*H15,0)-1</f>
        <v>-1482204</v>
      </c>
      <c r="J15" s="21">
        <f>ROUND(J32-SUM(J16:J31),0)</f>
        <v>31153475</v>
      </c>
      <c r="K15" s="19">
        <f>D15-I15+J15</f>
        <v>130274764</v>
      </c>
      <c r="L15" s="23">
        <f>ROUND((K15-D15)/D15,6)</f>
        <v>0.334248</v>
      </c>
      <c r="M15" s="20">
        <f>ROUND(((N15*C$35)+E15)/C15,8)</f>
        <v>0.07716695</v>
      </c>
      <c r="N15" s="19">
        <f>J15-I15</f>
        <v>32635679</v>
      </c>
      <c r="O15" s="24"/>
      <c r="P15" s="24"/>
    </row>
    <row r="16" spans="1:16" ht="12.75">
      <c r="A16" s="7">
        <v>2</v>
      </c>
      <c r="B16" t="s">
        <v>42</v>
      </c>
      <c r="C16" s="25">
        <v>144231279</v>
      </c>
      <c r="D16" s="25">
        <v>66709383</v>
      </c>
      <c r="E16" s="25">
        <v>5730869</v>
      </c>
      <c r="F16" s="20">
        <f aca="true" t="shared" si="0" ref="F16:F32">ROUND(E16/C16,8)</f>
        <v>0.03973388</v>
      </c>
      <c r="G16" s="22">
        <f>ROUND((((($C$36*C16)-E16)/$C$35)+D16),0)</f>
        <v>60752583</v>
      </c>
      <c r="H16" s="22">
        <f aca="true" t="shared" si="1" ref="H16:H31">D16-G16</f>
        <v>5956800</v>
      </c>
      <c r="I16" s="22">
        <f aca="true" t="shared" si="2" ref="I16:I31">ROUND($I$9*H16,0)</f>
        <v>1489200</v>
      </c>
      <c r="J16" s="22">
        <f aca="true" t="shared" si="3" ref="J16:J31">ROUND((C16/C$32)*J$32,0)</f>
        <v>17232970</v>
      </c>
      <c r="K16" s="25">
        <f aca="true" t="shared" si="4" ref="K16:K31">D16-I16+J16</f>
        <v>82453153</v>
      </c>
      <c r="L16" s="23">
        <f aca="true" t="shared" si="5" ref="L16:L31">ROUND((K16-D16)/D16,6)</f>
        <v>0.236005</v>
      </c>
      <c r="M16" s="20">
        <f aca="true" t="shared" si="6" ref="M16:M32">ROUND(((N16*C$35)+E16)/C16,8)</f>
        <v>0.10657897</v>
      </c>
      <c r="N16" s="26">
        <f aca="true" t="shared" si="7" ref="N16:N31">J16-I16</f>
        <v>15743770</v>
      </c>
      <c r="O16" s="24"/>
      <c r="P16" s="24"/>
    </row>
    <row r="17" spans="1:16" ht="12.75">
      <c r="A17" s="7">
        <v>3</v>
      </c>
      <c r="B17" t="s">
        <v>43</v>
      </c>
      <c r="C17" s="25">
        <v>122605</v>
      </c>
      <c r="D17" s="25">
        <v>70100</v>
      </c>
      <c r="E17" s="25">
        <v>24610</v>
      </c>
      <c r="F17" s="20">
        <f t="shared" si="0"/>
        <v>0.20072591</v>
      </c>
      <c r="G17" s="22">
        <f aca="true" t="shared" si="8" ref="G17:G31">ROUND((((($C$36*C17)-E17)/$C$35)+D17),0)</f>
        <v>32804</v>
      </c>
      <c r="H17" s="22">
        <f t="shared" si="1"/>
        <v>37296</v>
      </c>
      <c r="I17" s="22">
        <f t="shared" si="2"/>
        <v>9324</v>
      </c>
      <c r="J17" s="22">
        <f t="shared" si="3"/>
        <v>14649</v>
      </c>
      <c r="K17" s="25">
        <f t="shared" si="4"/>
        <v>75425</v>
      </c>
      <c r="L17" s="23">
        <f t="shared" si="5"/>
        <v>0.075963</v>
      </c>
      <c r="M17" s="20">
        <f t="shared" si="6"/>
        <v>0.22732285</v>
      </c>
      <c r="N17" s="26">
        <f t="shared" si="7"/>
        <v>5325</v>
      </c>
      <c r="O17" s="24"/>
      <c r="P17" s="24"/>
    </row>
    <row r="18" spans="1:16" ht="12.75">
      <c r="A18" s="7">
        <v>4</v>
      </c>
      <c r="B18" t="s">
        <v>44</v>
      </c>
      <c r="C18" s="25">
        <v>618721</v>
      </c>
      <c r="D18" s="25">
        <v>471911</v>
      </c>
      <c r="E18" s="25">
        <v>101409</v>
      </c>
      <c r="F18" s="20">
        <f t="shared" si="0"/>
        <v>0.16390102</v>
      </c>
      <c r="G18" s="22">
        <f t="shared" si="8"/>
        <v>320905</v>
      </c>
      <c r="H18" s="22">
        <f t="shared" si="1"/>
        <v>151006</v>
      </c>
      <c r="I18" s="22">
        <f t="shared" si="2"/>
        <v>37752</v>
      </c>
      <c r="J18" s="22">
        <f t="shared" si="3"/>
        <v>73926</v>
      </c>
      <c r="K18" s="25">
        <f t="shared" si="4"/>
        <v>508085</v>
      </c>
      <c r="L18" s="23">
        <f t="shared" si="5"/>
        <v>0.076654</v>
      </c>
      <c r="M18" s="20">
        <f t="shared" si="6"/>
        <v>0.19970422</v>
      </c>
      <c r="N18" s="26">
        <f t="shared" si="7"/>
        <v>36174</v>
      </c>
      <c r="O18" s="24"/>
      <c r="P18" s="24"/>
    </row>
    <row r="19" spans="1:16" ht="12.75">
      <c r="A19" s="7">
        <v>5</v>
      </c>
      <c r="B19" t="s">
        <v>45</v>
      </c>
      <c r="C19" s="25">
        <v>1942428</v>
      </c>
      <c r="D19" s="25">
        <v>694501</v>
      </c>
      <c r="E19" s="25">
        <v>-39580</v>
      </c>
      <c r="F19" s="20">
        <f t="shared" si="0"/>
        <v>-0.02037656</v>
      </c>
      <c r="G19" s="22">
        <f t="shared" si="8"/>
        <v>804945</v>
      </c>
      <c r="H19" s="22">
        <f t="shared" si="1"/>
        <v>-110444</v>
      </c>
      <c r="I19" s="22">
        <f t="shared" si="2"/>
        <v>-27611</v>
      </c>
      <c r="J19" s="22">
        <f t="shared" si="3"/>
        <v>232084</v>
      </c>
      <c r="K19" s="25">
        <f t="shared" si="4"/>
        <v>954196</v>
      </c>
      <c r="L19" s="23">
        <f t="shared" si="5"/>
        <v>0.37393</v>
      </c>
      <c r="M19" s="20">
        <f t="shared" si="6"/>
        <v>0.0614961</v>
      </c>
      <c r="N19" s="26">
        <f t="shared" si="7"/>
        <v>259695</v>
      </c>
      <c r="O19" s="24"/>
      <c r="P19" s="24"/>
    </row>
    <row r="20" spans="1:16" ht="12.75">
      <c r="A20" s="7">
        <v>6</v>
      </c>
      <c r="B20" t="s">
        <v>46</v>
      </c>
      <c r="C20" s="25">
        <v>61611</v>
      </c>
      <c r="D20" s="25">
        <v>35117</v>
      </c>
      <c r="E20" s="25">
        <v>6745</v>
      </c>
      <c r="F20" s="20">
        <f t="shared" si="0"/>
        <v>0.1094772</v>
      </c>
      <c r="G20" s="22">
        <f t="shared" si="8"/>
        <v>25556</v>
      </c>
      <c r="H20" s="22">
        <f t="shared" si="1"/>
        <v>9561</v>
      </c>
      <c r="I20" s="22">
        <f t="shared" si="2"/>
        <v>2390</v>
      </c>
      <c r="J20" s="22">
        <f t="shared" si="3"/>
        <v>7361</v>
      </c>
      <c r="K20" s="25">
        <f t="shared" si="4"/>
        <v>40088</v>
      </c>
      <c r="L20" s="23">
        <f t="shared" si="5"/>
        <v>0.141555</v>
      </c>
      <c r="M20" s="20">
        <f t="shared" si="6"/>
        <v>0.15888617</v>
      </c>
      <c r="N20" s="26">
        <f t="shared" si="7"/>
        <v>4971</v>
      </c>
      <c r="O20" s="24"/>
      <c r="P20" s="24"/>
    </row>
    <row r="21" spans="1:16" ht="12.75">
      <c r="A21" s="7">
        <v>7</v>
      </c>
      <c r="B21" t="s">
        <v>47</v>
      </c>
      <c r="C21" s="25">
        <v>81087630</v>
      </c>
      <c r="D21" s="25">
        <v>38378456</v>
      </c>
      <c r="E21" s="25">
        <v>1354947</v>
      </c>
      <c r="F21" s="20">
        <f t="shared" si="0"/>
        <v>0.01670966</v>
      </c>
      <c r="G21" s="22">
        <f t="shared" si="8"/>
        <v>38078242</v>
      </c>
      <c r="H21" s="22">
        <f t="shared" si="1"/>
        <v>300214</v>
      </c>
      <c r="I21" s="22">
        <f t="shared" si="2"/>
        <v>75054</v>
      </c>
      <c r="J21" s="22">
        <f t="shared" si="3"/>
        <v>9688472</v>
      </c>
      <c r="K21" s="25">
        <f t="shared" si="4"/>
        <v>47991874</v>
      </c>
      <c r="L21" s="23">
        <f t="shared" si="5"/>
        <v>0.25049</v>
      </c>
      <c r="M21" s="20">
        <f t="shared" si="6"/>
        <v>0.0893108</v>
      </c>
      <c r="N21" s="26">
        <f t="shared" si="7"/>
        <v>9613418</v>
      </c>
      <c r="O21" s="24"/>
      <c r="P21" s="24"/>
    </row>
    <row r="22" spans="1:16" ht="12.75">
      <c r="A22" s="7">
        <v>8</v>
      </c>
      <c r="B22" t="s">
        <v>48</v>
      </c>
      <c r="C22" s="25">
        <v>907692</v>
      </c>
      <c r="D22" s="25">
        <v>343715</v>
      </c>
      <c r="E22" s="25">
        <v>75379</v>
      </c>
      <c r="F22" s="20">
        <f t="shared" si="0"/>
        <v>0.08304469</v>
      </c>
      <c r="G22" s="22">
        <f t="shared" si="8"/>
        <v>242030</v>
      </c>
      <c r="H22" s="22">
        <f t="shared" si="1"/>
        <v>101685</v>
      </c>
      <c r="I22" s="22">
        <f t="shared" si="2"/>
        <v>25421</v>
      </c>
      <c r="J22" s="22">
        <f t="shared" si="3"/>
        <v>108452</v>
      </c>
      <c r="K22" s="25">
        <f t="shared" si="4"/>
        <v>426746</v>
      </c>
      <c r="L22" s="23">
        <f t="shared" si="5"/>
        <v>0.241569</v>
      </c>
      <c r="M22" s="20">
        <f t="shared" si="6"/>
        <v>0.13906196</v>
      </c>
      <c r="N22" s="26">
        <f t="shared" si="7"/>
        <v>83031</v>
      </c>
      <c r="O22" s="24"/>
      <c r="P22" s="24"/>
    </row>
    <row r="23" spans="1:16" ht="12.75">
      <c r="A23" s="7">
        <v>9</v>
      </c>
      <c r="B23" t="s">
        <v>49</v>
      </c>
      <c r="C23" s="25">
        <v>42899388</v>
      </c>
      <c r="D23" s="25">
        <v>19862321</v>
      </c>
      <c r="E23" s="25">
        <f>+-615107</f>
        <v>-615107</v>
      </c>
      <c r="F23" s="20">
        <f t="shared" si="0"/>
        <v>-0.01433836</v>
      </c>
      <c r="G23" s="22">
        <f t="shared" si="8"/>
        <v>21878521</v>
      </c>
      <c r="H23" s="22">
        <f t="shared" si="1"/>
        <v>-2016200</v>
      </c>
      <c r="I23" s="22">
        <f t="shared" si="2"/>
        <v>-504050</v>
      </c>
      <c r="J23" s="22">
        <f t="shared" si="3"/>
        <v>5125683</v>
      </c>
      <c r="K23" s="25">
        <f t="shared" si="4"/>
        <v>25492054</v>
      </c>
      <c r="L23" s="23">
        <f t="shared" si="5"/>
        <v>0.283438</v>
      </c>
      <c r="M23" s="20">
        <f t="shared" si="6"/>
        <v>0.06602478</v>
      </c>
      <c r="N23" s="26">
        <f t="shared" si="7"/>
        <v>5629733</v>
      </c>
      <c r="O23" s="24"/>
      <c r="P23" s="24"/>
    </row>
    <row r="24" spans="1:16" ht="12.75">
      <c r="A24" s="7">
        <v>10</v>
      </c>
      <c r="B24" t="s">
        <v>50</v>
      </c>
      <c r="C24" s="25">
        <v>1967407</v>
      </c>
      <c r="D24" s="25">
        <v>782491</v>
      </c>
      <c r="E24" s="25">
        <v>164685</v>
      </c>
      <c r="F24" s="20">
        <f t="shared" si="0"/>
        <v>0.08370663</v>
      </c>
      <c r="G24" s="22">
        <f t="shared" si="8"/>
        <v>559964</v>
      </c>
      <c r="H24" s="22">
        <f t="shared" si="1"/>
        <v>222527</v>
      </c>
      <c r="I24" s="22">
        <f t="shared" si="2"/>
        <v>55632</v>
      </c>
      <c r="J24" s="22">
        <f t="shared" si="3"/>
        <v>235069</v>
      </c>
      <c r="K24" s="25">
        <f t="shared" si="4"/>
        <v>961928</v>
      </c>
      <c r="L24" s="23">
        <f t="shared" si="5"/>
        <v>0.229315</v>
      </c>
      <c r="M24" s="20">
        <f t="shared" si="6"/>
        <v>0.13955853</v>
      </c>
      <c r="N24" s="26">
        <f t="shared" si="7"/>
        <v>179437</v>
      </c>
      <c r="O24" s="24"/>
      <c r="P24" s="24"/>
    </row>
    <row r="25" spans="1:16" ht="12.75">
      <c r="A25" s="7">
        <v>11</v>
      </c>
      <c r="B25" t="s">
        <v>51</v>
      </c>
      <c r="C25" s="25">
        <v>3998327</v>
      </c>
      <c r="D25" s="25">
        <v>1764802</v>
      </c>
      <c r="E25" s="25">
        <v>6349</v>
      </c>
      <c r="F25" s="20">
        <f t="shared" si="0"/>
        <v>0.00158791</v>
      </c>
      <c r="G25" s="22">
        <f t="shared" si="8"/>
        <v>1848731</v>
      </c>
      <c r="H25" s="22">
        <f t="shared" si="1"/>
        <v>-83929</v>
      </c>
      <c r="I25" s="22">
        <f t="shared" si="2"/>
        <v>-20982</v>
      </c>
      <c r="J25" s="22">
        <f t="shared" si="3"/>
        <v>477726</v>
      </c>
      <c r="K25" s="25">
        <f t="shared" si="4"/>
        <v>2263510</v>
      </c>
      <c r="L25" s="23">
        <f t="shared" si="5"/>
        <v>0.282586</v>
      </c>
      <c r="M25" s="20">
        <f t="shared" si="6"/>
        <v>0.07796942</v>
      </c>
      <c r="N25" s="26">
        <f t="shared" si="7"/>
        <v>498708</v>
      </c>
      <c r="O25" s="24"/>
      <c r="P25" s="24"/>
    </row>
    <row r="26" spans="1:16" ht="12.75" hidden="1">
      <c r="A26" s="7">
        <v>12</v>
      </c>
      <c r="B26" t="s">
        <v>52</v>
      </c>
      <c r="C26" s="25">
        <v>0</v>
      </c>
      <c r="D26" s="25">
        <v>0</v>
      </c>
      <c r="E26" s="25">
        <v>0</v>
      </c>
      <c r="F26" s="20">
        <f>IF(C26=0,0,ROUND(E26/C26,8))</f>
        <v>0</v>
      </c>
      <c r="G26" s="22">
        <f t="shared" si="8"/>
        <v>0</v>
      </c>
      <c r="H26" s="22">
        <f t="shared" si="1"/>
        <v>0</v>
      </c>
      <c r="I26" s="22">
        <f t="shared" si="2"/>
        <v>0</v>
      </c>
      <c r="J26" s="22">
        <f t="shared" si="3"/>
        <v>0</v>
      </c>
      <c r="K26" s="25">
        <f t="shared" si="4"/>
        <v>0</v>
      </c>
      <c r="L26" s="23" t="e">
        <f t="shared" si="5"/>
        <v>#DIV/0!</v>
      </c>
      <c r="M26" s="20" t="e">
        <f t="shared" si="6"/>
        <v>#DIV/0!</v>
      </c>
      <c r="N26" s="26">
        <f t="shared" si="7"/>
        <v>0</v>
      </c>
      <c r="O26" s="24"/>
      <c r="P26" s="24"/>
    </row>
    <row r="27" spans="1:16" ht="12.75">
      <c r="A27" s="7">
        <v>12</v>
      </c>
      <c r="B27" t="s">
        <v>53</v>
      </c>
      <c r="C27" s="25">
        <v>12710431</v>
      </c>
      <c r="D27" s="25">
        <v>8534952</v>
      </c>
      <c r="E27" s="25">
        <v>451451</v>
      </c>
      <c r="F27" s="20">
        <f t="shared" si="0"/>
        <v>0.03551815</v>
      </c>
      <c r="G27" s="22">
        <f t="shared" si="8"/>
        <v>8097508</v>
      </c>
      <c r="H27" s="22">
        <f t="shared" si="1"/>
        <v>437444</v>
      </c>
      <c r="I27" s="22">
        <f t="shared" si="2"/>
        <v>109361</v>
      </c>
      <c r="J27" s="22">
        <f t="shared" si="3"/>
        <v>1518661</v>
      </c>
      <c r="K27" s="25">
        <f t="shared" si="4"/>
        <v>9944252</v>
      </c>
      <c r="L27" s="23">
        <f t="shared" si="5"/>
        <v>0.165121</v>
      </c>
      <c r="M27" s="20">
        <f t="shared" si="6"/>
        <v>0.10341715</v>
      </c>
      <c r="N27" s="26">
        <f t="shared" si="7"/>
        <v>1409300</v>
      </c>
      <c r="O27" s="24"/>
      <c r="P27" s="24"/>
    </row>
    <row r="28" spans="1:16" ht="12.75">
      <c r="A28" s="7">
        <v>13</v>
      </c>
      <c r="B28" t="s">
        <v>54</v>
      </c>
      <c r="C28" s="25">
        <v>799385</v>
      </c>
      <c r="D28" s="25">
        <v>404272</v>
      </c>
      <c r="E28" s="25">
        <v>95134</v>
      </c>
      <c r="F28" s="20">
        <f t="shared" si="0"/>
        <v>0.11900899</v>
      </c>
      <c r="G28" s="22">
        <f t="shared" si="8"/>
        <v>267773</v>
      </c>
      <c r="H28" s="22">
        <f t="shared" si="1"/>
        <v>136499</v>
      </c>
      <c r="I28" s="22">
        <f t="shared" si="2"/>
        <v>34125</v>
      </c>
      <c r="J28" s="22">
        <f t="shared" si="3"/>
        <v>95512</v>
      </c>
      <c r="K28" s="25">
        <f t="shared" si="4"/>
        <v>465659</v>
      </c>
      <c r="L28" s="23">
        <f t="shared" si="5"/>
        <v>0.151846</v>
      </c>
      <c r="M28" s="20">
        <f t="shared" si="6"/>
        <v>0.16603527</v>
      </c>
      <c r="N28" s="26">
        <f t="shared" si="7"/>
        <v>61387</v>
      </c>
      <c r="O28" s="24"/>
      <c r="P28" s="24"/>
    </row>
    <row r="29" spans="1:16" ht="12.75">
      <c r="A29" s="7">
        <v>14</v>
      </c>
      <c r="B29" t="s">
        <v>55</v>
      </c>
      <c r="C29" s="25">
        <v>4948623</v>
      </c>
      <c r="D29" s="25">
        <v>2194212</v>
      </c>
      <c r="E29" s="25">
        <v>557207</v>
      </c>
      <c r="F29" s="20">
        <f t="shared" si="0"/>
        <v>0.11259839</v>
      </c>
      <c r="G29" s="22">
        <f t="shared" si="8"/>
        <v>1401015</v>
      </c>
      <c r="H29" s="22">
        <f t="shared" si="1"/>
        <v>793197</v>
      </c>
      <c r="I29" s="22">
        <f t="shared" si="2"/>
        <v>198299</v>
      </c>
      <c r="J29" s="22">
        <f t="shared" si="3"/>
        <v>591269</v>
      </c>
      <c r="K29" s="25">
        <f t="shared" si="4"/>
        <v>2587182</v>
      </c>
      <c r="L29" s="23">
        <f t="shared" si="5"/>
        <v>0.179094</v>
      </c>
      <c r="M29" s="20">
        <f t="shared" si="6"/>
        <v>0.16122738</v>
      </c>
      <c r="N29" s="26">
        <f t="shared" si="7"/>
        <v>392970</v>
      </c>
      <c r="O29" s="24"/>
      <c r="P29" s="24"/>
    </row>
    <row r="30" spans="1:16" ht="12.75" hidden="1">
      <c r="A30" s="7"/>
      <c r="B30" t="s">
        <v>56</v>
      </c>
      <c r="C30" s="25">
        <v>0</v>
      </c>
      <c r="D30" s="25">
        <v>0</v>
      </c>
      <c r="E30" s="25">
        <v>0</v>
      </c>
      <c r="F30" s="20" t="e">
        <f t="shared" si="0"/>
        <v>#DIV/0!</v>
      </c>
      <c r="G30" s="22">
        <f t="shared" si="8"/>
        <v>0</v>
      </c>
      <c r="H30" s="22">
        <f t="shared" si="1"/>
        <v>0</v>
      </c>
      <c r="I30" s="22">
        <f t="shared" si="2"/>
        <v>0</v>
      </c>
      <c r="J30" s="22">
        <f t="shared" si="3"/>
        <v>0</v>
      </c>
      <c r="K30" s="25">
        <f t="shared" si="4"/>
        <v>0</v>
      </c>
      <c r="L30" s="23" t="e">
        <f t="shared" si="5"/>
        <v>#DIV/0!</v>
      </c>
      <c r="M30" s="20" t="e">
        <f t="shared" si="6"/>
        <v>#DIV/0!</v>
      </c>
      <c r="N30" s="26">
        <f t="shared" si="7"/>
        <v>0</v>
      </c>
      <c r="O30" s="24"/>
      <c r="P30" s="24"/>
    </row>
    <row r="31" spans="1:16" ht="12.75">
      <c r="A31" s="7">
        <v>15</v>
      </c>
      <c r="B31" t="s">
        <v>57</v>
      </c>
      <c r="C31" s="25">
        <v>46295</v>
      </c>
      <c r="D31" s="25">
        <v>12408</v>
      </c>
      <c r="E31" s="25">
        <v>-3522</v>
      </c>
      <c r="F31" s="20">
        <f t="shared" si="0"/>
        <v>-0.07607733</v>
      </c>
      <c r="G31" s="22">
        <f t="shared" si="8"/>
        <v>19251</v>
      </c>
      <c r="H31" s="22">
        <f t="shared" si="1"/>
        <v>-6843</v>
      </c>
      <c r="I31" s="22">
        <f t="shared" si="2"/>
        <v>-1711</v>
      </c>
      <c r="J31" s="22">
        <f t="shared" si="3"/>
        <v>5531</v>
      </c>
      <c r="K31" s="25">
        <f t="shared" si="4"/>
        <v>19650</v>
      </c>
      <c r="L31" s="23">
        <f t="shared" si="5"/>
        <v>0.583656</v>
      </c>
      <c r="M31" s="20">
        <f t="shared" si="6"/>
        <v>0.01971807</v>
      </c>
      <c r="N31" s="26">
        <f t="shared" si="7"/>
        <v>7242</v>
      </c>
      <c r="O31" s="24"/>
      <c r="P31" s="24"/>
    </row>
    <row r="32" spans="1:16" ht="13.5" thickBot="1">
      <c r="A32" s="7">
        <v>16</v>
      </c>
      <c r="B32" t="s">
        <v>58</v>
      </c>
      <c r="C32" s="27">
        <f>SUM(C15:C31)</f>
        <v>557080702</v>
      </c>
      <c r="D32" s="27">
        <f>SUM(D15:D31)</f>
        <v>237897726</v>
      </c>
      <c r="E32" s="27">
        <f>SUM(E15:E31)</f>
        <v>8045600</v>
      </c>
      <c r="F32" s="28">
        <f t="shared" si="0"/>
        <v>0.01444243</v>
      </c>
      <c r="G32" s="29">
        <v>237897726</v>
      </c>
      <c r="H32" s="30">
        <f>SUM(H15:H31)</f>
        <v>0</v>
      </c>
      <c r="I32" s="30">
        <f>SUM(I15:I31)</f>
        <v>0</v>
      </c>
      <c r="J32" s="29">
        <v>66560840</v>
      </c>
      <c r="K32" s="29">
        <f>SUM(K15:K31)</f>
        <v>304458566</v>
      </c>
      <c r="L32" s="31">
        <f>IF(D32=0,"-",ROUND((J32-I32)/D32,4))</f>
        <v>0.2798</v>
      </c>
      <c r="M32" s="28">
        <f t="shared" si="6"/>
        <v>0.08761038</v>
      </c>
      <c r="N32" s="27">
        <f>SUM(N15:N31)</f>
        <v>66560840</v>
      </c>
      <c r="O32" s="24"/>
      <c r="P32" s="24"/>
    </row>
    <row r="33" spans="3:10" ht="13.5" thickTop="1">
      <c r="C33" s="25" t="s">
        <v>59</v>
      </c>
      <c r="D33" s="25"/>
      <c r="E33" s="25"/>
      <c r="G33" s="26"/>
      <c r="J33" s="26"/>
    </row>
    <row r="34" spans="3:5" ht="12.75">
      <c r="C34" s="25"/>
      <c r="D34" s="25"/>
      <c r="E34" s="25"/>
    </row>
    <row r="35" spans="2:3" ht="12.75">
      <c r="B35" t="s">
        <v>60</v>
      </c>
      <c r="C35" s="32">
        <v>0.6123789</v>
      </c>
    </row>
    <row r="36" spans="2:3" ht="12.75">
      <c r="B36" t="s">
        <v>61</v>
      </c>
      <c r="C36" s="20">
        <v>0.01444243</v>
      </c>
    </row>
    <row r="37" ht="12.75">
      <c r="B37" s="33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t61190</dc:creator>
  <cp:keywords/>
  <dc:description/>
  <cp:lastModifiedBy>t61190</cp:lastModifiedBy>
  <dcterms:created xsi:type="dcterms:W3CDTF">2006-07-17T17:14:39Z</dcterms:created>
  <dcterms:modified xsi:type="dcterms:W3CDTF">2006-07-17T17:17:38Z</dcterms:modified>
  <cp:category/>
  <cp:version/>
  <cp:contentType/>
  <cp:contentStatus/>
</cp:coreProperties>
</file>