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446" windowWidth="12120" windowHeight="6060" tabRatio="599" activeTab="15"/>
  </bookViews>
  <sheets>
    <sheet name="Sheet2" sheetId="1" r:id="rId1"/>
    <sheet name="RateDesign" sheetId="2" r:id="rId2"/>
    <sheet name="StmtOper-O" sheetId="3" r:id="rId3"/>
    <sheet name="StmtOper-Unbund" sheetId="4" r:id="rId4"/>
    <sheet name="Cover" sheetId="5" r:id="rId5"/>
    <sheet name="RevReq-Rate Class" sheetId="6" r:id="rId6"/>
    <sheet name="RateBase-Rate Class" sheetId="7" r:id="rId7"/>
    <sheet name="Rate Base" sheetId="8" r:id="rId8"/>
    <sheet name="Costs&amp;Margins" sheetId="9" r:id="rId9"/>
    <sheet name="Sheet1" sheetId="10" r:id="rId10"/>
    <sheet name="Conductor" sheetId="11" r:id="rId11"/>
    <sheet name="Trans" sheetId="12" r:id="rId12"/>
    <sheet name="Sheet3" sheetId="13" r:id="rId13"/>
    <sheet name="Classification" sheetId="14" r:id="rId14"/>
    <sheet name=" Energy &amp; Demand Allocations" sheetId="15" r:id="rId15"/>
    <sheet name="Consumer Allocations" sheetId="16" r:id="rId16"/>
    <sheet name="Notes 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4">' Energy &amp; Demand Allocations'!$A$1:$T$95</definedName>
    <definedName name="_xlnm.Print_Area" localSheetId="13">'Classification'!$A$1:$H$231</definedName>
    <definedName name="_xlnm.Print_Area" localSheetId="15">'Consumer Allocations'!$A$1:$I$185</definedName>
    <definedName name="_xlnm.Print_Area" localSheetId="8">'Costs&amp;Margins'!$A$1:$U$117</definedName>
    <definedName name="_xlnm.Print_Area" localSheetId="7">'Rate Base'!$A$1:$O$53</definedName>
    <definedName name="_xlnm.Print_Area" localSheetId="6">'RateBase-Rate Class'!$A$1:$AG$35</definedName>
    <definedName name="_xlnm.Print_Area" localSheetId="5">'RevReq-Rate Class'!$A$1:$AV$131</definedName>
    <definedName name="_xlnm.Print_Area" localSheetId="2">'StmtOper-O'!$A$1:$U$44</definedName>
    <definedName name="_xlnm.Print_Area" localSheetId="3">'StmtOper-Unbund'!$A$1:$U$39</definedName>
    <definedName name="_xlnm.Print_Titles" localSheetId="8">'Costs&amp;Margins'!$A:$C,'Costs&amp;Margins'!$1:$4</definedName>
    <definedName name="_xlnm.Print_Titles" localSheetId="7">'Rate Base'!$A:$B</definedName>
    <definedName name="_xlnm.Print_Titles" localSheetId="6">'RateBase-Rate Class'!$A:$B</definedName>
    <definedName name="_xlnm.Print_Titles" localSheetId="5">'RevReq-Rate Class'!$B:$B,'RevReq-Rate Class'!$2:$4</definedName>
    <definedName name="_xlnm.Print_Titles" localSheetId="2">'StmtOper-O'!$A:$A</definedName>
    <definedName name="_xlnm.Print_Titles" localSheetId="3">'StmtOper-Unbund'!$A:$C</definedName>
  </definedNames>
  <calcPr fullCalcOnLoad="1"/>
</workbook>
</file>

<file path=xl/sharedStrings.xml><?xml version="1.0" encoding="utf-8"?>
<sst xmlns="http://schemas.openxmlformats.org/spreadsheetml/2006/main" count="1770" uniqueCount="593">
  <si>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</si>
  <si>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</si>
  <si>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</si>
  <si>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</si>
  <si>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</si>
  <si>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</si>
  <si>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</si>
  <si>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</si>
  <si>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</si>
  <si>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</si>
  <si>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</si>
  <si>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</si>
  <si>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</si>
  <si>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</si>
  <si>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</si>
  <si>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</si>
  <si>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</si>
  <si>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</si>
  <si>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</si>
  <si>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</si>
  <si>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</si>
  <si>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</si>
  <si>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</si>
  <si>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</si>
  <si>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</si>
  <si>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</si>
  <si>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Customer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</si>
  <si>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</si>
  <si>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</si>
  <si>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</si>
  <si>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</si>
  <si>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</si>
  <si>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</si>
  <si>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</si>
  <si>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</si>
  <si>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</si>
  <si>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</si>
  <si>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</si>
  <si>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</si>
  <si>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</si>
  <si>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</si>
  <si>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</si>
  <si>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Distribution</t>
  </si>
  <si>
    <t>Power Supply</t>
  </si>
  <si>
    <t>Generation</t>
  </si>
  <si>
    <t>Trans-</t>
  </si>
  <si>
    <t>mission</t>
  </si>
  <si>
    <t>Energy</t>
  </si>
  <si>
    <t>Office Supplies</t>
  </si>
  <si>
    <t>Outside Services</t>
  </si>
  <si>
    <t>Property Ins</t>
  </si>
  <si>
    <t>Injuries &amp; Damages</t>
  </si>
  <si>
    <t>Employ Pensions &amp; Benef</t>
  </si>
  <si>
    <t>Regulatory Exp</t>
  </si>
  <si>
    <t xml:space="preserve">Duplicate Charges </t>
  </si>
  <si>
    <t>Misc General Exp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</si>
  <si>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</si>
  <si>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</si>
  <si>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</si>
  <si>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</si>
  <si>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</si>
  <si>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</si>
  <si>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</si>
  <si>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Interest - RUS Constuc</t>
  </si>
  <si>
    <t>Interest - Other LTD</t>
  </si>
  <si>
    <t>Interest - FFB Notes</t>
  </si>
  <si>
    <t>Total Interest on LTD</t>
  </si>
  <si>
    <t>Other Interest Expense</t>
  </si>
  <si>
    <t>Other Interest - STL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</si>
  <si>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</si>
  <si>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</si>
  <si>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</si>
  <si>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</si>
  <si>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</si>
  <si>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</si>
  <si>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</si>
  <si>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</si>
  <si>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</si>
  <si>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DA</t>
  </si>
  <si>
    <t>Dist Oper</t>
  </si>
  <si>
    <t>DA/Min Syst</t>
  </si>
  <si>
    <t xml:space="preserve">DA </t>
  </si>
  <si>
    <t>Deprec. Distribution Plant</t>
  </si>
  <si>
    <t>Deprec. General Plant</t>
  </si>
  <si>
    <t>Dist Plant</t>
  </si>
  <si>
    <t>Rate Base</t>
  </si>
  <si>
    <t>Substa-</t>
  </si>
  <si>
    <t>tion</t>
  </si>
  <si>
    <t>Pole</t>
  </si>
  <si>
    <t>Size</t>
  </si>
  <si>
    <t>Investment</t>
  </si>
  <si>
    <t>Unit Cost</t>
  </si>
  <si>
    <t>Number</t>
  </si>
  <si>
    <t>of Units</t>
  </si>
  <si>
    <t>R Square</t>
  </si>
  <si>
    <t>Total Investment</t>
  </si>
  <si>
    <t>X Variable - (Size)</t>
  </si>
  <si>
    <t>Zero Intercept</t>
  </si>
  <si>
    <t>Value</t>
  </si>
  <si>
    <t>x Coefficient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</si>
  <si>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</si>
  <si>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</si>
  <si>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</si>
  <si>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</si>
  <si>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</si>
  <si>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Subtotal</t>
  </si>
  <si>
    <t>Anchors &amp; Guys</t>
  </si>
  <si>
    <t>Number of poles</t>
  </si>
  <si>
    <t>Consumer Related Investment</t>
  </si>
  <si>
    <t xml:space="preserve">Total Investment </t>
  </si>
  <si>
    <t>Percent Customer Related</t>
  </si>
  <si>
    <t>Percent Demand Related</t>
  </si>
  <si>
    <t>75KVA</t>
  </si>
  <si>
    <t>100KVA</t>
  </si>
  <si>
    <t>Total</t>
  </si>
  <si>
    <t>Number of Transformers</t>
  </si>
  <si>
    <t>Demand Related Investment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</si>
  <si>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</si>
  <si>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</si>
  <si>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</si>
  <si>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</si>
  <si>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</si>
  <si>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</si>
  <si>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</si>
  <si>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</si>
  <si>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</si>
  <si>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</si>
  <si>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</si>
  <si>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</si>
  <si>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</si>
  <si>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</si>
  <si>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</si>
  <si>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</si>
  <si>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</si>
  <si>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</si>
  <si>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</si>
  <si>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</si>
  <si>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</si>
  <si>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</si>
  <si>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</si>
  <si>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</si>
  <si>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</si>
  <si>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</si>
  <si>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</si>
  <si>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</si>
  <si>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</si>
  <si>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</si>
  <si>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</si>
  <si>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</si>
  <si>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Distribution Operations</t>
  </si>
  <si>
    <t>Distribution Maintenance</t>
  </si>
  <si>
    <t>Administrative &amp; General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</si>
  <si>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</si>
  <si>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</si>
  <si>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</si>
  <si>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</si>
  <si>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</si>
  <si>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</si>
  <si>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Wages &amp; Salaries</t>
  </si>
  <si>
    <t>Percentage</t>
  </si>
  <si>
    <t>7.5KVA CSP</t>
  </si>
  <si>
    <t>10KVA CSP</t>
  </si>
  <si>
    <t>15KVA CSP</t>
  </si>
  <si>
    <t>All Other Equipment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</si>
  <si>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</si>
  <si>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</si>
  <si>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</si>
  <si>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</si>
  <si>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</si>
  <si>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</si>
  <si>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</si>
  <si>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</si>
  <si>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Other</t>
  </si>
  <si>
    <t>Investment in Conduit</t>
  </si>
  <si>
    <t>Demand Related</t>
  </si>
  <si>
    <t>Consumer Accounts</t>
  </si>
  <si>
    <t>Sales</t>
  </si>
  <si>
    <t>Station Expense</t>
  </si>
  <si>
    <t>DA/MinSys</t>
  </si>
  <si>
    <t>Underground Line Exp</t>
  </si>
  <si>
    <t>Maint of Station Equip</t>
  </si>
  <si>
    <t>Maint of Underground Lines</t>
  </si>
  <si>
    <t>Maint of St Lg &amp; Signal Sys</t>
  </si>
  <si>
    <t>907-910</t>
  </si>
  <si>
    <t>Customer Sales &amp; Info</t>
  </si>
  <si>
    <t>Demonstration &amp; Selling</t>
  </si>
  <si>
    <t>Miscell. Income Deductions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</si>
  <si>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</si>
  <si>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</si>
  <si>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</si>
  <si>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</si>
  <si>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</si>
  <si>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</si>
  <si>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</si>
  <si>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</si>
  <si>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</si>
  <si>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Street Ltg</t>
  </si>
  <si>
    <t>Generation Energy</t>
  </si>
  <si>
    <t>Transmission Demand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</si>
  <si>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</si>
  <si>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</si>
  <si>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</si>
  <si>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</si>
  <si>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</si>
  <si>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</si>
  <si>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</si>
  <si>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</si>
  <si>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</si>
  <si>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</si>
  <si>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</si>
  <si>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</si>
  <si>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</si>
  <si>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</si>
  <si>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Street Lighting O&amp;M</t>
  </si>
  <si>
    <t>Outdoor Lighting A&amp;G</t>
  </si>
  <si>
    <t>Street Lighting A&amp;G</t>
  </si>
  <si>
    <t>Street Lighting Deprec &amp; Misc</t>
  </si>
  <si>
    <t>Outdoor Lighting Deprec &amp; Misc</t>
  </si>
  <si>
    <t>Street Lighting  Interest</t>
  </si>
  <si>
    <t>Outdoor Lighting Interest</t>
  </si>
  <si>
    <t>Outdoor Lighting Margins</t>
  </si>
  <si>
    <t>Street Lighting  Margins</t>
  </si>
  <si>
    <t>Outdoor Lighting Revenue Credit</t>
  </si>
  <si>
    <t>Customer Accounts</t>
  </si>
  <si>
    <t>Customer Service</t>
  </si>
  <si>
    <t>Admin &amp; General</t>
  </si>
  <si>
    <t>Depreciation &amp; Misc</t>
  </si>
  <si>
    <t>Interest</t>
  </si>
  <si>
    <t>Revenue Credits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</si>
  <si>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</si>
  <si>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</si>
  <si>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</si>
  <si>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</si>
  <si>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</si>
  <si>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</si>
  <si>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</si>
  <si>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</si>
  <si>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</si>
  <si>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</si>
  <si>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</si>
  <si>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</si>
  <si>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</si>
  <si>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</si>
  <si>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</si>
  <si>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</si>
  <si>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</si>
  <si>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</si>
  <si>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</si>
  <si>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</si>
  <si>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</si>
  <si>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</si>
  <si>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</si>
  <si>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</si>
  <si>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</si>
  <si>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</si>
  <si>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Transmission</t>
  </si>
  <si>
    <t>Purchased Power Costs</t>
  </si>
  <si>
    <t>Total Operations</t>
  </si>
  <si>
    <t>Classification</t>
  </si>
  <si>
    <t xml:space="preserve">Function </t>
  </si>
  <si>
    <t>Distribution Balances</t>
  </si>
  <si>
    <t>w/o Admin&amp;Gen</t>
  </si>
  <si>
    <t>B.  Wholesale Billing CP Contributions</t>
  </si>
  <si>
    <t>C.  Monthly Peak Demands for Each Rate Class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</si>
  <si>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</si>
  <si>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</si>
  <si>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</si>
  <si>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</si>
  <si>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</si>
  <si>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</si>
  <si>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</si>
  <si>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</si>
  <si>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</si>
  <si>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1/0 ACSR</t>
  </si>
  <si>
    <t>3/0 ACSR</t>
  </si>
  <si>
    <t>2 ACSR</t>
  </si>
  <si>
    <t>4 ACSR</t>
  </si>
  <si>
    <t>TOTAL</t>
  </si>
  <si>
    <t>Plus</t>
  </si>
  <si>
    <t xml:space="preserve">Minus:  Consumer Advances </t>
  </si>
  <si>
    <t>Acct</t>
  </si>
  <si>
    <t>No.</t>
  </si>
  <si>
    <t>Adjusted</t>
  </si>
  <si>
    <t>Pro Forma</t>
  </si>
  <si>
    <t>MARGINS PROVIDED</t>
  </si>
  <si>
    <t xml:space="preserve">     RATE REVENUE</t>
  </si>
  <si>
    <t>Service</t>
  </si>
  <si>
    <t>OATT</t>
  </si>
  <si>
    <t>Dist Maint,</t>
  </si>
  <si>
    <t>SUMMARY OUTPUT</t>
  </si>
  <si>
    <t>Regression Statistics</t>
  </si>
  <si>
    <t>Multiple R</t>
  </si>
  <si>
    <t>Adjusted R Square</t>
  </si>
  <si>
    <t>Standard Error</t>
  </si>
  <si>
    <t>Observations</t>
  </si>
  <si>
    <t>Intercept</t>
  </si>
  <si>
    <t>Coefficients</t>
  </si>
  <si>
    <t>X Variable 1</t>
  </si>
  <si>
    <t>Minimum Intercept 25 ft pole</t>
  </si>
  <si>
    <t>500 KVA</t>
  </si>
  <si>
    <t>4/0 ACSR</t>
  </si>
  <si>
    <t>Cutouts</t>
  </si>
  <si>
    <t>Advertising</t>
  </si>
  <si>
    <t>Other Electric Property</t>
  </si>
  <si>
    <t>Misc. General Plant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</si>
  <si>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</si>
  <si>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</si>
  <si>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</si>
  <si>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</si>
  <si>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</si>
  <si>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</si>
  <si>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</si>
  <si>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</si>
  <si>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</si>
  <si>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Use Predicted Value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</si>
  <si>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</si>
  <si>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</si>
  <si>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</si>
  <si>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</si>
  <si>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</si>
  <si>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</si>
  <si>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</si>
  <si>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</si>
  <si>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</si>
  <si>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</si>
  <si>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</si>
  <si>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</si>
  <si>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</si>
  <si>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</si>
  <si>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Other Revenue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</si>
  <si>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</si>
  <si>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</si>
  <si>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</si>
  <si>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</si>
  <si>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</si>
  <si>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</si>
  <si>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</si>
  <si>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</si>
  <si>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</si>
  <si>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</si>
  <si>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</si>
  <si>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</si>
  <si>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</si>
  <si>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Street Lighting Revenue Credit</t>
  </si>
  <si>
    <t>Minimum Size Investment -Consumer Related</t>
  </si>
  <si>
    <t>Breakdown of Lines into Demand Related and Consumer Related Components</t>
  </si>
  <si>
    <t>Cross arms</t>
  </si>
  <si>
    <t>D.  Sum of Consumers Individual Monthly Peak Demands</t>
  </si>
  <si>
    <t>Minim</t>
  </si>
  <si>
    <t>Combined</t>
  </si>
  <si>
    <t>UNBUNDLED COST OF SERVICE STUDY</t>
  </si>
  <si>
    <t>Schls &amp; Chur</t>
  </si>
  <si>
    <t>ETS</t>
  </si>
  <si>
    <t>Commercial</t>
  </si>
  <si>
    <t>No Demand</t>
  </si>
  <si>
    <t>25 KVA CSP</t>
  </si>
  <si>
    <t>4 HD CU</t>
  </si>
  <si>
    <t>Taxes Other Than Income Taxes</t>
  </si>
  <si>
    <t xml:space="preserve"> Total Consumer Accounts</t>
  </si>
  <si>
    <t>Marketing ETS</t>
  </si>
  <si>
    <t>Commercial (kWh)</t>
  </si>
  <si>
    <t>Commercial s/Demand</t>
  </si>
  <si>
    <t>3 Phase Schls &amp; Churches</t>
  </si>
  <si>
    <t>Large Industrial</t>
  </si>
  <si>
    <t>Large Power- Indust</t>
  </si>
  <si>
    <t>J. Adkins</t>
  </si>
  <si>
    <t>CUMBERLAND VALLEY ELECTRIC, INC</t>
  </si>
  <si>
    <t>CASE NO. 2005-00187</t>
  </si>
  <si>
    <t>DETERMINATION OF AMOUNT OF INCREASE</t>
  </si>
  <si>
    <t>Target Ratio and Amount:</t>
  </si>
  <si>
    <t>TIER of 2.0x</t>
  </si>
  <si>
    <t>Annual loss from Adjusted Statement of Operations:</t>
  </si>
  <si>
    <t>Amount of Interest on Long Term Debt:</t>
  </si>
  <si>
    <t>Total Amount of Increase;</t>
  </si>
  <si>
    <t>RATE DESIGN</t>
  </si>
  <si>
    <t>Amount of Increase Allocated to Schedule VI - Outdoor and Security Lights</t>
  </si>
  <si>
    <t>a.</t>
  </si>
  <si>
    <t>Amount of Loss for Rate Class</t>
  </si>
  <si>
    <t>b.</t>
  </si>
  <si>
    <t>Amount of Interest on Long Term Debt</t>
  </si>
  <si>
    <t>c.</t>
  </si>
  <si>
    <t>Increase Amount for Rate Class</t>
  </si>
  <si>
    <t>d.</t>
  </si>
  <si>
    <t>Normalized Revenue for Rate Class</t>
  </si>
  <si>
    <t>e.</t>
  </si>
  <si>
    <t>Percentage Increase for Rate Class</t>
  </si>
  <si>
    <t>f.</t>
  </si>
  <si>
    <t>Rate Design</t>
  </si>
  <si>
    <t>175 Watt</t>
  </si>
  <si>
    <t>400 Watt</t>
  </si>
  <si>
    <t>Lamp</t>
  </si>
  <si>
    <t>Current Rates</t>
  </si>
  <si>
    <t>Increase Amount</t>
  </si>
  <si>
    <t>Proposed Lighting Rates</t>
  </si>
  <si>
    <t>Amount of Increase for Schedule I - Residential, Schools and Churches &amp; Marketing</t>
  </si>
  <si>
    <t>Total Increase in Revenue</t>
  </si>
  <si>
    <t>Less Increase for Schedule VI</t>
  </si>
  <si>
    <t>Amount of Increase for Rate Class</t>
  </si>
  <si>
    <t>Divided by the Energy Sales for Rate Class</t>
  </si>
  <si>
    <t>Increase in Energy Rate for Rate Class</t>
  </si>
  <si>
    <t>Current Energy Rate for Rate Class</t>
  </si>
  <si>
    <t>Proposed Energy Rate for Schedule I</t>
  </si>
  <si>
    <t>OTHER RATE CHANGES</t>
  </si>
  <si>
    <t>SCHEDULE VI - SECURITY LIGHTS</t>
  </si>
  <si>
    <t>Current</t>
  </si>
  <si>
    <t xml:space="preserve">Proposed </t>
  </si>
  <si>
    <t>Mercury Vapor Lights</t>
  </si>
  <si>
    <t>400 Watt Lamp</t>
  </si>
  <si>
    <t>Sodium Vapor Lights</t>
  </si>
  <si>
    <t>100 Watt Open Bottom</t>
  </si>
  <si>
    <t>100 Watt Colonial Post</t>
  </si>
  <si>
    <t>100 Watt Directional Flood</t>
  </si>
  <si>
    <t xml:space="preserve"> 400 Watt Directional Flood</t>
  </si>
  <si>
    <t>Percent w/no ETS</t>
  </si>
  <si>
    <t xml:space="preserve">Allocation is proportional on actual sales to  retail customers </t>
  </si>
  <si>
    <t>Schedule A</t>
  </si>
  <si>
    <t>Schedule B</t>
  </si>
  <si>
    <t>Schedule LP</t>
  </si>
  <si>
    <t>Schedule LP-1</t>
  </si>
  <si>
    <t>500-4999 kW</t>
  </si>
  <si>
    <t>Schedule LP-2</t>
  </si>
  <si>
    <t>Schedule LP-3</t>
  </si>
  <si>
    <t>Special Con-</t>
  </si>
  <si>
    <t>tract Casey</t>
  </si>
  <si>
    <t>Stone Co.</t>
  </si>
  <si>
    <t>Optional</t>
  </si>
  <si>
    <t>Schedule OPS</t>
  </si>
  <si>
    <t>Power Service</t>
  </si>
  <si>
    <t>Schedule AES</t>
  </si>
  <si>
    <t>All Electric</t>
  </si>
  <si>
    <t>Schools</t>
  </si>
  <si>
    <t>Schedule OL</t>
  </si>
  <si>
    <t>Schedule STL</t>
  </si>
  <si>
    <t>Street</t>
  </si>
  <si>
    <t>Schedule DSTL</t>
  </si>
  <si>
    <t>Decorative</t>
  </si>
  <si>
    <t>St. Lighting</t>
  </si>
  <si>
    <t xml:space="preserve">Subtotal </t>
  </si>
  <si>
    <t>for this page</t>
  </si>
  <si>
    <t xml:space="preserve">Total </t>
  </si>
  <si>
    <t>Schedule A - Residential</t>
  </si>
  <si>
    <t>Schedule A - Marketing ETS</t>
  </si>
  <si>
    <t xml:space="preserve">Schedule B - Small Commercial </t>
  </si>
  <si>
    <t>Schedule B- ETS</t>
  </si>
  <si>
    <t>Schedule LP - Large Power Rate</t>
  </si>
  <si>
    <t>Schedule LP-1 - Large Power (500-4999 kW)</t>
  </si>
  <si>
    <t>Schedule LP-2 - Large Power (5000-9999kW)</t>
  </si>
  <si>
    <t>Schedule LP-3 - Large Power (500-4999 kW)</t>
  </si>
  <si>
    <t>Special Contract</t>
  </si>
  <si>
    <t>Schedule OPS - Optional Power Service</t>
  </si>
  <si>
    <t>Schedule AES - All Electric Schools</t>
  </si>
  <si>
    <t>Schedule OL - Outdoor Lighting</t>
  </si>
  <si>
    <t>Schedule STL - Street Lighting</t>
  </si>
  <si>
    <t>Schedule DSTL - Decorative Street Lighting</t>
  </si>
  <si>
    <t xml:space="preserve"> Transformer</t>
  </si>
  <si>
    <t>1KVA Conv</t>
  </si>
  <si>
    <t>1.5KVA</t>
  </si>
  <si>
    <t>3KVA CSP</t>
  </si>
  <si>
    <t>3KVA Conv</t>
  </si>
  <si>
    <t>5 KVA CSP</t>
  </si>
  <si>
    <t>5KVA Conv</t>
  </si>
  <si>
    <t>10KVA SP</t>
  </si>
  <si>
    <t>15KVA SP</t>
  </si>
  <si>
    <t>25KVA</t>
  </si>
  <si>
    <t>37.5KVA</t>
  </si>
  <si>
    <t>25 KVA Pad</t>
  </si>
  <si>
    <t>50KVA</t>
  </si>
  <si>
    <t>50 KVA PAD</t>
  </si>
  <si>
    <t>75KVA PAD</t>
  </si>
  <si>
    <t>150KVA</t>
  </si>
  <si>
    <t>167KVA</t>
  </si>
  <si>
    <t>225KVA PAD</t>
  </si>
  <si>
    <t>250KVA</t>
  </si>
  <si>
    <t>300KVA</t>
  </si>
  <si>
    <t>333KVA</t>
  </si>
  <si>
    <t>500KVA</t>
  </si>
  <si>
    <t>750KVA</t>
  </si>
  <si>
    <t>1000KVA</t>
  </si>
  <si>
    <t>1500KVA PAD</t>
  </si>
  <si>
    <t>2000KVA PAD</t>
  </si>
  <si>
    <t>2500KVA PAD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</si>
  <si>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</si>
  <si>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</si>
  <si>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</si>
  <si>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</si>
  <si>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</si>
  <si>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</si>
  <si>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</si>
  <si>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</si>
  <si>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t Stat</t>
  </si>
  <si>
    <t>P-value</t>
  </si>
  <si>
    <t>Lower 95%</t>
  </si>
  <si>
    <t>Upper 95%</t>
  </si>
  <si>
    <t>Lower 95.0%</t>
  </si>
  <si>
    <t>Upper 95.0%</t>
  </si>
  <si>
    <t>Residential Farm &amp; Non-Farm Service</t>
  </si>
  <si>
    <t>Large Power Rate</t>
  </si>
  <si>
    <t>Large Power Rate (5000-9,999kW)</t>
  </si>
  <si>
    <t>Outdoor Lighting Service</t>
  </si>
  <si>
    <t>Schedule DTSL</t>
  </si>
  <si>
    <t>Decorative Street Lighting</t>
  </si>
  <si>
    <t>Amps</t>
  </si>
  <si>
    <t>2 HD CU</t>
  </si>
  <si>
    <t>2 ACSR 7/1 Al</t>
  </si>
  <si>
    <t>336.4 MCM</t>
  </si>
  <si>
    <t>9 1/2 D Copperweld CU</t>
  </si>
  <si>
    <t>8A Copperweld CU</t>
  </si>
  <si>
    <t>6A Copperweld CU</t>
  </si>
  <si>
    <t>4A Copperweld CU</t>
  </si>
  <si>
    <t>6 HD CU</t>
  </si>
  <si>
    <t># 2 Stranded CU</t>
  </si>
  <si>
    <t>1/0 Stranded CU</t>
  </si>
  <si>
    <t>1/0 WP CU</t>
  </si>
  <si>
    <t>2/0 WP CU</t>
  </si>
  <si>
    <t>4/0 WP CU</t>
  </si>
  <si>
    <t>250 MCM WP CU</t>
  </si>
  <si>
    <t>350 MCM WP CU</t>
  </si>
  <si>
    <t>500 MCM WP CU</t>
  </si>
  <si>
    <t>750 MCM WP CU</t>
  </si>
  <si>
    <t>1000 MCM WP CU</t>
  </si>
  <si>
    <t>DUPLEX</t>
  </si>
  <si>
    <t>TRIPLEX</t>
  </si>
  <si>
    <t>QUADRAPLEX</t>
  </si>
  <si>
    <t>Ground Assemblies</t>
  </si>
  <si>
    <t>Insulator Strings</t>
  </si>
  <si>
    <t>Lightining Arresters</t>
  </si>
  <si>
    <t>Line Switches</t>
  </si>
  <si>
    <t>Regulator By Pass Swithces</t>
  </si>
  <si>
    <t>1 Phase Oil Circuit Breaker</t>
  </si>
  <si>
    <t>All Other Items</t>
  </si>
  <si>
    <t>Minimum Size Conductor -  2 ACSR</t>
  </si>
  <si>
    <t>2 Triplex</t>
  </si>
  <si>
    <t>3 W Meters</t>
  </si>
  <si>
    <t>3 Phase 4 W</t>
  </si>
  <si>
    <t>Nonoperating Margins Other</t>
  </si>
  <si>
    <t>415-418,421</t>
  </si>
  <si>
    <t>SOUTH KENTUCKY RECC</t>
  </si>
  <si>
    <t>SOMERSET KENTUCKY</t>
  </si>
  <si>
    <t>Case No.  2005-00450</t>
  </si>
  <si>
    <t>100 KVA</t>
  </si>
  <si>
    <t>4 Phase 4 W</t>
  </si>
  <si>
    <t>5000-9999 kW</t>
  </si>
  <si>
    <t xml:space="preserve">Percent  </t>
  </si>
  <si>
    <t>Percent w/no LP1,2,3</t>
  </si>
  <si>
    <t>Sched B&amp;C</t>
  </si>
  <si>
    <t>Sched E</t>
  </si>
  <si>
    <t>Predicted Value</t>
  </si>
  <si>
    <t>Special</t>
  </si>
  <si>
    <t>Contract</t>
  </si>
  <si>
    <t>15 KVA CSP</t>
  </si>
  <si>
    <t>2500 KVA</t>
  </si>
  <si>
    <t>1.5 KVA</t>
  </si>
  <si>
    <t>Quadraplex</t>
  </si>
  <si>
    <t>Accounts 371 and 372 -   Look up in the chart of accounts the items contained in this account.</t>
  </si>
  <si>
    <t>Meter Reading - see who reads the meters at South Kentucky - the customer or the Cooperative</t>
  </si>
  <si>
    <t>Get copy of Net Investment Rate Base.</t>
  </si>
  <si>
    <t>Review "Other Revenue"  Allocation</t>
  </si>
  <si>
    <t>Schedule A - ETS</t>
  </si>
  <si>
    <t>Schedule B - ETS</t>
  </si>
  <si>
    <t>Totals</t>
  </si>
  <si>
    <t>Interest on Long Term Debt</t>
  </si>
  <si>
    <t>Less Other Income</t>
  </si>
  <si>
    <t>Revenue Requirements</t>
  </si>
  <si>
    <t>Interest on LTD (Margins)</t>
  </si>
  <si>
    <t xml:space="preserve">Unit </t>
  </si>
  <si>
    <t>Predicted Price</t>
  </si>
  <si>
    <t>Total Costs for Rate Class</t>
  </si>
  <si>
    <t>Total Rev. Require. for Rate Class</t>
  </si>
  <si>
    <t>For the Year Ended August 31, 2005</t>
  </si>
  <si>
    <t>Prepared  March 2006</t>
  </si>
  <si>
    <t>Large Power Rate (500-4,999kW)</t>
  </si>
  <si>
    <t>(5,000-9,999 kW</t>
  </si>
  <si>
    <t>(500-4,999 kW)</t>
  </si>
  <si>
    <t>Optional Power</t>
  </si>
  <si>
    <t>All Elec Sch.</t>
  </si>
  <si>
    <t>Outdoor Light</t>
  </si>
  <si>
    <t>Street Lights</t>
  </si>
  <si>
    <t>Decorative St Lt</t>
  </si>
  <si>
    <t>Distribution Consumer Costs</t>
  </si>
  <si>
    <t>Normalized Revenue</t>
  </si>
  <si>
    <t>Increase in Revenue</t>
  </si>
  <si>
    <t>Increase Amount for Rate Design</t>
  </si>
  <si>
    <t>Percent Increae</t>
  </si>
  <si>
    <t>Account 368 - Transformers</t>
  </si>
  <si>
    <t>Schedules</t>
  </si>
  <si>
    <t>Statement of Operations by Expnese Category</t>
  </si>
  <si>
    <t>Statement of Operations by Function</t>
  </si>
  <si>
    <t>Functionalization and Classification of Revenue Requirements</t>
  </si>
  <si>
    <t>Net Investment Rate Base by Function and Classification</t>
  </si>
  <si>
    <t>Demand Related and Energy Related Allocators</t>
  </si>
  <si>
    <t>Development of Demand Related and Customer Related Plant Investment</t>
  </si>
  <si>
    <t>Consumer Related Cost Allocators</t>
  </si>
  <si>
    <t>Allocation of Revenue Requirements to Rate Classes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</si>
</sst>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0.000000%"/>
    <numFmt numFmtId="194" formatCode="0.0000000%"/>
    <numFmt numFmtId="195" formatCode="0.00000000%"/>
    <numFmt numFmtId="196" formatCode="0.000000000%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0"/>
    </font>
    <font>
      <sz val="3.25"/>
      <name val="Arial"/>
      <family val="0"/>
    </font>
    <font>
      <b/>
      <sz val="4"/>
      <name val="Arial"/>
      <family val="0"/>
    </font>
    <font>
      <b/>
      <sz val="3.25"/>
      <name val="Arial"/>
      <family val="0"/>
    </font>
    <font>
      <b/>
      <sz val="2.75"/>
      <name val="Arial"/>
      <family val="0"/>
    </font>
    <font>
      <u val="single"/>
      <sz val="12"/>
      <name val="Arial"/>
      <family val="0"/>
    </font>
    <font>
      <u val="double"/>
      <sz val="11"/>
      <name val="P-TIMES"/>
      <family val="0"/>
    </font>
    <font>
      <sz val="12"/>
      <color indexed="13"/>
      <name val="Arial"/>
      <family val="0"/>
    </font>
    <font>
      <sz val="10"/>
      <color indexed="10"/>
      <name val="Arial"/>
      <family val="0"/>
    </font>
    <font>
      <u val="double"/>
      <sz val="10"/>
      <name val="Arial"/>
      <family val="2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u val="singleAccounting"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Border="1" applyAlignment="1">
      <alignment/>
    </xf>
    <xf numFmtId="10" fontId="0" fillId="0" borderId="0" xfId="21" applyNumberFormat="1" applyAlignment="1">
      <alignment/>
    </xf>
    <xf numFmtId="43" fontId="0" fillId="0" borderId="0" xfId="15" applyBorder="1" applyAlignment="1">
      <alignment/>
    </xf>
    <xf numFmtId="43" fontId="0" fillId="0" borderId="0" xfId="15" applyFont="1" applyAlignment="1">
      <alignment/>
    </xf>
    <xf numFmtId="10" fontId="0" fillId="0" borderId="0" xfId="21" applyNumberFormat="1" applyBorder="1" applyAlignment="1">
      <alignment/>
    </xf>
    <xf numFmtId="10" fontId="0" fillId="0" borderId="0" xfId="21" applyNumberFormat="1" applyFont="1" applyBorder="1" applyAlignment="1">
      <alignment/>
    </xf>
    <xf numFmtId="43" fontId="4" fillId="0" borderId="0" xfId="15" applyFont="1" applyBorder="1" applyAlignment="1">
      <alignment horizontal="center" vertical="top" wrapText="1"/>
    </xf>
    <xf numFmtId="172" fontId="0" fillId="0" borderId="1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15" applyNumberFormat="1" applyFont="1" applyBorder="1" applyAlignment="1">
      <alignment/>
    </xf>
    <xf numFmtId="172" fontId="7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0" xfId="15" applyNumberForma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/>
    </xf>
    <xf numFmtId="180" fontId="0" fillId="0" borderId="0" xfId="15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0" xfId="15" applyFon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2" xfId="15" applyNumberFormat="1" applyFont="1" applyBorder="1" applyAlignment="1">
      <alignment/>
    </xf>
    <xf numFmtId="172" fontId="7" fillId="0" borderId="0" xfId="15" applyNumberFormat="1" applyFont="1" applyBorder="1" applyAlignment="1">
      <alignment/>
    </xf>
    <xf numFmtId="10" fontId="3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10" fontId="3" fillId="0" borderId="0" xfId="21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21" applyNumberFormat="1" applyFont="1" applyBorder="1" applyAlignment="1">
      <alignment/>
    </xf>
    <xf numFmtId="0" fontId="3" fillId="0" borderId="0" xfId="0" applyFont="1" applyBorder="1" applyAlignment="1">
      <alignment/>
    </xf>
    <xf numFmtId="10" fontId="0" fillId="0" borderId="2" xfId="21" applyNumberFormat="1" applyBorder="1" applyAlignment="1">
      <alignment/>
    </xf>
    <xf numFmtId="172" fontId="8" fillId="0" borderId="0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5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172" fontId="4" fillId="0" borderId="0" xfId="15" applyNumberFormat="1" applyFont="1" applyBorder="1" applyAlignment="1">
      <alignment horizontal="center" vertical="top" wrapText="1"/>
    </xf>
    <xf numFmtId="173" fontId="0" fillId="0" borderId="0" xfId="21" applyNumberFormat="1" applyBorder="1" applyAlignment="1">
      <alignment/>
    </xf>
    <xf numFmtId="172" fontId="0" fillId="0" borderId="0" xfId="15" applyNumberFormat="1" applyFont="1" applyBorder="1" applyAlignment="1">
      <alignment/>
    </xf>
    <xf numFmtId="43" fontId="3" fillId="0" borderId="0" xfId="15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4" fillId="0" borderId="0" xfId="15" applyFont="1" applyBorder="1" applyAlignment="1">
      <alignment vertical="top" wrapText="1"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/>
    </xf>
    <xf numFmtId="179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Font="1" applyFill="1" applyBorder="1" applyAlignment="1">
      <alignment/>
    </xf>
    <xf numFmtId="37" fontId="0" fillId="0" borderId="1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7" fontId="18" fillId="0" borderId="0" xfId="0" applyNumberFormat="1" applyFont="1" applyAlignment="1">
      <alignment/>
    </xf>
    <xf numFmtId="43" fontId="5" fillId="0" borderId="0" xfId="15" applyFont="1" applyBorder="1" applyAlignment="1">
      <alignment horizontal="left"/>
    </xf>
    <xf numFmtId="10" fontId="5" fillId="0" borderId="0" xfId="21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Fill="1" applyBorder="1" applyAlignment="1">
      <alignment horizontal="left"/>
    </xf>
    <xf numFmtId="172" fontId="5" fillId="0" borderId="0" xfId="15" applyNumberFormat="1" applyFont="1" applyAlignment="1">
      <alignment/>
    </xf>
    <xf numFmtId="181" fontId="5" fillId="0" borderId="0" xfId="21" applyNumberFormat="1" applyFont="1" applyFill="1" applyBorder="1" applyAlignment="1">
      <alignment/>
    </xf>
    <xf numFmtId="43" fontId="5" fillId="0" borderId="0" xfId="15" applyFont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Alignment="1">
      <alignment/>
    </xf>
    <xf numFmtId="43" fontId="18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19" fillId="0" borderId="0" xfId="15" applyFont="1" applyBorder="1" applyAlignment="1">
      <alignment horizontal="center"/>
    </xf>
    <xf numFmtId="43" fontId="19" fillId="0" borderId="0" xfId="15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5" applyFont="1" applyFill="1" applyAlignment="1">
      <alignment/>
    </xf>
    <xf numFmtId="172" fontId="19" fillId="0" borderId="0" xfId="15" applyNumberFormat="1" applyFont="1" applyBorder="1" applyAlignment="1">
      <alignment horizontal="center"/>
    </xf>
    <xf numFmtId="43" fontId="19" fillId="0" borderId="0" xfId="15" applyFont="1" applyBorder="1" applyAlignment="1">
      <alignment/>
    </xf>
    <xf numFmtId="172" fontId="19" fillId="0" borderId="0" xfId="15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9" fillId="0" borderId="0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0" xfId="0" applyNumberFormat="1" applyFont="1" applyAlignment="1">
      <alignment/>
    </xf>
    <xf numFmtId="191" fontId="5" fillId="0" borderId="0" xfId="17" applyNumberFormat="1" applyFont="1" applyAlignment="1">
      <alignment/>
    </xf>
    <xf numFmtId="180" fontId="5" fillId="0" borderId="0" xfId="15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5" fontId="5" fillId="0" borderId="0" xfId="17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65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44" fontId="5" fillId="0" borderId="0" xfId="17" applyFont="1" applyAlignment="1">
      <alignment/>
    </xf>
    <xf numFmtId="44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65" fontId="5" fillId="0" borderId="3" xfId="17" applyNumberFormat="1" applyFont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37" fontId="5" fillId="0" borderId="0" xfId="0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3" xfId="15" applyBorder="1" applyAlignment="1">
      <alignment/>
    </xf>
    <xf numFmtId="43" fontId="0" fillId="0" borderId="0" xfId="15" applyFont="1" applyFill="1" applyBorder="1" applyAlignment="1">
      <alignment horizontal="center"/>
    </xf>
    <xf numFmtId="179" fontId="0" fillId="0" borderId="0" xfId="15" applyNumberFormat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10" fontId="5" fillId="0" borderId="0" xfId="15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73" fontId="5" fillId="0" borderId="0" xfId="21" applyNumberFormat="1" applyFont="1" applyBorder="1" applyAlignment="1">
      <alignment/>
    </xf>
    <xf numFmtId="184" fontId="5" fillId="0" borderId="0" xfId="21" applyNumberFormat="1" applyFont="1" applyBorder="1" applyAlignment="1">
      <alignment/>
    </xf>
    <xf numFmtId="173" fontId="0" fillId="0" borderId="0" xfId="21" applyNumberFormat="1" applyAlignment="1">
      <alignment/>
    </xf>
    <xf numFmtId="172" fontId="0" fillId="0" borderId="0" xfId="21" applyNumberFormat="1" applyFont="1" applyBorder="1" applyAlignment="1">
      <alignment/>
    </xf>
    <xf numFmtId="182" fontId="0" fillId="0" borderId="0" xfId="21" applyNumberFormat="1" applyBorder="1" applyAlignment="1">
      <alignment/>
    </xf>
    <xf numFmtId="190" fontId="0" fillId="0" borderId="0" xfId="0" applyNumberFormat="1" applyAlignment="1">
      <alignment/>
    </xf>
    <xf numFmtId="180" fontId="0" fillId="0" borderId="0" xfId="15" applyNumberFormat="1" applyAlignment="1">
      <alignment/>
    </xf>
    <xf numFmtId="179" fontId="0" fillId="0" borderId="0" xfId="0" applyNumberFormat="1" applyAlignment="1">
      <alignment/>
    </xf>
    <xf numFmtId="191" fontId="0" fillId="0" borderId="0" xfId="17" applyNumberFormat="1" applyAlignment="1">
      <alignment/>
    </xf>
    <xf numFmtId="172" fontId="0" fillId="0" borderId="0" xfId="15" applyNumberFormat="1" applyFill="1" applyAlignment="1">
      <alignment/>
    </xf>
    <xf numFmtId="172" fontId="0" fillId="0" borderId="5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2" borderId="0" xfId="15" applyNumberFormat="1" applyFill="1" applyAlignment="1">
      <alignment/>
    </xf>
    <xf numFmtId="172" fontId="5" fillId="0" borderId="0" xfId="15" applyNumberFormat="1" applyFont="1" applyBorder="1" applyAlignment="1">
      <alignment horizontal="center"/>
    </xf>
    <xf numFmtId="181" fontId="5" fillId="0" borderId="0" xfId="21" applyNumberFormat="1" applyFont="1" applyBorder="1" applyAlignment="1">
      <alignment/>
    </xf>
    <xf numFmtId="172" fontId="7" fillId="0" borderId="0" xfId="15" applyNumberFormat="1" applyFont="1" applyFill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10" fontId="0" fillId="0" borderId="0" xfId="0" applyNumberFormat="1" applyAlignment="1">
      <alignment/>
    </xf>
    <xf numFmtId="172" fontId="0" fillId="3" borderId="0" xfId="15" applyNumberFormat="1" applyFill="1" applyAlignment="1">
      <alignment/>
    </xf>
    <xf numFmtId="9" fontId="0" fillId="0" borderId="0" xfId="21" applyAlignment="1">
      <alignment/>
    </xf>
    <xf numFmtId="172" fontId="3" fillId="0" borderId="0" xfId="15" applyNumberFormat="1" applyFont="1" applyBorder="1" applyAlignment="1">
      <alignment horizontal="center"/>
    </xf>
    <xf numFmtId="10" fontId="0" fillId="0" borderId="0" xfId="15" applyNumberFormat="1" applyBorder="1" applyAlignment="1">
      <alignment/>
    </xf>
    <xf numFmtId="172" fontId="0" fillId="0" borderId="0" xfId="15" applyNumberFormat="1" applyFont="1" applyBorder="1" applyAlignment="1">
      <alignment horizontal="left"/>
    </xf>
    <xf numFmtId="0" fontId="0" fillId="0" borderId="7" xfId="0" applyBorder="1" applyAlignment="1">
      <alignment/>
    </xf>
    <xf numFmtId="191" fontId="0" fillId="0" borderId="8" xfId="17" applyNumberFormat="1" applyBorder="1" applyAlignment="1">
      <alignment/>
    </xf>
    <xf numFmtId="191" fontId="0" fillId="0" borderId="9" xfId="17" applyNumberFormat="1" applyBorder="1" applyAlignment="1">
      <alignment/>
    </xf>
    <xf numFmtId="191" fontId="0" fillId="0" borderId="10" xfId="17" applyNumberFormat="1" applyBorder="1" applyAlignment="1">
      <alignment/>
    </xf>
    <xf numFmtId="179" fontId="0" fillId="0" borderId="11" xfId="15" applyNumberFormat="1" applyFont="1" applyBorder="1" applyAlignment="1">
      <alignment/>
    </xf>
    <xf numFmtId="179" fontId="0" fillId="0" borderId="12" xfId="15" applyNumberForma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13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15" applyNumberFormat="1" applyFill="1" applyBorder="1" applyAlignment="1">
      <alignment/>
    </xf>
    <xf numFmtId="172" fontId="0" fillId="0" borderId="0" xfId="15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15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0" fontId="35" fillId="0" borderId="0" xfId="0" applyFont="1" applyAlignment="1">
      <alignment/>
    </xf>
    <xf numFmtId="172" fontId="35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 horizontal="center"/>
    </xf>
    <xf numFmtId="172" fontId="2" fillId="0" borderId="0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172" fontId="0" fillId="0" borderId="0" xfId="21" applyNumberFormat="1" applyBorder="1" applyAlignment="1">
      <alignment/>
    </xf>
    <xf numFmtId="0" fontId="0" fillId="0" borderId="2" xfId="0" applyFill="1" applyBorder="1" applyAlignment="1">
      <alignment/>
    </xf>
    <xf numFmtId="172" fontId="0" fillId="0" borderId="2" xfId="15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2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0" borderId="3" xfId="15" applyNumberForma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73" fontId="0" fillId="0" borderId="1" xfId="21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8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 horizontal="center"/>
    </xf>
    <xf numFmtId="43" fontId="0" fillId="0" borderId="0" xfId="15" applyNumberFormat="1" applyFill="1" applyBorder="1" applyAlignment="1">
      <alignment/>
    </xf>
    <xf numFmtId="172" fontId="35" fillId="0" borderId="0" xfId="15" applyNumberFormat="1" applyFont="1" applyBorder="1" applyAlignment="1">
      <alignment horizontal="center"/>
    </xf>
    <xf numFmtId="172" fontId="3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72" fontId="0" fillId="0" borderId="3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2" fontId="26" fillId="0" borderId="0" xfId="15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3" fillId="0" borderId="0" xfId="0" applyFont="1" applyAlignment="1">
      <alignment/>
    </xf>
    <xf numFmtId="182" fontId="0" fillId="0" borderId="0" xfId="21" applyNumberFormat="1" applyFont="1" applyBorder="1" applyAlignment="1">
      <alignment/>
    </xf>
    <xf numFmtId="173" fontId="8" fillId="0" borderId="0" xfId="21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72" fontId="0" fillId="0" borderId="0" xfId="15" applyNumberFormat="1" applyFont="1" applyFill="1" applyAlignment="1">
      <alignment/>
    </xf>
    <xf numFmtId="172" fontId="27" fillId="0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5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ACCOUNT 364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Classification!$B$8:$B$14</c:f>
              <c:numCache/>
            </c:numRef>
          </c:cat>
          <c:val>
            <c:numRef>
              <c:f>Classification!$F$8:$F$16</c:f>
              <c:numCache/>
            </c:numRef>
          </c:val>
          <c:smooth val="0"/>
        </c:ser>
        <c:ser>
          <c:idx val="1"/>
          <c:order val="1"/>
          <c:tx>
            <c:v>Regression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Classification!$B$8:$B$14</c:f>
              <c:numCache/>
            </c:numRef>
          </c:cat>
          <c:val>
            <c:numRef>
              <c:f>Classification!$G$8:$G$16</c:f>
              <c:numCache/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Size of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 Per Size of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Classification!$I$150:$I$164</c:f>
              <c:numCache/>
            </c:numRef>
          </c:xVal>
          <c:yVal>
            <c:numRef>
              <c:f>Classification!$J$150:$J$162</c:f>
              <c:numCache/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Classification!$I$150:$I$164</c:f>
              <c:numCache/>
            </c:numRef>
          </c:xVal>
          <c:yVal>
            <c:numRef>
              <c:f>Classification!$K$150:$K$162</c:f>
              <c:numCache/>
            </c:numRef>
          </c:yVal>
          <c:smooth val="0"/>
        </c:ser>
        <c:axId val="10176677"/>
        <c:axId val="24481230"/>
      </c:scatterChart>
      <c:val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</c:val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Account 368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525"/>
          <c:y val="0.3595"/>
          <c:w val="0.42"/>
          <c:h val="0.1917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Classification!$J$150:$J$162</c:f>
              <c:numCache/>
            </c:numRef>
          </c:xVal>
          <c:yVal>
            <c:numRef>
              <c:f>Classification!$K$150:$K$162</c:f>
              <c:numCache/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Classification!$J$150:$J$162</c:f>
              <c:numCache/>
            </c:numRef>
          </c:xVal>
          <c:yVal>
            <c:numRef>
              <c:f>Classification!$L$150:$L$163</c:f>
              <c:numCache/>
            </c:numRef>
          </c:yVal>
          <c:smooth val="0"/>
        </c:ser>
        <c:axId val="19004479"/>
        <c:axId val="36822584"/>
      </c:scatterChart>
      <c:val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</c:val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Transformer - Account 368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Classification!$J$150:$J$163</c:f>
              <c:numCache/>
            </c:numRef>
          </c:xVal>
          <c:yVal>
            <c:numRef>
              <c:f>Classification!$K$150:$K$163</c:f>
              <c:numCache/>
            </c:numRef>
          </c:yVal>
          <c:smooth val="0"/>
        </c:ser>
        <c:ser>
          <c:idx val="1"/>
          <c:order val="1"/>
          <c:tx>
            <c:v>Predicted Cost - Regression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Classification!$J$150:$J$163</c:f>
              <c:numCache/>
            </c:numRef>
          </c:xVal>
          <c:yVal>
            <c:numRef>
              <c:f>Classification!$L$150:$L$163</c:f>
              <c:numCache/>
            </c:numRef>
          </c:yVal>
          <c:smooth val="0"/>
        </c:ser>
        <c:axId val="62967801"/>
        <c:axId val="29839298"/>
      </c:scatterChart>
      <c:val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Size of Transformer -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</c:val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Trasformer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ACCOUNT 368 -TRANSFORMERS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Classification!$B$150:$B$165</c:f>
              <c:numCache/>
            </c:numRef>
          </c:xVal>
          <c:yVal>
            <c:numRef>
              <c:f>Classification!$F$150:$F$165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Classification!$B$150:$B$165</c:f>
              <c:numCache/>
            </c:numRef>
          </c:xVal>
          <c:yVal>
            <c:numRef>
              <c:f>Classification!$G$150:$G$165</c:f>
              <c:numCache/>
            </c:numRef>
          </c:yVal>
          <c:smooth val="0"/>
        </c:ser>
        <c:axId val="118227"/>
        <c:axId val="1064044"/>
      </c:scatterChart>
      <c:val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crossBetween val="midCat"/>
        <c:dispUnits/>
      </c:val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ACCOUNT 365 - OVERHEAD CONDUCTOR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25"/>
          <c:w val="0.92025"/>
          <c:h val="0.56125"/>
        </c:manualLayout>
      </c:layout>
      <c:scatterChart>
        <c:scatterStyle val="lineMarker"/>
        <c:varyColors val="0"/>
        <c:ser>
          <c:idx val="0"/>
          <c:order val="0"/>
          <c:tx>
            <c:v>Predicted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Classification!$K$62:$K$70</c:f>
              <c:numCache/>
            </c:numRef>
          </c:xVal>
          <c:yVal>
            <c:numRef>
              <c:f>Classification!$I$62:$I$70</c:f>
              <c:numCache/>
            </c:numRef>
          </c:yVal>
          <c:smooth val="0"/>
        </c:ser>
        <c:ser>
          <c:idx val="1"/>
          <c:order val="1"/>
          <c:tx>
            <c:v>Actual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Classification!$K$62:$K$70</c:f>
              <c:numCache/>
            </c:numRef>
          </c:xVal>
          <c:yVal>
            <c:numRef>
              <c:f>Classification!$J$62:$J$70</c:f>
              <c:numCache/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75"/>
          <c:y val="0.88975"/>
          <c:w val="0.3312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33</xdr:row>
      <xdr:rowOff>19050</xdr:rowOff>
    </xdr:from>
    <xdr:to>
      <xdr:col>7</xdr:col>
      <xdr:colOff>647700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14525" y="5362575"/>
        <a:ext cx="5219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213</xdr:row>
      <xdr:rowOff>0</xdr:rowOff>
    </xdr:from>
    <xdr:to>
      <xdr:col>0</xdr:col>
      <xdr:colOff>495300</xdr:colOff>
      <xdr:row>213</xdr:row>
      <xdr:rowOff>0</xdr:rowOff>
    </xdr:to>
    <xdr:graphicFrame>
      <xdr:nvGraphicFramePr>
        <xdr:cNvPr id="2" name="Chart 2"/>
        <xdr:cNvGraphicFramePr/>
      </xdr:nvGraphicFramePr>
      <xdr:xfrm>
        <a:off x="219075" y="35309175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212</xdr:row>
      <xdr:rowOff>38100</xdr:rowOff>
    </xdr:from>
    <xdr:to>
      <xdr:col>21</xdr:col>
      <xdr:colOff>142875</xdr:colOff>
      <xdr:row>212</xdr:row>
      <xdr:rowOff>95250</xdr:rowOff>
    </xdr:to>
    <xdr:graphicFrame>
      <xdr:nvGraphicFramePr>
        <xdr:cNvPr id="3" name="Chart 3"/>
        <xdr:cNvGraphicFramePr/>
      </xdr:nvGraphicFramePr>
      <xdr:xfrm>
        <a:off x="16773525" y="35185350"/>
        <a:ext cx="66675" cy="5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223</xdr:row>
      <xdr:rowOff>0</xdr:rowOff>
    </xdr:from>
    <xdr:to>
      <xdr:col>8</xdr:col>
      <xdr:colOff>28575</xdr:colOff>
      <xdr:row>223</xdr:row>
      <xdr:rowOff>0</xdr:rowOff>
    </xdr:to>
    <xdr:graphicFrame>
      <xdr:nvGraphicFramePr>
        <xdr:cNvPr id="4" name="Chart 4"/>
        <xdr:cNvGraphicFramePr/>
      </xdr:nvGraphicFramePr>
      <xdr:xfrm>
        <a:off x="6238875" y="36928425"/>
        <a:ext cx="1343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266700</xdr:colOff>
      <xdr:row>199</xdr:row>
      <xdr:rowOff>28575</xdr:rowOff>
    </xdr:from>
    <xdr:to>
      <xdr:col>7</xdr:col>
      <xdr:colOff>885825</xdr:colOff>
      <xdr:row>222</xdr:row>
      <xdr:rowOff>114300</xdr:rowOff>
    </xdr:to>
    <xdr:graphicFrame>
      <xdr:nvGraphicFramePr>
        <xdr:cNvPr id="5" name="Chart 10"/>
        <xdr:cNvGraphicFramePr/>
      </xdr:nvGraphicFramePr>
      <xdr:xfrm>
        <a:off x="1819275" y="33032700"/>
        <a:ext cx="55530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171450</xdr:colOff>
      <xdr:row>112</xdr:row>
      <xdr:rowOff>114300</xdr:rowOff>
    </xdr:from>
    <xdr:to>
      <xdr:col>7</xdr:col>
      <xdr:colOff>609600</xdr:colOff>
      <xdr:row>127</xdr:row>
      <xdr:rowOff>47625</xdr:rowOff>
    </xdr:to>
    <xdr:graphicFrame>
      <xdr:nvGraphicFramePr>
        <xdr:cNvPr id="6" name="Chart 11"/>
        <xdr:cNvGraphicFramePr/>
      </xdr:nvGraphicFramePr>
      <xdr:xfrm>
        <a:off x="2038350" y="18964275"/>
        <a:ext cx="50577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CumberlandValley2005-June\StmtofOper&amp;Adjustments\Statement%20of%20Operations%20&amp;%20Adjust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Billing%20Analysis\BilllingAnalysis-J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COST5405_JimAdki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OverheadConductor-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Billing%20Analysis\BilllingAnalysis-JA-WC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chased Power (2)"/>
      <sheetName val="Wages (2)"/>
      <sheetName val="StmtOper (2)"/>
      <sheetName val="Ajust."/>
      <sheetName val="StmtOper"/>
      <sheetName val="NormRev"/>
      <sheetName val="NormRev-1"/>
      <sheetName val="YrEnd#Consum"/>
      <sheetName val="Deprec"/>
      <sheetName val="Int.Exp"/>
      <sheetName val="PayRTaxes"/>
      <sheetName val="Wages"/>
      <sheetName val="EmpBenes"/>
      <sheetName val="Donations"/>
      <sheetName val="RateCaseExp"/>
      <sheetName val="Purchased Power"/>
      <sheetName val="Prop.Taxes"/>
      <sheetName val="DirectorFees"/>
      <sheetName val="Prop.Taxes (2)"/>
      <sheetName val="Increae"/>
      <sheetName val="NormRev-1 (2)"/>
    </sheetNames>
    <sheetDataSet>
      <sheetData sheetId="4">
        <row r="37">
          <cell r="W37">
            <v>1015090.4590449401</v>
          </cell>
        </row>
        <row r="53">
          <cell r="W53">
            <v>-379785.5766459332</v>
          </cell>
        </row>
      </sheetData>
      <sheetData sheetId="5">
        <row r="13">
          <cell r="D13">
            <v>18382370.12464</v>
          </cell>
        </row>
        <row r="14">
          <cell r="D14">
            <v>44001.56953</v>
          </cell>
        </row>
      </sheetData>
      <sheetData sheetId="6">
        <row r="8">
          <cell r="D8">
            <v>293186902</v>
          </cell>
        </row>
        <row r="11">
          <cell r="D11">
            <v>1257547</v>
          </cell>
        </row>
      </sheetData>
      <sheetData sheetId="7">
        <row r="27">
          <cell r="E27">
            <v>1505092.025597632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nthly"/>
      <sheetName val="summary"/>
      <sheetName val="average use"/>
      <sheetName val="power"/>
      <sheetName val="additional"/>
    </sheetNames>
    <sheetDataSet>
      <sheetData sheetId="0">
        <row r="7">
          <cell r="D7">
            <v>52079441</v>
          </cell>
          <cell r="I7">
            <v>5303181</v>
          </cell>
        </row>
        <row r="8">
          <cell r="D8">
            <v>40652368</v>
          </cell>
          <cell r="I8">
            <v>4495029</v>
          </cell>
        </row>
        <row r="9">
          <cell r="D9">
            <v>41482142</v>
          </cell>
          <cell r="I9">
            <v>4095954</v>
          </cell>
        </row>
        <row r="10">
          <cell r="D10">
            <v>65728706</v>
          </cell>
          <cell r="I10">
            <v>4530231</v>
          </cell>
        </row>
        <row r="11">
          <cell r="D11">
            <v>83541795</v>
          </cell>
          <cell r="I11">
            <v>5376675</v>
          </cell>
        </row>
        <row r="12">
          <cell r="D12">
            <v>80502131</v>
          </cell>
          <cell r="I12">
            <v>5020740</v>
          </cell>
        </row>
        <row r="13">
          <cell r="D13">
            <v>69933546</v>
          </cell>
          <cell r="I13">
            <v>4672791</v>
          </cell>
        </row>
        <row r="14">
          <cell r="D14">
            <v>58113902</v>
          </cell>
          <cell r="I14">
            <v>4794866</v>
          </cell>
        </row>
        <row r="15">
          <cell r="D15">
            <v>44372580</v>
          </cell>
          <cell r="I15">
            <v>4307807</v>
          </cell>
        </row>
        <row r="16">
          <cell r="D16">
            <v>46528943</v>
          </cell>
          <cell r="I16">
            <v>4992410</v>
          </cell>
        </row>
        <row r="17">
          <cell r="D17">
            <v>61475783</v>
          </cell>
          <cell r="I17">
            <v>6073796</v>
          </cell>
        </row>
        <row r="18">
          <cell r="C18">
            <v>55298</v>
          </cell>
          <cell r="D18">
            <v>61667099</v>
          </cell>
          <cell r="H18">
            <v>3581</v>
          </cell>
          <cell r="I18">
            <v>5809683</v>
          </cell>
        </row>
        <row r="24">
          <cell r="N24">
            <v>1491726.8</v>
          </cell>
          <cell r="O24">
            <v>1504237</v>
          </cell>
          <cell r="P24">
            <v>1507017.4</v>
          </cell>
          <cell r="Q24">
            <v>1515932</v>
          </cell>
          <cell r="R24">
            <v>1519228.2</v>
          </cell>
          <cell r="S24">
            <v>1522760.8</v>
          </cell>
          <cell r="T24">
            <v>1530035.4</v>
          </cell>
          <cell r="U24">
            <v>1531031</v>
          </cell>
          <cell r="V24">
            <v>1552650</v>
          </cell>
          <cell r="W24">
            <v>1559215.4</v>
          </cell>
          <cell r="X24">
            <v>1529630.8</v>
          </cell>
          <cell r="Y24">
            <v>1547031.2</v>
          </cell>
        </row>
        <row r="33">
          <cell r="E33">
            <v>12337911</v>
          </cell>
        </row>
        <row r="34">
          <cell r="E34">
            <v>11990982</v>
          </cell>
        </row>
        <row r="35">
          <cell r="E35">
            <v>11042649</v>
          </cell>
        </row>
        <row r="36">
          <cell r="E36">
            <v>11471172</v>
          </cell>
        </row>
        <row r="37">
          <cell r="E37">
            <v>11282181</v>
          </cell>
        </row>
        <row r="38">
          <cell r="E38">
            <v>11427994</v>
          </cell>
        </row>
        <row r="39">
          <cell r="E39">
            <v>10374123</v>
          </cell>
        </row>
        <row r="40">
          <cell r="E40">
            <v>11903508</v>
          </cell>
        </row>
        <row r="41">
          <cell r="E41">
            <v>11314634</v>
          </cell>
        </row>
        <row r="42">
          <cell r="E42">
            <v>12248828</v>
          </cell>
        </row>
        <row r="43">
          <cell r="E43">
            <v>13589109</v>
          </cell>
        </row>
        <row r="44">
          <cell r="C44">
            <v>246</v>
          </cell>
          <cell r="E44">
            <v>13912892</v>
          </cell>
        </row>
        <row r="46">
          <cell r="N46">
            <v>57800</v>
          </cell>
          <cell r="O46">
            <v>57874</v>
          </cell>
          <cell r="P46">
            <v>57800</v>
          </cell>
          <cell r="Q46">
            <v>57800</v>
          </cell>
          <cell r="R46">
            <v>57800</v>
          </cell>
          <cell r="S46">
            <v>58052</v>
          </cell>
          <cell r="T46">
            <v>58052</v>
          </cell>
          <cell r="U46">
            <v>58349</v>
          </cell>
          <cell r="V46">
            <v>58349</v>
          </cell>
          <cell r="W46">
            <v>58349</v>
          </cell>
          <cell r="X46">
            <v>58349</v>
          </cell>
          <cell r="Y46">
            <v>58348</v>
          </cell>
        </row>
        <row r="58">
          <cell r="E58">
            <v>3405874</v>
          </cell>
        </row>
        <row r="59">
          <cell r="E59">
            <v>3295055</v>
          </cell>
        </row>
        <row r="60">
          <cell r="E60">
            <v>3280795</v>
          </cell>
        </row>
        <row r="61">
          <cell r="E61">
            <v>2990620</v>
          </cell>
        </row>
        <row r="62">
          <cell r="E62">
            <v>2832775</v>
          </cell>
        </row>
        <row r="63">
          <cell r="E63">
            <v>3126547</v>
          </cell>
        </row>
        <row r="64">
          <cell r="E64">
            <v>2916979</v>
          </cell>
        </row>
        <row r="65">
          <cell r="E65">
            <v>3209296</v>
          </cell>
        </row>
        <row r="66">
          <cell r="E66">
            <v>3184405</v>
          </cell>
        </row>
        <row r="67">
          <cell r="E67">
            <v>3300033</v>
          </cell>
        </row>
        <row r="68">
          <cell r="E68">
            <v>3541363</v>
          </cell>
        </row>
        <row r="69">
          <cell r="C69">
            <v>2</v>
          </cell>
          <cell r="E69">
            <v>3458008</v>
          </cell>
        </row>
        <row r="85">
          <cell r="K85">
            <v>4157854</v>
          </cell>
        </row>
        <row r="86">
          <cell r="K86">
            <v>3831123</v>
          </cell>
        </row>
        <row r="87">
          <cell r="K87">
            <v>3764987</v>
          </cell>
        </row>
        <row r="88">
          <cell r="K88">
            <v>3124742</v>
          </cell>
        </row>
        <row r="89">
          <cell r="K89">
            <v>3038427</v>
          </cell>
        </row>
        <row r="90">
          <cell r="K90">
            <v>3347845</v>
          </cell>
        </row>
        <row r="91">
          <cell r="K91">
            <v>3168311</v>
          </cell>
        </row>
        <row r="92">
          <cell r="K92">
            <v>3481342</v>
          </cell>
        </row>
        <row r="93">
          <cell r="K93">
            <v>3380318</v>
          </cell>
        </row>
        <row r="94">
          <cell r="K94">
            <v>3704677</v>
          </cell>
        </row>
        <row r="95">
          <cell r="K95">
            <v>4155941</v>
          </cell>
        </row>
        <row r="96">
          <cell r="C96">
            <v>1</v>
          </cell>
          <cell r="K96">
            <v>4365043</v>
          </cell>
        </row>
        <row r="121">
          <cell r="N121">
            <v>16914</v>
          </cell>
          <cell r="O121">
            <v>16914</v>
          </cell>
          <cell r="P121">
            <v>16414</v>
          </cell>
          <cell r="Q121">
            <v>16914</v>
          </cell>
          <cell r="R121">
            <v>16914</v>
          </cell>
          <cell r="S121">
            <v>17670</v>
          </cell>
          <cell r="T121">
            <v>17246</v>
          </cell>
          <cell r="U121">
            <v>17602</v>
          </cell>
          <cell r="V121">
            <v>17602</v>
          </cell>
          <cell r="W121">
            <v>17680</v>
          </cell>
          <cell r="X121">
            <v>17680</v>
          </cell>
          <cell r="Y121">
            <v>17680</v>
          </cell>
        </row>
        <row r="132">
          <cell r="K132">
            <v>3926030</v>
          </cell>
        </row>
        <row r="133">
          <cell r="K133">
            <v>3923927</v>
          </cell>
        </row>
        <row r="134">
          <cell r="K134">
            <v>3912120</v>
          </cell>
        </row>
        <row r="135">
          <cell r="K135">
            <v>3751006</v>
          </cell>
        </row>
        <row r="136">
          <cell r="K136">
            <v>3891027</v>
          </cell>
        </row>
        <row r="137">
          <cell r="K137">
            <v>4147499</v>
          </cell>
        </row>
        <row r="138">
          <cell r="K138">
            <v>3783668</v>
          </cell>
        </row>
        <row r="139">
          <cell r="K139">
            <v>3954589</v>
          </cell>
        </row>
        <row r="140">
          <cell r="K140">
            <v>3647341</v>
          </cell>
        </row>
        <row r="141">
          <cell r="K141">
            <v>3710091</v>
          </cell>
        </row>
        <row r="142">
          <cell r="K142">
            <v>3962023</v>
          </cell>
        </row>
        <row r="143">
          <cell r="C143">
            <v>5</v>
          </cell>
          <cell r="K143">
            <v>3708534</v>
          </cell>
        </row>
        <row r="153">
          <cell r="N153">
            <v>9751</v>
          </cell>
          <cell r="P153">
            <v>0</v>
          </cell>
        </row>
        <row r="154">
          <cell r="N154">
            <v>112358</v>
          </cell>
          <cell r="P154">
            <v>0</v>
          </cell>
        </row>
        <row r="155">
          <cell r="N155">
            <v>499623</v>
          </cell>
          <cell r="P155">
            <v>0</v>
          </cell>
        </row>
        <row r="156">
          <cell r="N156">
            <v>1563909</v>
          </cell>
          <cell r="P156">
            <v>190</v>
          </cell>
        </row>
        <row r="157">
          <cell r="N157">
            <v>2409959</v>
          </cell>
          <cell r="P157">
            <v>3830</v>
          </cell>
        </row>
        <row r="158">
          <cell r="N158">
            <v>2493412</v>
          </cell>
          <cell r="P158">
            <v>3530</v>
          </cell>
        </row>
        <row r="159">
          <cell r="N159">
            <v>2202468</v>
          </cell>
          <cell r="P159">
            <v>2870</v>
          </cell>
        </row>
        <row r="160">
          <cell r="N160">
            <v>1513544</v>
          </cell>
          <cell r="P160">
            <v>2910</v>
          </cell>
        </row>
        <row r="161">
          <cell r="N161">
            <v>567147</v>
          </cell>
          <cell r="P161">
            <v>0</v>
          </cell>
        </row>
        <row r="162">
          <cell r="N162">
            <v>195958</v>
          </cell>
          <cell r="P162">
            <v>0</v>
          </cell>
        </row>
        <row r="163">
          <cell r="N163">
            <v>-85747</v>
          </cell>
          <cell r="P163">
            <v>0</v>
          </cell>
        </row>
        <row r="164">
          <cell r="N164">
            <v>7101</v>
          </cell>
          <cell r="P164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200</v>
          </cell>
        </row>
        <row r="182">
          <cell r="K182">
            <v>47800</v>
          </cell>
        </row>
        <row r="183">
          <cell r="K183">
            <v>39600</v>
          </cell>
        </row>
        <row r="184">
          <cell r="K184">
            <v>58200</v>
          </cell>
        </row>
        <row r="185">
          <cell r="K185">
            <v>71000</v>
          </cell>
        </row>
        <row r="186">
          <cell r="K186">
            <v>69800</v>
          </cell>
        </row>
        <row r="187">
          <cell r="K187">
            <v>400</v>
          </cell>
        </row>
        <row r="188">
          <cell r="K188">
            <v>200</v>
          </cell>
        </row>
        <row r="189">
          <cell r="K189">
            <v>400</v>
          </cell>
        </row>
        <row r="190">
          <cell r="D190">
            <v>1</v>
          </cell>
          <cell r="K190">
            <v>200</v>
          </cell>
        </row>
        <row r="202">
          <cell r="E202">
            <v>1531910</v>
          </cell>
        </row>
        <row r="203">
          <cell r="E203">
            <v>1459538</v>
          </cell>
        </row>
        <row r="204">
          <cell r="E204">
            <v>1251780</v>
          </cell>
        </row>
        <row r="205">
          <cell r="E205">
            <v>1245355</v>
          </cell>
        </row>
        <row r="206">
          <cell r="E206">
            <v>1366318</v>
          </cell>
        </row>
        <row r="207">
          <cell r="E207">
            <v>1495132</v>
          </cell>
        </row>
        <row r="208">
          <cell r="E208">
            <v>1277923</v>
          </cell>
        </row>
        <row r="209">
          <cell r="E209">
            <v>1401459</v>
          </cell>
        </row>
        <row r="210">
          <cell r="E210">
            <v>1264854</v>
          </cell>
        </row>
        <row r="211">
          <cell r="E211">
            <v>1385009</v>
          </cell>
        </row>
        <row r="212">
          <cell r="E212">
            <v>1506172</v>
          </cell>
        </row>
        <row r="213">
          <cell r="C213">
            <v>150</v>
          </cell>
          <cell r="E213">
            <v>1556482</v>
          </cell>
        </row>
        <row r="226">
          <cell r="E226">
            <v>605500</v>
          </cell>
        </row>
        <row r="227">
          <cell r="E227">
            <v>617880</v>
          </cell>
        </row>
        <row r="228">
          <cell r="E228">
            <v>527100</v>
          </cell>
        </row>
        <row r="229">
          <cell r="E229">
            <v>568660</v>
          </cell>
        </row>
        <row r="230">
          <cell r="E230">
            <v>837920</v>
          </cell>
        </row>
        <row r="231">
          <cell r="E231">
            <v>968540</v>
          </cell>
        </row>
        <row r="232">
          <cell r="E232">
            <v>871400</v>
          </cell>
        </row>
        <row r="233">
          <cell r="E233">
            <v>853560</v>
          </cell>
        </row>
        <row r="234">
          <cell r="E234">
            <v>731880</v>
          </cell>
        </row>
        <row r="235">
          <cell r="E235">
            <v>729420</v>
          </cell>
        </row>
        <row r="236">
          <cell r="E236">
            <v>501960</v>
          </cell>
        </row>
        <row r="237">
          <cell r="C237">
            <v>10</v>
          </cell>
          <cell r="E237">
            <v>551620</v>
          </cell>
        </row>
      </sheetData>
      <sheetData sheetId="5">
        <row r="23">
          <cell r="C23">
            <v>236105</v>
          </cell>
        </row>
        <row r="73">
          <cell r="F73">
            <v>435932.9987999998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P"/>
      <sheetName val="Class Peak"/>
      <sheetName val="NCP"/>
      <sheetName val="TOU"/>
    </sheetNames>
    <sheetDataSet>
      <sheetData sheetId="1">
        <row r="10">
          <cell r="B10">
            <v>110039.15560648398</v>
          </cell>
          <cell r="C10">
            <v>97219.39869913417</v>
          </cell>
          <cell r="D10">
            <v>111132.82724120787</v>
          </cell>
          <cell r="E10">
            <v>203686.79891613036</v>
          </cell>
          <cell r="F10">
            <v>200574.64796552638</v>
          </cell>
          <cell r="G10">
            <v>143073.1884164179</v>
          </cell>
          <cell r="H10">
            <v>150228.0708408015</v>
          </cell>
          <cell r="I10">
            <v>115651.3540531278</v>
          </cell>
          <cell r="J10">
            <v>92009.79465649556</v>
          </cell>
          <cell r="K10">
            <v>104664.25030952055</v>
          </cell>
          <cell r="L10">
            <v>120842.48262810546</v>
          </cell>
          <cell r="M10">
            <v>112458.65582041812</v>
          </cell>
        </row>
        <row r="11">
          <cell r="B11">
            <v>30172.61490430587</v>
          </cell>
          <cell r="C11">
            <v>13790.710667356418</v>
          </cell>
          <cell r="D11">
            <v>16799.779270859086</v>
          </cell>
          <cell r="E11">
            <v>36693.42849286886</v>
          </cell>
          <cell r="F11">
            <v>36721.81083968169</v>
          </cell>
          <cell r="G11">
            <v>25498.559049255422</v>
          </cell>
          <cell r="H11">
            <v>25835.29817344981</v>
          </cell>
          <cell r="I11">
            <v>19700.72771776744</v>
          </cell>
          <cell r="J11">
            <v>24659.530081292367</v>
          </cell>
          <cell r="K11">
            <v>41765.17915035108</v>
          </cell>
          <cell r="L11">
            <v>39749.21208165165</v>
          </cell>
          <cell r="M11">
            <v>41009.86029649862</v>
          </cell>
        </row>
        <row r="12">
          <cell r="B12">
            <v>18451.292673616903</v>
          </cell>
          <cell r="C12">
            <v>14699.048215877798</v>
          </cell>
          <cell r="D12">
            <v>31561.128241524297</v>
          </cell>
          <cell r="E12">
            <v>37019.19832396562</v>
          </cell>
          <cell r="F12">
            <v>36710.48302798749</v>
          </cell>
          <cell r="G12">
            <v>27174.210519691158</v>
          </cell>
          <cell r="H12">
            <v>32713.341874518843</v>
          </cell>
          <cell r="I12">
            <v>13710.28956693863</v>
          </cell>
          <cell r="J12">
            <v>31882.76624623931</v>
          </cell>
          <cell r="K12">
            <v>33752.39521204782</v>
          </cell>
          <cell r="L12">
            <v>30309.265487732977</v>
          </cell>
          <cell r="M12">
            <v>33978.40242001718</v>
          </cell>
        </row>
        <row r="13">
          <cell r="B13">
            <v>3869.28</v>
          </cell>
          <cell r="C13">
            <v>3199.68</v>
          </cell>
          <cell r="D13">
            <v>4773.6</v>
          </cell>
          <cell r="E13">
            <v>4813.92</v>
          </cell>
          <cell r="F13">
            <v>4965.12</v>
          </cell>
          <cell r="G13">
            <v>5083.2</v>
          </cell>
          <cell r="H13">
            <v>5130.72</v>
          </cell>
          <cell r="I13">
            <v>3074.4</v>
          </cell>
          <cell r="J13">
            <v>5409.6</v>
          </cell>
          <cell r="K13">
            <v>5103.84</v>
          </cell>
          <cell r="L13">
            <v>5623.2</v>
          </cell>
          <cell r="M13">
            <v>5762.4</v>
          </cell>
        </row>
        <row r="14">
          <cell r="B14">
            <v>0.12</v>
          </cell>
          <cell r="C14">
            <v>0</v>
          </cell>
          <cell r="D14">
            <v>6.72</v>
          </cell>
          <cell r="E14">
            <v>15.72</v>
          </cell>
          <cell r="F14">
            <v>14.4</v>
          </cell>
          <cell r="G14">
            <v>9.48</v>
          </cell>
          <cell r="H14">
            <v>120.96</v>
          </cell>
          <cell r="I14">
            <v>0.12</v>
          </cell>
          <cell r="J14">
            <v>0.12</v>
          </cell>
          <cell r="K14">
            <v>0.36</v>
          </cell>
          <cell r="L14">
            <v>0.36</v>
          </cell>
          <cell r="M14">
            <v>0.36</v>
          </cell>
        </row>
        <row r="15">
          <cell r="B15">
            <v>4453.24</v>
          </cell>
          <cell r="C15">
            <v>4897.9</v>
          </cell>
          <cell r="D15">
            <v>7243.7</v>
          </cell>
          <cell r="E15">
            <v>7345.26</v>
          </cell>
          <cell r="F15">
            <v>8484.3</v>
          </cell>
          <cell r="G15">
            <v>7899.16</v>
          </cell>
          <cell r="H15">
            <v>8178.72</v>
          </cell>
          <cell r="I15">
            <v>3421.98</v>
          </cell>
          <cell r="J15">
            <v>9150.44</v>
          </cell>
          <cell r="K15">
            <v>8958.22</v>
          </cell>
          <cell r="L15">
            <v>8086.96</v>
          </cell>
          <cell r="M15">
            <v>10018.28</v>
          </cell>
        </row>
        <row r="16">
          <cell r="B16">
            <v>835.8562927307985</v>
          </cell>
          <cell r="C16">
            <v>475.776978666558</v>
          </cell>
          <cell r="D16">
            <v>1219.8963722186206</v>
          </cell>
          <cell r="E16">
            <v>2006.6832262842531</v>
          </cell>
          <cell r="F16">
            <v>2226.839823618433</v>
          </cell>
          <cell r="G16">
            <v>1225.9618723085307</v>
          </cell>
          <cell r="H16">
            <v>2080.7459568363593</v>
          </cell>
          <cell r="I16">
            <v>611.9526719360578</v>
          </cell>
          <cell r="J16">
            <v>1138.8341261757712</v>
          </cell>
          <cell r="K16">
            <v>1007.1716727783811</v>
          </cell>
          <cell r="L16">
            <v>805.8004562484316</v>
          </cell>
          <cell r="M16">
            <v>1265.8068962922305</v>
          </cell>
        </row>
        <row r="17">
          <cell r="B17">
            <v>5392.9405228624955</v>
          </cell>
          <cell r="C17">
            <v>2963.3554389650512</v>
          </cell>
          <cell r="D17">
            <v>5949.295395075386</v>
          </cell>
          <cell r="E17">
            <v>7782.573449491203</v>
          </cell>
          <cell r="F17">
            <v>7474.3220786803</v>
          </cell>
          <cell r="G17">
            <v>5036.8263441981935</v>
          </cell>
          <cell r="H17">
            <v>5957.199471650208</v>
          </cell>
          <cell r="I17">
            <v>3255.499890230029</v>
          </cell>
          <cell r="J17">
            <v>6244.694389796968</v>
          </cell>
          <cell r="K17">
            <v>7121.343655302215</v>
          </cell>
          <cell r="L17">
            <v>6293.62524626151</v>
          </cell>
          <cell r="M17">
            <v>7062.294566773849</v>
          </cell>
        </row>
        <row r="18">
          <cell r="D18">
            <v>162.61228433200188</v>
          </cell>
          <cell r="E18">
            <v>183.4489702037991</v>
          </cell>
          <cell r="F18">
            <v>165.0263056921975</v>
          </cell>
          <cell r="G18">
            <v>151.8484359118411</v>
          </cell>
          <cell r="H18">
            <v>150.43807596693023</v>
          </cell>
        </row>
        <row r="19">
          <cell r="B19">
            <v>0</v>
          </cell>
          <cell r="C19">
            <v>0</v>
          </cell>
          <cell r="D19">
            <v>4324.756524807304</v>
          </cell>
          <cell r="E19">
            <v>4904.511398544164</v>
          </cell>
          <cell r="F19">
            <v>4384.492656524548</v>
          </cell>
          <cell r="G19">
            <v>4049.3748061486367</v>
          </cell>
          <cell r="H19">
            <v>4030.7020794321184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60.244669975402374</v>
          </cell>
          <cell r="E20">
            <v>70.38722251174329</v>
          </cell>
          <cell r="F20">
            <v>63.02730228901676</v>
          </cell>
          <cell r="G20">
            <v>60.090556068317724</v>
          </cell>
          <cell r="H20">
            <v>58.54352734423842</v>
          </cell>
        </row>
        <row r="23">
          <cell r="B23">
            <v>0.72</v>
          </cell>
          <cell r="C23">
            <v>0.72</v>
          </cell>
          <cell r="D23">
            <v>0.18</v>
          </cell>
          <cell r="E23">
            <v>364.86</v>
          </cell>
          <cell r="F23">
            <v>1.98</v>
          </cell>
          <cell r="G23">
            <v>0.18</v>
          </cell>
          <cell r="H23">
            <v>35.82</v>
          </cell>
          <cell r="I23">
            <v>0.36</v>
          </cell>
          <cell r="J23">
            <v>1.26</v>
          </cell>
          <cell r="K23">
            <v>0.36</v>
          </cell>
          <cell r="L23">
            <v>0.18</v>
          </cell>
          <cell r="M23">
            <v>0.18</v>
          </cell>
        </row>
      </sheetData>
      <sheetData sheetId="2">
        <row r="9">
          <cell r="B9">
            <v>141870</v>
          </cell>
          <cell r="C9">
            <v>97219.39869913417</v>
          </cell>
          <cell r="D9">
            <v>112781</v>
          </cell>
          <cell r="E9">
            <v>203686.79891613036</v>
          </cell>
          <cell r="F9">
            <v>200574.64796552638</v>
          </cell>
          <cell r="G9">
            <v>147159</v>
          </cell>
          <cell r="H9">
            <v>163048</v>
          </cell>
          <cell r="I9">
            <v>118401</v>
          </cell>
          <cell r="J9">
            <v>118358</v>
          </cell>
          <cell r="K9">
            <v>158137</v>
          </cell>
          <cell r="L9">
            <v>165722</v>
          </cell>
          <cell r="M9">
            <v>151940</v>
          </cell>
        </row>
        <row r="10">
          <cell r="B10">
            <v>33262</v>
          </cell>
          <cell r="C10">
            <v>27231</v>
          </cell>
          <cell r="D10">
            <v>23329</v>
          </cell>
          <cell r="E10">
            <v>36693.42849286886</v>
          </cell>
          <cell r="F10">
            <v>36721.81083968169</v>
          </cell>
          <cell r="G10">
            <v>30251</v>
          </cell>
          <cell r="H10">
            <v>28205</v>
          </cell>
          <cell r="I10">
            <v>27265</v>
          </cell>
          <cell r="J10">
            <v>29481</v>
          </cell>
          <cell r="K10">
            <v>41765.17915035108</v>
          </cell>
          <cell r="L10">
            <v>40058</v>
          </cell>
          <cell r="M10">
            <v>42222</v>
          </cell>
        </row>
        <row r="11">
          <cell r="B11">
            <v>34013.69996</v>
          </cell>
          <cell r="C11">
            <v>29186.187608695654</v>
          </cell>
          <cell r="D11">
            <v>31561.128241524297</v>
          </cell>
          <cell r="E11">
            <v>37019.19832396562</v>
          </cell>
          <cell r="F11">
            <v>36710.48302798749</v>
          </cell>
          <cell r="G11">
            <v>30899.661874999998</v>
          </cell>
          <cell r="H11">
            <v>32713.341874518843</v>
          </cell>
          <cell r="I11">
            <v>31381.886826086957</v>
          </cell>
          <cell r="J11">
            <v>32363.607000000004</v>
          </cell>
          <cell r="K11">
            <v>33752.39521204782</v>
          </cell>
          <cell r="L11">
            <v>33644.19391304348</v>
          </cell>
          <cell r="M11">
            <v>33978.40242001718</v>
          </cell>
        </row>
        <row r="12">
          <cell r="B12">
            <v>5738.34</v>
          </cell>
          <cell r="C12">
            <v>5627.48</v>
          </cell>
          <cell r="D12">
            <v>5646.22</v>
          </cell>
          <cell r="E12">
            <v>5638.96</v>
          </cell>
          <cell r="F12">
            <v>5458.98</v>
          </cell>
          <cell r="G12">
            <v>5493.58</v>
          </cell>
          <cell r="H12">
            <v>5806</v>
          </cell>
          <cell r="I12">
            <v>5816.16</v>
          </cell>
          <cell r="J12">
            <v>5960.16</v>
          </cell>
          <cell r="K12">
            <v>6277.44</v>
          </cell>
          <cell r="L12">
            <v>6260.64</v>
          </cell>
          <cell r="M12">
            <v>6419.48</v>
          </cell>
        </row>
        <row r="13">
          <cell r="B13">
            <v>7585.9</v>
          </cell>
          <cell r="C13">
            <v>7153.9</v>
          </cell>
          <cell r="D13">
            <v>7002.72</v>
          </cell>
          <cell r="E13">
            <v>6652.8</v>
          </cell>
          <cell r="F13">
            <v>6963.84</v>
          </cell>
          <cell r="G13">
            <v>6600.96</v>
          </cell>
          <cell r="H13">
            <v>6730.56</v>
          </cell>
          <cell r="I13">
            <v>7032.9</v>
          </cell>
          <cell r="J13">
            <v>7240.32</v>
          </cell>
          <cell r="K13">
            <v>7836.4</v>
          </cell>
          <cell r="L13">
            <v>8354.88</v>
          </cell>
          <cell r="M13">
            <v>8341.92</v>
          </cell>
        </row>
        <row r="14">
          <cell r="B14">
            <v>8148.3</v>
          </cell>
          <cell r="C14">
            <v>7867.54</v>
          </cell>
          <cell r="D14">
            <v>7906.6</v>
          </cell>
          <cell r="E14">
            <v>8237.54</v>
          </cell>
          <cell r="F14">
            <v>8484.3</v>
          </cell>
          <cell r="G14">
            <v>8180.16</v>
          </cell>
          <cell r="H14">
            <v>8178.72</v>
          </cell>
          <cell r="I14">
            <v>7465.3</v>
          </cell>
          <cell r="J14">
            <v>9150.44</v>
          </cell>
          <cell r="K14">
            <v>8958.22</v>
          </cell>
          <cell r="L14">
            <v>8086.96</v>
          </cell>
          <cell r="M14">
            <v>10018.28</v>
          </cell>
        </row>
        <row r="15">
          <cell r="B15">
            <v>1953.64</v>
          </cell>
          <cell r="C15">
            <v>1805.84</v>
          </cell>
          <cell r="D15">
            <v>2222.16</v>
          </cell>
          <cell r="E15">
            <v>3238.86</v>
          </cell>
          <cell r="F15">
            <v>2787.48</v>
          </cell>
          <cell r="G15">
            <v>2607.66</v>
          </cell>
          <cell r="H15">
            <v>2601.48</v>
          </cell>
          <cell r="I15">
            <v>2399.1</v>
          </cell>
          <cell r="J15">
            <v>2473.58</v>
          </cell>
          <cell r="K15">
            <v>1695.38</v>
          </cell>
          <cell r="L15">
            <v>1766.06</v>
          </cell>
          <cell r="M15">
            <v>2147.18</v>
          </cell>
        </row>
        <row r="16">
          <cell r="B16">
            <v>9522</v>
          </cell>
          <cell r="C16">
            <v>7515</v>
          </cell>
          <cell r="D16">
            <v>7457</v>
          </cell>
          <cell r="E16">
            <v>7782.573449491203</v>
          </cell>
          <cell r="F16">
            <v>7563</v>
          </cell>
          <cell r="G16">
            <v>7135</v>
          </cell>
          <cell r="H16">
            <v>6771</v>
          </cell>
          <cell r="I16">
            <v>7179</v>
          </cell>
          <cell r="J16">
            <v>7995</v>
          </cell>
          <cell r="K16">
            <v>8696</v>
          </cell>
          <cell r="L16">
            <v>8379</v>
          </cell>
          <cell r="M16">
            <v>8770</v>
          </cell>
        </row>
        <row r="17">
          <cell r="B17">
            <v>151.425</v>
          </cell>
          <cell r="C17">
            <v>151.6</v>
          </cell>
          <cell r="D17">
            <v>162.61228433200188</v>
          </cell>
          <cell r="E17">
            <v>183.4489702037991</v>
          </cell>
          <cell r="F17">
            <v>165.0263056921975</v>
          </cell>
          <cell r="G17">
            <v>152.125</v>
          </cell>
          <cell r="H17">
            <v>152.125</v>
          </cell>
          <cell r="I17">
            <v>153.325</v>
          </cell>
          <cell r="J17">
            <v>153.325</v>
          </cell>
          <cell r="K17">
            <v>153.325</v>
          </cell>
          <cell r="L17">
            <v>153.325</v>
          </cell>
          <cell r="M17">
            <v>153.325</v>
          </cell>
        </row>
        <row r="18">
          <cell r="B18">
            <v>3998.475</v>
          </cell>
          <cell r="C18">
            <v>4034.8</v>
          </cell>
          <cell r="D18">
            <v>4324.756524807304</v>
          </cell>
          <cell r="E18">
            <v>4904.511398544164</v>
          </cell>
          <cell r="F18">
            <v>4384.492656524548</v>
          </cell>
          <cell r="G18">
            <v>4056.75</v>
          </cell>
          <cell r="H18">
            <v>4075.9</v>
          </cell>
          <cell r="I18">
            <v>4096.525</v>
          </cell>
          <cell r="J18">
            <v>4088.3249999999994</v>
          </cell>
          <cell r="K18">
            <v>4105.075000000001</v>
          </cell>
          <cell r="L18">
            <v>4126.65</v>
          </cell>
          <cell r="M18">
            <v>4137.3</v>
          </cell>
        </row>
        <row r="19">
          <cell r="B19">
            <v>58.1</v>
          </cell>
          <cell r="C19">
            <v>58.1</v>
          </cell>
          <cell r="D19">
            <v>60.244669975402374</v>
          </cell>
          <cell r="E19">
            <v>70.38722251174329</v>
          </cell>
          <cell r="F19">
            <v>63.02730228901676</v>
          </cell>
          <cell r="G19">
            <v>60.2</v>
          </cell>
          <cell r="H19">
            <v>59.2</v>
          </cell>
          <cell r="I19">
            <v>60.2</v>
          </cell>
          <cell r="J19">
            <v>60.2</v>
          </cell>
          <cell r="K19">
            <v>61.35</v>
          </cell>
          <cell r="L19">
            <v>61.35</v>
          </cell>
          <cell r="M19">
            <v>61.35</v>
          </cell>
        </row>
        <row r="21">
          <cell r="B21">
            <v>0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0.72</v>
          </cell>
          <cell r="C22">
            <v>1.08</v>
          </cell>
          <cell r="D22">
            <v>445.08</v>
          </cell>
          <cell r="E22">
            <v>407.52</v>
          </cell>
          <cell r="F22">
            <v>471.84</v>
          </cell>
          <cell r="G22">
            <v>529.2</v>
          </cell>
          <cell r="H22">
            <v>522</v>
          </cell>
          <cell r="I22">
            <v>8.04</v>
          </cell>
          <cell r="J22">
            <v>1.26</v>
          </cell>
          <cell r="K22">
            <v>4.68</v>
          </cell>
          <cell r="L22">
            <v>0.36</v>
          </cell>
          <cell r="M22">
            <v>4.2</v>
          </cell>
        </row>
      </sheetData>
      <sheetData sheetId="3">
        <row r="9">
          <cell r="B9">
            <v>430985</v>
          </cell>
          <cell r="C9">
            <v>421259</v>
          </cell>
          <cell r="D9">
            <v>462909</v>
          </cell>
          <cell r="E9">
            <v>540697</v>
          </cell>
          <cell r="F9">
            <v>532666</v>
          </cell>
          <cell r="G9">
            <v>497392</v>
          </cell>
          <cell r="H9">
            <v>508669</v>
          </cell>
          <cell r="I9">
            <v>488048</v>
          </cell>
          <cell r="J9">
            <v>479405</v>
          </cell>
          <cell r="K9">
            <v>454013</v>
          </cell>
          <cell r="L9">
            <v>445596</v>
          </cell>
          <cell r="M9">
            <v>424060</v>
          </cell>
        </row>
        <row r="10">
          <cell r="B10">
            <v>62069</v>
          </cell>
          <cell r="C10">
            <v>59472</v>
          </cell>
          <cell r="D10">
            <v>67648</v>
          </cell>
          <cell r="E10">
            <v>70754</v>
          </cell>
          <cell r="F10">
            <v>75957</v>
          </cell>
          <cell r="G10">
            <v>70733</v>
          </cell>
          <cell r="H10">
            <v>74784</v>
          </cell>
          <cell r="I10">
            <v>79884</v>
          </cell>
          <cell r="J10">
            <v>78440</v>
          </cell>
          <cell r="K10">
            <v>73516</v>
          </cell>
          <cell r="L10">
            <v>75442</v>
          </cell>
          <cell r="M10">
            <v>69518</v>
          </cell>
        </row>
        <row r="11">
          <cell r="B11">
            <v>42213.533</v>
          </cell>
          <cell r="C11">
            <v>38131.536</v>
          </cell>
          <cell r="D11">
            <v>40192.88</v>
          </cell>
          <cell r="E11">
            <v>41407.342000000004</v>
          </cell>
          <cell r="F11">
            <v>37893.137</v>
          </cell>
          <cell r="G11">
            <v>38749.149</v>
          </cell>
          <cell r="H11">
            <v>42071.477</v>
          </cell>
          <cell r="I11">
            <v>41541.255999999994</v>
          </cell>
          <cell r="J11">
            <v>41131.289000000004</v>
          </cell>
          <cell r="K11">
            <v>40069.621</v>
          </cell>
          <cell r="L11">
            <v>42434.73</v>
          </cell>
          <cell r="M11">
            <v>42520.257</v>
          </cell>
        </row>
        <row r="12">
          <cell r="B12">
            <v>5738.34</v>
          </cell>
          <cell r="C12">
            <v>5627.48</v>
          </cell>
          <cell r="D12">
            <v>5646.22</v>
          </cell>
          <cell r="E12">
            <v>5638.96</v>
          </cell>
          <cell r="F12">
            <v>5458.98</v>
          </cell>
          <cell r="G12">
            <v>5493.58</v>
          </cell>
          <cell r="H12">
            <v>5806</v>
          </cell>
          <cell r="I12">
            <v>5816.16</v>
          </cell>
          <cell r="J12">
            <v>5960.16</v>
          </cell>
          <cell r="K12">
            <v>6277.44</v>
          </cell>
          <cell r="L12">
            <v>6260.64</v>
          </cell>
          <cell r="M12">
            <v>6419.48</v>
          </cell>
        </row>
        <row r="13">
          <cell r="B13">
            <v>7585.9</v>
          </cell>
          <cell r="C13">
            <v>7153.9</v>
          </cell>
          <cell r="D13">
            <v>7002.72</v>
          </cell>
          <cell r="E13">
            <v>6652.8</v>
          </cell>
          <cell r="F13">
            <v>6963.84</v>
          </cell>
          <cell r="G13">
            <v>6600.96</v>
          </cell>
          <cell r="H13">
            <v>6730.56</v>
          </cell>
          <cell r="I13">
            <v>7032.9</v>
          </cell>
          <cell r="J13">
            <v>7240.32</v>
          </cell>
          <cell r="K13">
            <v>7836.4</v>
          </cell>
          <cell r="L13">
            <v>8354.88</v>
          </cell>
          <cell r="M13">
            <v>8341.92</v>
          </cell>
        </row>
        <row r="14">
          <cell r="B14">
            <v>8148.3</v>
          </cell>
          <cell r="C14">
            <v>7867.54</v>
          </cell>
          <cell r="D14">
            <v>7906.6</v>
          </cell>
          <cell r="E14">
            <v>8237.54</v>
          </cell>
          <cell r="F14">
            <v>8458.88</v>
          </cell>
          <cell r="G14">
            <v>8180.16</v>
          </cell>
          <cell r="H14">
            <v>7914.66</v>
          </cell>
          <cell r="I14">
            <v>7465.3</v>
          </cell>
          <cell r="J14">
            <v>7703.06</v>
          </cell>
          <cell r="K14">
            <v>7718.44</v>
          </cell>
          <cell r="L14">
            <v>7724.12</v>
          </cell>
          <cell r="M14">
            <v>7773</v>
          </cell>
        </row>
        <row r="15">
          <cell r="B15">
            <v>2193.64</v>
          </cell>
          <cell r="C15">
            <v>2059.84</v>
          </cell>
          <cell r="D15">
            <v>2502.16</v>
          </cell>
          <cell r="E15">
            <v>3502.86</v>
          </cell>
          <cell r="F15">
            <v>2986.48</v>
          </cell>
          <cell r="G15">
            <v>2832.66</v>
          </cell>
          <cell r="H15">
            <v>2919.48</v>
          </cell>
          <cell r="I15">
            <v>2684.1</v>
          </cell>
          <cell r="J15">
            <v>2717.58</v>
          </cell>
          <cell r="K15">
            <v>1879.38</v>
          </cell>
          <cell r="L15">
            <v>2000.06</v>
          </cell>
          <cell r="M15">
            <v>2408.18</v>
          </cell>
        </row>
        <row r="16">
          <cell r="B16">
            <v>13632</v>
          </cell>
          <cell r="C16">
            <v>11904</v>
          </cell>
          <cell r="D16">
            <v>12438</v>
          </cell>
          <cell r="E16">
            <v>12245</v>
          </cell>
          <cell r="F16">
            <v>11272</v>
          </cell>
          <cell r="G16">
            <v>11172</v>
          </cell>
          <cell r="H16">
            <v>12302</v>
          </cell>
          <cell r="I16">
            <v>12318</v>
          </cell>
          <cell r="J16">
            <v>12501</v>
          </cell>
          <cell r="K16">
            <v>12002</v>
          </cell>
          <cell r="L16">
            <v>12464</v>
          </cell>
          <cell r="M16">
            <v>13167</v>
          </cell>
        </row>
        <row r="17">
          <cell r="B17">
            <v>151.425</v>
          </cell>
          <cell r="C17">
            <v>151.6</v>
          </cell>
          <cell r="D17">
            <v>151.425</v>
          </cell>
          <cell r="E17">
            <v>151.425</v>
          </cell>
          <cell r="F17">
            <v>152.125</v>
          </cell>
          <cell r="G17">
            <v>152.125</v>
          </cell>
          <cell r="H17">
            <v>152.125</v>
          </cell>
          <cell r="I17">
            <v>153.325</v>
          </cell>
          <cell r="J17">
            <v>153.325</v>
          </cell>
          <cell r="K17">
            <v>153.325</v>
          </cell>
          <cell r="L17">
            <v>153.325</v>
          </cell>
          <cell r="M17">
            <v>153.325</v>
          </cell>
        </row>
        <row r="18">
          <cell r="B18">
            <v>3998.475</v>
          </cell>
          <cell r="C18">
            <v>4034.8</v>
          </cell>
          <cell r="D18">
            <v>4027.2249999999995</v>
          </cell>
          <cell r="E18">
            <v>4048.35</v>
          </cell>
          <cell r="F18">
            <v>4041.725</v>
          </cell>
          <cell r="G18">
            <v>4056.75</v>
          </cell>
          <cell r="H18">
            <v>4075.9</v>
          </cell>
          <cell r="I18">
            <v>4096.525</v>
          </cell>
          <cell r="J18">
            <v>4088.3249999999994</v>
          </cell>
          <cell r="K18">
            <v>4105.075000000001</v>
          </cell>
          <cell r="L18">
            <v>4126.65</v>
          </cell>
          <cell r="M18">
            <v>4137.3</v>
          </cell>
        </row>
        <row r="19">
          <cell r="B19">
            <v>58.1</v>
          </cell>
          <cell r="C19">
            <v>58.1</v>
          </cell>
          <cell r="D19">
            <v>56.1</v>
          </cell>
          <cell r="E19">
            <v>58.1</v>
          </cell>
          <cell r="F19">
            <v>58.1</v>
          </cell>
          <cell r="G19">
            <v>60.2</v>
          </cell>
          <cell r="H19">
            <v>59.2</v>
          </cell>
          <cell r="I19">
            <v>60.2</v>
          </cell>
          <cell r="J19">
            <v>60.2</v>
          </cell>
          <cell r="K19">
            <v>61.35</v>
          </cell>
          <cell r="L19">
            <v>61.35</v>
          </cell>
          <cell r="M19">
            <v>61.35</v>
          </cell>
        </row>
        <row r="20">
          <cell r="B20">
            <v>2233</v>
          </cell>
          <cell r="C20">
            <v>6699</v>
          </cell>
          <cell r="D20">
            <v>8925</v>
          </cell>
          <cell r="E20">
            <v>9989</v>
          </cell>
          <cell r="F20">
            <v>10255</v>
          </cell>
          <cell r="G20">
            <v>10325</v>
          </cell>
          <cell r="H20">
            <v>10374</v>
          </cell>
          <cell r="I20">
            <v>8820</v>
          </cell>
          <cell r="J20">
            <v>5544</v>
          </cell>
          <cell r="K20">
            <v>1463</v>
          </cell>
          <cell r="L20">
            <v>721</v>
          </cell>
          <cell r="M20">
            <v>714</v>
          </cell>
        </row>
        <row r="21">
          <cell r="B21">
            <v>0</v>
          </cell>
          <cell r="C21">
            <v>0</v>
          </cell>
          <cell r="D21">
            <v>14</v>
          </cell>
          <cell r="E21">
            <v>14</v>
          </cell>
          <cell r="F21">
            <v>14</v>
          </cell>
          <cell r="G21">
            <v>14</v>
          </cell>
          <cell r="H21">
            <v>14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0.12</v>
          </cell>
          <cell r="C22">
            <v>1.08</v>
          </cell>
          <cell r="D22">
            <v>445.08</v>
          </cell>
          <cell r="E22">
            <v>407.52</v>
          </cell>
          <cell r="F22">
            <v>471.84</v>
          </cell>
          <cell r="G22">
            <v>529.2</v>
          </cell>
          <cell r="H22">
            <v>522</v>
          </cell>
          <cell r="I22">
            <v>8.04</v>
          </cell>
          <cell r="J22">
            <v>0.96</v>
          </cell>
          <cell r="K22">
            <v>4.68</v>
          </cell>
          <cell r="L22">
            <v>0.36</v>
          </cell>
          <cell r="M22">
            <v>4.2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201</v>
          </cell>
        </row>
        <row r="8">
          <cell r="G8">
            <v>153</v>
          </cell>
        </row>
        <row r="9">
          <cell r="G9">
            <v>200</v>
          </cell>
        </row>
        <row r="10">
          <cell r="G10">
            <v>266</v>
          </cell>
        </row>
        <row r="11">
          <cell r="G11">
            <v>345</v>
          </cell>
        </row>
        <row r="12">
          <cell r="G12">
            <v>397</v>
          </cell>
        </row>
        <row r="13">
          <cell r="G13">
            <v>567</v>
          </cell>
        </row>
        <row r="14">
          <cell r="G14">
            <v>85</v>
          </cell>
        </row>
        <row r="15">
          <cell r="G15">
            <v>100</v>
          </cell>
        </row>
        <row r="16">
          <cell r="G16">
            <v>140</v>
          </cell>
        </row>
        <row r="17">
          <cell r="G17">
            <v>180</v>
          </cell>
        </row>
        <row r="18">
          <cell r="G18">
            <v>120</v>
          </cell>
        </row>
        <row r="19">
          <cell r="G19">
            <v>170</v>
          </cell>
        </row>
        <row r="20">
          <cell r="G20">
            <v>210</v>
          </cell>
        </row>
        <row r="21">
          <cell r="G21">
            <v>266</v>
          </cell>
        </row>
        <row r="22">
          <cell r="G22">
            <v>310</v>
          </cell>
        </row>
        <row r="23">
          <cell r="G23">
            <v>310</v>
          </cell>
        </row>
        <row r="24">
          <cell r="G24">
            <v>360</v>
          </cell>
        </row>
        <row r="25">
          <cell r="G25">
            <v>490</v>
          </cell>
        </row>
        <row r="26">
          <cell r="G26">
            <v>540</v>
          </cell>
        </row>
        <row r="27">
          <cell r="G27">
            <v>670</v>
          </cell>
        </row>
        <row r="28">
          <cell r="G28">
            <v>840</v>
          </cell>
        </row>
        <row r="29">
          <cell r="G29">
            <v>1090</v>
          </cell>
        </row>
        <row r="30">
          <cell r="G30">
            <v>1200</v>
          </cell>
        </row>
        <row r="31">
          <cell r="G31">
            <v>70</v>
          </cell>
        </row>
        <row r="32">
          <cell r="G32">
            <v>150</v>
          </cell>
        </row>
        <row r="33">
          <cell r="G33">
            <v>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nthly"/>
      <sheetName val="summary"/>
      <sheetName val="average use"/>
      <sheetName val="power"/>
      <sheetName val="additional"/>
    </sheetNames>
    <sheetDataSet>
      <sheetData sheetId="5">
        <row r="41">
          <cell r="F41">
            <v>0.027118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26"/>
  <sheetViews>
    <sheetView workbookViewId="0" topLeftCell="A1">
      <selection activeCell="H6" sqref="H6"/>
    </sheetView>
  </sheetViews>
  <sheetFormatPr defaultColWidth="9.140625" defaultRowHeight="12.75"/>
  <cols>
    <col min="1" max="1" width="5.140625" style="89" customWidth="1"/>
    <col min="2" max="2" width="2.8515625" style="105" customWidth="1"/>
    <col min="3" max="3" width="5.140625" style="89" customWidth="1"/>
    <col min="4" max="4" width="3.8515625" style="89" customWidth="1"/>
    <col min="5" max="16384" width="8.8515625" style="89" customWidth="1"/>
  </cols>
  <sheetData>
    <row r="10" spans="1:7" ht="15.75">
      <c r="A10" s="235" t="s">
        <v>584</v>
      </c>
      <c r="B10" s="235"/>
      <c r="C10" s="235"/>
      <c r="E10" s="234" t="s">
        <v>0</v>
      </c>
      <c r="F10" s="233"/>
      <c r="G10" s="233"/>
    </row>
    <row r="11" ht="15">
      <c r="E11" s="89" t="s">
        <v>24</v>
      </c>
    </row>
    <row r="12" spans="2:5" ht="15">
      <c r="B12" s="105">
        <v>1</v>
      </c>
      <c r="E12" s="89" t="s">
        <v>585</v>
      </c>
    </row>
    <row r="14" spans="2:5" ht="15">
      <c r="B14" s="105">
        <v>2</v>
      </c>
      <c r="E14" s="89" t="s">
        <v>586</v>
      </c>
    </row>
    <row r="16" spans="2:5" ht="15">
      <c r="B16" s="105">
        <v>3</v>
      </c>
      <c r="E16" s="89" t="s">
        <v>592</v>
      </c>
    </row>
    <row r="18" spans="2:5" ht="15">
      <c r="B18" s="105">
        <v>4</v>
      </c>
      <c r="E18" s="89" t="s">
        <v>587</v>
      </c>
    </row>
    <row r="20" spans="2:5" ht="15">
      <c r="B20" s="105">
        <v>5</v>
      </c>
      <c r="E20" s="89" t="s">
        <v>588</v>
      </c>
    </row>
    <row r="22" spans="2:5" ht="15">
      <c r="B22" s="105">
        <v>6</v>
      </c>
      <c r="E22" s="89" t="s">
        <v>589</v>
      </c>
    </row>
    <row r="24" spans="2:5" ht="15">
      <c r="B24" s="105">
        <v>7</v>
      </c>
      <c r="E24" s="89" t="s">
        <v>590</v>
      </c>
    </row>
    <row r="26" spans="2:5" ht="15">
      <c r="B26" s="105">
        <v>8</v>
      </c>
      <c r="E26" s="89" t="s">
        <v>591</v>
      </c>
    </row>
  </sheetData>
  <mergeCells count="1">
    <mergeCell ref="A10:C10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&amp;C&amp;"Arial,Bold"&amp;14SOUTH KENTUCKY RECC
CASE NO. 2005-00450
INDEX TO
COST OF SERVICE STUDY&amp;R&amp;"Arial,Bold"&amp;12Exhibit 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22" sqref="K22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0.9113462634812249</v>
      </c>
    </row>
    <row r="5" spans="1:2" ht="12.75">
      <c r="A5" s="53" t="s">
        <v>94</v>
      </c>
      <c r="B5" s="53">
        <v>0.8305520119611903</v>
      </c>
    </row>
    <row r="6" spans="1:2" ht="12.75">
      <c r="A6" s="53" t="s">
        <v>292</v>
      </c>
      <c r="B6" s="53">
        <v>0.8063451565270746</v>
      </c>
    </row>
    <row r="7" spans="1:2" ht="12.75">
      <c r="A7" s="53" t="s">
        <v>293</v>
      </c>
      <c r="B7" s="53">
        <v>96.48282156159716</v>
      </c>
    </row>
    <row r="8" spans="1:2" ht="13.5" thickBot="1">
      <c r="A8" s="54" t="s">
        <v>294</v>
      </c>
      <c r="B8" s="54">
        <v>9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319395.2471569086</v>
      </c>
      <c r="D12" s="53">
        <v>319395.2471569086</v>
      </c>
      <c r="E12" s="53">
        <v>34.310611480360265</v>
      </c>
      <c r="F12" s="53">
        <v>0.0006258033433780473</v>
      </c>
    </row>
    <row r="13" spans="1:6" ht="12.75">
      <c r="A13" s="53" t="s">
        <v>483</v>
      </c>
      <c r="B13" s="53">
        <v>7</v>
      </c>
      <c r="C13" s="53">
        <v>65162.54399540898</v>
      </c>
      <c r="D13" s="53">
        <v>9308.934856486998</v>
      </c>
      <c r="E13" s="53"/>
      <c r="F13" s="53"/>
    </row>
    <row r="14" spans="1:6" ht="13.5" thickBot="1">
      <c r="A14" s="54" t="s">
        <v>114</v>
      </c>
      <c r="B14" s="54">
        <v>8</v>
      </c>
      <c r="C14" s="54">
        <v>384557.7911523176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123.62288859605789</v>
      </c>
      <c r="C17" s="53">
        <v>49.03411278100033</v>
      </c>
      <c r="D17" s="53">
        <v>2.5211609139986133</v>
      </c>
      <c r="E17" s="53">
        <v>0.03974303640121996</v>
      </c>
      <c r="F17" s="53">
        <v>7.675636390320548</v>
      </c>
      <c r="G17" s="53">
        <v>239.57014080179522</v>
      </c>
      <c r="H17" s="53">
        <v>7.675636390320548</v>
      </c>
      <c r="I17" s="53">
        <v>239.57014080179522</v>
      </c>
    </row>
    <row r="18" spans="1:9" ht="13.5" thickBot="1">
      <c r="A18" s="54" t="s">
        <v>297</v>
      </c>
      <c r="B18" s="54">
        <v>12.044946621419129</v>
      </c>
      <c r="C18" s="54">
        <v>2.0563197686423624</v>
      </c>
      <c r="D18" s="54">
        <v>5.857526054603621</v>
      </c>
      <c r="E18" s="54">
        <v>0.000625803343378047</v>
      </c>
      <c r="F18" s="54">
        <v>7.182523028780905</v>
      </c>
      <c r="G18" s="54">
        <v>16.90737021405735</v>
      </c>
      <c r="H18" s="54">
        <v>7.182523028780905</v>
      </c>
      <c r="I18" s="54">
        <v>16.90737021405735</v>
      </c>
    </row>
    <row r="25" ht="12.75">
      <c r="K25">
        <v>77369287</v>
      </c>
    </row>
    <row r="26" ht="12.75">
      <c r="K26">
        <v>73627928</v>
      </c>
    </row>
    <row r="27" ht="12.75">
      <c r="K27">
        <f>(K25-K26)</f>
        <v>3741359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E4" sqref="E4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0.8815689661116375</v>
      </c>
    </row>
    <row r="5" spans="1:2" ht="12.75">
      <c r="A5" s="53" t="s">
        <v>94</v>
      </c>
      <c r="B5" s="53">
        <v>0.7771638420111415</v>
      </c>
    </row>
    <row r="6" spans="1:2" ht="12.75">
      <c r="A6" s="53" t="s">
        <v>292</v>
      </c>
      <c r="B6" s="53">
        <v>0.7453301051555903</v>
      </c>
    </row>
    <row r="7" spans="1:2" ht="12.75">
      <c r="A7" s="53" t="s">
        <v>293</v>
      </c>
      <c r="B7" s="53">
        <v>0.18655972953276798</v>
      </c>
    </row>
    <row r="8" spans="1:2" ht="13.5" thickBot="1">
      <c r="A8" s="54" t="s">
        <v>294</v>
      </c>
      <c r="B8" s="54">
        <v>9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0.8496905174005572</v>
      </c>
      <c r="D12" s="53">
        <v>0.8496905174005572</v>
      </c>
      <c r="E12" s="53">
        <v>24.413214368693204</v>
      </c>
      <c r="F12" s="53">
        <v>0.001673292065862797</v>
      </c>
    </row>
    <row r="13" spans="1:6" ht="12.75">
      <c r="A13" s="53" t="s">
        <v>483</v>
      </c>
      <c r="B13" s="53">
        <v>7</v>
      </c>
      <c r="C13" s="53">
        <v>0.2436317287833768</v>
      </c>
      <c r="D13" s="53">
        <v>0.034804532683339544</v>
      </c>
      <c r="E13" s="53"/>
      <c r="F13" s="53"/>
    </row>
    <row r="14" spans="1:6" ht="13.5" thickBot="1">
      <c r="A14" s="54" t="s">
        <v>114</v>
      </c>
      <c r="B14" s="54">
        <v>8</v>
      </c>
      <c r="C14" s="54">
        <v>1.093322246183934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-0.2298334996102242</v>
      </c>
      <c r="C17" s="53">
        <v>0.13008802714942666</v>
      </c>
      <c r="D17" s="53">
        <v>-1.7667536716981964</v>
      </c>
      <c r="E17" s="53">
        <v>0.12060694608799728</v>
      </c>
      <c r="F17" s="53">
        <v>-0.537442803365912</v>
      </c>
      <c r="G17" s="53">
        <v>0.07777580414546353</v>
      </c>
      <c r="H17" s="53">
        <v>-0.537442803365912</v>
      </c>
      <c r="I17" s="53">
        <v>0.07777580414546353</v>
      </c>
    </row>
    <row r="18" spans="1:9" ht="13.5" thickBot="1">
      <c r="A18" s="54" t="s">
        <v>297</v>
      </c>
      <c r="B18" s="54">
        <v>0.0021630794115686013</v>
      </c>
      <c r="C18" s="54">
        <v>0.0004377840970811481</v>
      </c>
      <c r="D18" s="54">
        <v>4.940973018413802</v>
      </c>
      <c r="E18" s="54">
        <v>0.0016732920658627992</v>
      </c>
      <c r="F18" s="54">
        <v>0.0011278845189305674</v>
      </c>
      <c r="G18" s="54">
        <v>0.0031982743042066352</v>
      </c>
      <c r="H18" s="54">
        <v>0.0011278845189305674</v>
      </c>
      <c r="I18" s="54">
        <v>0.0031982743042066352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29" sqref="C29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0.8165244065762635</v>
      </c>
    </row>
    <row r="5" spans="1:2" ht="12.75">
      <c r="A5" s="53" t="s">
        <v>94</v>
      </c>
      <c r="B5" s="53">
        <v>0.6667121065347191</v>
      </c>
    </row>
    <row r="6" spans="1:2" ht="12.75">
      <c r="A6" s="53" t="s">
        <v>292</v>
      </c>
      <c r="B6" s="53">
        <v>0.6429058284300562</v>
      </c>
    </row>
    <row r="7" spans="1:2" ht="12.75">
      <c r="A7" s="53" t="s">
        <v>293</v>
      </c>
      <c r="B7" s="53">
        <v>197.449401112521</v>
      </c>
    </row>
    <row r="8" spans="1:2" ht="13.5" thickBot="1">
      <c r="A8" s="54" t="s">
        <v>294</v>
      </c>
      <c r="B8" s="54">
        <v>16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1091838.6913024932</v>
      </c>
      <c r="D12" s="53">
        <v>1091838.6913024932</v>
      </c>
      <c r="E12" s="53">
        <v>28.00572620396847</v>
      </c>
      <c r="F12" s="53">
        <v>0.00011380176596382193</v>
      </c>
    </row>
    <row r="13" spans="1:6" ht="12.75">
      <c r="A13" s="53" t="s">
        <v>483</v>
      </c>
      <c r="B13" s="53">
        <v>14</v>
      </c>
      <c r="C13" s="53">
        <v>545807.723995705</v>
      </c>
      <c r="D13" s="53">
        <v>38986.26599969321</v>
      </c>
      <c r="E13" s="53"/>
      <c r="F13" s="53"/>
    </row>
    <row r="14" spans="1:6" ht="13.5" thickBot="1">
      <c r="A14" s="54" t="s">
        <v>114</v>
      </c>
      <c r="B14" s="54">
        <v>15</v>
      </c>
      <c r="C14" s="54">
        <v>1637646.4152981983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129.83439700517238</v>
      </c>
      <c r="C17" s="53">
        <v>70.84673508301013</v>
      </c>
      <c r="D17" s="53">
        <v>1.8326094611564983</v>
      </c>
      <c r="E17" s="53">
        <v>0.08821174812203694</v>
      </c>
      <c r="F17" s="53">
        <v>-22.11673681318797</v>
      </c>
      <c r="G17" s="53">
        <v>281.7855308235327</v>
      </c>
      <c r="H17" s="53">
        <v>-22.11673681318797</v>
      </c>
      <c r="I17" s="53">
        <v>281.7855308235327</v>
      </c>
    </row>
    <row r="18" spans="1:9" ht="13.5" thickBot="1">
      <c r="A18" s="54" t="s">
        <v>297</v>
      </c>
      <c r="B18" s="54">
        <v>16.330252127580206</v>
      </c>
      <c r="C18" s="54">
        <v>3.085812050363426</v>
      </c>
      <c r="D18" s="54">
        <v>5.292043669884865</v>
      </c>
      <c r="E18" s="54">
        <v>0.00011380176596382171</v>
      </c>
      <c r="F18" s="54">
        <v>9.711843541020968</v>
      </c>
      <c r="G18" s="54">
        <v>22.948660714139443</v>
      </c>
      <c r="H18" s="54">
        <v>9.711843541020968</v>
      </c>
      <c r="I18" s="54">
        <v>22.948660714139443</v>
      </c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7" sqref="A17:B18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0.9704298611995518</v>
      </c>
    </row>
    <row r="5" spans="1:2" ht="12.75">
      <c r="A5" s="53" t="s">
        <v>94</v>
      </c>
      <c r="B5" s="53">
        <v>0.9417341155077813</v>
      </c>
    </row>
    <row r="6" spans="1:2" ht="12.75">
      <c r="A6" s="53" t="s">
        <v>292</v>
      </c>
      <c r="B6" s="53">
        <v>0.9344508799462539</v>
      </c>
    </row>
    <row r="7" spans="1:2" ht="12.75">
      <c r="A7" s="53" t="s">
        <v>293</v>
      </c>
      <c r="B7" s="53">
        <v>31.44692402321332</v>
      </c>
    </row>
    <row r="8" spans="1:2" ht="13.5" thickBot="1">
      <c r="A8" s="54" t="s">
        <v>294</v>
      </c>
      <c r="B8" s="54">
        <v>10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127867.53405251144</v>
      </c>
      <c r="D12" s="53">
        <v>127867.53405251144</v>
      </c>
      <c r="E12" s="53">
        <v>129.30161431031547</v>
      </c>
      <c r="F12" s="53">
        <v>3.2277274271844195E-06</v>
      </c>
    </row>
    <row r="13" spans="1:6" ht="12.75">
      <c r="A13" s="53" t="s">
        <v>483</v>
      </c>
      <c r="B13" s="53">
        <v>8</v>
      </c>
      <c r="C13" s="53">
        <v>7911.272244174008</v>
      </c>
      <c r="D13" s="53">
        <v>988.909030521751</v>
      </c>
      <c r="E13" s="53"/>
      <c r="F13" s="53"/>
    </row>
    <row r="14" spans="1:6" ht="13.5" thickBot="1">
      <c r="A14" s="54" t="s">
        <v>114</v>
      </c>
      <c r="B14" s="54">
        <v>9</v>
      </c>
      <c r="C14" s="54">
        <v>135778.80629668545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-94.73790230358622</v>
      </c>
      <c r="C17" s="53">
        <v>34.361278331318424</v>
      </c>
      <c r="D17" s="53">
        <v>-2.757112275920125</v>
      </c>
      <c r="E17" s="53">
        <v>0.024785078747995494</v>
      </c>
      <c r="F17" s="53">
        <v>-173.9751521610479</v>
      </c>
      <c r="G17" s="53">
        <v>-15.500652446124548</v>
      </c>
      <c r="H17" s="53">
        <v>-173.9751521610479</v>
      </c>
      <c r="I17" s="53">
        <v>-15.500652446124548</v>
      </c>
    </row>
    <row r="18" spans="1:9" ht="13.5" thickBot="1">
      <c r="A18" s="54" t="s">
        <v>297</v>
      </c>
      <c r="B18" s="54">
        <v>7.8737780097404455</v>
      </c>
      <c r="C18" s="54">
        <v>0.6924384774847907</v>
      </c>
      <c r="D18" s="54">
        <v>11.371086769096236</v>
      </c>
      <c r="E18" s="54">
        <v>3.227727427184422E-06</v>
      </c>
      <c r="F18" s="54">
        <v>6.27701201860517</v>
      </c>
      <c r="G18" s="54">
        <v>9.470544000875721</v>
      </c>
      <c r="H18" s="54">
        <v>6.27701201860517</v>
      </c>
      <c r="I18" s="54">
        <v>9.470544000875721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311"/>
  <sheetViews>
    <sheetView view="pageBreakPreview" zoomScale="60" workbookViewId="0" topLeftCell="A5">
      <selection activeCell="H150" sqref="H150"/>
    </sheetView>
  </sheetViews>
  <sheetFormatPr defaultColWidth="9.140625" defaultRowHeight="12.75"/>
  <cols>
    <col min="1" max="1" width="11.7109375" style="5" customWidth="1"/>
    <col min="2" max="2" width="11.57421875" style="5" customWidth="1"/>
    <col min="3" max="3" width="4.7109375" style="5" customWidth="1"/>
    <col min="4" max="4" width="16.57421875" style="6" customWidth="1"/>
    <col min="5" max="5" width="19.00390625" style="5" customWidth="1"/>
    <col min="6" max="6" width="18.57421875" style="5" customWidth="1"/>
    <col min="7" max="7" width="15.140625" style="5" customWidth="1"/>
    <col min="8" max="8" width="16.00390625" style="5" customWidth="1"/>
    <col min="9" max="9" width="11.28125" style="5" customWidth="1"/>
    <col min="10" max="10" width="9.8515625" style="5" customWidth="1"/>
    <col min="11" max="11" width="12.28125" style="5" customWidth="1"/>
    <col min="12" max="12" width="14.00390625" style="5" bestFit="1" customWidth="1"/>
    <col min="13" max="13" width="11.421875" style="5" bestFit="1" customWidth="1"/>
    <col min="14" max="14" width="13.140625" style="5" customWidth="1"/>
    <col min="15" max="15" width="9.28125" style="5" bestFit="1" customWidth="1"/>
    <col min="16" max="16" width="9.140625" style="5" customWidth="1"/>
    <col min="17" max="17" width="10.140625" style="5" customWidth="1"/>
    <col min="18" max="16384" width="9.140625" style="5" customWidth="1"/>
  </cols>
  <sheetData>
    <row r="3" spans="1:15" ht="12.75">
      <c r="A3" s="11"/>
      <c r="B3" s="11"/>
      <c r="C3" s="11"/>
      <c r="D3" s="252" t="s">
        <v>313</v>
      </c>
      <c r="E3" s="252"/>
      <c r="F3" s="252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11"/>
      <c r="B4" s="11"/>
      <c r="C4" s="11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38" t="s">
        <v>88</v>
      </c>
      <c r="B5" s="38" t="s">
        <v>89</v>
      </c>
      <c r="C5" s="38"/>
      <c r="D5" s="24" t="s">
        <v>90</v>
      </c>
      <c r="E5" s="38" t="s">
        <v>92</v>
      </c>
      <c r="F5" s="38" t="s">
        <v>91</v>
      </c>
      <c r="G5" s="38" t="s">
        <v>100</v>
      </c>
      <c r="H5" s="11"/>
      <c r="I5" s="38" t="s">
        <v>24</v>
      </c>
      <c r="J5" s="11"/>
      <c r="K5" s="11"/>
      <c r="L5" s="11"/>
      <c r="M5" s="11"/>
      <c r="N5" s="28" t="s">
        <v>24</v>
      </c>
      <c r="O5" s="11"/>
    </row>
    <row r="6" spans="1:15" ht="12.75">
      <c r="A6" s="11"/>
      <c r="B6" s="11"/>
      <c r="C6" s="11"/>
      <c r="D6" s="9"/>
      <c r="E6" s="38" t="s">
        <v>93</v>
      </c>
      <c r="F6" s="11"/>
      <c r="G6" s="38" t="s">
        <v>98</v>
      </c>
      <c r="H6" s="11"/>
      <c r="I6" s="2"/>
      <c r="J6" s="2"/>
      <c r="K6" s="37" t="s">
        <v>24</v>
      </c>
      <c r="L6" s="37" t="s">
        <v>24</v>
      </c>
      <c r="M6" s="37" t="s">
        <v>24</v>
      </c>
      <c r="N6" s="37" t="s">
        <v>24</v>
      </c>
      <c r="O6" s="11"/>
    </row>
    <row r="7" spans="1:15" ht="12.75">
      <c r="A7" s="11">
        <v>25</v>
      </c>
      <c r="B7" s="11">
        <v>25</v>
      </c>
      <c r="C7" s="11"/>
      <c r="D7" s="9">
        <v>1360328</v>
      </c>
      <c r="E7" s="38">
        <v>17512</v>
      </c>
      <c r="F7" s="11">
        <f aca="true" t="shared" si="0" ref="F7:F16">(D7/E7)</f>
        <v>77.67976244860667</v>
      </c>
      <c r="G7" s="11">
        <f>($E$24+(B7*$E$23))</f>
        <v>102.10654793992492</v>
      </c>
      <c r="H7" s="11"/>
      <c r="I7" s="2"/>
      <c r="J7" s="2"/>
      <c r="K7" s="37"/>
      <c r="L7" s="37"/>
      <c r="M7" s="37"/>
      <c r="N7" s="37"/>
      <c r="O7" s="11"/>
    </row>
    <row r="8" spans="1:15" ht="12.75">
      <c r="A8" s="11">
        <v>30</v>
      </c>
      <c r="B8" s="11">
        <f>(A8)</f>
        <v>30</v>
      </c>
      <c r="C8" s="11"/>
      <c r="D8" s="9">
        <v>5766054.32</v>
      </c>
      <c r="E8" s="11">
        <v>30837</v>
      </c>
      <c r="F8" s="11">
        <f>(D8/E8)</f>
        <v>186.98493108927588</v>
      </c>
      <c r="G8" s="11">
        <f>($E$24+(B8*$E$23))</f>
        <v>141.47543798862714</v>
      </c>
      <c r="H8" s="11"/>
      <c r="I8" s="2"/>
      <c r="J8" s="2">
        <v>0</v>
      </c>
      <c r="K8" s="11">
        <f aca="true" t="shared" si="1" ref="K8:K14">($E$24+(J8*$E$23))</f>
        <v>-94.73790230358622</v>
      </c>
      <c r="L8" s="28" t="s">
        <v>24</v>
      </c>
      <c r="M8" s="11">
        <f>(B7)</f>
        <v>25</v>
      </c>
      <c r="N8" s="28">
        <f>(F7)</f>
        <v>77.67976244860667</v>
      </c>
      <c r="O8" s="11"/>
    </row>
    <row r="9" spans="1:15" ht="12.75">
      <c r="A9" s="11">
        <v>35</v>
      </c>
      <c r="B9" s="11">
        <f aca="true" t="shared" si="2" ref="B9:B16">(A9)</f>
        <v>35</v>
      </c>
      <c r="C9" s="11"/>
      <c r="D9" s="9">
        <v>4650638.15</v>
      </c>
      <c r="E9" s="11">
        <v>33742</v>
      </c>
      <c r="F9" s="11">
        <f t="shared" si="0"/>
        <v>137.82935658822834</v>
      </c>
      <c r="G9" s="11">
        <f aca="true" t="shared" si="3" ref="G9:G16">($E$24+(B9*$E$23))</f>
        <v>180.84432803732938</v>
      </c>
      <c r="H9" s="11"/>
      <c r="I9" s="2"/>
      <c r="J9" s="2">
        <v>5</v>
      </c>
      <c r="K9" s="11">
        <f t="shared" si="1"/>
        <v>-55.369012254884</v>
      </c>
      <c r="L9" s="28" t="s">
        <v>24</v>
      </c>
      <c r="M9" s="11">
        <f aca="true" t="shared" si="4" ref="M9:M14">(B8)</f>
        <v>30</v>
      </c>
      <c r="N9" s="28">
        <f aca="true" t="shared" si="5" ref="N9:N14">(F8)</f>
        <v>186.98493108927588</v>
      </c>
      <c r="O9" s="11"/>
    </row>
    <row r="10" spans="1:15" ht="12.75">
      <c r="A10" s="11">
        <v>40</v>
      </c>
      <c r="B10" s="11">
        <f t="shared" si="2"/>
        <v>40</v>
      </c>
      <c r="C10" s="11"/>
      <c r="D10" s="9">
        <v>10962500.55</v>
      </c>
      <c r="E10" s="11">
        <v>42621</v>
      </c>
      <c r="F10" s="11">
        <f t="shared" si="0"/>
        <v>257.20890054198634</v>
      </c>
      <c r="G10" s="11">
        <f t="shared" si="3"/>
        <v>220.2132180860316</v>
      </c>
      <c r="H10" s="11"/>
      <c r="I10" s="2"/>
      <c r="J10" s="2">
        <v>10</v>
      </c>
      <c r="K10" s="11">
        <f t="shared" si="1"/>
        <v>-16.00012220618177</v>
      </c>
      <c r="L10" s="28" t="s">
        <v>24</v>
      </c>
      <c r="M10" s="11">
        <f t="shared" si="4"/>
        <v>35</v>
      </c>
      <c r="N10" s="28">
        <f t="shared" si="5"/>
        <v>137.82935658822834</v>
      </c>
      <c r="O10" s="11"/>
    </row>
    <row r="11" spans="1:15" ht="12.75">
      <c r="A11" s="11">
        <v>45</v>
      </c>
      <c r="B11" s="11">
        <f t="shared" si="2"/>
        <v>45</v>
      </c>
      <c r="C11" s="11"/>
      <c r="D11" s="9">
        <v>3707865.34</v>
      </c>
      <c r="E11" s="11">
        <v>14285</v>
      </c>
      <c r="F11" s="11">
        <f t="shared" si="0"/>
        <v>259.5635519775989</v>
      </c>
      <c r="G11" s="11">
        <f t="shared" si="3"/>
        <v>259.5821081347338</v>
      </c>
      <c r="H11" s="11"/>
      <c r="I11" s="2"/>
      <c r="J11" s="2">
        <v>15</v>
      </c>
      <c r="K11" s="11">
        <f t="shared" si="1"/>
        <v>23.368767842520455</v>
      </c>
      <c r="L11" s="28" t="s">
        <v>24</v>
      </c>
      <c r="M11" s="11">
        <f t="shared" si="4"/>
        <v>40</v>
      </c>
      <c r="N11" s="28">
        <f t="shared" si="5"/>
        <v>257.20890054198634</v>
      </c>
      <c r="O11" s="11"/>
    </row>
    <row r="12" spans="1:15" ht="12.75">
      <c r="A12" s="11">
        <v>50</v>
      </c>
      <c r="B12" s="11">
        <f t="shared" si="2"/>
        <v>50</v>
      </c>
      <c r="C12" s="11"/>
      <c r="D12" s="9">
        <v>426499.32</v>
      </c>
      <c r="E12" s="11">
        <v>1385</v>
      </c>
      <c r="F12" s="11">
        <f t="shared" si="0"/>
        <v>307.94174729241877</v>
      </c>
      <c r="G12" s="11">
        <f t="shared" si="3"/>
        <v>298.95099818343607</v>
      </c>
      <c r="H12" s="11"/>
      <c r="I12" s="2"/>
      <c r="J12" s="2">
        <v>20</v>
      </c>
      <c r="K12" s="11">
        <f t="shared" si="1"/>
        <v>62.73765789122268</v>
      </c>
      <c r="L12" s="28" t="s">
        <v>24</v>
      </c>
      <c r="M12" s="11">
        <f t="shared" si="4"/>
        <v>45</v>
      </c>
      <c r="N12" s="28">
        <f t="shared" si="5"/>
        <v>259.5635519775989</v>
      </c>
      <c r="O12" s="11"/>
    </row>
    <row r="13" spans="1:15" ht="12.75">
      <c r="A13" s="11">
        <v>55</v>
      </c>
      <c r="B13" s="11">
        <f t="shared" si="2"/>
        <v>55</v>
      </c>
      <c r="C13" s="11"/>
      <c r="D13" s="9">
        <v>56980.85</v>
      </c>
      <c r="E13" s="11">
        <v>176</v>
      </c>
      <c r="F13" s="11">
        <f t="shared" si="0"/>
        <v>323.7548295454545</v>
      </c>
      <c r="G13" s="11">
        <f t="shared" si="3"/>
        <v>338.3198882321383</v>
      </c>
      <c r="H13" s="11"/>
      <c r="I13" s="2"/>
      <c r="J13" s="2">
        <v>25</v>
      </c>
      <c r="K13" s="11">
        <f t="shared" si="1"/>
        <v>102.10654793992492</v>
      </c>
      <c r="L13" s="28">
        <f>(F8)</f>
        <v>186.98493108927588</v>
      </c>
      <c r="M13" s="11">
        <f t="shared" si="4"/>
        <v>50</v>
      </c>
      <c r="N13" s="28">
        <f t="shared" si="5"/>
        <v>307.94174729241877</v>
      </c>
      <c r="O13" s="11"/>
    </row>
    <row r="14" spans="1:15" ht="12.75">
      <c r="A14" s="11">
        <v>60</v>
      </c>
      <c r="B14" s="11">
        <f t="shared" si="2"/>
        <v>60</v>
      </c>
      <c r="C14" s="11"/>
      <c r="D14" s="9">
        <v>9888.33</v>
      </c>
      <c r="E14" s="11">
        <v>29</v>
      </c>
      <c r="F14" s="11">
        <f t="shared" si="0"/>
        <v>340.9768965517241</v>
      </c>
      <c r="G14" s="11">
        <f t="shared" si="3"/>
        <v>377.6887782808405</v>
      </c>
      <c r="H14" s="28" t="s">
        <v>24</v>
      </c>
      <c r="I14" s="2"/>
      <c r="J14" s="2">
        <v>30</v>
      </c>
      <c r="K14" s="11">
        <f t="shared" si="1"/>
        <v>141.47543798862714</v>
      </c>
      <c r="L14" s="28">
        <f>(F9)</f>
        <v>137.82935658822834</v>
      </c>
      <c r="M14" s="11">
        <f t="shared" si="4"/>
        <v>55</v>
      </c>
      <c r="N14" s="28">
        <f t="shared" si="5"/>
        <v>323.7548295454545</v>
      </c>
      <c r="O14" s="11"/>
    </row>
    <row r="15" spans="1:15" ht="12.75">
      <c r="A15" s="11">
        <v>65</v>
      </c>
      <c r="B15" s="11">
        <f t="shared" si="2"/>
        <v>65</v>
      </c>
      <c r="C15" s="11"/>
      <c r="D15" s="9">
        <v>7797.64</v>
      </c>
      <c r="E15" s="11">
        <v>18</v>
      </c>
      <c r="F15" s="11">
        <f t="shared" si="0"/>
        <v>433.20222222222225</v>
      </c>
      <c r="G15" s="11">
        <f t="shared" si="3"/>
        <v>417.0576683295427</v>
      </c>
      <c r="H15" s="11"/>
      <c r="I15" s="2"/>
      <c r="J15" s="2"/>
      <c r="K15" s="11"/>
      <c r="L15" s="28"/>
      <c r="M15" s="28"/>
      <c r="N15" s="11"/>
      <c r="O15" s="11"/>
    </row>
    <row r="16" spans="1:15" ht="12.75">
      <c r="A16" s="11">
        <v>70</v>
      </c>
      <c r="B16" s="11">
        <f t="shared" si="2"/>
        <v>70</v>
      </c>
      <c r="C16" s="11"/>
      <c r="D16" s="9">
        <v>1402.57</v>
      </c>
      <c r="E16" s="11">
        <v>3</v>
      </c>
      <c r="F16" s="11">
        <f t="shared" si="0"/>
        <v>467.5233333333333</v>
      </c>
      <c r="G16" s="11">
        <f t="shared" si="3"/>
        <v>456.426558378245</v>
      </c>
      <c r="H16" s="11"/>
      <c r="I16" s="2"/>
      <c r="J16" s="2"/>
      <c r="K16" s="11"/>
      <c r="L16" s="28"/>
      <c r="M16" s="28"/>
      <c r="N16" s="11"/>
      <c r="O16" s="11"/>
    </row>
    <row r="17" spans="1:15" ht="12.75">
      <c r="A17" s="29" t="s">
        <v>105</v>
      </c>
      <c r="B17" s="11"/>
      <c r="C17" s="11"/>
      <c r="D17" s="9">
        <f>SUM(D8:D16)</f>
        <v>25589627.070000004</v>
      </c>
      <c r="E17" s="11">
        <f>SUM(E8:E16)</f>
        <v>123096</v>
      </c>
      <c r="F17" s="11"/>
      <c r="G17" s="11"/>
      <c r="H17" s="11"/>
      <c r="I17" s="11"/>
      <c r="J17" s="2">
        <v>35</v>
      </c>
      <c r="K17" s="11">
        <f>($E$24+(J17*$E$23))</f>
        <v>180.84432803732938</v>
      </c>
      <c r="L17" s="28">
        <f>(F10)</f>
        <v>257.20890054198634</v>
      </c>
      <c r="M17" s="11"/>
      <c r="N17" s="11"/>
      <c r="O17" s="11"/>
    </row>
    <row r="18" spans="1:15" ht="12.75">
      <c r="A18" s="28" t="s">
        <v>346</v>
      </c>
      <c r="B18" s="11"/>
      <c r="C18" s="11"/>
      <c r="D18" s="26">
        <v>2184576.8</v>
      </c>
      <c r="E18" s="11"/>
      <c r="F18" s="11"/>
      <c r="G18" s="11"/>
      <c r="H18" s="11"/>
      <c r="I18" s="11"/>
      <c r="J18" s="2">
        <v>40</v>
      </c>
      <c r="K18" s="11">
        <f>($E$24+(J18*$E$23))</f>
        <v>220.2132180860316</v>
      </c>
      <c r="L18" s="28">
        <f>(F11)</f>
        <v>259.5635519775989</v>
      </c>
      <c r="M18" s="11"/>
      <c r="N18" s="11"/>
      <c r="O18" s="11"/>
    </row>
    <row r="19" spans="1:15" ht="12.75">
      <c r="A19" s="11" t="s">
        <v>106</v>
      </c>
      <c r="B19" s="11"/>
      <c r="C19" s="11"/>
      <c r="D19" s="9">
        <v>3781678.34</v>
      </c>
      <c r="E19" s="11"/>
      <c r="F19" s="11"/>
      <c r="G19" s="11"/>
      <c r="H19" s="11"/>
      <c r="I19" s="11"/>
      <c r="J19" s="2">
        <v>45</v>
      </c>
      <c r="K19" s="11">
        <f>($E$24+(J19*$E$23))</f>
        <v>259.5821081347338</v>
      </c>
      <c r="L19" s="28">
        <f>(F12)</f>
        <v>307.94174729241877</v>
      </c>
      <c r="M19" s="2"/>
      <c r="N19" s="11"/>
      <c r="O19" s="11"/>
    </row>
    <row r="20" spans="1:15" ht="12.75">
      <c r="A20" s="28" t="s">
        <v>172</v>
      </c>
      <c r="B20" s="11"/>
      <c r="C20" s="11"/>
      <c r="D20" s="26">
        <f>(60134.77+257.25)</f>
        <v>60392.02</v>
      </c>
      <c r="E20" s="28" t="s">
        <v>24</v>
      </c>
      <c r="G20" s="11">
        <f>(D21-G21)</f>
        <v>19755939.250000004</v>
      </c>
      <c r="H20" s="11"/>
      <c r="I20" s="11"/>
      <c r="J20" s="2">
        <v>50</v>
      </c>
      <c r="K20" s="11">
        <f>($E$24+(J20*$E$23))</f>
        <v>298.95099818343607</v>
      </c>
      <c r="L20" s="28">
        <f>(F13)</f>
        <v>323.7548295454545</v>
      </c>
      <c r="M20" s="2"/>
      <c r="N20" s="2"/>
      <c r="O20" s="11"/>
    </row>
    <row r="21" spans="1:15" ht="12.75">
      <c r="A21" s="11" t="s">
        <v>95</v>
      </c>
      <c r="B21" s="11"/>
      <c r="C21" s="11"/>
      <c r="D21" s="9">
        <v>37722490.38</v>
      </c>
      <c r="E21" s="11">
        <f>SUM(E18:E20)+(E17)</f>
        <v>123096</v>
      </c>
      <c r="F21" s="11"/>
      <c r="G21" s="11">
        <v>17966551.13</v>
      </c>
      <c r="H21" s="11"/>
      <c r="I21" s="11"/>
      <c r="J21" s="2">
        <v>55</v>
      </c>
      <c r="K21" s="11">
        <f>($E$24+(J21*$E$23))</f>
        <v>338.3198882321383</v>
      </c>
      <c r="L21" s="28">
        <f>(F14)</f>
        <v>340.9768965517241</v>
      </c>
      <c r="M21" s="2"/>
      <c r="N21" s="2"/>
      <c r="O21" s="11"/>
    </row>
    <row r="22" spans="1:15" ht="12.75">
      <c r="A22" s="11"/>
      <c r="B22" s="11"/>
      <c r="C22" s="11"/>
      <c r="D22" s="9"/>
      <c r="E22" s="11"/>
      <c r="F22" s="11"/>
      <c r="G22" s="11"/>
      <c r="H22" s="11" t="s">
        <v>24</v>
      </c>
      <c r="I22" s="11"/>
      <c r="J22" s="2"/>
      <c r="K22" s="2"/>
      <c r="L22" s="2"/>
      <c r="M22" s="2"/>
      <c r="N22" s="2"/>
      <c r="O22" s="11"/>
    </row>
    <row r="23" spans="1:15" ht="12.75">
      <c r="A23" s="11" t="s">
        <v>96</v>
      </c>
      <c r="B23" s="11"/>
      <c r="C23" s="11"/>
      <c r="D23" s="9"/>
      <c r="E23" s="11">
        <f>(B45)</f>
        <v>7.8737780097404455</v>
      </c>
      <c r="F23" s="11"/>
      <c r="G23" s="11"/>
      <c r="H23" s="11" t="s">
        <v>24</v>
      </c>
      <c r="I23" s="11"/>
      <c r="J23" s="2"/>
      <c r="K23" s="2"/>
      <c r="L23" s="2"/>
      <c r="M23" s="2"/>
      <c r="N23" s="2"/>
      <c r="O23" s="11"/>
    </row>
    <row r="24" spans="1:15" ht="12.75">
      <c r="A24" s="11" t="s">
        <v>97</v>
      </c>
      <c r="B24" s="11"/>
      <c r="C24" s="11"/>
      <c r="D24" s="9"/>
      <c r="E24" s="11">
        <f>(B44)</f>
        <v>-94.73790230358622</v>
      </c>
      <c r="F24" s="11"/>
      <c r="G24" s="11"/>
      <c r="H24" s="11" t="s">
        <v>24</v>
      </c>
      <c r="I24" s="11"/>
      <c r="J24" s="2"/>
      <c r="K24" s="2"/>
      <c r="L24" s="2"/>
      <c r="M24" s="2"/>
      <c r="N24" s="2"/>
      <c r="O24" s="11"/>
    </row>
    <row r="25" spans="1:15" ht="12.75">
      <c r="A25" s="11" t="s">
        <v>94</v>
      </c>
      <c r="B25" s="11"/>
      <c r="C25" s="11"/>
      <c r="D25" s="9"/>
      <c r="E25" s="11">
        <f>(B38)</f>
        <v>0.9417341155077813</v>
      </c>
      <c r="F25" s="11"/>
      <c r="G25" s="11"/>
      <c r="H25" s="11" t="s">
        <v>24</v>
      </c>
      <c r="I25" s="11"/>
      <c r="J25" s="2"/>
      <c r="K25" s="2"/>
      <c r="L25" s="2"/>
      <c r="M25" s="2"/>
      <c r="N25" s="2"/>
      <c r="O25" s="11"/>
    </row>
    <row r="26" spans="1:15" ht="12.75">
      <c r="A26" s="11"/>
      <c r="B26" s="11"/>
      <c r="C26" s="11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3" ht="12.75">
      <c r="A27" s="28" t="s">
        <v>298</v>
      </c>
      <c r="B27" s="11"/>
      <c r="C27" s="11"/>
      <c r="D27" s="9"/>
      <c r="E27" s="28" t="s">
        <v>314</v>
      </c>
      <c r="F27" s="11">
        <f>(E24+(E23*B7))</f>
        <v>102.10654793992492</v>
      </c>
      <c r="G27" s="11"/>
      <c r="H27" s="11" t="s">
        <v>24</v>
      </c>
      <c r="I27" s="11"/>
      <c r="J27" s="2"/>
      <c r="K27" s="2"/>
      <c r="L27" s="2"/>
      <c r="M27" s="2"/>
      <c r="N27" s="2"/>
      <c r="O27" s="2"/>
      <c r="P27"/>
      <c r="Q27"/>
      <c r="R27"/>
      <c r="S27"/>
      <c r="T27"/>
      <c r="U27"/>
      <c r="V27"/>
      <c r="W27"/>
    </row>
    <row r="28" spans="1:23" ht="12.75">
      <c r="A28" s="11" t="s">
        <v>107</v>
      </c>
      <c r="B28" s="11"/>
      <c r="C28" s="11"/>
      <c r="D28" s="9"/>
      <c r="E28" s="11"/>
      <c r="F28" s="11">
        <f>(E21)</f>
        <v>123096</v>
      </c>
      <c r="G28" s="11"/>
      <c r="H28" s="11"/>
      <c r="I28" s="11"/>
      <c r="J28" s="2"/>
      <c r="K28" s="2"/>
      <c r="L28" s="2"/>
      <c r="M28" s="2"/>
      <c r="N28" s="2"/>
      <c r="O28" s="2"/>
      <c r="P28"/>
      <c r="Q28"/>
      <c r="R28"/>
      <c r="S28"/>
      <c r="T28"/>
      <c r="U28"/>
      <c r="V28"/>
      <c r="W28"/>
    </row>
    <row r="29" spans="1:23" ht="12.75">
      <c r="A29" s="11" t="s">
        <v>108</v>
      </c>
      <c r="B29" s="11"/>
      <c r="C29" s="11"/>
      <c r="D29" s="9"/>
      <c r="E29" s="11"/>
      <c r="F29" s="11">
        <f>(F27*F28)</f>
        <v>12568907.625212999</v>
      </c>
      <c r="G29" s="11"/>
      <c r="H29" s="11" t="s">
        <v>24</v>
      </c>
      <c r="I29" s="11"/>
      <c r="J29" s="2"/>
      <c r="K29" s="2"/>
      <c r="L29" s="2"/>
      <c r="M29" s="2"/>
      <c r="N29" s="2"/>
      <c r="O29" s="2"/>
      <c r="P29"/>
      <c r="Q29"/>
      <c r="R29"/>
      <c r="S29"/>
      <c r="T29"/>
      <c r="U29"/>
      <c r="V29"/>
      <c r="W29"/>
    </row>
    <row r="30" spans="1:15" ht="12.75">
      <c r="A30" s="11" t="s">
        <v>109</v>
      </c>
      <c r="B30" s="11"/>
      <c r="C30" s="11"/>
      <c r="D30" s="9"/>
      <c r="E30" s="11"/>
      <c r="F30" s="11">
        <f>(D21)</f>
        <v>37722490.38</v>
      </c>
      <c r="G30" s="11"/>
      <c r="H30" s="11" t="s">
        <v>24</v>
      </c>
      <c r="I30" s="11"/>
      <c r="J30" s="2"/>
      <c r="K30" s="2"/>
      <c r="L30" s="2"/>
      <c r="M30" s="2"/>
      <c r="N30" s="2"/>
      <c r="O30" s="2"/>
    </row>
    <row r="31" spans="1:15" ht="12.75">
      <c r="A31" s="29" t="s">
        <v>110</v>
      </c>
      <c r="B31" s="29"/>
      <c r="C31" s="29"/>
      <c r="D31" s="40"/>
      <c r="E31" s="29"/>
      <c r="F31" s="39">
        <f>(F29/F30)</f>
        <v>0.33319400438834434</v>
      </c>
      <c r="G31" s="11" t="s">
        <v>24</v>
      </c>
      <c r="H31" s="11"/>
      <c r="I31" s="11"/>
      <c r="J31" s="2"/>
      <c r="K31" s="2"/>
      <c r="L31" s="2"/>
      <c r="M31" s="2"/>
      <c r="N31" s="2"/>
      <c r="O31" s="2"/>
    </row>
    <row r="32" spans="1:15" ht="12.75">
      <c r="A32" s="29" t="s">
        <v>111</v>
      </c>
      <c r="B32" s="29"/>
      <c r="C32" s="29"/>
      <c r="D32" s="40"/>
      <c r="E32" s="29"/>
      <c r="F32" s="39">
        <f>(1-F31)</f>
        <v>0.6668059956116557</v>
      </c>
      <c r="G32" s="11"/>
      <c r="H32" s="11"/>
      <c r="I32" s="11"/>
      <c r="J32" s="2"/>
      <c r="K32" s="2"/>
      <c r="L32" s="2"/>
      <c r="M32" s="2"/>
      <c r="N32" s="2"/>
      <c r="O32" s="2"/>
    </row>
    <row r="33" spans="1:15" ht="12.75">
      <c r="A33" s="29"/>
      <c r="B33" s="29"/>
      <c r="C33" s="29"/>
      <c r="D33" s="40"/>
      <c r="E33" s="29"/>
      <c r="F33" s="39"/>
      <c r="G33" s="11"/>
      <c r="H33" s="11"/>
      <c r="I33" s="11"/>
      <c r="J33" s="2"/>
      <c r="K33" s="2"/>
      <c r="L33" s="2"/>
      <c r="M33" s="2"/>
      <c r="N33" s="2"/>
      <c r="O33" s="2"/>
    </row>
    <row r="34" spans="1:15" ht="12.75">
      <c r="A34" s="2" t="s">
        <v>289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L35" s="2" t="s">
        <v>24</v>
      </c>
      <c r="M35" s="2"/>
      <c r="N35" s="2"/>
      <c r="O35" s="2"/>
    </row>
    <row r="36" spans="1:15" ht="12.75">
      <c r="A36" s="56" t="s">
        <v>290</v>
      </c>
      <c r="B36" s="56"/>
      <c r="C36" s="2"/>
      <c r="D36" s="2"/>
      <c r="E36" s="2"/>
      <c r="F36" s="2"/>
      <c r="G36" s="2"/>
      <c r="H36" s="2"/>
      <c r="I36" s="2"/>
      <c r="J36" s="2"/>
      <c r="K36" s="2" t="s">
        <v>24</v>
      </c>
      <c r="L36" s="2" t="s">
        <v>24</v>
      </c>
      <c r="M36" s="2"/>
      <c r="N36" s="2"/>
      <c r="O36" s="2"/>
    </row>
    <row r="37" spans="1:15" ht="12.75">
      <c r="A37" s="53" t="s">
        <v>291</v>
      </c>
      <c r="B37" s="53">
        <v>0.9704298611995518</v>
      </c>
      <c r="C37" s="2"/>
      <c r="D37" s="2"/>
      <c r="E37" s="2"/>
      <c r="F37" s="2"/>
      <c r="G37" s="2"/>
      <c r="H37" s="2"/>
      <c r="I37" s="2"/>
      <c r="J37" s="2"/>
      <c r="K37" s="2"/>
      <c r="L37" s="2" t="s">
        <v>24</v>
      </c>
      <c r="M37" s="2"/>
      <c r="N37" s="2"/>
      <c r="O37" s="2"/>
    </row>
    <row r="38" spans="1:15" ht="12.75">
      <c r="A38" s="53" t="s">
        <v>94</v>
      </c>
      <c r="B38" s="53">
        <v>0.9417341155077813</v>
      </c>
      <c r="C38" s="2"/>
      <c r="D38" s="2"/>
      <c r="E38" s="2"/>
      <c r="F38" s="2"/>
      <c r="G38" s="2"/>
      <c r="H38" s="2"/>
      <c r="I38" s="2"/>
      <c r="J38" s="2"/>
      <c r="K38" s="2" t="s">
        <v>24</v>
      </c>
      <c r="L38" s="2" t="s">
        <v>24</v>
      </c>
      <c r="M38" s="2"/>
      <c r="N38" s="2"/>
      <c r="O38" s="2"/>
    </row>
    <row r="39" spans="1:15" ht="12.75">
      <c r="A39" s="53" t="s">
        <v>292</v>
      </c>
      <c r="B39" s="53">
        <v>0.9344508799462539</v>
      </c>
      <c r="C39" s="2"/>
      <c r="D39" s="2"/>
      <c r="E39" s="2"/>
      <c r="F39" s="2"/>
      <c r="G39" s="2"/>
      <c r="H39" s="2"/>
      <c r="I39" s="2"/>
      <c r="J39" s="2"/>
      <c r="K39" s="2" t="s">
        <v>24</v>
      </c>
      <c r="L39" s="2" t="s">
        <v>24</v>
      </c>
      <c r="M39" s="2"/>
      <c r="N39" s="2"/>
      <c r="O39" s="2"/>
    </row>
    <row r="40" spans="1:15" ht="12.75">
      <c r="A40" s="53" t="s">
        <v>293</v>
      </c>
      <c r="B40" s="53">
        <v>31.44692402321332</v>
      </c>
      <c r="C40" s="2"/>
      <c r="D40" s="2"/>
      <c r="E40" s="2"/>
      <c r="F40" s="2"/>
      <c r="G40" s="2"/>
      <c r="H40" s="2"/>
      <c r="I40" s="2"/>
      <c r="J40" s="2"/>
      <c r="K40" s="2" t="s">
        <v>24</v>
      </c>
      <c r="L40" s="2" t="s">
        <v>24</v>
      </c>
      <c r="M40" s="2"/>
      <c r="N40" s="2"/>
      <c r="O40" s="2"/>
    </row>
    <row r="41" spans="1:15" ht="13.5" thickBot="1">
      <c r="A41" s="54" t="s">
        <v>294</v>
      </c>
      <c r="B41" s="54">
        <v>10</v>
      </c>
      <c r="C41" s="2"/>
      <c r="D41" s="2"/>
      <c r="E41" s="2"/>
      <c r="F41" s="2"/>
      <c r="G41" s="2"/>
      <c r="H41" s="2"/>
      <c r="I41" s="2"/>
      <c r="J41" s="2"/>
      <c r="K41" s="2" t="s">
        <v>24</v>
      </c>
      <c r="L41" s="2" t="s">
        <v>24</v>
      </c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 t="s">
        <v>24</v>
      </c>
      <c r="L42" s="2" t="s">
        <v>24</v>
      </c>
      <c r="M42" s="2"/>
      <c r="N42" s="2"/>
      <c r="O42" s="2"/>
    </row>
    <row r="43" spans="1:15" ht="12.75">
      <c r="A43" s="61"/>
      <c r="B43" s="61" t="s">
        <v>296</v>
      </c>
      <c r="C43" s="61" t="s">
        <v>24</v>
      </c>
      <c r="D43" s="2"/>
      <c r="E43" s="2"/>
      <c r="F43" s="2"/>
      <c r="G43" s="2"/>
      <c r="H43" s="2"/>
      <c r="I43" s="2"/>
      <c r="J43" s="2"/>
      <c r="K43" s="2" t="s">
        <v>24</v>
      </c>
      <c r="L43" s="2" t="s">
        <v>24</v>
      </c>
      <c r="M43" s="2"/>
      <c r="N43" s="2"/>
      <c r="O43" s="2"/>
    </row>
    <row r="44" spans="1:15" ht="12.75">
      <c r="A44" s="53" t="s">
        <v>295</v>
      </c>
      <c r="B44" s="53">
        <v>-94.73790230358622</v>
      </c>
      <c r="C44" s="53" t="s">
        <v>24</v>
      </c>
      <c r="D44"/>
      <c r="E44"/>
      <c r="F44"/>
      <c r="G44"/>
      <c r="H44"/>
      <c r="I44"/>
      <c r="J44"/>
      <c r="K44" s="2" t="s">
        <v>24</v>
      </c>
      <c r="L44" s="2" t="s">
        <v>24</v>
      </c>
      <c r="M44" s="2"/>
      <c r="N44" s="2"/>
      <c r="O44" s="2"/>
    </row>
    <row r="45" spans="1:15" ht="13.5" thickBot="1">
      <c r="A45" s="54" t="s">
        <v>297</v>
      </c>
      <c r="B45" s="54">
        <v>7.8737780097404455</v>
      </c>
      <c r="C45" s="53" t="s">
        <v>24</v>
      </c>
      <c r="D45"/>
      <c r="E45"/>
      <c r="F45"/>
      <c r="G45"/>
      <c r="H45"/>
      <c r="I45"/>
      <c r="J45"/>
      <c r="K45" s="2" t="s">
        <v>24</v>
      </c>
      <c r="L45" s="2" t="s">
        <v>24</v>
      </c>
      <c r="M45" s="2"/>
      <c r="N45" s="2"/>
      <c r="O45" s="2"/>
    </row>
    <row r="46" spans="1:15" ht="12.75">
      <c r="A46"/>
      <c r="B46"/>
      <c r="C46"/>
      <c r="D46"/>
      <c r="E46"/>
      <c r="F46"/>
      <c r="G46"/>
      <c r="H46"/>
      <c r="I46"/>
      <c r="J46"/>
      <c r="K46" s="2" t="s">
        <v>24</v>
      </c>
      <c r="L46" s="2" t="s">
        <v>24</v>
      </c>
      <c r="M46" s="2"/>
      <c r="N46" s="2"/>
      <c r="O46" s="2"/>
    </row>
    <row r="47" spans="1:15" ht="12.75">
      <c r="A47"/>
      <c r="B47"/>
      <c r="C47"/>
      <c r="D47"/>
      <c r="E47"/>
      <c r="F47"/>
      <c r="G47"/>
      <c r="H47"/>
      <c r="I47"/>
      <c r="J47"/>
      <c r="K47" s="2" t="s">
        <v>24</v>
      </c>
      <c r="L47" s="2" t="s">
        <v>24</v>
      </c>
      <c r="M47" s="2"/>
      <c r="N47" s="2"/>
      <c r="O47" s="2"/>
    </row>
    <row r="48" spans="1:15" ht="12.75">
      <c r="A48" s="2"/>
      <c r="B48" s="2"/>
      <c r="C48" s="2"/>
      <c r="D48"/>
      <c r="E48"/>
      <c r="F48"/>
      <c r="G48"/>
      <c r="H48"/>
      <c r="I48"/>
      <c r="J48"/>
      <c r="K48" s="2" t="s">
        <v>24</v>
      </c>
      <c r="L48" s="2" t="s">
        <v>24</v>
      </c>
      <c r="M48" s="2"/>
      <c r="N48" s="2"/>
      <c r="O48" s="2"/>
    </row>
    <row r="49" spans="4:15" ht="12.75">
      <c r="D49"/>
      <c r="E49"/>
      <c r="F49"/>
      <c r="G49"/>
      <c r="H49"/>
      <c r="I49"/>
      <c r="J49"/>
      <c r="K49" s="2" t="s">
        <v>24</v>
      </c>
      <c r="L49" s="2" t="s">
        <v>24</v>
      </c>
      <c r="M49" s="2"/>
      <c r="N49" s="2"/>
      <c r="O49" s="2"/>
    </row>
    <row r="50" spans="4:15" ht="12.75">
      <c r="D50"/>
      <c r="E50"/>
      <c r="F50"/>
      <c r="G50"/>
      <c r="H50"/>
      <c r="I50"/>
      <c r="J50"/>
      <c r="K50" s="2"/>
      <c r="L50" s="2"/>
      <c r="M50" s="2"/>
      <c r="N50" s="2"/>
      <c r="O50" s="2"/>
    </row>
    <row r="51" spans="4:15" ht="12.75">
      <c r="D51"/>
      <c r="E51"/>
      <c r="F51"/>
      <c r="G51"/>
      <c r="H51"/>
      <c r="I51"/>
      <c r="J51"/>
      <c r="K51" s="2"/>
      <c r="L51" s="2"/>
      <c r="M51" s="2"/>
      <c r="N51" s="2"/>
      <c r="O51" s="2"/>
    </row>
    <row r="52" spans="1:15" ht="12.75">
      <c r="A52" s="29"/>
      <c r="B52" s="29"/>
      <c r="C52" s="29"/>
      <c r="D52" s="40"/>
      <c r="E52" s="29"/>
      <c r="F52" s="39"/>
      <c r="G52" s="11"/>
      <c r="H52" s="11"/>
      <c r="I52" s="11"/>
      <c r="J52" s="2"/>
      <c r="K52" s="2"/>
      <c r="L52" s="2"/>
      <c r="M52" s="2"/>
      <c r="N52" s="2"/>
      <c r="O52" s="2"/>
    </row>
    <row r="53" spans="1:15" ht="12.75">
      <c r="A53" s="29"/>
      <c r="B53" s="29"/>
      <c r="C53" s="29"/>
      <c r="D53" s="40"/>
      <c r="E53" s="29"/>
      <c r="F53" s="39"/>
      <c r="G53" s="11"/>
      <c r="H53" s="11"/>
      <c r="I53" s="11"/>
      <c r="J53" s="2"/>
      <c r="K53" s="2"/>
      <c r="L53" s="2"/>
      <c r="M53" s="2"/>
      <c r="N53" s="2"/>
      <c r="O53" s="2"/>
    </row>
    <row r="54" spans="1:15" ht="12.75">
      <c r="A54" s="11"/>
      <c r="B54" s="11"/>
      <c r="C54" s="11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9"/>
      <c r="E56" s="11"/>
      <c r="F56" s="252" t="s">
        <v>24</v>
      </c>
      <c r="G56" s="252"/>
      <c r="H56" s="252"/>
      <c r="I56" s="252"/>
      <c r="J56" s="252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253" t="s">
        <v>312</v>
      </c>
      <c r="E57" s="253"/>
      <c r="F57" s="253"/>
      <c r="G57" s="11"/>
      <c r="H57" s="11"/>
      <c r="I57" s="11"/>
      <c r="J57" s="11"/>
      <c r="K57" s="11"/>
      <c r="L57" s="11"/>
      <c r="M57" s="106" t="s">
        <v>24</v>
      </c>
      <c r="N57" s="11"/>
      <c r="O57" s="11"/>
    </row>
    <row r="58" spans="1:15" ht="12.75">
      <c r="A58" s="11"/>
      <c r="B58" s="11"/>
      <c r="C58" s="11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38"/>
      <c r="B59" s="38"/>
      <c r="C59" s="38"/>
      <c r="D59" s="24"/>
      <c r="E59" s="38" t="s">
        <v>92</v>
      </c>
      <c r="F59" s="11"/>
      <c r="G59"/>
      <c r="H59" s="11"/>
      <c r="I59" s="37" t="s">
        <v>100</v>
      </c>
      <c r="J59" s="85" t="s">
        <v>564</v>
      </c>
      <c r="K59" s="89"/>
      <c r="L59" s="122" t="s">
        <v>24</v>
      </c>
      <c r="M59" s="77" t="s">
        <v>24</v>
      </c>
      <c r="N59" s="11"/>
      <c r="O59" s="2"/>
    </row>
    <row r="60" spans="1:27" ht="15">
      <c r="A60" s="38" t="s">
        <v>102</v>
      </c>
      <c r="B60"/>
      <c r="C60" s="38"/>
      <c r="D60" s="24" t="s">
        <v>90</v>
      </c>
      <c r="E60" s="38" t="s">
        <v>93</v>
      </c>
      <c r="F60" s="38" t="s">
        <v>91</v>
      </c>
      <c r="G60" s="125" t="s">
        <v>501</v>
      </c>
      <c r="H60" s="125" t="s">
        <v>546</v>
      </c>
      <c r="I60" s="125" t="s">
        <v>98</v>
      </c>
      <c r="J60" s="85" t="s">
        <v>135</v>
      </c>
      <c r="K60" s="105" t="s">
        <v>501</v>
      </c>
      <c r="L60" s="122" t="s">
        <v>24</v>
      </c>
      <c r="M60" s="77" t="s">
        <v>24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>
      <c r="A61" s="62" t="s">
        <v>24</v>
      </c>
      <c r="B61"/>
      <c r="C61" s="15"/>
      <c r="D61" s="57"/>
      <c r="E61" s="11"/>
      <c r="F61" s="11"/>
      <c r="G61"/>
      <c r="H61"/>
      <c r="I61"/>
      <c r="J61" s="81" t="s">
        <v>24</v>
      </c>
      <c r="K61" s="89"/>
      <c r="L61" s="122" t="s">
        <v>24</v>
      </c>
      <c r="M61" s="77" t="s">
        <v>24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" ht="15">
      <c r="A62" s="28" t="s">
        <v>275</v>
      </c>
      <c r="C62" s="2" t="s">
        <v>24</v>
      </c>
      <c r="D62" s="26">
        <v>9854928.25</v>
      </c>
      <c r="E62" s="26">
        <v>29939643</v>
      </c>
      <c r="F62" s="159">
        <f>(D62/E62)</f>
        <v>0.32915984502554024</v>
      </c>
      <c r="G62" s="155">
        <f>('[4]Sheet1'!G7)</f>
        <v>201</v>
      </c>
      <c r="H62" s="156">
        <f>($B$122+(G62*$B$123))</f>
        <v>0.20494546211506465</v>
      </c>
      <c r="I62" s="140">
        <f>(H62)</f>
        <v>0.20494546211506465</v>
      </c>
      <c r="J62" s="137">
        <f>(F62)</f>
        <v>0.32915984502554024</v>
      </c>
      <c r="K62" s="6">
        <f>(G62)</f>
        <v>201</v>
      </c>
      <c r="L62" s="122" t="s">
        <v>24</v>
      </c>
      <c r="M62" s="91" t="s">
        <v>24</v>
      </c>
    </row>
    <row r="63" spans="1:27" ht="15">
      <c r="A63" s="28" t="s">
        <v>276</v>
      </c>
      <c r="B63"/>
      <c r="C63" s="2" t="s">
        <v>24</v>
      </c>
      <c r="D63" s="9">
        <v>50999.88</v>
      </c>
      <c r="E63" s="9">
        <v>1309029</v>
      </c>
      <c r="F63" s="160">
        <f>(D63/E63)</f>
        <v>0.03896008415397978</v>
      </c>
      <c r="G63" s="4">
        <f>('[4]Sheet1'!G8)</f>
        <v>153</v>
      </c>
      <c r="H63" s="157">
        <f aca="true" t="shared" si="6" ref="H63:H88">($B$122+(G63*$B$123))</f>
        <v>0.10111765035977177</v>
      </c>
      <c r="I63" s="138">
        <f>(H63)</f>
        <v>0.10111765035977177</v>
      </c>
      <c r="J63" s="126">
        <f>(F63)</f>
        <v>0.03896008415397978</v>
      </c>
      <c r="K63" s="6">
        <f>(G63)</f>
        <v>153</v>
      </c>
      <c r="L63" s="122" t="s">
        <v>24</v>
      </c>
      <c r="M63" s="91" t="s">
        <v>24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">
      <c r="A64" s="28" t="s">
        <v>503</v>
      </c>
      <c r="B64"/>
      <c r="C64" s="2" t="s">
        <v>24</v>
      </c>
      <c r="D64" s="26">
        <v>8.05</v>
      </c>
      <c r="E64" s="26">
        <v>364</v>
      </c>
      <c r="F64" s="65">
        <f>(D64/E64)</f>
        <v>0.022115384615384617</v>
      </c>
      <c r="G64">
        <f>('[4]Sheet1'!G9)</f>
        <v>200</v>
      </c>
      <c r="H64" s="140">
        <f t="shared" si="6"/>
        <v>0.20278238270349608</v>
      </c>
      <c r="I64" s="138">
        <f>(H65)</f>
        <v>0.34554562386702375</v>
      </c>
      <c r="J64" s="126">
        <f aca="true" t="shared" si="7" ref="J64:K67">(F65)</f>
        <v>0.29252013644208646</v>
      </c>
      <c r="K64" s="6">
        <f t="shared" si="7"/>
        <v>266</v>
      </c>
      <c r="L64" s="122" t="s">
        <v>24</v>
      </c>
      <c r="M64" s="91" t="s">
        <v>24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">
      <c r="A65" s="28" t="s">
        <v>273</v>
      </c>
      <c r="B65"/>
      <c r="C65" s="2" t="s">
        <v>24</v>
      </c>
      <c r="D65" s="26">
        <v>2655881</v>
      </c>
      <c r="E65" s="26">
        <v>9079310</v>
      </c>
      <c r="F65" s="161">
        <f>(D65/E65)</f>
        <v>0.29252013644208646</v>
      </c>
      <c r="G65" s="155">
        <f>('[4]Sheet1'!G10)</f>
        <v>266</v>
      </c>
      <c r="H65" s="156">
        <f t="shared" si="6"/>
        <v>0.34554562386702375</v>
      </c>
      <c r="I65" s="138">
        <f>(H66)</f>
        <v>0.5164288973809432</v>
      </c>
      <c r="J65" s="126">
        <f t="shared" si="7"/>
        <v>0.2420949569327776</v>
      </c>
      <c r="K65" s="6">
        <f t="shared" si="7"/>
        <v>345</v>
      </c>
      <c r="L65" s="122"/>
      <c r="M65" s="91" t="s">
        <v>24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">
      <c r="A66" s="28" t="s">
        <v>274</v>
      </c>
      <c r="B66"/>
      <c r="C66" s="42" t="s">
        <v>24</v>
      </c>
      <c r="D66" s="26">
        <v>56747.3</v>
      </c>
      <c r="E66" s="26">
        <v>234401</v>
      </c>
      <c r="F66" s="162">
        <f aca="true" t="shared" si="8" ref="F66:F74">(D66/E66)</f>
        <v>0.2420949569327776</v>
      </c>
      <c r="G66" s="2">
        <f>('[4]Sheet1'!G11)</f>
        <v>345</v>
      </c>
      <c r="H66" s="158">
        <f t="shared" si="6"/>
        <v>0.5164288973809432</v>
      </c>
      <c r="I66" s="138">
        <f>(H67)</f>
        <v>0.6289090267825106</v>
      </c>
      <c r="J66" s="126">
        <f t="shared" si="7"/>
        <v>0.9894771718590764</v>
      </c>
      <c r="K66" s="6">
        <f t="shared" si="7"/>
        <v>397</v>
      </c>
      <c r="L66" s="122" t="s">
        <v>24</v>
      </c>
      <c r="M66" s="91" t="s">
        <v>24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5">
      <c r="A67" s="28" t="s">
        <v>300</v>
      </c>
      <c r="B67"/>
      <c r="C67" s="42" t="s">
        <v>24</v>
      </c>
      <c r="D67" s="26">
        <v>659250.05</v>
      </c>
      <c r="E67" s="26">
        <v>666261</v>
      </c>
      <c r="F67" s="162">
        <f t="shared" si="8"/>
        <v>0.9894771718590764</v>
      </c>
      <c r="G67" s="2">
        <f>('[4]Sheet1'!G12)</f>
        <v>397</v>
      </c>
      <c r="H67" s="158">
        <f t="shared" si="6"/>
        <v>0.6289090267825106</v>
      </c>
      <c r="I67" s="138">
        <f>(H68)</f>
        <v>0.9966325267491727</v>
      </c>
      <c r="J67" s="126">
        <f t="shared" si="7"/>
        <v>0.9249715480000494</v>
      </c>
      <c r="K67" s="6">
        <f t="shared" si="7"/>
        <v>567</v>
      </c>
      <c r="L67" s="122" t="s">
        <v>24</v>
      </c>
      <c r="M67" s="91" t="s">
        <v>24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">
      <c r="A68" s="28" t="s">
        <v>504</v>
      </c>
      <c r="B68"/>
      <c r="C68" s="2" t="s">
        <v>24</v>
      </c>
      <c r="D68" s="26">
        <v>1725137.61</v>
      </c>
      <c r="E68" s="9">
        <v>1865071</v>
      </c>
      <c r="F68" s="160">
        <f t="shared" si="8"/>
        <v>0.9249715480000494</v>
      </c>
      <c r="G68" s="4">
        <f>('[4]Sheet1'!G13)</f>
        <v>567</v>
      </c>
      <c r="H68" s="157">
        <f t="shared" si="6"/>
        <v>0.9966325267491727</v>
      </c>
      <c r="I68" s="126">
        <f>(H70)</f>
        <v>-0.013525558453364062</v>
      </c>
      <c r="J68" s="138">
        <f aca="true" t="shared" si="9" ref="J68:K70">(F70)</f>
        <v>0.05249113421320414</v>
      </c>
      <c r="K68" s="6">
        <f t="shared" si="9"/>
        <v>100</v>
      </c>
      <c r="L68" s="122" t="s">
        <v>24</v>
      </c>
      <c r="M68" s="91" t="s">
        <v>24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">
      <c r="A69" s="28" t="s">
        <v>505</v>
      </c>
      <c r="B69"/>
      <c r="C69" s="2" t="s">
        <v>24</v>
      </c>
      <c r="D69" s="26">
        <v>1720.81</v>
      </c>
      <c r="E69" s="26">
        <v>2566445</v>
      </c>
      <c r="F69" s="65">
        <f t="shared" si="8"/>
        <v>0.000670503361653961</v>
      </c>
      <c r="G69">
        <f>('[4]Sheet1'!G14)</f>
        <v>85</v>
      </c>
      <c r="H69" s="140">
        <f t="shared" si="6"/>
        <v>-0.0459717496268931</v>
      </c>
      <c r="I69" s="126">
        <f>(H71)</f>
        <v>0.07299761800937998</v>
      </c>
      <c r="J69" s="138">
        <f t="shared" si="9"/>
        <v>0.06526305622345646</v>
      </c>
      <c r="K69" s="6">
        <f t="shared" si="9"/>
        <v>140</v>
      </c>
      <c r="L69" s="122" t="s">
        <v>24</v>
      </c>
      <c r="M69" s="91" t="s">
        <v>24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">
      <c r="A70" s="28" t="s">
        <v>506</v>
      </c>
      <c r="B70"/>
      <c r="C70" s="2" t="s">
        <v>24</v>
      </c>
      <c r="D70" s="26">
        <v>304143.29</v>
      </c>
      <c r="E70" s="9">
        <v>5794184</v>
      </c>
      <c r="F70" s="65">
        <f t="shared" si="8"/>
        <v>0.05249113421320414</v>
      </c>
      <c r="G70">
        <f>('[4]Sheet1'!G15)</f>
        <v>100</v>
      </c>
      <c r="H70" s="140">
        <f t="shared" si="6"/>
        <v>-0.013525558453364062</v>
      </c>
      <c r="I70" s="126">
        <f>(H72)</f>
        <v>0.15952079447212403</v>
      </c>
      <c r="J70" s="138">
        <f t="shared" si="9"/>
        <v>0.07763410843245616</v>
      </c>
      <c r="K70" s="6">
        <f t="shared" si="9"/>
        <v>180</v>
      </c>
      <c r="L70" s="122" t="s">
        <v>24</v>
      </c>
      <c r="M70" s="91" t="s">
        <v>24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">
      <c r="A71" s="28" t="s">
        <v>507</v>
      </c>
      <c r="B71"/>
      <c r="C71" s="2" t="s">
        <v>24</v>
      </c>
      <c r="D71" s="9">
        <v>270612.61</v>
      </c>
      <c r="E71" s="9">
        <v>4146490</v>
      </c>
      <c r="F71" s="65">
        <f t="shared" si="8"/>
        <v>0.06526305622345646</v>
      </c>
      <c r="G71">
        <f>('[4]Sheet1'!G16)</f>
        <v>140</v>
      </c>
      <c r="H71" s="140">
        <f t="shared" si="6"/>
        <v>0.07299761800937998</v>
      </c>
      <c r="I71" s="139" t="s">
        <v>24</v>
      </c>
      <c r="J71" s="7" t="s">
        <v>24</v>
      </c>
      <c r="K71" s="89"/>
      <c r="L71" s="122" t="s">
        <v>24</v>
      </c>
      <c r="M71" s="91" t="s">
        <v>24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13" ht="12.75">
      <c r="A72" s="12" t="s">
        <v>508</v>
      </c>
      <c r="C72" s="12" t="s">
        <v>24</v>
      </c>
      <c r="D72" s="6">
        <v>53395.42</v>
      </c>
      <c r="E72" s="6">
        <v>687783</v>
      </c>
      <c r="F72" s="126">
        <f t="shared" si="8"/>
        <v>0.07763410843245616</v>
      </c>
      <c r="G72">
        <f>('[4]Sheet1'!G17)</f>
        <v>180</v>
      </c>
      <c r="H72" s="140">
        <f t="shared" si="6"/>
        <v>0.15952079447212403</v>
      </c>
      <c r="I72" s="139" t="s">
        <v>24</v>
      </c>
      <c r="J72" s="7" t="s">
        <v>24</v>
      </c>
      <c r="M72" s="12" t="s">
        <v>24</v>
      </c>
    </row>
    <row r="73" spans="1:13" ht="12.75">
      <c r="A73" s="12" t="s">
        <v>509</v>
      </c>
      <c r="D73" s="6">
        <v>17232.8</v>
      </c>
      <c r="E73" s="6">
        <v>666621</v>
      </c>
      <c r="F73" s="126">
        <f t="shared" si="8"/>
        <v>0.025850970791499218</v>
      </c>
      <c r="G73">
        <f>('[4]Sheet1'!G18)</f>
        <v>120</v>
      </c>
      <c r="H73" s="140">
        <f t="shared" si="6"/>
        <v>0.029736029778007933</v>
      </c>
      <c r="I73" s="139" t="s">
        <v>24</v>
      </c>
      <c r="J73" s="7" t="s">
        <v>24</v>
      </c>
      <c r="M73" s="12" t="s">
        <v>24</v>
      </c>
    </row>
    <row r="74" spans="1:27" ht="15">
      <c r="A74" s="28" t="s">
        <v>356</v>
      </c>
      <c r="B74"/>
      <c r="C74" s="2"/>
      <c r="D74" s="26">
        <v>7479.44</v>
      </c>
      <c r="E74" s="26">
        <v>124345</v>
      </c>
      <c r="F74" s="65">
        <f t="shared" si="8"/>
        <v>0.06015070971892718</v>
      </c>
      <c r="G74">
        <f>('[4]Sheet1'!G19)</f>
        <v>170</v>
      </c>
      <c r="H74" s="140">
        <f t="shared" si="6"/>
        <v>0.137890000356438</v>
      </c>
      <c r="I74"/>
      <c r="J74" s="81" t="s">
        <v>24</v>
      </c>
      <c r="K74" s="89"/>
      <c r="L74" s="122" t="s">
        <v>24</v>
      </c>
      <c r="M74" s="91" t="s">
        <v>24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">
      <c r="A75" s="28" t="s">
        <v>502</v>
      </c>
      <c r="B75"/>
      <c r="C75" s="42" t="s">
        <v>24</v>
      </c>
      <c r="D75" s="26">
        <v>6640.86</v>
      </c>
      <c r="E75" s="9">
        <v>108177</v>
      </c>
      <c r="F75" s="65">
        <f aca="true" t="shared" si="10" ref="F75:F88">(D75/E75)</f>
        <v>0.0613888349649186</v>
      </c>
      <c r="G75">
        <f>('[4]Sheet1'!G20)</f>
        <v>210</v>
      </c>
      <c r="H75" s="140">
        <f t="shared" si="6"/>
        <v>0.22441317681918205</v>
      </c>
      <c r="I75"/>
      <c r="J75" s="81" t="s">
        <v>24</v>
      </c>
      <c r="K75" s="89"/>
      <c r="L75" s="122" t="s">
        <v>24</v>
      </c>
      <c r="M75" s="91" t="s">
        <v>24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">
      <c r="A76" s="28" t="s">
        <v>510</v>
      </c>
      <c r="B76"/>
      <c r="C76" s="2"/>
      <c r="D76" s="26">
        <v>19388.05</v>
      </c>
      <c r="E76" s="26">
        <v>241334</v>
      </c>
      <c r="F76" s="65">
        <f t="shared" si="10"/>
        <v>0.08033700183148665</v>
      </c>
      <c r="G76">
        <f>('[4]Sheet1'!G21)</f>
        <v>266</v>
      </c>
      <c r="H76" s="140">
        <f t="shared" si="6"/>
        <v>0.34554562386702375</v>
      </c>
      <c r="I76"/>
      <c r="J76" s="81" t="s">
        <v>24</v>
      </c>
      <c r="K76" s="89"/>
      <c r="L76" s="122" t="s">
        <v>24</v>
      </c>
      <c r="M76" s="77" t="s">
        <v>24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">
      <c r="A77" s="28" t="s">
        <v>511</v>
      </c>
      <c r="B77"/>
      <c r="C77" s="2"/>
      <c r="D77" s="26">
        <v>11516.81</v>
      </c>
      <c r="E77" s="26">
        <v>86065</v>
      </c>
      <c r="F77" s="65">
        <f t="shared" si="10"/>
        <v>0.1338152559112299</v>
      </c>
      <c r="G77">
        <f>('[4]Sheet1'!G22)</f>
        <v>310</v>
      </c>
      <c r="H77" s="140">
        <f t="shared" si="6"/>
        <v>0.44072111797604224</v>
      </c>
      <c r="I77"/>
      <c r="J77" s="81" t="s">
        <v>24</v>
      </c>
      <c r="K77" s="89"/>
      <c r="L77" s="122" t="s">
        <v>24</v>
      </c>
      <c r="M77" s="77" t="s">
        <v>24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">
      <c r="A78" s="28" t="s">
        <v>512</v>
      </c>
      <c r="B78"/>
      <c r="C78" s="2"/>
      <c r="D78" s="26">
        <v>114.85</v>
      </c>
      <c r="E78" s="26">
        <v>-4469</v>
      </c>
      <c r="F78" s="65">
        <f t="shared" si="10"/>
        <v>-0.02569926157977176</v>
      </c>
      <c r="G78">
        <f>('[4]Sheet1'!G23)</f>
        <v>310</v>
      </c>
      <c r="H78" s="140">
        <f t="shared" si="6"/>
        <v>0.44072111797604224</v>
      </c>
      <c r="I78"/>
      <c r="J78" s="81" t="s">
        <v>24</v>
      </c>
      <c r="K78" s="89"/>
      <c r="L78" s="122" t="s">
        <v>24</v>
      </c>
      <c r="M78" s="77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">
      <c r="A79" s="28" t="s">
        <v>513</v>
      </c>
      <c r="B79"/>
      <c r="C79" s="2"/>
      <c r="D79" s="26">
        <v>2127.48</v>
      </c>
      <c r="E79" s="26">
        <v>8029</v>
      </c>
      <c r="F79" s="65">
        <f t="shared" si="10"/>
        <v>0.2649744675551127</v>
      </c>
      <c r="G79">
        <f>('[4]Sheet1'!G24)</f>
        <v>360</v>
      </c>
      <c r="H79" s="140">
        <f t="shared" si="6"/>
        <v>0.5488750885544722</v>
      </c>
      <c r="I79"/>
      <c r="J79" s="89"/>
      <c r="K79" s="89"/>
      <c r="L79" s="89" t="s">
        <v>24</v>
      </c>
      <c r="M79" s="8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28" t="s">
        <v>514</v>
      </c>
      <c r="B80"/>
      <c r="C80" s="2"/>
      <c r="D80" s="26">
        <v>698.08</v>
      </c>
      <c r="E80" s="26">
        <v>918</v>
      </c>
      <c r="F80" s="65">
        <f t="shared" si="10"/>
        <v>0.7604357298474946</v>
      </c>
      <c r="G80">
        <f>('[4]Sheet1'!G25)</f>
        <v>490</v>
      </c>
      <c r="H80" s="140">
        <f t="shared" si="6"/>
        <v>0.8300754120583904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2" t="s">
        <v>515</v>
      </c>
      <c r="D81" s="6">
        <v>122.62</v>
      </c>
      <c r="E81" s="5">
        <v>43</v>
      </c>
      <c r="F81" s="126">
        <f t="shared" si="10"/>
        <v>2.8516279069767445</v>
      </c>
      <c r="G81">
        <f>('[4]Sheet1'!G26)</f>
        <v>540</v>
      </c>
      <c r="H81" s="140">
        <f t="shared" si="6"/>
        <v>0.9382293826368204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28" t="s">
        <v>516</v>
      </c>
      <c r="B82"/>
      <c r="C82" s="2"/>
      <c r="D82" s="26">
        <v>165.71</v>
      </c>
      <c r="E82" s="12">
        <v>4</v>
      </c>
      <c r="F82" s="126">
        <f t="shared" si="10"/>
        <v>41.4275</v>
      </c>
      <c r="G82">
        <f>('[4]Sheet1'!G27)</f>
        <v>670</v>
      </c>
      <c r="H82" s="140">
        <f t="shared" si="6"/>
        <v>1.2194297061407386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34" t="s">
        <v>517</v>
      </c>
      <c r="B83" s="11"/>
      <c r="C83" s="2" t="s">
        <v>24</v>
      </c>
      <c r="D83" s="26">
        <v>4021.13</v>
      </c>
      <c r="E83" s="26">
        <v>708</v>
      </c>
      <c r="F83" s="126">
        <f t="shared" si="10"/>
        <v>5.679562146892655</v>
      </c>
      <c r="G83">
        <f>('[4]Sheet1'!G28)</f>
        <v>840</v>
      </c>
      <c r="H83" s="140">
        <f t="shared" si="6"/>
        <v>1.5871532061074007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28" t="s">
        <v>518</v>
      </c>
      <c r="C84" s="2" t="s">
        <v>24</v>
      </c>
      <c r="D84" s="26">
        <v>11221.84</v>
      </c>
      <c r="E84" s="26">
        <v>692</v>
      </c>
      <c r="F84" s="65">
        <f t="shared" si="10"/>
        <v>16.216531791907514</v>
      </c>
      <c r="G84">
        <f>('[4]Sheet1'!G29)</f>
        <v>1090</v>
      </c>
      <c r="H84" s="140">
        <f t="shared" si="6"/>
        <v>2.1279230589995515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28" t="s">
        <v>519</v>
      </c>
      <c r="B85" s="11"/>
      <c r="C85" s="2" t="s">
        <v>24</v>
      </c>
      <c r="D85" s="26">
        <v>42.01</v>
      </c>
      <c r="E85" s="26">
        <v>50</v>
      </c>
      <c r="F85" s="65">
        <f t="shared" si="10"/>
        <v>0.8402</v>
      </c>
      <c r="G85">
        <f>('[4]Sheet1'!G30)</f>
        <v>1200</v>
      </c>
      <c r="H85" s="140">
        <f t="shared" si="6"/>
        <v>2.3658617942720976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28" t="s">
        <v>520</v>
      </c>
      <c r="B86" s="11"/>
      <c r="C86" s="2" t="s">
        <v>24</v>
      </c>
      <c r="D86" s="26">
        <v>1134729.9</v>
      </c>
      <c r="E86" s="26">
        <v>142108</v>
      </c>
      <c r="F86" s="65">
        <f t="shared" si="10"/>
        <v>7.9849825484842505</v>
      </c>
      <c r="G86">
        <f>('[4]Sheet1'!G31)</f>
        <v>70</v>
      </c>
      <c r="H86" s="140">
        <f t="shared" si="6"/>
        <v>-0.07841794080042211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 s="28" t="s">
        <v>521</v>
      </c>
      <c r="B87" s="11"/>
      <c r="C87" s="2" t="s">
        <v>24</v>
      </c>
      <c r="D87" s="26">
        <v>2429920.37</v>
      </c>
      <c r="E87" s="26">
        <v>4466486</v>
      </c>
      <c r="F87" s="65">
        <f t="shared" si="10"/>
        <v>0.5440340280927781</v>
      </c>
      <c r="G87">
        <f>('[4]Sheet1'!G32)</f>
        <v>150</v>
      </c>
      <c r="H87" s="140">
        <f t="shared" si="6"/>
        <v>0.09462841212506601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 s="28" t="s">
        <v>522</v>
      </c>
      <c r="B88" s="11"/>
      <c r="C88" s="2" t="s">
        <v>24</v>
      </c>
      <c r="D88" s="19">
        <v>106673.83</v>
      </c>
      <c r="E88" s="123">
        <v>37570</v>
      </c>
      <c r="F88" s="163">
        <f t="shared" si="10"/>
        <v>2.839335373968592</v>
      </c>
      <c r="G88">
        <f>('[4]Sheet1'!G33)</f>
        <v>180</v>
      </c>
      <c r="H88" s="140">
        <f t="shared" si="6"/>
        <v>0.15952079447212403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28" t="s">
        <v>105</v>
      </c>
      <c r="B89" s="11"/>
      <c r="C89" s="2"/>
      <c r="D89" s="9">
        <f>SUM(D62:D88)</f>
        <v>19384920.05</v>
      </c>
      <c r="E89" s="9">
        <f>SUM(E62:E88)</f>
        <v>62167662</v>
      </c>
      <c r="F89" s="65">
        <f>(D89/E97)</f>
        <v>0.31181677782896194</v>
      </c>
      <c r="G89" t="s">
        <v>24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 s="28" t="s">
        <v>523</v>
      </c>
      <c r="B90" s="11"/>
      <c r="C90" s="2"/>
      <c r="D90" s="26">
        <v>8246763.31</v>
      </c>
      <c r="E90" s="11"/>
      <c r="F90" s="11"/>
      <c r="G90" t="s">
        <v>24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 s="28" t="s">
        <v>524</v>
      </c>
      <c r="B91" s="11"/>
      <c r="C91" s="2"/>
      <c r="D91" s="26">
        <v>7856296.58</v>
      </c>
      <c r="E91" s="11"/>
      <c r="F91" s="11"/>
      <c r="G91" t="s">
        <v>24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28" t="s">
        <v>525</v>
      </c>
      <c r="B92" s="11"/>
      <c r="C92" s="2"/>
      <c r="D92" s="26">
        <v>307254.92</v>
      </c>
      <c r="E92" s="11"/>
      <c r="F92" s="11"/>
      <c r="G92" t="s">
        <v>24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28" t="s">
        <v>526</v>
      </c>
      <c r="B93" s="11"/>
      <c r="C93" s="2"/>
      <c r="D93" s="26">
        <v>304475</v>
      </c>
      <c r="E93" s="11"/>
      <c r="F93" s="11"/>
      <c r="G93" t="s">
        <v>24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28" t="s">
        <v>527</v>
      </c>
      <c r="B94" s="11"/>
      <c r="C94" s="2"/>
      <c r="D94" s="26">
        <v>125479.22</v>
      </c>
      <c r="E94" s="11"/>
      <c r="F94" s="11"/>
      <c r="G94" s="1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15" ht="12.75">
      <c r="A95" s="28" t="s">
        <v>528</v>
      </c>
      <c r="B95" s="2"/>
      <c r="C95" s="2" t="s">
        <v>24</v>
      </c>
      <c r="D95" s="26">
        <v>1757852.6</v>
      </c>
      <c r="E95" s="11"/>
      <c r="F95" s="22"/>
      <c r="G95" s="11"/>
      <c r="H95" s="11"/>
      <c r="I95" s="11"/>
      <c r="J95" s="2"/>
      <c r="K95" s="2"/>
      <c r="L95" s="2"/>
      <c r="M95" s="2"/>
      <c r="N95" s="2"/>
      <c r="O95" s="2"/>
    </row>
    <row r="96" spans="1:15" ht="12.75">
      <c r="A96" s="128" t="s">
        <v>529</v>
      </c>
      <c r="B96" s="2"/>
      <c r="C96" s="2" t="s">
        <v>24</v>
      </c>
      <c r="D96" s="9">
        <f>(D98-D89-SUM(D90:D95))</f>
        <v>428023.8199999966</v>
      </c>
      <c r="E96" s="2"/>
      <c r="F96" s="127" t="s">
        <v>24</v>
      </c>
      <c r="G96" s="2"/>
      <c r="H96" s="2"/>
      <c r="I96" s="2"/>
      <c r="J96" s="11"/>
      <c r="K96" s="11"/>
      <c r="L96" s="11"/>
      <c r="M96" s="11"/>
      <c r="N96" s="11"/>
      <c r="O96" s="2"/>
    </row>
    <row r="97" spans="1:15" ht="13.5" thickBot="1">
      <c r="A97" s="28" t="s">
        <v>277</v>
      </c>
      <c r="B97" s="2"/>
      <c r="C97" s="2"/>
      <c r="D97" s="30">
        <f>(D89+SUM(D90:D96))</f>
        <v>38411065.5</v>
      </c>
      <c r="E97" s="30">
        <f>SUM(E62:E88)</f>
        <v>62167662</v>
      </c>
      <c r="F97" s="124"/>
      <c r="G97" s="2"/>
      <c r="H97" s="2"/>
      <c r="I97" s="2"/>
      <c r="J97" s="11"/>
      <c r="K97" s="11"/>
      <c r="L97" s="11"/>
      <c r="M97" s="11"/>
      <c r="N97" s="11"/>
      <c r="O97" s="2"/>
    </row>
    <row r="98" spans="1:15" ht="14.25" customHeight="1" thickTop="1">
      <c r="A98" s="28"/>
      <c r="B98" s="2"/>
      <c r="C98" s="2"/>
      <c r="D98" s="9">
        <v>38411065.5</v>
      </c>
      <c r="E98" s="2"/>
      <c r="F98" s="2"/>
      <c r="G98" s="2"/>
      <c r="H98" s="2"/>
      <c r="I98" s="2"/>
      <c r="J98" s="11"/>
      <c r="K98" s="11"/>
      <c r="L98" s="11"/>
      <c r="M98" s="11"/>
      <c r="N98" s="11"/>
      <c r="O98" s="2"/>
    </row>
    <row r="99" spans="1:15" ht="14.25" customHeight="1">
      <c r="A99" s="28"/>
      <c r="B99" s="2"/>
      <c r="C99" s="2"/>
      <c r="D99" s="9"/>
      <c r="E99" s="2"/>
      <c r="F99" s="2"/>
      <c r="G99" s="2"/>
      <c r="H99" s="2"/>
      <c r="I99" s="2"/>
      <c r="J99" s="11"/>
      <c r="K99" s="11"/>
      <c r="L99" s="11"/>
      <c r="M99" s="11"/>
      <c r="N99" s="11"/>
      <c r="O99" s="2"/>
    </row>
    <row r="100" spans="1:15" ht="14.25" customHeight="1">
      <c r="A100" s="28"/>
      <c r="B100" s="2"/>
      <c r="C100" s="2"/>
      <c r="D100" s="9"/>
      <c r="E100" s="2"/>
      <c r="F100" s="2"/>
      <c r="G100" s="2"/>
      <c r="H100" s="2"/>
      <c r="I100" s="2"/>
      <c r="J100" s="11"/>
      <c r="K100" s="11"/>
      <c r="L100" s="11"/>
      <c r="M100" s="11"/>
      <c r="N100" s="11"/>
      <c r="O100" s="2"/>
    </row>
    <row r="101" spans="1:15" ht="14.25" customHeight="1">
      <c r="A101" s="28"/>
      <c r="B101" s="2"/>
      <c r="C101" s="2"/>
      <c r="D101" s="9"/>
      <c r="E101" s="2"/>
      <c r="F101" s="2"/>
      <c r="G101" s="2"/>
      <c r="H101" s="2"/>
      <c r="I101" s="2"/>
      <c r="J101" s="11"/>
      <c r="K101" s="11"/>
      <c r="L101" s="11"/>
      <c r="M101" s="11"/>
      <c r="N101" s="11"/>
      <c r="O101" s="2"/>
    </row>
    <row r="102" spans="1:15" ht="14.25" customHeight="1">
      <c r="A102" s="28"/>
      <c r="B102" s="2"/>
      <c r="C102" s="2"/>
      <c r="D102" s="9"/>
      <c r="E102" s="2"/>
      <c r="F102" s="2"/>
      <c r="G102" s="2"/>
      <c r="H102" s="2"/>
      <c r="I102" s="2"/>
      <c r="J102" s="11"/>
      <c r="K102" s="11"/>
      <c r="L102" s="11"/>
      <c r="M102" s="11"/>
      <c r="N102" s="11"/>
      <c r="O102" s="2"/>
    </row>
    <row r="103" spans="1:15" ht="12.75">
      <c r="A103" s="28"/>
      <c r="B103" s="2"/>
      <c r="C103" s="2"/>
      <c r="D103" s="9"/>
      <c r="E103" s="2"/>
      <c r="F103" s="2"/>
      <c r="G103" s="2"/>
      <c r="H103" s="2"/>
      <c r="I103" s="2"/>
      <c r="J103" s="11"/>
      <c r="K103" s="11"/>
      <c r="L103" s="11"/>
      <c r="M103" s="11"/>
      <c r="N103" s="11"/>
      <c r="O103" s="2"/>
    </row>
    <row r="104" spans="1:15" ht="12.75">
      <c r="A104" s="28"/>
      <c r="B104" s="2"/>
      <c r="C104" s="2"/>
      <c r="D104" s="253" t="s">
        <v>312</v>
      </c>
      <c r="E104" s="253"/>
      <c r="F104" s="253"/>
      <c r="G104" s="2"/>
      <c r="H104" s="2"/>
      <c r="I104" s="2"/>
      <c r="J104" s="11"/>
      <c r="K104" s="11"/>
      <c r="L104" s="11"/>
      <c r="M104" s="11"/>
      <c r="N104" s="11"/>
      <c r="O104" s="2"/>
    </row>
    <row r="105" spans="1:15" ht="12.75">
      <c r="A105" s="28"/>
      <c r="B105" s="2"/>
      <c r="C105" s="2"/>
      <c r="D105" s="152"/>
      <c r="E105" s="152"/>
      <c r="F105" s="152"/>
      <c r="G105" s="2"/>
      <c r="H105" s="2"/>
      <c r="I105" s="2"/>
      <c r="J105" s="11"/>
      <c r="K105" s="11"/>
      <c r="L105" s="11"/>
      <c r="M105" s="11"/>
      <c r="N105" s="11"/>
      <c r="O105" s="2"/>
    </row>
    <row r="106" spans="1:15" ht="12.75">
      <c r="A106" s="28"/>
      <c r="B106" s="2"/>
      <c r="C106" s="2"/>
      <c r="D106" s="152"/>
      <c r="E106" s="152"/>
      <c r="F106" s="152"/>
      <c r="G106" s="2"/>
      <c r="H106" s="2"/>
      <c r="I106" s="2"/>
      <c r="J106" s="11"/>
      <c r="K106" s="11"/>
      <c r="L106" s="11"/>
      <c r="M106" s="11"/>
      <c r="N106" s="11"/>
      <c r="O106" s="2"/>
    </row>
    <row r="107" spans="1:15" ht="12.75">
      <c r="A107" s="28" t="s">
        <v>530</v>
      </c>
      <c r="B107" s="11"/>
      <c r="C107" s="11"/>
      <c r="D107" s="9"/>
      <c r="E107" s="27">
        <f>(H62)</f>
        <v>0.20494546211506465</v>
      </c>
      <c r="F107" s="37" t="s">
        <v>565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28" t="s">
        <v>315</v>
      </c>
      <c r="B108" s="11"/>
      <c r="C108" s="11"/>
      <c r="D108" s="9"/>
      <c r="E108" s="9">
        <f>(E97)</f>
        <v>62167662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29"/>
      <c r="B109" s="29"/>
      <c r="C109" s="29"/>
      <c r="D109" s="40"/>
      <c r="E109" s="60" t="s">
        <v>144</v>
      </c>
      <c r="F109" s="29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29" t="s">
        <v>344</v>
      </c>
      <c r="B110" s="29"/>
      <c r="C110" s="29"/>
      <c r="D110" s="40"/>
      <c r="E110" s="11">
        <f>(E107*E108)</f>
        <v>12740980.217203144</v>
      </c>
      <c r="F110" s="39">
        <f>(E110/E112)</f>
        <v>0.331700775579973</v>
      </c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29" t="s">
        <v>174</v>
      </c>
      <c r="B111" s="29"/>
      <c r="C111" s="29"/>
      <c r="D111" s="40"/>
      <c r="E111" s="40">
        <f>(E112-E110)</f>
        <v>25670085.282796856</v>
      </c>
      <c r="F111" s="39">
        <f>(E111/E112)</f>
        <v>0.668299224420027</v>
      </c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29" t="s">
        <v>173</v>
      </c>
      <c r="B112" s="29"/>
      <c r="C112" s="29"/>
      <c r="D112" s="40"/>
      <c r="E112" s="29">
        <f>(D98)</f>
        <v>38411065.5</v>
      </c>
      <c r="F112" s="33">
        <f>(F110+F111)</f>
        <v>1</v>
      </c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3.5" thickBot="1">
      <c r="A113" s="29"/>
      <c r="B113" s="29"/>
      <c r="C113" s="29"/>
      <c r="D113" s="40"/>
      <c r="E113" s="29"/>
      <c r="F113" s="33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56" t="s">
        <v>290</v>
      </c>
      <c r="B114" s="56"/>
      <c r="C114" s="29"/>
      <c r="D114" s="40"/>
      <c r="E114" s="29"/>
      <c r="F114" s="33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53" t="s">
        <v>291</v>
      </c>
      <c r="B115" s="53">
        <v>0.8815689661116375</v>
      </c>
      <c r="C115" s="29"/>
      <c r="D115" s="40"/>
      <c r="E115" s="29"/>
      <c r="F115" s="33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53" t="s">
        <v>94</v>
      </c>
      <c r="B116" s="53">
        <v>0.7771638420111415</v>
      </c>
      <c r="C116" s="29"/>
      <c r="D116" s="40"/>
      <c r="E116" s="29"/>
      <c r="F116" s="33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53" t="s">
        <v>292</v>
      </c>
      <c r="B117" s="53">
        <v>0.7453301051555903</v>
      </c>
      <c r="C117" s="29"/>
      <c r="D117" s="40"/>
      <c r="E117" s="29"/>
      <c r="F117" s="33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53" t="s">
        <v>293</v>
      </c>
      <c r="B118" s="53">
        <v>0.18655972953276798</v>
      </c>
      <c r="C118" s="29"/>
      <c r="D118" s="40"/>
      <c r="E118" s="29"/>
      <c r="F118" s="33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3.5" thickBot="1">
      <c r="A119" s="54" t="s">
        <v>294</v>
      </c>
      <c r="B119" s="54">
        <v>9</v>
      </c>
      <c r="C119" s="29"/>
      <c r="D119" s="40"/>
      <c r="E119" s="29"/>
      <c r="F119" s="33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3.5" thickBot="1">
      <c r="A120" s="29"/>
      <c r="B120" s="29"/>
      <c r="C120" s="29"/>
      <c r="D120" s="40"/>
      <c r="E120" s="29"/>
      <c r="F120" s="33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55"/>
      <c r="B121" s="55" t="s">
        <v>296</v>
      </c>
      <c r="C121" s="29"/>
      <c r="D121" s="40"/>
      <c r="E121" s="29"/>
      <c r="F121" s="33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53" t="s">
        <v>295</v>
      </c>
      <c r="B122" s="53">
        <v>-0.2298334996102242</v>
      </c>
      <c r="C122" s="11"/>
      <c r="D122" s="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3.5" thickBot="1">
      <c r="A123" s="54" t="s">
        <v>297</v>
      </c>
      <c r="B123" s="54">
        <v>0.0021630794115686013</v>
      </c>
      <c r="C123" s="11"/>
      <c r="D123" s="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53"/>
      <c r="B124" s="53"/>
      <c r="C124" s="11"/>
      <c r="D124" s="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53"/>
      <c r="B125" s="53"/>
      <c r="C125" s="11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53"/>
      <c r="B126" s="53"/>
      <c r="C126" s="11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53"/>
      <c r="B127" s="53"/>
      <c r="C127" s="11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53"/>
      <c r="B128" s="53"/>
      <c r="C128" s="11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53"/>
      <c r="B129" s="53"/>
      <c r="C129" s="11"/>
      <c r="D129" s="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9"/>
      <c r="E130" s="11"/>
      <c r="F130" s="11"/>
      <c r="G130" s="11"/>
      <c r="H130" s="26" t="s">
        <v>24</v>
      </c>
      <c r="I130" s="11"/>
      <c r="J130" s="11"/>
      <c r="K130" s="11"/>
      <c r="L130" s="28" t="s">
        <v>24</v>
      </c>
      <c r="M130" s="11"/>
      <c r="N130" s="11"/>
      <c r="O130" s="11"/>
    </row>
    <row r="131" spans="1:15" ht="12.75">
      <c r="A131" s="29" t="s">
        <v>345</v>
      </c>
      <c r="B131" s="11"/>
      <c r="C131" s="11"/>
      <c r="D131" s="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29"/>
      <c r="B133" s="29"/>
      <c r="C133" s="29"/>
      <c r="D133" s="40" t="s">
        <v>114</v>
      </c>
      <c r="E133" s="29" t="s">
        <v>130</v>
      </c>
      <c r="F133" s="29" t="s">
        <v>147</v>
      </c>
      <c r="G133" s="29" t="s">
        <v>130</v>
      </c>
      <c r="H133" s="29" t="s">
        <v>148</v>
      </c>
      <c r="I133" s="11"/>
      <c r="J133" s="11"/>
      <c r="K133" s="11"/>
      <c r="L133" s="11"/>
      <c r="M133" s="11"/>
      <c r="N133" s="11"/>
      <c r="O133" s="11"/>
    </row>
    <row r="134" spans="1:15" ht="12.75">
      <c r="A134" s="29" t="s">
        <v>24</v>
      </c>
      <c r="B134" s="29"/>
      <c r="C134" s="29"/>
      <c r="D134" s="40" t="s">
        <v>90</v>
      </c>
      <c r="E134" s="29" t="s">
        <v>146</v>
      </c>
      <c r="F134" s="29" t="s">
        <v>11</v>
      </c>
      <c r="G134" s="29" t="s">
        <v>10</v>
      </c>
      <c r="H134" s="29" t="s">
        <v>10</v>
      </c>
      <c r="I134" s="11"/>
      <c r="J134" s="11"/>
      <c r="K134" s="11"/>
      <c r="L134" s="11"/>
      <c r="M134" s="11"/>
      <c r="N134" s="11"/>
      <c r="O134" s="11"/>
    </row>
    <row r="135" spans="1:15" ht="12.75">
      <c r="A135" s="29" t="s">
        <v>102</v>
      </c>
      <c r="B135" s="29"/>
      <c r="C135" s="29"/>
      <c r="D135" s="40">
        <f>(E112)</f>
        <v>38411065.5</v>
      </c>
      <c r="E135" s="33">
        <f>(F110)</f>
        <v>0.331700775579973</v>
      </c>
      <c r="F135" s="29">
        <f>(E135*D135)</f>
        <v>12740980.217203144</v>
      </c>
      <c r="G135" s="33">
        <f>(F111)</f>
        <v>0.668299224420027</v>
      </c>
      <c r="H135" s="40">
        <f>(G135*D135)</f>
        <v>25670085.282796856</v>
      </c>
      <c r="I135" s="11"/>
      <c r="J135" s="11"/>
      <c r="K135" s="11"/>
      <c r="L135" s="11"/>
      <c r="M135" s="11"/>
      <c r="N135" s="11"/>
      <c r="O135" s="11"/>
    </row>
    <row r="136" spans="1:15" ht="12.75">
      <c r="A136" s="29" t="s">
        <v>145</v>
      </c>
      <c r="B136" s="29" t="s">
        <v>24</v>
      </c>
      <c r="C136" s="29"/>
      <c r="D136" s="40">
        <f>(D21)</f>
        <v>37722490.38</v>
      </c>
      <c r="E136" s="39">
        <f>(F31)</f>
        <v>0.33319400438834434</v>
      </c>
      <c r="F136" s="29">
        <f>(E136*D136)</f>
        <v>12568907.625212999</v>
      </c>
      <c r="G136" s="39">
        <f>(F32)</f>
        <v>0.6668059956116557</v>
      </c>
      <c r="H136" s="40">
        <f>(G136*D136)</f>
        <v>25153582.754787005</v>
      </c>
      <c r="I136" s="11"/>
      <c r="J136" s="11"/>
      <c r="K136" s="11"/>
      <c r="L136" s="11"/>
      <c r="M136" s="11"/>
      <c r="N136" s="11"/>
      <c r="O136" s="11"/>
    </row>
    <row r="137" spans="1:15" ht="12.75">
      <c r="A137" s="29"/>
      <c r="B137" s="29"/>
      <c r="C137" s="29"/>
      <c r="D137" s="40"/>
      <c r="E137" s="29"/>
      <c r="F137" s="29"/>
      <c r="G137" s="29"/>
      <c r="H137" s="40"/>
      <c r="I137" s="11"/>
      <c r="J137" s="11"/>
      <c r="K137" s="11"/>
      <c r="L137" s="11"/>
      <c r="M137" s="11"/>
      <c r="N137" s="11"/>
      <c r="O137" s="11"/>
    </row>
    <row r="138" spans="1:15" ht="12.75">
      <c r="A138" s="29"/>
      <c r="B138" s="29"/>
      <c r="C138" s="29"/>
      <c r="D138" s="40">
        <f>(D135+D136)</f>
        <v>76133555.88</v>
      </c>
      <c r="E138" s="29"/>
      <c r="F138" s="29">
        <f>(F135+F136)</f>
        <v>25309887.842416145</v>
      </c>
      <c r="G138" s="29"/>
      <c r="H138" s="40">
        <f>(H135+H136)</f>
        <v>50823668.03758386</v>
      </c>
      <c r="I138" s="11"/>
      <c r="J138" s="11"/>
      <c r="K138" s="11"/>
      <c r="L138" s="11"/>
      <c r="M138" s="11"/>
      <c r="N138" s="11"/>
      <c r="O138" s="11"/>
    </row>
    <row r="139" spans="1:15" ht="12.75">
      <c r="A139" s="29"/>
      <c r="B139" s="29"/>
      <c r="C139" s="29"/>
      <c r="D139" s="40"/>
      <c r="E139" s="29"/>
      <c r="F139" s="29"/>
      <c r="G139" s="29"/>
      <c r="H139" s="29"/>
      <c r="I139" s="11"/>
      <c r="J139" s="11"/>
      <c r="K139" s="11"/>
      <c r="L139" s="11"/>
      <c r="M139" s="11"/>
      <c r="N139" s="11"/>
      <c r="O139" s="11"/>
    </row>
    <row r="140" spans="1:15" ht="12.75">
      <c r="A140" s="29" t="s">
        <v>130</v>
      </c>
      <c r="B140" s="29"/>
      <c r="C140" s="29"/>
      <c r="D140" s="40"/>
      <c r="E140" s="29"/>
      <c r="F140" s="39">
        <f>(F138/D138)</f>
        <v>0.3324406373755749</v>
      </c>
      <c r="G140" s="39"/>
      <c r="H140" s="39">
        <f>(H138/D138)</f>
        <v>0.6675593626244252</v>
      </c>
      <c r="I140" s="11"/>
      <c r="J140" s="11"/>
      <c r="K140" s="11"/>
      <c r="L140" s="11"/>
      <c r="M140" s="11"/>
      <c r="N140" s="11"/>
      <c r="O140" s="11"/>
    </row>
    <row r="141" spans="1:15" ht="12.75">
      <c r="A141" s="29"/>
      <c r="B141" s="29"/>
      <c r="C141" s="29"/>
      <c r="D141" s="40"/>
      <c r="E141" s="29"/>
      <c r="F141" s="39"/>
      <c r="G141" s="39"/>
      <c r="H141" s="39"/>
      <c r="I141" s="11"/>
      <c r="J141" s="11"/>
      <c r="K141" s="11"/>
      <c r="L141" s="11"/>
      <c r="M141" s="11"/>
      <c r="N141" s="11"/>
      <c r="O141" s="11"/>
    </row>
    <row r="142" spans="1:15" ht="12.75">
      <c r="A142" s="29"/>
      <c r="B142" s="29"/>
      <c r="C142" s="29"/>
      <c r="D142" s="40"/>
      <c r="E142" s="29"/>
      <c r="F142" s="39"/>
      <c r="G142" s="39"/>
      <c r="H142" s="39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9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 customHeight="1">
      <c r="A144" s="11"/>
      <c r="B144" s="11"/>
      <c r="C144" s="11"/>
      <c r="D144" s="9"/>
      <c r="E144" s="11"/>
      <c r="F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252" t="s">
        <v>583</v>
      </c>
      <c r="E145" s="252"/>
      <c r="F145" s="252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37" t="s">
        <v>454</v>
      </c>
      <c r="B147" s="38" t="s">
        <v>89</v>
      </c>
      <c r="C147" s="38"/>
      <c r="D147" s="24" t="s">
        <v>90</v>
      </c>
      <c r="E147" s="38" t="s">
        <v>92</v>
      </c>
      <c r="F147" s="38" t="s">
        <v>91</v>
      </c>
      <c r="G147" s="38" t="s">
        <v>100</v>
      </c>
      <c r="H147" s="11"/>
      <c r="I147" s="38" t="s">
        <v>24</v>
      </c>
      <c r="J147" s="11"/>
      <c r="K147" s="11"/>
      <c r="L147" s="11"/>
      <c r="M147" s="11"/>
      <c r="N147" s="11"/>
      <c r="O147" s="38"/>
    </row>
    <row r="148" spans="1:14" ht="12.75">
      <c r="A148" s="11"/>
      <c r="B148" s="11"/>
      <c r="C148" s="11"/>
      <c r="D148" s="9"/>
      <c r="E148" s="38" t="s">
        <v>93</v>
      </c>
      <c r="F148" s="11"/>
      <c r="G148" s="38" t="s">
        <v>98</v>
      </c>
      <c r="H148" s="11"/>
      <c r="I148"/>
      <c r="J148"/>
      <c r="K148"/>
      <c r="L148"/>
      <c r="M148"/>
      <c r="N148"/>
    </row>
    <row r="149" spans="1:14" ht="12.75">
      <c r="A149" s="11"/>
      <c r="B149" s="11"/>
      <c r="C149" s="11"/>
      <c r="D149" s="9"/>
      <c r="E149" s="11"/>
      <c r="F149" s="11"/>
      <c r="G149" s="11"/>
      <c r="H149" s="11"/>
      <c r="I149"/>
      <c r="J149"/>
      <c r="K149"/>
      <c r="L149"/>
      <c r="M149"/>
      <c r="N149"/>
    </row>
    <row r="150" spans="1:16" ht="12.75">
      <c r="A150" s="28" t="s">
        <v>455</v>
      </c>
      <c r="B150" s="11">
        <v>1</v>
      </c>
      <c r="C150" s="11"/>
      <c r="D150" s="9">
        <v>10235</v>
      </c>
      <c r="E150" s="11">
        <v>25</v>
      </c>
      <c r="F150" s="11">
        <f aca="true" t="shared" si="11" ref="F150:F165">(D150/E150)</f>
        <v>409.4</v>
      </c>
      <c r="G150" s="11">
        <f>(B150*$D$189)+($D$190)</f>
        <v>146.16464913275257</v>
      </c>
      <c r="H150" s="11"/>
      <c r="I150"/>
      <c r="J150" s="66">
        <f>(B150)</f>
        <v>1</v>
      </c>
      <c r="K150" s="66">
        <f>(F150)</f>
        <v>409.4</v>
      </c>
      <c r="L150" s="66">
        <f>(G150)</f>
        <v>146.16464913275257</v>
      </c>
      <c r="M150" s="66">
        <f>(B151)</f>
        <v>1.5</v>
      </c>
      <c r="N150" s="66">
        <f>(F151)</f>
        <v>74.90420289855074</v>
      </c>
      <c r="O150" s="66">
        <v>1</v>
      </c>
      <c r="P150" s="66" t="s">
        <v>24</v>
      </c>
    </row>
    <row r="151" spans="1:16" ht="12.75">
      <c r="A151" s="28" t="s">
        <v>456</v>
      </c>
      <c r="B151" s="11">
        <v>1.5</v>
      </c>
      <c r="C151" s="11"/>
      <c r="D151" s="9">
        <v>10336.78</v>
      </c>
      <c r="E151" s="11">
        <v>138</v>
      </c>
      <c r="F151" s="11">
        <f t="shared" si="11"/>
        <v>74.90420289855074</v>
      </c>
      <c r="G151" s="11">
        <f aca="true" t="shared" si="12" ref="G151:G160">(B151*$D$189)+($D$190)</f>
        <v>154.3297751965427</v>
      </c>
      <c r="H151" s="11"/>
      <c r="I151"/>
      <c r="J151" s="66">
        <f aca="true" t="shared" si="13" ref="J151:J165">(B151)</f>
        <v>1.5</v>
      </c>
      <c r="K151" s="66">
        <f aca="true" t="shared" si="14" ref="K151:K165">(F151)</f>
        <v>74.90420289855074</v>
      </c>
      <c r="L151" s="66">
        <f aca="true" t="shared" si="15" ref="L151:L165">(G151)</f>
        <v>154.3297751965427</v>
      </c>
      <c r="M151" s="66">
        <f>(B152)</f>
        <v>3</v>
      </c>
      <c r="N151" s="66">
        <f>(F152)</f>
        <v>98.40575949367089</v>
      </c>
      <c r="O151" s="66">
        <v>2</v>
      </c>
      <c r="P151" s="66" t="s">
        <v>24</v>
      </c>
    </row>
    <row r="152" spans="1:16" ht="12.75">
      <c r="A152" s="28" t="s">
        <v>457</v>
      </c>
      <c r="B152" s="11">
        <v>3</v>
      </c>
      <c r="C152" s="28" t="s">
        <v>24</v>
      </c>
      <c r="D152" s="9">
        <v>46644.33</v>
      </c>
      <c r="E152" s="11">
        <v>474</v>
      </c>
      <c r="F152" s="11">
        <f t="shared" si="11"/>
        <v>98.40575949367089</v>
      </c>
      <c r="G152" s="11">
        <f t="shared" si="12"/>
        <v>178.825153387913</v>
      </c>
      <c r="H152" s="11"/>
      <c r="I152"/>
      <c r="J152" s="66">
        <f t="shared" si="13"/>
        <v>3</v>
      </c>
      <c r="K152" s="66">
        <f t="shared" si="14"/>
        <v>98.40575949367089</v>
      </c>
      <c r="L152" s="66">
        <f t="shared" si="15"/>
        <v>178.825153387913</v>
      </c>
      <c r="M152" s="66">
        <f>(B154)</f>
        <v>5</v>
      </c>
      <c r="N152" s="66">
        <f>(F154)</f>
        <v>142.45047586206897</v>
      </c>
      <c r="O152" s="66">
        <v>3</v>
      </c>
      <c r="P152" s="66" t="s">
        <v>24</v>
      </c>
    </row>
    <row r="153" spans="1:16" ht="12.75">
      <c r="A153" s="28" t="s">
        <v>458</v>
      </c>
      <c r="B153" s="11">
        <v>3</v>
      </c>
      <c r="C153" s="28" t="s">
        <v>24</v>
      </c>
      <c r="D153" s="9">
        <v>4171.42</v>
      </c>
      <c r="E153" s="11">
        <v>61</v>
      </c>
      <c r="F153" s="11">
        <f t="shared" si="11"/>
        <v>68.38393442622952</v>
      </c>
      <c r="G153" s="11">
        <f t="shared" si="12"/>
        <v>178.825153387913</v>
      </c>
      <c r="H153" s="11"/>
      <c r="I153"/>
      <c r="J153" s="66">
        <f t="shared" si="13"/>
        <v>3</v>
      </c>
      <c r="K153" s="66">
        <f t="shared" si="14"/>
        <v>68.38393442622952</v>
      </c>
      <c r="L153" s="66">
        <f t="shared" si="15"/>
        <v>178.825153387913</v>
      </c>
      <c r="M153" s="66">
        <f>(B157)</f>
        <v>10</v>
      </c>
      <c r="N153" s="66">
        <f>(F157)</f>
        <v>250.4541279990257</v>
      </c>
      <c r="O153" s="66">
        <v>4</v>
      </c>
      <c r="P153" s="66" t="s">
        <v>24</v>
      </c>
    </row>
    <row r="154" spans="1:16" ht="12.75">
      <c r="A154" s="28" t="s">
        <v>459</v>
      </c>
      <c r="B154" s="11">
        <v>5</v>
      </c>
      <c r="C154" s="28" t="s">
        <v>24</v>
      </c>
      <c r="D154" s="9">
        <v>206553.19</v>
      </c>
      <c r="E154" s="11">
        <v>1450</v>
      </c>
      <c r="F154" s="11">
        <f t="shared" si="11"/>
        <v>142.45047586206897</v>
      </c>
      <c r="G154" s="11">
        <f t="shared" si="12"/>
        <v>211.4856576430734</v>
      </c>
      <c r="H154" s="11"/>
      <c r="I154"/>
      <c r="J154" s="66">
        <f t="shared" si="13"/>
        <v>5</v>
      </c>
      <c r="K154" s="66">
        <f t="shared" si="14"/>
        <v>142.45047586206897</v>
      </c>
      <c r="L154" s="66">
        <f t="shared" si="15"/>
        <v>211.4856576430734</v>
      </c>
      <c r="M154" s="66">
        <f aca="true" t="shared" si="16" ref="M154:M160">(B159)</f>
        <v>15</v>
      </c>
      <c r="N154" s="66">
        <f aca="true" t="shared" si="17" ref="N154:N160">(F159)</f>
        <v>380.359299367908</v>
      </c>
      <c r="O154" s="66">
        <v>5</v>
      </c>
      <c r="P154" s="66" t="s">
        <v>24</v>
      </c>
    </row>
    <row r="155" spans="1:16" ht="12.75">
      <c r="A155" s="28" t="s">
        <v>460</v>
      </c>
      <c r="B155" s="11">
        <v>5</v>
      </c>
      <c r="C155" s="28" t="s">
        <v>24</v>
      </c>
      <c r="D155" s="9">
        <v>243.52</v>
      </c>
      <c r="E155" s="11">
        <v>3</v>
      </c>
      <c r="F155" s="11">
        <f t="shared" si="11"/>
        <v>81.17333333333333</v>
      </c>
      <c r="G155" s="11">
        <f t="shared" si="12"/>
        <v>211.4856576430734</v>
      </c>
      <c r="H155" s="11"/>
      <c r="I155"/>
      <c r="J155" s="66">
        <f t="shared" si="13"/>
        <v>5</v>
      </c>
      <c r="K155" s="66">
        <f t="shared" si="14"/>
        <v>81.17333333333333</v>
      </c>
      <c r="L155" s="66">
        <f t="shared" si="15"/>
        <v>211.4856576430734</v>
      </c>
      <c r="M155" s="66">
        <f t="shared" si="16"/>
        <v>15</v>
      </c>
      <c r="N155" s="66">
        <f t="shared" si="17"/>
        <v>465.1321324245375</v>
      </c>
      <c r="O155" s="66">
        <v>6</v>
      </c>
      <c r="P155" s="66" t="s">
        <v>24</v>
      </c>
    </row>
    <row r="156" spans="1:16" ht="12.75">
      <c r="A156" s="28" t="s">
        <v>160</v>
      </c>
      <c r="B156" s="11">
        <v>7.5</v>
      </c>
      <c r="C156" s="11"/>
      <c r="D156" s="26">
        <v>13131.73</v>
      </c>
      <c r="E156" s="11">
        <v>79</v>
      </c>
      <c r="F156" s="11">
        <f t="shared" si="11"/>
        <v>166.22443037974682</v>
      </c>
      <c r="G156" s="11">
        <f t="shared" si="12"/>
        <v>252.31128796202393</v>
      </c>
      <c r="H156" s="11"/>
      <c r="I156"/>
      <c r="J156" s="66">
        <f t="shared" si="13"/>
        <v>7.5</v>
      </c>
      <c r="K156" s="66">
        <f t="shared" si="14"/>
        <v>166.22443037974682</v>
      </c>
      <c r="L156" s="66">
        <f t="shared" si="15"/>
        <v>252.31128796202393</v>
      </c>
      <c r="M156" s="66">
        <f t="shared" si="16"/>
        <v>25</v>
      </c>
      <c r="N156" s="66">
        <f t="shared" si="17"/>
        <v>474.17550901426137</v>
      </c>
      <c r="O156" s="66">
        <v>7</v>
      </c>
      <c r="P156" s="66" t="s">
        <v>24</v>
      </c>
    </row>
    <row r="157" spans="1:16" ht="12.75">
      <c r="A157" s="28" t="s">
        <v>161</v>
      </c>
      <c r="B157" s="11">
        <v>10</v>
      </c>
      <c r="C157" s="11"/>
      <c r="D157" s="26">
        <v>4112957.69</v>
      </c>
      <c r="E157" s="11">
        <v>16422</v>
      </c>
      <c r="F157" s="11">
        <f t="shared" si="11"/>
        <v>250.4541279990257</v>
      </c>
      <c r="G157" s="11">
        <f t="shared" si="12"/>
        <v>293.13691828097444</v>
      </c>
      <c r="H157" s="11"/>
      <c r="I157"/>
      <c r="J157" s="66">
        <f t="shared" si="13"/>
        <v>10</v>
      </c>
      <c r="K157" s="66">
        <f t="shared" si="14"/>
        <v>250.4541279990257</v>
      </c>
      <c r="L157" s="66">
        <f t="shared" si="15"/>
        <v>293.13691828097444</v>
      </c>
      <c r="M157" s="66">
        <f t="shared" si="16"/>
        <v>37.5</v>
      </c>
      <c r="N157" s="66">
        <f t="shared" si="17"/>
        <v>431.55970443349753</v>
      </c>
      <c r="O157" s="66">
        <v>8</v>
      </c>
      <c r="P157" s="66" t="s">
        <v>24</v>
      </c>
    </row>
    <row r="158" spans="1:16" ht="12.75">
      <c r="A158" s="28" t="s">
        <v>461</v>
      </c>
      <c r="B158" s="11">
        <v>10</v>
      </c>
      <c r="C158" s="11"/>
      <c r="D158" s="26">
        <v>25887.32</v>
      </c>
      <c r="E158" s="11">
        <v>61</v>
      </c>
      <c r="F158" s="11">
        <f t="shared" si="11"/>
        <v>424.3822950819672</v>
      </c>
      <c r="G158" s="11">
        <f t="shared" si="12"/>
        <v>293.13691828097444</v>
      </c>
      <c r="H158" s="11"/>
      <c r="I158"/>
      <c r="J158" s="66">
        <f t="shared" si="13"/>
        <v>10</v>
      </c>
      <c r="K158" s="66">
        <f t="shared" si="14"/>
        <v>424.3822950819672</v>
      </c>
      <c r="L158" s="66">
        <f t="shared" si="15"/>
        <v>293.13691828097444</v>
      </c>
      <c r="M158" s="66">
        <f>(B164)</f>
        <v>50</v>
      </c>
      <c r="N158" s="66">
        <f>(F164)</f>
        <v>746.446138540899</v>
      </c>
      <c r="O158" s="66">
        <v>10</v>
      </c>
      <c r="P158" s="66" t="s">
        <v>24</v>
      </c>
    </row>
    <row r="159" spans="1:16" ht="12.75">
      <c r="A159" s="28" t="s">
        <v>162</v>
      </c>
      <c r="B159" s="11">
        <v>15</v>
      </c>
      <c r="C159" s="11"/>
      <c r="D159" s="26">
        <v>4994497.96</v>
      </c>
      <c r="E159" s="11">
        <v>13131</v>
      </c>
      <c r="F159" s="11">
        <f t="shared" si="11"/>
        <v>380.359299367908</v>
      </c>
      <c r="G159" s="11">
        <f t="shared" si="12"/>
        <v>374.7881789188755</v>
      </c>
      <c r="H159" s="11"/>
      <c r="I159"/>
      <c r="J159" s="66">
        <f t="shared" si="13"/>
        <v>15</v>
      </c>
      <c r="K159" s="66">
        <f t="shared" si="14"/>
        <v>380.359299367908</v>
      </c>
      <c r="L159" s="66">
        <f t="shared" si="15"/>
        <v>374.7881789188755</v>
      </c>
      <c r="P159" s="66" t="s">
        <v>24</v>
      </c>
    </row>
    <row r="160" spans="1:16" ht="12.75">
      <c r="A160" s="29" t="s">
        <v>462</v>
      </c>
      <c r="B160" s="5">
        <v>15</v>
      </c>
      <c r="C160" s="11"/>
      <c r="D160" s="9">
        <v>477690.7</v>
      </c>
      <c r="E160" s="11">
        <v>1027</v>
      </c>
      <c r="F160" s="11">
        <f t="shared" si="11"/>
        <v>465.1321324245375</v>
      </c>
      <c r="G160" s="11">
        <f t="shared" si="12"/>
        <v>374.7881789188755</v>
      </c>
      <c r="H160" s="11"/>
      <c r="I160"/>
      <c r="J160" s="66">
        <f t="shared" si="13"/>
        <v>15</v>
      </c>
      <c r="K160" s="66">
        <f t="shared" si="14"/>
        <v>465.1321324245375</v>
      </c>
      <c r="L160" s="66">
        <f t="shared" si="15"/>
        <v>374.7881789188755</v>
      </c>
      <c r="M160" s="66">
        <f t="shared" si="16"/>
        <v>50</v>
      </c>
      <c r="N160" s="66">
        <f t="shared" si="17"/>
        <v>1183.4307777777778</v>
      </c>
      <c r="O160" s="66">
        <v>11</v>
      </c>
      <c r="P160" s="66" t="s">
        <v>24</v>
      </c>
    </row>
    <row r="161" spans="1:14" ht="12.75">
      <c r="A161" s="28" t="s">
        <v>463</v>
      </c>
      <c r="B161" s="11">
        <v>25</v>
      </c>
      <c r="C161" s="11"/>
      <c r="D161" s="9">
        <v>5286582.75</v>
      </c>
      <c r="E161" s="11">
        <v>11149</v>
      </c>
      <c r="F161" s="11">
        <f t="shared" si="11"/>
        <v>474.17550901426137</v>
      </c>
      <c r="G161" s="11">
        <f>(B161*$D$189)+($D$190)</f>
        <v>538.0907001946775</v>
      </c>
      <c r="H161" s="11"/>
      <c r="I161"/>
      <c r="J161" s="66">
        <f t="shared" si="13"/>
        <v>25</v>
      </c>
      <c r="K161" s="66">
        <f t="shared" si="14"/>
        <v>474.17550901426137</v>
      </c>
      <c r="L161" s="66">
        <f t="shared" si="15"/>
        <v>538.0907001946775</v>
      </c>
      <c r="M161"/>
      <c r="N161"/>
    </row>
    <row r="162" spans="1:15" ht="12.75">
      <c r="A162" s="28" t="s">
        <v>464</v>
      </c>
      <c r="B162" s="11">
        <v>37.5</v>
      </c>
      <c r="C162" s="11"/>
      <c r="D162" s="9">
        <v>87606.62</v>
      </c>
      <c r="E162" s="11">
        <v>203</v>
      </c>
      <c r="F162" s="11">
        <f t="shared" si="11"/>
        <v>431.55970443349753</v>
      </c>
      <c r="G162" s="11">
        <f>(B162*$D$189)+($D$190)</f>
        <v>742.2188517894301</v>
      </c>
      <c r="H162" s="11"/>
      <c r="I162"/>
      <c r="J162" s="66">
        <f t="shared" si="13"/>
        <v>37.5</v>
      </c>
      <c r="K162" s="66">
        <f t="shared" si="14"/>
        <v>431.55970443349753</v>
      </c>
      <c r="L162" s="66">
        <f t="shared" si="15"/>
        <v>742.2188517894301</v>
      </c>
      <c r="M162" s="66">
        <f>(B163)</f>
        <v>25</v>
      </c>
      <c r="N162" s="66">
        <f>(F163)</f>
        <v>983.4896666666667</v>
      </c>
      <c r="O162" s="66">
        <v>9</v>
      </c>
    </row>
    <row r="163" spans="1:14" ht="12.75">
      <c r="A163" s="28" t="s">
        <v>465</v>
      </c>
      <c r="B163" s="11">
        <v>25</v>
      </c>
      <c r="C163" s="11"/>
      <c r="D163" s="9">
        <v>177028.14</v>
      </c>
      <c r="E163" s="11">
        <v>180</v>
      </c>
      <c r="F163" s="11">
        <f t="shared" si="11"/>
        <v>983.4896666666667</v>
      </c>
      <c r="G163" s="11">
        <f>(B163*$D$189)+($D$190)</f>
        <v>538.0907001946775</v>
      </c>
      <c r="H163" s="11"/>
      <c r="I163"/>
      <c r="J163" s="66">
        <f t="shared" si="13"/>
        <v>25</v>
      </c>
      <c r="K163" s="66">
        <f t="shared" si="14"/>
        <v>983.4896666666667</v>
      </c>
      <c r="L163" s="66">
        <f t="shared" si="15"/>
        <v>538.0907001946775</v>
      </c>
      <c r="M163"/>
      <c r="N163"/>
    </row>
    <row r="164" spans="1:14" ht="12.75">
      <c r="A164" s="28" t="s">
        <v>466</v>
      </c>
      <c r="B164" s="11">
        <v>50</v>
      </c>
      <c r="C164" s="11"/>
      <c r="D164" s="9">
        <v>1012927.41</v>
      </c>
      <c r="E164" s="11">
        <v>1357</v>
      </c>
      <c r="F164" s="11">
        <f t="shared" si="11"/>
        <v>746.446138540899</v>
      </c>
      <c r="G164" s="11">
        <f>(B164*$D$189)+($D$190)</f>
        <v>946.3470033841827</v>
      </c>
      <c r="H164" s="11"/>
      <c r="I164"/>
      <c r="J164" s="66">
        <f t="shared" si="13"/>
        <v>50</v>
      </c>
      <c r="K164" s="66">
        <f t="shared" si="14"/>
        <v>746.446138540899</v>
      </c>
      <c r="L164" s="66">
        <f t="shared" si="15"/>
        <v>946.3470033841827</v>
      </c>
      <c r="M164"/>
      <c r="N164"/>
    </row>
    <row r="165" spans="1:14" ht="12.75">
      <c r="A165" s="28" t="s">
        <v>467</v>
      </c>
      <c r="B165" s="11">
        <v>50</v>
      </c>
      <c r="C165" s="11"/>
      <c r="D165" s="9">
        <v>426035.08</v>
      </c>
      <c r="E165" s="11">
        <v>360</v>
      </c>
      <c r="F165" s="11">
        <f t="shared" si="11"/>
        <v>1183.4307777777778</v>
      </c>
      <c r="G165" s="11">
        <f>(B165*$D$189)+($D$190)</f>
        <v>946.3470033841827</v>
      </c>
      <c r="H165" s="11"/>
      <c r="I165" s="11"/>
      <c r="J165" s="66">
        <f t="shared" si="13"/>
        <v>50</v>
      </c>
      <c r="K165" s="66">
        <f t="shared" si="14"/>
        <v>1183.4307777777778</v>
      </c>
      <c r="L165" s="66">
        <f t="shared" si="15"/>
        <v>946.3470033841827</v>
      </c>
      <c r="M165" s="11"/>
      <c r="N165" s="11"/>
    </row>
    <row r="166" spans="1:14" ht="12.75">
      <c r="A166" s="11" t="s">
        <v>112</v>
      </c>
      <c r="B166" s="11"/>
      <c r="C166" s="11"/>
      <c r="D166" s="9">
        <v>227113.23</v>
      </c>
      <c r="E166" s="11">
        <v>209</v>
      </c>
      <c r="F166" s="11">
        <f aca="true" t="shared" si="18" ref="F166:F181">(D166/E166)</f>
        <v>1086.6661722488038</v>
      </c>
      <c r="G166" s="28" t="s">
        <v>24</v>
      </c>
      <c r="H166" s="11"/>
      <c r="I166" s="11"/>
      <c r="J166" s="11"/>
      <c r="K166" s="11"/>
      <c r="L166" s="11"/>
      <c r="M166" s="11"/>
      <c r="N166" s="11"/>
    </row>
    <row r="167" spans="1:14" ht="12.75">
      <c r="A167" s="28" t="s">
        <v>468</v>
      </c>
      <c r="B167" s="11" t="s">
        <v>24</v>
      </c>
      <c r="C167" s="11"/>
      <c r="D167" s="9">
        <v>53975</v>
      </c>
      <c r="E167" s="11">
        <v>35</v>
      </c>
      <c r="F167" s="11">
        <f t="shared" si="18"/>
        <v>1542.142857142857</v>
      </c>
      <c r="G167" s="28" t="s">
        <v>24</v>
      </c>
      <c r="H167" s="11"/>
      <c r="I167" s="11"/>
      <c r="J167" s="11"/>
      <c r="K167" s="11"/>
      <c r="L167" s="11"/>
      <c r="M167" s="11"/>
      <c r="N167" s="11"/>
    </row>
    <row r="168" spans="1:23" ht="12.75">
      <c r="A168" s="28" t="s">
        <v>113</v>
      </c>
      <c r="B168" s="11"/>
      <c r="C168" s="11"/>
      <c r="D168" s="9">
        <v>301678.96</v>
      </c>
      <c r="E168" s="11">
        <v>230</v>
      </c>
      <c r="F168" s="11">
        <f t="shared" si="18"/>
        <v>1311.6476521739132</v>
      </c>
      <c r="G168" s="28" t="s">
        <v>24</v>
      </c>
      <c r="H168" s="11"/>
      <c r="I168" s="11"/>
      <c r="J168" s="11"/>
      <c r="K168" s="11"/>
      <c r="L168" s="11"/>
      <c r="M168" s="11"/>
      <c r="N168" s="11"/>
      <c r="O168" s="2"/>
      <c r="P168"/>
      <c r="Q168"/>
      <c r="R168"/>
      <c r="S168"/>
      <c r="T168"/>
      <c r="U168"/>
      <c r="V168"/>
      <c r="W168"/>
    </row>
    <row r="169" spans="1:23" ht="12.75">
      <c r="A169" s="28" t="s">
        <v>113</v>
      </c>
      <c r="B169" s="11"/>
      <c r="C169" s="11"/>
      <c r="D169" s="9">
        <v>1858</v>
      </c>
      <c r="E169" s="11">
        <v>1</v>
      </c>
      <c r="F169" s="11">
        <f t="shared" si="18"/>
        <v>1858</v>
      </c>
      <c r="G169" s="28" t="s">
        <v>24</v>
      </c>
      <c r="H169" s="11"/>
      <c r="I169" s="11"/>
      <c r="J169" s="11"/>
      <c r="K169" s="11"/>
      <c r="L169" s="11"/>
      <c r="M169" s="11"/>
      <c r="N169" s="11"/>
      <c r="O169" s="2"/>
      <c r="P169"/>
      <c r="Q169"/>
      <c r="R169"/>
      <c r="S169"/>
      <c r="T169"/>
      <c r="U169"/>
      <c r="V169"/>
      <c r="W169"/>
    </row>
    <row r="170" spans="1:15" ht="12.75">
      <c r="A170" s="28" t="s">
        <v>469</v>
      </c>
      <c r="B170" s="11"/>
      <c r="C170" s="11"/>
      <c r="D170" s="9">
        <v>53015</v>
      </c>
      <c r="E170" s="11">
        <v>13</v>
      </c>
      <c r="F170" s="11">
        <f t="shared" si="18"/>
        <v>4078.076923076923</v>
      </c>
      <c r="G170" s="28" t="s">
        <v>24</v>
      </c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28" t="s">
        <v>470</v>
      </c>
      <c r="B171" s="11"/>
      <c r="C171" s="11"/>
      <c r="D171" s="9">
        <v>185744.59</v>
      </c>
      <c r="E171" s="11">
        <v>110</v>
      </c>
      <c r="F171" s="11">
        <f t="shared" si="18"/>
        <v>1688.5871818181818</v>
      </c>
      <c r="G171" s="28" t="s">
        <v>24</v>
      </c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28" t="s">
        <v>471</v>
      </c>
      <c r="B172" s="11"/>
      <c r="C172" s="11"/>
      <c r="D172" s="9">
        <v>31996.5</v>
      </c>
      <c r="E172" s="11">
        <v>9</v>
      </c>
      <c r="F172" s="11">
        <f t="shared" si="18"/>
        <v>3555.1666666666665</v>
      </c>
      <c r="G172" s="28" t="s">
        <v>24</v>
      </c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28" t="s">
        <v>472</v>
      </c>
      <c r="B173" s="11"/>
      <c r="C173" s="11"/>
      <c r="D173" s="9">
        <v>59482.61</v>
      </c>
      <c r="E173" s="11">
        <v>24</v>
      </c>
      <c r="F173" s="11">
        <f t="shared" si="18"/>
        <v>2478.4420833333334</v>
      </c>
      <c r="G173" s="28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28" t="s">
        <v>473</v>
      </c>
      <c r="B174" s="11"/>
      <c r="C174" s="11"/>
      <c r="D174" s="26">
        <v>69551.34</v>
      </c>
      <c r="E174" s="11">
        <v>14</v>
      </c>
      <c r="F174" s="11">
        <f t="shared" si="18"/>
        <v>4967.952857142857</v>
      </c>
      <c r="G174" s="28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28" t="s">
        <v>474</v>
      </c>
      <c r="B175" s="11"/>
      <c r="C175" s="11"/>
      <c r="D175" s="9">
        <v>148282.09</v>
      </c>
      <c r="E175" s="11">
        <v>49</v>
      </c>
      <c r="F175" s="11">
        <f t="shared" si="18"/>
        <v>3026.1651020408162</v>
      </c>
      <c r="G175" s="28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28" t="s">
        <v>475</v>
      </c>
      <c r="B176" s="11"/>
      <c r="C176" s="11"/>
      <c r="D176" s="9">
        <v>105245.73</v>
      </c>
      <c r="E176" s="11">
        <v>17</v>
      </c>
      <c r="F176" s="11">
        <f t="shared" si="18"/>
        <v>6190.925294117646</v>
      </c>
      <c r="G176" s="28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28" t="s">
        <v>476</v>
      </c>
      <c r="B177" s="11"/>
      <c r="C177" s="11"/>
      <c r="D177" s="9">
        <v>16691</v>
      </c>
      <c r="E177" s="11">
        <v>2</v>
      </c>
      <c r="F177" s="11">
        <f t="shared" si="18"/>
        <v>8345.5</v>
      </c>
      <c r="G177" s="28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28" t="s">
        <v>477</v>
      </c>
      <c r="B178" s="11"/>
      <c r="C178" s="11"/>
      <c r="D178" s="9">
        <v>274978.88</v>
      </c>
      <c r="E178" s="28">
        <v>43</v>
      </c>
      <c r="F178" s="28">
        <f t="shared" si="18"/>
        <v>6394.857674418605</v>
      </c>
      <c r="G178" s="28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28" t="s">
        <v>478</v>
      </c>
      <c r="B179" s="11"/>
      <c r="C179" s="11"/>
      <c r="D179" s="9">
        <v>336191.92</v>
      </c>
      <c r="E179" s="11">
        <v>29</v>
      </c>
      <c r="F179" s="11">
        <f t="shared" si="18"/>
        <v>11592.824827586206</v>
      </c>
      <c r="G179" s="28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28" t="s">
        <v>479</v>
      </c>
      <c r="B180" s="11"/>
      <c r="C180" s="11"/>
      <c r="D180" s="9">
        <v>15204</v>
      </c>
      <c r="E180" s="11">
        <v>1</v>
      </c>
      <c r="F180" s="11">
        <f t="shared" si="18"/>
        <v>15204</v>
      </c>
      <c r="G180" s="28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28" t="s">
        <v>480</v>
      </c>
      <c r="B181" s="11"/>
      <c r="C181" s="11"/>
      <c r="D181" s="26">
        <v>155195.01</v>
      </c>
      <c r="E181" s="28">
        <v>9</v>
      </c>
      <c r="F181" s="11">
        <f t="shared" si="18"/>
        <v>17243.89</v>
      </c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28" t="s">
        <v>301</v>
      </c>
      <c r="B182" s="11"/>
      <c r="C182" s="11"/>
      <c r="D182" s="9">
        <v>0</v>
      </c>
      <c r="E182" s="28" t="s">
        <v>24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 t="s">
        <v>163</v>
      </c>
      <c r="B183" s="11"/>
      <c r="C183" s="11"/>
      <c r="D183" s="26">
        <v>0</v>
      </c>
      <c r="E183" s="28" t="s">
        <v>24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 t="s">
        <v>95</v>
      </c>
      <c r="B184" s="11"/>
      <c r="C184" s="11"/>
      <c r="D184" s="11">
        <v>21503692.22</v>
      </c>
      <c r="E184" s="11">
        <f>SUM(E150:E183)</f>
        <v>46915</v>
      </c>
      <c r="F184" s="11"/>
      <c r="G184" s="11" t="s">
        <v>24</v>
      </c>
      <c r="H184" s="11" t="s">
        <v>24</v>
      </c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28" t="s">
        <v>24</v>
      </c>
      <c r="C185" s="28" t="s">
        <v>24</v>
      </c>
      <c r="D185" s="26" t="s">
        <v>24</v>
      </c>
      <c r="E185" s="11"/>
      <c r="F185" s="11"/>
      <c r="G185" s="11"/>
      <c r="H185" s="11"/>
      <c r="I185" s="2"/>
      <c r="J185" s="2"/>
      <c r="K185" s="2"/>
      <c r="L185" s="2"/>
      <c r="M185" s="2"/>
      <c r="N185" s="2"/>
      <c r="O185" s="2"/>
    </row>
    <row r="186" spans="1:15" ht="12.75">
      <c r="A186" s="11"/>
      <c r="B186" s="28"/>
      <c r="C186" s="28"/>
      <c r="D186" s="26"/>
      <c r="E186" s="11"/>
      <c r="F186" s="11"/>
      <c r="G186" s="11"/>
      <c r="H186" s="11"/>
      <c r="I186" s="2"/>
      <c r="J186" s="2"/>
      <c r="K186" s="2"/>
      <c r="L186" s="2"/>
      <c r="M186" s="2"/>
      <c r="N186" s="2"/>
      <c r="O186" s="2"/>
    </row>
    <row r="187" spans="1:15" ht="12.75">
      <c r="A187" s="11"/>
      <c r="B187" s="28"/>
      <c r="C187" s="28"/>
      <c r="D187" s="26"/>
      <c r="E187" s="11"/>
      <c r="F187" s="11"/>
      <c r="G187" s="11"/>
      <c r="H187" s="11"/>
      <c r="I187" s="2"/>
      <c r="J187" s="2"/>
      <c r="K187" s="2"/>
      <c r="L187" s="2"/>
      <c r="M187" s="2"/>
      <c r="N187" s="2"/>
      <c r="O187" s="2"/>
    </row>
    <row r="188" spans="1:15" ht="12.75">
      <c r="A188" s="11"/>
      <c r="B188" s="28"/>
      <c r="C188" s="28"/>
      <c r="D188" s="26"/>
      <c r="E188" s="11"/>
      <c r="F188" s="11"/>
      <c r="G188" s="11"/>
      <c r="H188" s="11"/>
      <c r="I188" s="2"/>
      <c r="J188" s="2"/>
      <c r="K188" s="2"/>
      <c r="L188" s="2"/>
      <c r="M188" s="2"/>
      <c r="N188" s="2"/>
      <c r="O188" s="2"/>
    </row>
    <row r="189" spans="1:15" ht="12.75">
      <c r="A189" s="11" t="s">
        <v>99</v>
      </c>
      <c r="B189" s="11"/>
      <c r="C189" s="11"/>
      <c r="D189" s="65">
        <f>(B211)</f>
        <v>16.330252127580206</v>
      </c>
      <c r="E189" s="11"/>
      <c r="F189" s="11"/>
      <c r="G189" s="11"/>
      <c r="H189" s="11"/>
      <c r="I189" s="2"/>
      <c r="J189" s="2"/>
      <c r="K189" s="2"/>
      <c r="L189" s="2"/>
      <c r="M189" s="2"/>
      <c r="N189" s="2"/>
      <c r="O189" s="2"/>
    </row>
    <row r="190" spans="1:15" ht="12.75">
      <c r="A190" s="11" t="s">
        <v>97</v>
      </c>
      <c r="B190" s="11"/>
      <c r="C190" s="11"/>
      <c r="D190" s="65">
        <f>(B210)</f>
        <v>129.83439700517238</v>
      </c>
      <c r="E190" s="11"/>
      <c r="F190" s="11"/>
      <c r="G190" s="11"/>
      <c r="H190" s="11"/>
      <c r="I190" s="2"/>
      <c r="J190" s="2"/>
      <c r="K190" s="2"/>
      <c r="L190" s="2"/>
      <c r="M190" s="2"/>
      <c r="N190" s="2"/>
      <c r="O190" s="2"/>
    </row>
    <row r="191" spans="1:15" ht="12.75">
      <c r="A191" s="11" t="s">
        <v>94</v>
      </c>
      <c r="B191" s="11"/>
      <c r="C191" s="11"/>
      <c r="D191" s="65">
        <f>(B204)</f>
        <v>0.8165244065762635</v>
      </c>
      <c r="E191" s="11"/>
      <c r="F191" s="11"/>
      <c r="G191" s="11"/>
      <c r="H191" s="11"/>
      <c r="I191" s="2"/>
      <c r="J191" s="2"/>
      <c r="K191" s="2"/>
      <c r="L191" s="2"/>
      <c r="M191" s="2"/>
      <c r="N191" s="2"/>
      <c r="O191" s="2"/>
    </row>
    <row r="192" spans="1:15" ht="12.75">
      <c r="A192" s="11"/>
      <c r="B192" s="11"/>
      <c r="C192" s="11"/>
      <c r="D192" s="9"/>
      <c r="E192" s="11"/>
      <c r="F192" s="11"/>
      <c r="G192" s="11"/>
      <c r="H192" s="11"/>
      <c r="I192" s="2"/>
      <c r="J192" s="2"/>
      <c r="K192" s="2"/>
      <c r="L192" s="2"/>
      <c r="M192" s="2"/>
      <c r="N192" s="2"/>
      <c r="O192" s="2"/>
    </row>
    <row r="193" spans="1:15" ht="12.75">
      <c r="A193" s="11" t="s">
        <v>115</v>
      </c>
      <c r="B193" s="11"/>
      <c r="C193" s="11"/>
      <c r="D193" s="9"/>
      <c r="E193" s="11"/>
      <c r="F193" s="11">
        <f>(E184)</f>
        <v>46915</v>
      </c>
      <c r="G193" s="11"/>
      <c r="H193" s="11"/>
      <c r="I193" s="2"/>
      <c r="J193" s="2"/>
      <c r="K193" s="2"/>
      <c r="L193" s="2"/>
      <c r="M193" s="2"/>
      <c r="N193" s="2"/>
      <c r="O193" s="2"/>
    </row>
    <row r="194" spans="1:15" ht="12.75">
      <c r="A194" s="28" t="s">
        <v>97</v>
      </c>
      <c r="B194" s="11"/>
      <c r="C194" s="11"/>
      <c r="D194" s="9"/>
      <c r="E194" s="11"/>
      <c r="F194" s="11">
        <f>D190</f>
        <v>129.83439700517238</v>
      </c>
      <c r="G194" s="11"/>
      <c r="H194" s="11"/>
      <c r="I194" s="2"/>
      <c r="J194" s="2"/>
      <c r="K194" s="2"/>
      <c r="L194" s="2"/>
      <c r="M194" s="2"/>
      <c r="N194" s="2"/>
      <c r="O194" s="2"/>
    </row>
    <row r="195" spans="1:15" ht="12.75">
      <c r="A195" s="11" t="s">
        <v>108</v>
      </c>
      <c r="B195" s="11"/>
      <c r="C195" s="11"/>
      <c r="D195" s="9"/>
      <c r="E195" s="11"/>
      <c r="F195" s="11">
        <f>(F193*F194)</f>
        <v>6091180.735497662</v>
      </c>
      <c r="G195" s="11"/>
      <c r="H195" s="11"/>
      <c r="I195" s="2"/>
      <c r="J195" s="2"/>
      <c r="K195" s="2"/>
      <c r="L195" s="2"/>
      <c r="M195" s="2"/>
      <c r="N195" s="2"/>
      <c r="O195" s="2"/>
    </row>
    <row r="196" spans="1:15" ht="12.75">
      <c r="A196" s="11" t="s">
        <v>116</v>
      </c>
      <c r="B196" s="11"/>
      <c r="C196" s="11"/>
      <c r="D196" s="9"/>
      <c r="E196" s="11"/>
      <c r="F196" s="11">
        <f>(D184-F195)</f>
        <v>15412511.484502338</v>
      </c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29" t="s">
        <v>101</v>
      </c>
      <c r="B197" s="29"/>
      <c r="C197" s="29"/>
      <c r="D197" s="40"/>
      <c r="E197" s="29"/>
      <c r="F197" s="39">
        <f>(F195/D184)</f>
        <v>0.2832620869560447</v>
      </c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29" t="s">
        <v>104</v>
      </c>
      <c r="B198" s="29"/>
      <c r="C198" s="29"/>
      <c r="D198" s="40"/>
      <c r="E198" s="29"/>
      <c r="F198" s="39">
        <f>(1-F197)</f>
        <v>0.7167379130439553</v>
      </c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/>
      <c r="E199"/>
      <c r="F199"/>
      <c r="G199"/>
      <c r="H199"/>
      <c r="I199" s="11"/>
      <c r="J199" s="11"/>
      <c r="K199" s="11"/>
      <c r="L199" s="11"/>
      <c r="M199" s="11"/>
      <c r="N199" s="11"/>
      <c r="O199" s="11"/>
    </row>
    <row r="200" spans="1:15" ht="12.75">
      <c r="A200" s="2" t="s">
        <v>289</v>
      </c>
      <c r="B200"/>
      <c r="C200"/>
      <c r="D200"/>
      <c r="E200"/>
      <c r="F200"/>
      <c r="G200"/>
      <c r="H200"/>
      <c r="I200"/>
      <c r="J200" s="11"/>
      <c r="K200" s="11"/>
      <c r="L200" s="11"/>
      <c r="M200" s="11"/>
      <c r="N200" s="11"/>
      <c r="O200" s="11"/>
    </row>
    <row r="201" spans="1:15" ht="13.5" thickBot="1">
      <c r="A201" s="2"/>
      <c r="B201"/>
      <c r="C201"/>
      <c r="D201"/>
      <c r="E201"/>
      <c r="F201"/>
      <c r="G201"/>
      <c r="H201"/>
      <c r="I201"/>
      <c r="J201" s="11"/>
      <c r="K201" s="11"/>
      <c r="L201" s="11"/>
      <c r="M201" s="11"/>
      <c r="N201" s="11"/>
      <c r="O201" s="11"/>
    </row>
    <row r="202" spans="1:15" ht="13.5" thickBot="1">
      <c r="A202" s="56" t="s">
        <v>290</v>
      </c>
      <c r="B202" s="56"/>
      <c r="C202"/>
      <c r="D202"/>
      <c r="E202"/>
      <c r="F202"/>
      <c r="G202"/>
      <c r="H202"/>
      <c r="I202"/>
      <c r="J202" s="11"/>
      <c r="K202" s="11"/>
      <c r="L202" s="11"/>
      <c r="M202" s="11"/>
      <c r="N202" s="11"/>
      <c r="O202" s="11"/>
    </row>
    <row r="203" spans="1:15" ht="12.75">
      <c r="A203" s="56" t="s">
        <v>290</v>
      </c>
      <c r="B203" s="56"/>
      <c r="C203"/>
      <c r="D203"/>
      <c r="E203"/>
      <c r="F203"/>
      <c r="G203"/>
      <c r="H203"/>
      <c r="I203"/>
      <c r="J203" s="11"/>
      <c r="K203" s="11"/>
      <c r="L203" s="11"/>
      <c r="M203" s="11"/>
      <c r="N203" s="11"/>
      <c r="O203" s="11"/>
    </row>
    <row r="204" spans="1:2" ht="12.75">
      <c r="A204" s="53" t="s">
        <v>291</v>
      </c>
      <c r="B204" s="53">
        <v>0.8165244065762635</v>
      </c>
    </row>
    <row r="205" spans="1:2" ht="12.75">
      <c r="A205" s="53" t="s">
        <v>94</v>
      </c>
      <c r="B205" s="53">
        <v>0.6667121065347191</v>
      </c>
    </row>
    <row r="206" spans="1:2" ht="12.75">
      <c r="A206" s="53" t="s">
        <v>292</v>
      </c>
      <c r="B206" s="53">
        <v>0.6429058284300562</v>
      </c>
    </row>
    <row r="207" spans="1:2" ht="12.75">
      <c r="A207" s="53" t="s">
        <v>293</v>
      </c>
      <c r="B207" s="53">
        <v>197.449401112521</v>
      </c>
    </row>
    <row r="208" spans="1:2" ht="13.5" thickBot="1">
      <c r="A208" s="54" t="s">
        <v>294</v>
      </c>
      <c r="B208" s="54">
        <v>16</v>
      </c>
    </row>
    <row r="209" spans="1:2" ht="12.75">
      <c r="A209" s="61"/>
      <c r="B209" s="55" t="s">
        <v>296</v>
      </c>
    </row>
    <row r="210" spans="1:2" ht="12.75">
      <c r="A210" s="53" t="s">
        <v>295</v>
      </c>
      <c r="B210" s="53">
        <v>129.83439700517238</v>
      </c>
    </row>
    <row r="211" spans="1:2" ht="13.5" thickBot="1">
      <c r="A211" s="54" t="s">
        <v>297</v>
      </c>
      <c r="B211" s="54">
        <v>16.330252127580206</v>
      </c>
    </row>
    <row r="212" ht="12.75">
      <c r="A212" s="2"/>
    </row>
    <row r="213" ht="12.75"/>
    <row r="214" spans="1:15" ht="12.75">
      <c r="A214" s="11"/>
      <c r="B214" s="11"/>
      <c r="C214" s="11"/>
      <c r="E214"/>
      <c r="F214"/>
      <c r="G214"/>
      <c r="H214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E215"/>
      <c r="F215"/>
      <c r="G215"/>
      <c r="H215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E216"/>
      <c r="F216"/>
      <c r="G216"/>
      <c r="H216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E217"/>
      <c r="F217"/>
      <c r="G217"/>
      <c r="H217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E218"/>
      <c r="F218"/>
      <c r="G218"/>
      <c r="H218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E219"/>
      <c r="F219"/>
      <c r="G219"/>
      <c r="H219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E220"/>
      <c r="F220"/>
      <c r="G220"/>
      <c r="H220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E221"/>
      <c r="F221"/>
      <c r="G221"/>
      <c r="H22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E222"/>
      <c r="F222"/>
      <c r="G222"/>
      <c r="H222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E223"/>
      <c r="F223"/>
      <c r="G223"/>
      <c r="H223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E224"/>
      <c r="F224"/>
      <c r="G224"/>
      <c r="H224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E225"/>
      <c r="F225"/>
      <c r="G225"/>
      <c r="H225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E226"/>
      <c r="F226"/>
      <c r="G226"/>
      <c r="H226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E227"/>
      <c r="F227"/>
      <c r="G227"/>
      <c r="H227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E228"/>
      <c r="F228"/>
      <c r="G228"/>
      <c r="H228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E229"/>
      <c r="F229"/>
      <c r="G229"/>
      <c r="H229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E230"/>
      <c r="F230"/>
      <c r="G230"/>
      <c r="H230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E231"/>
      <c r="F231"/>
      <c r="G231"/>
      <c r="H23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E232"/>
      <c r="F232"/>
      <c r="G232"/>
      <c r="H232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I233" s="11"/>
      <c r="J233" s="11"/>
      <c r="K233" s="11"/>
      <c r="L233" s="11"/>
      <c r="M233" s="11"/>
      <c r="N233" s="11"/>
      <c r="O233" s="11"/>
    </row>
    <row r="234" spans="1:15" ht="15">
      <c r="A234" s="34" t="s">
        <v>158</v>
      </c>
      <c r="B234" s="34"/>
      <c r="C234" s="34"/>
      <c r="D234" s="17"/>
      <c r="E234" s="63" t="s">
        <v>114</v>
      </c>
      <c r="F234" s="64" t="s">
        <v>159</v>
      </c>
      <c r="G234" s="64" t="s">
        <v>261</v>
      </c>
      <c r="H234" s="63" t="s">
        <v>130</v>
      </c>
      <c r="J234" s="11"/>
      <c r="K234" s="11"/>
      <c r="L234" s="11"/>
      <c r="M234" s="11"/>
      <c r="N234" s="11"/>
      <c r="O234" s="11"/>
    </row>
    <row r="235" spans="1:15" ht="12.75">
      <c r="A235" s="34"/>
      <c r="B235" s="34"/>
      <c r="C235" s="34"/>
      <c r="D235" s="17"/>
      <c r="E235" s="34"/>
      <c r="F235" s="34"/>
      <c r="G235" s="34"/>
      <c r="H235" s="34"/>
      <c r="J235" s="11"/>
      <c r="K235" s="11"/>
      <c r="L235" s="11"/>
      <c r="M235" s="11"/>
      <c r="N235" s="11"/>
      <c r="O235" s="11"/>
    </row>
    <row r="236" spans="1:15" ht="12.75">
      <c r="A236" s="35" t="s">
        <v>149</v>
      </c>
      <c r="B236" s="35"/>
      <c r="C236" s="35"/>
      <c r="D236" s="17"/>
      <c r="E236" s="17">
        <v>237759.43</v>
      </c>
      <c r="F236" s="36">
        <f>(E236/$E$242)</f>
        <v>0.16555125636826573</v>
      </c>
      <c r="G236" s="17">
        <f>(E236)</f>
        <v>237759.43</v>
      </c>
      <c r="H236" s="36">
        <f>(G236/$G$242)</f>
        <v>0.21499781163063</v>
      </c>
      <c r="J236" s="28" t="s">
        <v>24</v>
      </c>
      <c r="K236" s="11"/>
      <c r="L236" s="11"/>
      <c r="M236" s="11"/>
      <c r="N236" s="11"/>
      <c r="O236" s="11"/>
    </row>
    <row r="237" spans="1:15" ht="12.75">
      <c r="A237" s="35" t="s">
        <v>150</v>
      </c>
      <c r="B237" s="35"/>
      <c r="C237" s="35"/>
      <c r="D237" s="17"/>
      <c r="E237" s="17">
        <v>414001.55</v>
      </c>
      <c r="F237" s="36">
        <f>(E237/$E$242)</f>
        <v>0.2882681740148409</v>
      </c>
      <c r="G237" s="17">
        <f>(E237)</f>
        <v>414001.55</v>
      </c>
      <c r="H237" s="36">
        <f>(G237/$G$242)</f>
        <v>0.3743676003163738</v>
      </c>
      <c r="J237" s="11"/>
      <c r="K237" s="11"/>
      <c r="L237" s="11"/>
      <c r="M237" s="11"/>
      <c r="N237" s="11"/>
      <c r="O237" s="11"/>
    </row>
    <row r="238" spans="1:15" ht="12.75">
      <c r="A238" s="35" t="s">
        <v>175</v>
      </c>
      <c r="B238" s="35"/>
      <c r="C238" s="35"/>
      <c r="D238" s="17"/>
      <c r="E238" s="17">
        <v>395912.22</v>
      </c>
      <c r="F238" s="36">
        <f>(E238/$E$242)</f>
        <v>0.27567262182849794</v>
      </c>
      <c r="G238" s="17">
        <f>(E238)</f>
        <v>395912.22</v>
      </c>
      <c r="H238" s="36">
        <f>(G238/$G$242)</f>
        <v>0.3580100309704837</v>
      </c>
      <c r="J238" s="11"/>
      <c r="K238" s="11"/>
      <c r="L238" s="11"/>
      <c r="M238" s="11"/>
      <c r="N238" s="11"/>
      <c r="O238" s="11"/>
    </row>
    <row r="239" spans="1:15" ht="12.75">
      <c r="A239" s="35" t="s">
        <v>176</v>
      </c>
      <c r="B239" s="35"/>
      <c r="C239" s="35"/>
      <c r="D239" s="17"/>
      <c r="E239" s="17">
        <v>58195.87</v>
      </c>
      <c r="F239" s="36">
        <f>(E239/$E$242)</f>
        <v>0.04052162891686048</v>
      </c>
      <c r="G239" s="17">
        <f>(E239)</f>
        <v>58195.87</v>
      </c>
      <c r="H239" s="36">
        <f>(G239/$G$242)</f>
        <v>0.052624557082512485</v>
      </c>
      <c r="J239" s="11"/>
      <c r="K239" s="11"/>
      <c r="L239" s="11"/>
      <c r="M239" s="11"/>
      <c r="N239" s="11"/>
      <c r="O239" s="11"/>
    </row>
    <row r="240" spans="1:15" ht="12.75">
      <c r="A240" s="35" t="s">
        <v>151</v>
      </c>
      <c r="B240" s="35"/>
      <c r="C240" s="35"/>
      <c r="D240" s="17"/>
      <c r="E240" s="17">
        <f>(328467.38+1831.63)</f>
        <v>330299.01</v>
      </c>
      <c r="F240" s="36">
        <f>(E240/$E$242)</f>
        <v>0.22998631887153487</v>
      </c>
      <c r="G240" s="17"/>
      <c r="H240" s="36" t="s">
        <v>24</v>
      </c>
      <c r="J240" s="11"/>
      <c r="K240" s="11"/>
      <c r="L240" s="11"/>
      <c r="M240" s="11"/>
      <c r="N240" s="11"/>
      <c r="O240" s="11"/>
    </row>
    <row r="241" spans="1:15" ht="12.75">
      <c r="A241" s="35"/>
      <c r="B241" s="35"/>
      <c r="C241" s="35"/>
      <c r="D241" s="17"/>
      <c r="E241" s="17"/>
      <c r="F241" s="36" t="s">
        <v>24</v>
      </c>
      <c r="G241" s="17"/>
      <c r="H241" s="36" t="s">
        <v>24</v>
      </c>
      <c r="J241" s="11"/>
      <c r="K241" s="11"/>
      <c r="L241" s="11"/>
      <c r="M241" s="11"/>
      <c r="N241" s="11"/>
      <c r="O241" s="11"/>
    </row>
    <row r="242" spans="1:15" ht="12.75">
      <c r="A242" s="35" t="s">
        <v>114</v>
      </c>
      <c r="B242" s="35"/>
      <c r="C242" s="35"/>
      <c r="D242" s="17"/>
      <c r="E242" s="17">
        <f>SUM(E236:E240)</f>
        <v>1436168.08</v>
      </c>
      <c r="F242" s="36">
        <f>(E242/$E$242)</f>
        <v>1</v>
      </c>
      <c r="G242" s="17">
        <f>SUM(G236:G240)</f>
        <v>1105869.07</v>
      </c>
      <c r="H242" s="36">
        <f>(G242/$G$242)</f>
        <v>1</v>
      </c>
      <c r="J242" s="11"/>
      <c r="K242" s="11"/>
      <c r="L242" s="11"/>
      <c r="M242" s="11"/>
      <c r="N242" s="11"/>
      <c r="O242" s="11"/>
    </row>
    <row r="243" spans="1:15" ht="12.75">
      <c r="A243" s="2"/>
      <c r="B243" s="2"/>
      <c r="C243" s="2"/>
      <c r="D243" s="9"/>
      <c r="E243" s="2"/>
      <c r="F243" s="2"/>
      <c r="G243" s="11"/>
      <c r="H243" s="11"/>
      <c r="I243" s="9"/>
      <c r="J243" s="11"/>
      <c r="K243" s="11"/>
      <c r="L243" s="11"/>
      <c r="M243" s="11"/>
      <c r="N243" s="11"/>
      <c r="O243" s="11"/>
    </row>
    <row r="244" spans="1:15" ht="12.75">
      <c r="A244" s="2"/>
      <c r="B244" s="2"/>
      <c r="C244" s="2"/>
      <c r="D244" s="9"/>
      <c r="E244" s="2"/>
      <c r="F244" s="2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2"/>
      <c r="B245" s="2"/>
      <c r="C245" s="2"/>
      <c r="D245" s="9"/>
      <c r="E245" s="2"/>
      <c r="F245" s="2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2"/>
      <c r="B246" s="2"/>
      <c r="C246" s="2"/>
      <c r="D246" s="9"/>
      <c r="E246" s="2"/>
      <c r="F246" s="2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2"/>
      <c r="B247" s="2"/>
      <c r="C247" s="2"/>
      <c r="D247" s="9"/>
      <c r="E247" s="2"/>
      <c r="F247" s="2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2"/>
      <c r="B248" s="2"/>
      <c r="C248" s="2"/>
      <c r="D248" s="9"/>
      <c r="E248" s="2"/>
      <c r="F248" s="2"/>
      <c r="G248" s="11"/>
      <c r="H248" s="11"/>
      <c r="I248" s="11"/>
      <c r="J248" s="11"/>
      <c r="K248" s="9"/>
      <c r="L248" s="11"/>
      <c r="M248" s="11"/>
      <c r="N248" s="11"/>
      <c r="O248" s="11"/>
    </row>
    <row r="249" spans="1:15" ht="12.75">
      <c r="A249" s="2"/>
      <c r="B249" s="2"/>
      <c r="C249" s="2"/>
      <c r="D249" s="9"/>
      <c r="E249" s="2"/>
      <c r="F249" s="2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2"/>
      <c r="B250" s="2"/>
      <c r="C250" s="2"/>
      <c r="D250" s="9"/>
      <c r="E250" s="2"/>
      <c r="F250" s="2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2"/>
      <c r="B251" s="2"/>
      <c r="C251" s="2"/>
      <c r="D251" s="9"/>
      <c r="E251" s="2"/>
      <c r="F251" s="2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2.75">
      <c r="A252" s="2"/>
      <c r="B252" s="2"/>
      <c r="C252" s="2"/>
      <c r="D252" s="9"/>
      <c r="E252" s="2"/>
      <c r="F252" s="2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2.75">
      <c r="A253" s="2"/>
      <c r="B253" s="2"/>
      <c r="C253" s="2"/>
      <c r="D253" s="9"/>
      <c r="E253" s="2"/>
      <c r="F253" s="2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2.75">
      <c r="A254" s="2"/>
      <c r="B254" s="2"/>
      <c r="C254" s="2"/>
      <c r="D254" s="9"/>
      <c r="E254" s="2"/>
      <c r="F254" s="2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2.75">
      <c r="A255" s="2"/>
      <c r="B255" s="2"/>
      <c r="C255" s="2"/>
      <c r="D255" s="9"/>
      <c r="E255" s="2"/>
      <c r="F255" s="2"/>
      <c r="G255" s="11"/>
      <c r="H255" s="9">
        <v>24</v>
      </c>
      <c r="I255" s="11"/>
      <c r="J255" s="11"/>
      <c r="K255" s="11"/>
      <c r="L255" s="11"/>
      <c r="M255" s="11"/>
      <c r="N255" s="11"/>
      <c r="O255" s="11"/>
    </row>
    <row r="256" spans="1:15" ht="12.75">
      <c r="A256" s="2"/>
      <c r="B256" s="2"/>
      <c r="C256" s="2"/>
      <c r="D256" s="9"/>
      <c r="E256" s="2"/>
      <c r="F256" s="2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2.75">
      <c r="A257" s="2"/>
      <c r="B257" s="2"/>
      <c r="C257" s="2"/>
      <c r="D257" s="9"/>
      <c r="E257" s="2"/>
      <c r="F257" s="2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2.75">
      <c r="A258" s="2"/>
      <c r="B258" s="2"/>
      <c r="C258" s="2"/>
      <c r="D258" s="9"/>
      <c r="E258" s="2"/>
      <c r="F258" s="2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s="2"/>
      <c r="B259" s="2"/>
      <c r="C259" s="2"/>
      <c r="D259" s="9"/>
      <c r="E259" s="2"/>
      <c r="F259" s="2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2.75">
      <c r="A260" s="2"/>
      <c r="B260" s="2"/>
      <c r="C260" s="2"/>
      <c r="D260" s="9"/>
      <c r="E260" s="2"/>
      <c r="F260" s="2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2.75">
      <c r="A261" s="2"/>
      <c r="B261" s="2"/>
      <c r="C261" s="2"/>
      <c r="D261" s="9"/>
      <c r="E261" s="2"/>
      <c r="F261" s="2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2.75">
      <c r="A262" s="2"/>
      <c r="B262" s="2"/>
      <c r="C262" s="2"/>
      <c r="D262" s="9"/>
      <c r="E262" s="2"/>
      <c r="F262" s="2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2.75">
      <c r="A263" s="2"/>
      <c r="B263" s="2"/>
      <c r="C263" s="2"/>
      <c r="D263" s="9"/>
      <c r="E263" s="2"/>
      <c r="F263" s="2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2.75">
      <c r="A264" s="2"/>
      <c r="B264" s="2"/>
      <c r="C264" s="2"/>
      <c r="D264" s="9"/>
      <c r="E264" s="2"/>
      <c r="F264" s="2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2.75">
      <c r="A265" s="2"/>
      <c r="B265" s="2"/>
      <c r="C265" s="2"/>
      <c r="D265" s="9"/>
      <c r="E265" s="2"/>
      <c r="F265" s="2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2.75">
      <c r="A266" s="2"/>
      <c r="B266" s="2"/>
      <c r="C266" s="2"/>
      <c r="D266" s="9"/>
      <c r="E266" s="2"/>
      <c r="F266" s="2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2.75">
      <c r="A267" s="2"/>
      <c r="B267" s="2"/>
      <c r="C267" s="2"/>
      <c r="D267" s="9"/>
      <c r="E267" s="2"/>
      <c r="F267" s="2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2"/>
      <c r="B268" s="2"/>
      <c r="C268" s="2"/>
      <c r="D268" s="9"/>
      <c r="E268" s="2"/>
      <c r="F268" s="2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2"/>
      <c r="B269" s="2"/>
      <c r="C269" s="2"/>
      <c r="D269" s="9"/>
      <c r="E269" s="2"/>
      <c r="F269" s="2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2"/>
      <c r="B270" s="2"/>
      <c r="C270" s="2"/>
      <c r="D270" s="9"/>
      <c r="E270" s="2"/>
      <c r="F270" s="2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2"/>
      <c r="B271" s="2"/>
      <c r="C271" s="2"/>
      <c r="D271" s="9"/>
      <c r="E271" s="2"/>
      <c r="F271" s="2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2"/>
      <c r="B272" s="2"/>
      <c r="C272" s="2"/>
      <c r="D272" s="9"/>
      <c r="E272" s="2"/>
      <c r="F272" s="2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2"/>
      <c r="B273" s="2"/>
      <c r="C273" s="2"/>
      <c r="D273" s="9"/>
      <c r="E273" s="2"/>
      <c r="F273" s="2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2"/>
      <c r="B274" s="2"/>
      <c r="C274" s="2"/>
      <c r="D274" s="9"/>
      <c r="E274" s="2"/>
      <c r="F274" s="2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2"/>
      <c r="B275" s="2"/>
      <c r="C275" s="2"/>
      <c r="D275" s="9"/>
      <c r="E275" s="2"/>
      <c r="F275" s="2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2"/>
      <c r="B276" s="2"/>
      <c r="C276" s="2"/>
      <c r="D276" s="9"/>
      <c r="E276" s="2"/>
      <c r="F276" s="2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2"/>
      <c r="B277" s="2"/>
      <c r="C277" s="2"/>
      <c r="D277" s="9"/>
      <c r="E277" s="2"/>
      <c r="F277" s="2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2"/>
      <c r="B278" s="2"/>
      <c r="C278" s="2"/>
      <c r="D278" s="9"/>
      <c r="E278" s="2"/>
      <c r="F278" s="2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2"/>
      <c r="B279" s="2"/>
      <c r="C279" s="2"/>
      <c r="D279" s="9"/>
      <c r="E279" s="2"/>
      <c r="F279" s="2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2.75">
      <c r="A280" s="11"/>
      <c r="B280" s="11"/>
      <c r="C280" s="11"/>
      <c r="D280" s="9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2.75">
      <c r="A281" s="11"/>
      <c r="B281" s="11"/>
      <c r="C281" s="11"/>
      <c r="D281" s="9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2.75">
      <c r="A282" s="11"/>
      <c r="B282" s="11"/>
      <c r="C282" s="11"/>
      <c r="D282" s="9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2.75">
      <c r="A283" s="11"/>
      <c r="B283" s="11"/>
      <c r="C283" s="11"/>
      <c r="D283" s="9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2.75">
      <c r="A284" s="11"/>
      <c r="B284" s="11"/>
      <c r="C284" s="11"/>
      <c r="D284" s="9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2.75">
      <c r="A285" s="11"/>
      <c r="B285" s="11"/>
      <c r="C285" s="11"/>
      <c r="D285" s="9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2.75">
      <c r="A286" s="11"/>
      <c r="B286" s="11"/>
      <c r="C286" s="11"/>
      <c r="D286" s="9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11"/>
      <c r="B287" s="11"/>
      <c r="C287" s="11"/>
      <c r="D287" s="9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2.75">
      <c r="A288" s="11"/>
      <c r="B288" s="11"/>
      <c r="C288" s="11"/>
      <c r="D288" s="9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11"/>
      <c r="B289" s="11"/>
      <c r="C289" s="11"/>
      <c r="D289" s="9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2.75">
      <c r="A290" s="11"/>
      <c r="B290" s="11"/>
      <c r="C290" s="11"/>
      <c r="D290" s="9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2.75">
      <c r="A291" s="11"/>
      <c r="B291" s="11"/>
      <c r="C291" s="11"/>
      <c r="D291" s="9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2.75">
      <c r="A292" s="11"/>
      <c r="B292" s="11"/>
      <c r="C292" s="11"/>
      <c r="D292" s="9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2.75">
      <c r="A293" s="11"/>
      <c r="B293" s="11"/>
      <c r="C293" s="11"/>
      <c r="D293" s="9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2.75">
      <c r="A294" s="11"/>
      <c r="B294" s="11"/>
      <c r="C294" s="11"/>
      <c r="D294" s="9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2.75">
      <c r="A295" s="11"/>
      <c r="B295" s="11"/>
      <c r="C295" s="11"/>
      <c r="D295" s="9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2.75">
      <c r="A296" s="11"/>
      <c r="B296" s="11"/>
      <c r="C296" s="11"/>
      <c r="D296" s="9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2.75">
      <c r="A297" s="11"/>
      <c r="B297" s="11"/>
      <c r="C297" s="11"/>
      <c r="D297" s="9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2.75">
      <c r="A298" s="11"/>
      <c r="B298" s="11"/>
      <c r="C298" s="11"/>
      <c r="D298" s="9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2.75">
      <c r="A299" s="11"/>
      <c r="B299" s="11"/>
      <c r="C299" s="11"/>
      <c r="D299" s="9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2.75">
      <c r="A300" s="11"/>
      <c r="B300" s="11"/>
      <c r="C300" s="11"/>
      <c r="D300" s="9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2.75">
      <c r="A301" s="11"/>
      <c r="B301" s="11"/>
      <c r="C301" s="11"/>
      <c r="D301" s="9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2.75">
      <c r="A302" s="11"/>
      <c r="B302" s="11"/>
      <c r="C302" s="11"/>
      <c r="D302" s="9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2.75">
      <c r="A303" s="11"/>
      <c r="B303" s="11"/>
      <c r="C303" s="11"/>
      <c r="D303" s="9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2.75">
      <c r="A304" s="11"/>
      <c r="B304" s="11"/>
      <c r="C304" s="11"/>
      <c r="D304" s="9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>
      <c r="A305" s="11"/>
      <c r="B305" s="11"/>
      <c r="C305" s="11"/>
      <c r="D305" s="9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11"/>
      <c r="B306" s="11"/>
      <c r="C306" s="11"/>
      <c r="D306" s="9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2.75">
      <c r="A307" s="11"/>
      <c r="B307" s="11"/>
      <c r="C307" s="11"/>
      <c r="D307" s="9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2.75">
      <c r="A308" s="11"/>
      <c r="B308" s="11"/>
      <c r="C308" s="11"/>
      <c r="D308" s="9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2.75">
      <c r="A309" s="11"/>
      <c r="B309" s="11"/>
      <c r="C309" s="11"/>
      <c r="D309" s="9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2.75">
      <c r="A310" s="11"/>
      <c r="B310" s="11"/>
      <c r="C310" s="11"/>
      <c r="D310" s="9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2.75">
      <c r="A311" s="11"/>
      <c r="B311" s="11"/>
      <c r="C311" s="11"/>
      <c r="D311" s="9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</sheetData>
  <mergeCells count="5">
    <mergeCell ref="D145:F145"/>
    <mergeCell ref="F56:J56"/>
    <mergeCell ref="D57:F57"/>
    <mergeCell ref="D3:F3"/>
    <mergeCell ref="D104:F104"/>
  </mergeCells>
  <printOptions horizontalCentered="1" verticalCentered="1"/>
  <pageMargins left="0.75" right="0.75" top="1" bottom="1" header="0.5" footer="0.5"/>
  <pageSetup horizontalDpi="300" verticalDpi="300" orientation="portrait" scale="68" r:id="rId2"/>
  <headerFooter alignWithMargins="0">
    <oddHeader xml:space="preserve">&amp;C&amp;"Arial,Bold"&amp;14 SOUTH KENTUCKY RECC
Case No.  2005-00450
Determination of Certain Plant Investments as Demand Related or Consumer Related&amp;RExhibit R
Schedule 7
Page &amp;P of &amp;N
 </oddHeader>
  </headerFooter>
  <rowBreaks count="5" manualBreakCount="5">
    <brk id="52" max="7" man="1"/>
    <brk id="102" max="7" man="1"/>
    <brk id="142" max="7" man="1"/>
    <brk id="184" max="7" man="1"/>
    <brk id="23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C127"/>
  <sheetViews>
    <sheetView workbookViewId="0" topLeftCell="G75">
      <selection activeCell="L94" sqref="L94"/>
    </sheetView>
  </sheetViews>
  <sheetFormatPr defaultColWidth="9.140625" defaultRowHeight="12.75"/>
  <cols>
    <col min="1" max="1" width="9.140625" style="9" customWidth="1"/>
    <col min="2" max="2" width="10.00390625" style="9" customWidth="1"/>
    <col min="3" max="3" width="14.421875" style="9" customWidth="1"/>
    <col min="4" max="4" width="14.28125" style="9" customWidth="1"/>
    <col min="5" max="5" width="13.00390625" style="9" customWidth="1"/>
    <col min="6" max="6" width="12.57421875" style="9" customWidth="1"/>
    <col min="7" max="7" width="14.57421875" style="9" customWidth="1"/>
    <col min="8" max="10" width="12.57421875" style="9" customWidth="1"/>
    <col min="11" max="11" width="15.421875" style="9" customWidth="1"/>
    <col min="12" max="12" width="13.28125" style="9" customWidth="1"/>
    <col min="13" max="13" width="12.57421875" style="9" customWidth="1"/>
    <col min="14" max="14" width="11.8515625" style="9" customWidth="1"/>
    <col min="15" max="15" width="13.421875" style="9" customWidth="1"/>
    <col min="16" max="16" width="14.28125" style="9" customWidth="1"/>
    <col min="17" max="17" width="13.140625" style="9" customWidth="1"/>
    <col min="18" max="18" width="14.7109375" style="9" bestFit="1" customWidth="1"/>
    <col min="19" max="19" width="8.140625" style="9" customWidth="1"/>
    <col min="20" max="20" width="16.28125" style="9" customWidth="1"/>
    <col min="21" max="21" width="9.140625" style="9" customWidth="1"/>
    <col min="22" max="22" width="23.421875" style="9" customWidth="1"/>
    <col min="23" max="23" width="3.28125" style="9" customWidth="1"/>
    <col min="24" max="24" width="13.00390625" style="9" customWidth="1"/>
    <col min="25" max="25" width="9.140625" style="9" customWidth="1"/>
    <col min="26" max="26" width="1.7109375" style="9" customWidth="1"/>
    <col min="27" max="27" width="12.421875" style="9" customWidth="1"/>
    <col min="28" max="28" width="2.421875" style="9" customWidth="1"/>
    <col min="29" max="29" width="15.28125" style="9" customWidth="1"/>
    <col min="30" max="16384" width="9.140625" style="9" customWidth="1"/>
  </cols>
  <sheetData>
    <row r="4" spans="1:2" ht="12.75">
      <c r="A4" s="40"/>
      <c r="B4" s="40"/>
    </row>
    <row r="5" spans="1:14" ht="12.75">
      <c r="A5" s="40" t="s">
        <v>131</v>
      </c>
      <c r="B5" s="40"/>
      <c r="C5" s="40" t="s">
        <v>414</v>
      </c>
      <c r="D5" s="40"/>
      <c r="E5" s="40"/>
      <c r="F5" s="40"/>
      <c r="G5" s="40"/>
      <c r="L5" s="40" t="s">
        <v>131</v>
      </c>
      <c r="M5" s="40"/>
      <c r="N5" s="40" t="s">
        <v>414</v>
      </c>
    </row>
    <row r="7" spans="3:20" ht="12.75">
      <c r="C7" s="25" t="s">
        <v>415</v>
      </c>
      <c r="D7" s="25" t="s">
        <v>415</v>
      </c>
      <c r="E7" s="25" t="s">
        <v>416</v>
      </c>
      <c r="F7" s="25" t="s">
        <v>416</v>
      </c>
      <c r="G7" s="25" t="s">
        <v>417</v>
      </c>
      <c r="H7" s="21" t="s">
        <v>418</v>
      </c>
      <c r="I7" s="21" t="s">
        <v>420</v>
      </c>
      <c r="J7" s="21" t="s">
        <v>421</v>
      </c>
      <c r="K7" s="2"/>
      <c r="L7" s="116" t="s">
        <v>422</v>
      </c>
      <c r="M7" s="116" t="s">
        <v>426</v>
      </c>
      <c r="N7" s="116" t="s">
        <v>428</v>
      </c>
      <c r="O7" s="116" t="s">
        <v>431</v>
      </c>
      <c r="P7" s="116" t="s">
        <v>432</v>
      </c>
      <c r="Q7" s="116" t="s">
        <v>434</v>
      </c>
      <c r="R7" s="2"/>
      <c r="S7" s="2"/>
      <c r="T7" s="24"/>
    </row>
    <row r="8" spans="3:20" ht="12.75">
      <c r="C8" s="25" t="s">
        <v>271</v>
      </c>
      <c r="D8" s="25" t="s">
        <v>271</v>
      </c>
      <c r="E8" s="25" t="s">
        <v>353</v>
      </c>
      <c r="F8" s="25" t="s">
        <v>353</v>
      </c>
      <c r="G8" s="25" t="s">
        <v>165</v>
      </c>
      <c r="H8" s="24" t="s">
        <v>165</v>
      </c>
      <c r="I8" s="21" t="s">
        <v>165</v>
      </c>
      <c r="J8" s="21" t="s">
        <v>165</v>
      </c>
      <c r="K8" s="118" t="s">
        <v>437</v>
      </c>
      <c r="L8" s="116" t="s">
        <v>423</v>
      </c>
      <c r="M8" s="116" t="s">
        <v>425</v>
      </c>
      <c r="N8" s="116" t="s">
        <v>429</v>
      </c>
      <c r="O8" s="116" t="s">
        <v>16</v>
      </c>
      <c r="P8" s="116" t="s">
        <v>433</v>
      </c>
      <c r="Q8" s="116" t="s">
        <v>435</v>
      </c>
      <c r="R8" s="118" t="s">
        <v>437</v>
      </c>
      <c r="S8" s="2"/>
      <c r="T8" s="21" t="s">
        <v>439</v>
      </c>
    </row>
    <row r="9" spans="1:20" ht="15">
      <c r="A9" s="182" t="s">
        <v>117</v>
      </c>
      <c r="C9" s="20" t="s">
        <v>351</v>
      </c>
      <c r="D9" s="20" t="s">
        <v>352</v>
      </c>
      <c r="E9" s="20" t="s">
        <v>354</v>
      </c>
      <c r="F9" s="20" t="s">
        <v>352</v>
      </c>
      <c r="G9" s="20" t="s">
        <v>166</v>
      </c>
      <c r="H9" s="20" t="s">
        <v>419</v>
      </c>
      <c r="I9" s="20" t="s">
        <v>541</v>
      </c>
      <c r="J9" s="20" t="s">
        <v>419</v>
      </c>
      <c r="K9" s="32" t="s">
        <v>438</v>
      </c>
      <c r="L9" s="117" t="s">
        <v>424</v>
      </c>
      <c r="M9" s="117" t="s">
        <v>427</v>
      </c>
      <c r="N9" s="117" t="s">
        <v>430</v>
      </c>
      <c r="O9" s="117" t="s">
        <v>17</v>
      </c>
      <c r="P9" s="117" t="s">
        <v>17</v>
      </c>
      <c r="Q9" s="117" t="s">
        <v>436</v>
      </c>
      <c r="R9" s="32" t="s">
        <v>438</v>
      </c>
      <c r="S9" s="2"/>
      <c r="T9" s="20" t="s">
        <v>47</v>
      </c>
    </row>
    <row r="10" spans="2:20" ht="12.75">
      <c r="B10" s="26" t="s">
        <v>24</v>
      </c>
      <c r="C10" s="21" t="s">
        <v>24</v>
      </c>
      <c r="D10" s="21" t="s">
        <v>24</v>
      </c>
      <c r="E10" s="21" t="s">
        <v>24</v>
      </c>
      <c r="F10" s="21" t="s">
        <v>24</v>
      </c>
      <c r="G10" s="26" t="s">
        <v>24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9" ht="12.75">
      <c r="A11" s="26" t="s">
        <v>126</v>
      </c>
      <c r="C11" s="9">
        <f>('[2]Sheet1'!D7)</f>
        <v>52079441</v>
      </c>
      <c r="D11" s="9">
        <f>('[2]Sheet1'!N153)</f>
        <v>9751</v>
      </c>
      <c r="E11" s="9">
        <f>('[2]Sheet1'!I7)</f>
        <v>5303181</v>
      </c>
      <c r="F11" s="26">
        <f>('[2]Sheet1'!P153)</f>
        <v>0</v>
      </c>
      <c r="G11" s="9">
        <f>('[2]Sheet1'!E33)</f>
        <v>12337911</v>
      </c>
      <c r="H11" s="9">
        <f>('[2]Sheet1'!E58)</f>
        <v>3405874</v>
      </c>
      <c r="I11" s="9">
        <f>('[2]Sheet1'!K85)</f>
        <v>4157854</v>
      </c>
      <c r="J11" s="9">
        <f>('[2]Sheet1'!K132)</f>
        <v>3926030</v>
      </c>
      <c r="K11" s="41">
        <f>SUM(C11:J11)</f>
        <v>81220042</v>
      </c>
      <c r="L11" s="2">
        <f>('[2]Sheet1'!K179)</f>
        <v>0</v>
      </c>
      <c r="M11" s="9">
        <f>('[2]Sheet1'!E202)</f>
        <v>1531910</v>
      </c>
      <c r="N11" s="183">
        <f>('[2]Sheet1'!E226)</f>
        <v>605500</v>
      </c>
      <c r="O11" s="9">
        <f>('[2]Sheet1'!N24)</f>
        <v>1491726.8</v>
      </c>
      <c r="P11" s="9">
        <f>('[2]Sheet1'!N46)</f>
        <v>57800</v>
      </c>
      <c r="Q11" s="9">
        <f>('[2]Sheet1'!N$121)</f>
        <v>16914</v>
      </c>
      <c r="R11" s="9">
        <f>SUM(L11:Q11)</f>
        <v>3703850.8</v>
      </c>
      <c r="S11" s="2"/>
      <c r="T11" s="41">
        <f>SUM(K11,R11)</f>
        <v>84923892.8</v>
      </c>
      <c r="V11" s="26" t="s">
        <v>246</v>
      </c>
      <c r="W11" s="26"/>
      <c r="X11" s="9">
        <f>(C24)</f>
        <v>706078436</v>
      </c>
      <c r="Y11" s="9">
        <f>(X11/$X$24)</f>
        <v>0.33997929631859836</v>
      </c>
      <c r="AA11" s="9">
        <f>(Y11*$AA$24)</f>
        <v>789174.5617244722</v>
      </c>
      <c r="AC11" s="9">
        <f>(Y11*$AC$24)</f>
        <v>900160.8030076786</v>
      </c>
    </row>
    <row r="12" spans="1:29" ht="12.75">
      <c r="A12" s="26" t="s">
        <v>127</v>
      </c>
      <c r="C12" s="9">
        <f>('[2]Sheet1'!D8)</f>
        <v>40652368</v>
      </c>
      <c r="D12" s="9">
        <f>('[2]Sheet1'!N154)</f>
        <v>112358</v>
      </c>
      <c r="E12" s="9">
        <f>('[2]Sheet1'!I8)</f>
        <v>4495029</v>
      </c>
      <c r="F12" s="26">
        <f>('[2]Sheet1'!P154)</f>
        <v>0</v>
      </c>
      <c r="G12" s="9">
        <f>('[2]Sheet1'!E34)</f>
        <v>11990982</v>
      </c>
      <c r="H12" s="9">
        <f>('[2]Sheet1'!E59)</f>
        <v>3295055</v>
      </c>
      <c r="I12" s="9">
        <f>('[2]Sheet1'!K86)</f>
        <v>3831123</v>
      </c>
      <c r="J12" s="9">
        <f>('[2]Sheet1'!K133)</f>
        <v>3923927</v>
      </c>
      <c r="K12" s="41">
        <f aca="true" t="shared" si="0" ref="K12:K22">SUM(C12:J12)</f>
        <v>68300842</v>
      </c>
      <c r="L12" s="2">
        <f>('[2]Sheet1'!K180)</f>
        <v>0</v>
      </c>
      <c r="M12" s="9">
        <f>('[2]Sheet1'!E203)</f>
        <v>1459538</v>
      </c>
      <c r="N12" s="183">
        <f>('[2]Sheet1'!E227)</f>
        <v>617880</v>
      </c>
      <c r="O12" s="9">
        <f>('[2]Sheet1'!O24)</f>
        <v>1504237</v>
      </c>
      <c r="P12" s="9">
        <f>('[2]Sheet1'!O46)</f>
        <v>57874</v>
      </c>
      <c r="Q12" s="9">
        <f>('[2]Sheet1'!O$121)</f>
        <v>16914</v>
      </c>
      <c r="R12" s="9">
        <f aca="true" t="shared" si="1" ref="R12:R22">SUM(L12:Q12)</f>
        <v>3656443</v>
      </c>
      <c r="S12" s="2"/>
      <c r="T12" s="41">
        <f aca="true" t="shared" si="2" ref="T12:T24">SUM(K12,R12)</f>
        <v>71957285</v>
      </c>
      <c r="V12" s="26" t="s">
        <v>243</v>
      </c>
      <c r="W12" s="26"/>
      <c r="X12" s="9">
        <f>(D24)</f>
        <v>11489483</v>
      </c>
      <c r="Y12" s="9">
        <f aca="true" t="shared" si="3" ref="Y12:Y22">(X12/$X$24)</f>
        <v>0.0055322272232719745</v>
      </c>
      <c r="AA12" s="9">
        <f aca="true" t="shared" si="4" ref="AA12:AA22">(Y12*$AA$24)</f>
        <v>12841.643716429508</v>
      </c>
      <c r="AC12" s="9">
        <f aca="true" t="shared" si="5" ref="AC12:AC22">(Y12*$AC$24)</f>
        <v>14647.639293466644</v>
      </c>
    </row>
    <row r="13" spans="1:29" ht="12.75">
      <c r="A13" s="26" t="s">
        <v>128</v>
      </c>
      <c r="C13" s="9">
        <f>('[2]Sheet1'!D9)</f>
        <v>41482142</v>
      </c>
      <c r="D13" s="9">
        <f>('[2]Sheet1'!N155)</f>
        <v>499623</v>
      </c>
      <c r="E13" s="9">
        <f>('[2]Sheet1'!I9)</f>
        <v>4095954</v>
      </c>
      <c r="F13" s="26">
        <f>('[2]Sheet1'!P155)</f>
        <v>0</v>
      </c>
      <c r="G13" s="9">
        <f>('[2]Sheet1'!E35)</f>
        <v>11042649</v>
      </c>
      <c r="H13" s="9">
        <f>('[2]Sheet1'!E60)</f>
        <v>3280795</v>
      </c>
      <c r="I13" s="9">
        <f>('[2]Sheet1'!K87)</f>
        <v>3764987</v>
      </c>
      <c r="J13" s="9">
        <f>('[2]Sheet1'!K134)</f>
        <v>3912120</v>
      </c>
      <c r="K13" s="41">
        <f t="shared" si="0"/>
        <v>68078270</v>
      </c>
      <c r="L13" s="2">
        <f>('[2]Sheet1'!K181)</f>
        <v>200</v>
      </c>
      <c r="M13" s="9">
        <f>('[2]Sheet1'!E204)</f>
        <v>1251780</v>
      </c>
      <c r="N13" s="183">
        <f>('[2]Sheet1'!E228)</f>
        <v>527100</v>
      </c>
      <c r="O13" s="9">
        <f>('[2]Sheet1'!P24)</f>
        <v>1507017.4</v>
      </c>
      <c r="P13" s="9">
        <f>('[2]Sheet1'!P46)</f>
        <v>57800</v>
      </c>
      <c r="Q13" s="9">
        <f>('[2]Sheet1'!P$121)</f>
        <v>16414</v>
      </c>
      <c r="R13" s="9">
        <f t="shared" si="1"/>
        <v>3360311.4</v>
      </c>
      <c r="S13" s="2"/>
      <c r="T13" s="41">
        <f t="shared" si="2"/>
        <v>71438581.4</v>
      </c>
      <c r="V13" s="9" t="s">
        <v>235</v>
      </c>
      <c r="X13" s="9">
        <f>(E24)</f>
        <v>59473163</v>
      </c>
      <c r="Y13" s="9">
        <f t="shared" si="3"/>
        <v>0.028636541035196406</v>
      </c>
      <c r="AA13" s="9">
        <f t="shared" si="4"/>
        <v>66472.3704221624</v>
      </c>
      <c r="AC13" s="9">
        <f t="shared" si="5"/>
        <v>75820.76924310227</v>
      </c>
    </row>
    <row r="14" spans="1:29" ht="12.75">
      <c r="A14" s="26" t="s">
        <v>129</v>
      </c>
      <c r="C14" s="9">
        <f>('[2]Sheet1'!D10)</f>
        <v>65728706</v>
      </c>
      <c r="D14" s="9">
        <f>('[2]Sheet1'!N156)</f>
        <v>1563909</v>
      </c>
      <c r="E14" s="9">
        <f>('[2]Sheet1'!I10)</f>
        <v>4530231</v>
      </c>
      <c r="F14" s="26">
        <f>('[2]Sheet1'!P156)</f>
        <v>190</v>
      </c>
      <c r="G14" s="9">
        <f>('[2]Sheet1'!E36)</f>
        <v>11471172</v>
      </c>
      <c r="H14" s="9">
        <f>('[2]Sheet1'!E61)</f>
        <v>2990620</v>
      </c>
      <c r="I14" s="9">
        <f>('[2]Sheet1'!K88)</f>
        <v>3124742</v>
      </c>
      <c r="J14" s="9">
        <f>('[2]Sheet1'!K135)</f>
        <v>3751006</v>
      </c>
      <c r="K14" s="41">
        <f t="shared" si="0"/>
        <v>93160576</v>
      </c>
      <c r="L14" s="2">
        <f>('[2]Sheet1'!K182)</f>
        <v>47800</v>
      </c>
      <c r="M14" s="9">
        <f>('[2]Sheet1'!E205)</f>
        <v>1245355</v>
      </c>
      <c r="N14" s="183">
        <f>('[2]Sheet1'!E229)</f>
        <v>568660</v>
      </c>
      <c r="O14" s="9">
        <f>('[2]Sheet1'!Q24)</f>
        <v>1515932</v>
      </c>
      <c r="P14" s="9">
        <f>('[2]Sheet1'!Q46)</f>
        <v>57800</v>
      </c>
      <c r="Q14" s="9">
        <f>('[2]Sheet1'!Q$121)</f>
        <v>16914</v>
      </c>
      <c r="R14" s="9">
        <f t="shared" si="1"/>
        <v>3452461</v>
      </c>
      <c r="S14" s="2"/>
      <c r="T14" s="41">
        <f t="shared" si="2"/>
        <v>96613037</v>
      </c>
      <c r="V14" s="9" t="s">
        <v>236</v>
      </c>
      <c r="X14" s="9">
        <f>(F24)</f>
        <v>13330</v>
      </c>
      <c r="Y14" s="9">
        <f t="shared" si="3"/>
        <v>6.418442752055546E-06</v>
      </c>
      <c r="AA14" s="9">
        <f t="shared" si="4"/>
        <v>14.898765309109672</v>
      </c>
      <c r="AC14" s="9">
        <f t="shared" si="5"/>
        <v>16.994065945518205</v>
      </c>
    </row>
    <row r="15" spans="1:29" ht="12.75">
      <c r="A15" s="26" t="s">
        <v>118</v>
      </c>
      <c r="C15" s="9">
        <f>('[2]Sheet1'!D11)</f>
        <v>83541795</v>
      </c>
      <c r="D15" s="9">
        <f>('[2]Sheet1'!N157)</f>
        <v>2409959</v>
      </c>
      <c r="E15" s="9">
        <f>('[2]Sheet1'!I11)</f>
        <v>5376675</v>
      </c>
      <c r="F15" s="26">
        <f>('[2]Sheet1'!P157)</f>
        <v>3830</v>
      </c>
      <c r="G15" s="9">
        <f>('[2]Sheet1'!E37)</f>
        <v>11282181</v>
      </c>
      <c r="H15" s="9">
        <f>('[2]Sheet1'!E62)</f>
        <v>2832775</v>
      </c>
      <c r="I15" s="9">
        <f>('[2]Sheet1'!K89)</f>
        <v>3038427</v>
      </c>
      <c r="J15" s="9">
        <f>('[2]Sheet1'!K136)</f>
        <v>3891027</v>
      </c>
      <c r="K15" s="41">
        <f t="shared" si="0"/>
        <v>112376669</v>
      </c>
      <c r="L15" s="2">
        <f>('[2]Sheet1'!K183)</f>
        <v>39600</v>
      </c>
      <c r="M15" s="9">
        <f>('[2]Sheet1'!E206)</f>
        <v>1366318</v>
      </c>
      <c r="N15" s="183">
        <f>('[2]Sheet1'!E230)</f>
        <v>837920</v>
      </c>
      <c r="O15" s="9">
        <f>('[2]Sheet1'!R24)</f>
        <v>1519228.2</v>
      </c>
      <c r="P15" s="9">
        <f>('[2]Sheet1'!R46)</f>
        <v>57800</v>
      </c>
      <c r="Q15" s="9">
        <f>('[2]Sheet1'!R$121)</f>
        <v>16914</v>
      </c>
      <c r="R15" s="9">
        <f t="shared" si="1"/>
        <v>3837780.2</v>
      </c>
      <c r="S15" s="2"/>
      <c r="T15" s="41">
        <f t="shared" si="2"/>
        <v>116214449.2</v>
      </c>
      <c r="V15" s="9" t="s">
        <v>242</v>
      </c>
      <c r="X15" s="9">
        <f>(G24)</f>
        <v>142895983</v>
      </c>
      <c r="Y15" s="9">
        <f t="shared" si="3"/>
        <v>0.06880492771074288</v>
      </c>
      <c r="AA15" s="9">
        <f t="shared" si="4"/>
        <v>159712.95681406793</v>
      </c>
      <c r="AC15" s="9">
        <f t="shared" si="5"/>
        <v>182174.32546523996</v>
      </c>
    </row>
    <row r="16" spans="1:29" ht="12.75">
      <c r="A16" s="26" t="s">
        <v>119</v>
      </c>
      <c r="C16" s="9">
        <f>('[2]Sheet1'!D12)</f>
        <v>80502131</v>
      </c>
      <c r="D16" s="9">
        <f>('[2]Sheet1'!N158)</f>
        <v>2493412</v>
      </c>
      <c r="E16" s="9">
        <f>('[2]Sheet1'!I12)</f>
        <v>5020740</v>
      </c>
      <c r="F16" s="26">
        <f>('[2]Sheet1'!P158)</f>
        <v>3530</v>
      </c>
      <c r="G16" s="9">
        <f>('[2]Sheet1'!E38)</f>
        <v>11427994</v>
      </c>
      <c r="H16" s="9">
        <f>('[2]Sheet1'!E63)</f>
        <v>3126547</v>
      </c>
      <c r="I16" s="9">
        <f>('[2]Sheet1'!K90)</f>
        <v>3347845</v>
      </c>
      <c r="J16" s="9">
        <f>('[2]Sheet1'!K137)</f>
        <v>4147499</v>
      </c>
      <c r="K16" s="41">
        <f t="shared" si="0"/>
        <v>110069698</v>
      </c>
      <c r="L16" s="2">
        <f>('[2]Sheet1'!K184)</f>
        <v>58200</v>
      </c>
      <c r="M16" s="9">
        <f>('[2]Sheet1'!E207)</f>
        <v>1495132</v>
      </c>
      <c r="N16" s="183">
        <f>('[2]Sheet1'!E231)</f>
        <v>968540</v>
      </c>
      <c r="O16" s="9">
        <f>('[2]Sheet1'!S24)</f>
        <v>1522760.8</v>
      </c>
      <c r="P16" s="9">
        <f>('[2]Sheet1'!S46)</f>
        <v>58052</v>
      </c>
      <c r="Q16" s="9">
        <f>('[2]Sheet1'!S$121)</f>
        <v>17670</v>
      </c>
      <c r="R16" s="9">
        <f t="shared" si="1"/>
        <v>4120354.8</v>
      </c>
      <c r="S16" s="2"/>
      <c r="T16" s="41">
        <f t="shared" si="2"/>
        <v>114190052.8</v>
      </c>
      <c r="V16" s="9" t="s">
        <v>238</v>
      </c>
      <c r="X16" s="9">
        <f>(H24)</f>
        <v>38541750</v>
      </c>
      <c r="Y16" s="9">
        <f t="shared" si="3"/>
        <v>0.01855799069310104</v>
      </c>
      <c r="AA16" s="9">
        <f t="shared" si="4"/>
        <v>43077.60599042593</v>
      </c>
      <c r="AC16" s="9">
        <f t="shared" si="5"/>
        <v>49135.862052188764</v>
      </c>
    </row>
    <row r="17" spans="1:29" ht="12.75">
      <c r="A17" s="26" t="s">
        <v>120</v>
      </c>
      <c r="C17" s="9">
        <f>('[2]Sheet1'!D13)</f>
        <v>69933546</v>
      </c>
      <c r="D17" s="9">
        <f>('[2]Sheet1'!N159)</f>
        <v>2202468</v>
      </c>
      <c r="E17" s="9">
        <f>('[2]Sheet1'!I13)</f>
        <v>4672791</v>
      </c>
      <c r="F17" s="26">
        <f>('[2]Sheet1'!P159)</f>
        <v>2870</v>
      </c>
      <c r="G17" s="9">
        <f>('[2]Sheet1'!E39)</f>
        <v>10374123</v>
      </c>
      <c r="H17" s="9">
        <f>('[2]Sheet1'!E64)</f>
        <v>2916979</v>
      </c>
      <c r="I17" s="9">
        <f>('[2]Sheet1'!K91)</f>
        <v>3168311</v>
      </c>
      <c r="J17" s="9">
        <f>('[2]Sheet1'!K138)</f>
        <v>3783668</v>
      </c>
      <c r="K17" s="41">
        <f t="shared" si="0"/>
        <v>97054756</v>
      </c>
      <c r="L17" s="2">
        <f>('[2]Sheet1'!K185)</f>
        <v>71000</v>
      </c>
      <c r="M17" s="9">
        <f>('[2]Sheet1'!E208)</f>
        <v>1277923</v>
      </c>
      <c r="N17" s="183">
        <f>('[2]Sheet1'!E232)</f>
        <v>871400</v>
      </c>
      <c r="O17" s="9">
        <f>('[2]Sheet1'!T24)</f>
        <v>1530035.4</v>
      </c>
      <c r="P17" s="9">
        <f>('[2]Sheet1'!T46)</f>
        <v>58052</v>
      </c>
      <c r="Q17" s="9">
        <f>('[2]Sheet1'!T$121)</f>
        <v>17246</v>
      </c>
      <c r="R17" s="9">
        <f t="shared" si="1"/>
        <v>3825656.4</v>
      </c>
      <c r="S17" s="2"/>
      <c r="T17" s="41">
        <f t="shared" si="2"/>
        <v>100880412.4</v>
      </c>
      <c r="V17" s="9" t="s">
        <v>239</v>
      </c>
      <c r="X17" s="9">
        <f>(K24)</f>
        <v>1048330610</v>
      </c>
      <c r="Y17" s="9">
        <f t="shared" si="3"/>
        <v>0.5047749441494725</v>
      </c>
      <c r="AA17" s="9">
        <f t="shared" si="4"/>
        <v>1171705.3056823541</v>
      </c>
      <c r="AC17" s="9">
        <f t="shared" si="5"/>
        <v>1336489.0861999495</v>
      </c>
    </row>
    <row r="18" spans="1:29" ht="12.75">
      <c r="A18" s="26" t="s">
        <v>121</v>
      </c>
      <c r="C18" s="9">
        <f>('[2]Sheet1'!D14)</f>
        <v>58113902</v>
      </c>
      <c r="D18" s="9">
        <f>('[2]Sheet1'!N160)</f>
        <v>1513544</v>
      </c>
      <c r="E18" s="9">
        <f>('[2]Sheet1'!I14)</f>
        <v>4794866</v>
      </c>
      <c r="F18" s="26">
        <f>('[2]Sheet1'!P160)</f>
        <v>2910</v>
      </c>
      <c r="G18" s="9">
        <f>('[2]Sheet1'!E40)</f>
        <v>11903508</v>
      </c>
      <c r="H18" s="9">
        <f>('[2]Sheet1'!E65)</f>
        <v>3209296</v>
      </c>
      <c r="I18" s="9">
        <f>('[2]Sheet1'!K92)</f>
        <v>3481342</v>
      </c>
      <c r="J18" s="9">
        <f>('[2]Sheet1'!K139)</f>
        <v>3954589</v>
      </c>
      <c r="K18" s="41">
        <f t="shared" si="0"/>
        <v>86973957</v>
      </c>
      <c r="L18" s="2">
        <f>('[2]Sheet1'!K186)</f>
        <v>69800</v>
      </c>
      <c r="M18" s="9">
        <f>('[2]Sheet1'!E209)</f>
        <v>1401459</v>
      </c>
      <c r="N18" s="183">
        <f>('[2]Sheet1'!E233)</f>
        <v>853560</v>
      </c>
      <c r="O18" s="9">
        <f>('[2]Sheet1'!U24)</f>
        <v>1531031</v>
      </c>
      <c r="P18" s="9">
        <f>('[2]Sheet1'!U46)</f>
        <v>58349</v>
      </c>
      <c r="Q18" s="9">
        <f>('[2]Sheet1'!U$121)</f>
        <v>17602</v>
      </c>
      <c r="R18" s="9">
        <f t="shared" si="1"/>
        <v>3931801</v>
      </c>
      <c r="S18" s="2"/>
      <c r="T18" s="41">
        <f t="shared" si="2"/>
        <v>90905758</v>
      </c>
      <c r="V18" s="9" t="s">
        <v>164</v>
      </c>
      <c r="X18" s="9">
        <f>(L24)</f>
        <v>287800</v>
      </c>
      <c r="Y18" s="9">
        <f t="shared" si="3"/>
        <v>0.00013857673098586543</v>
      </c>
      <c r="AA18" s="9">
        <f t="shared" si="4"/>
        <v>321.67026676382324</v>
      </c>
      <c r="AC18" s="9">
        <f t="shared" si="5"/>
        <v>366.908640594159</v>
      </c>
    </row>
    <row r="19" spans="1:29" ht="12.75">
      <c r="A19" s="26" t="s">
        <v>122</v>
      </c>
      <c r="C19" s="9">
        <f>('[2]Sheet1'!D15)</f>
        <v>44372580</v>
      </c>
      <c r="D19" s="9">
        <f>('[2]Sheet1'!N161)</f>
        <v>567147</v>
      </c>
      <c r="E19" s="9">
        <f>('[2]Sheet1'!I15)</f>
        <v>4307807</v>
      </c>
      <c r="F19" s="26">
        <f>('[2]Sheet1'!P161)</f>
        <v>0</v>
      </c>
      <c r="G19" s="9">
        <f>('[2]Sheet1'!E41)</f>
        <v>11314634</v>
      </c>
      <c r="H19" s="9">
        <f>('[2]Sheet1'!E66)</f>
        <v>3184405</v>
      </c>
      <c r="I19" s="9">
        <f>('[2]Sheet1'!K93)</f>
        <v>3380318</v>
      </c>
      <c r="J19" s="9">
        <f>('[2]Sheet1'!K140)</f>
        <v>3647341</v>
      </c>
      <c r="K19" s="41">
        <f t="shared" si="0"/>
        <v>70774232</v>
      </c>
      <c r="L19" s="2">
        <f>('[2]Sheet1'!K187)</f>
        <v>400</v>
      </c>
      <c r="M19" s="9">
        <f>('[2]Sheet1'!E210)</f>
        <v>1264854</v>
      </c>
      <c r="N19" s="183">
        <f>('[2]Sheet1'!E234)</f>
        <v>731880</v>
      </c>
      <c r="O19" s="9">
        <f>('[2]Sheet1'!V24)</f>
        <v>1552650</v>
      </c>
      <c r="P19" s="9">
        <f>('[2]Sheet1'!V46)</f>
        <v>58349</v>
      </c>
      <c r="Q19" s="9">
        <f>('[2]Sheet1'!V$121)</f>
        <v>17602</v>
      </c>
      <c r="R19" s="9">
        <f t="shared" si="1"/>
        <v>3625735</v>
      </c>
      <c r="S19" s="2"/>
      <c r="T19" s="41">
        <f t="shared" si="2"/>
        <v>74399967</v>
      </c>
      <c r="V19" s="9" t="s">
        <v>240</v>
      </c>
      <c r="X19" s="9">
        <f>(M24)</f>
        <v>16741932</v>
      </c>
      <c r="Y19" s="9">
        <f t="shared" si="3"/>
        <v>0.008061300232618666</v>
      </c>
      <c r="AA19" s="9">
        <f t="shared" si="4"/>
        <v>18712.23673586445</v>
      </c>
      <c r="AC19" s="9">
        <f t="shared" si="5"/>
        <v>21343.848196802814</v>
      </c>
    </row>
    <row r="20" spans="1:29" ht="12.75">
      <c r="A20" s="26" t="s">
        <v>123</v>
      </c>
      <c r="C20" s="9">
        <f>('[2]Sheet1'!D16)</f>
        <v>46528943</v>
      </c>
      <c r="D20" s="9">
        <f>('[2]Sheet1'!N162)</f>
        <v>195958</v>
      </c>
      <c r="E20" s="9">
        <f>('[2]Sheet1'!I16)</f>
        <v>4992410</v>
      </c>
      <c r="F20" s="26">
        <f>('[2]Sheet1'!P162)</f>
        <v>0</v>
      </c>
      <c r="G20" s="9">
        <f>('[2]Sheet1'!E42)</f>
        <v>12248828</v>
      </c>
      <c r="H20" s="9">
        <f>('[2]Sheet1'!E67)</f>
        <v>3300033</v>
      </c>
      <c r="I20" s="9">
        <f>('[2]Sheet1'!K94)</f>
        <v>3704677</v>
      </c>
      <c r="J20" s="9">
        <f>('[2]Sheet1'!K141)</f>
        <v>3710091</v>
      </c>
      <c r="K20" s="41">
        <f t="shared" si="0"/>
        <v>74680940</v>
      </c>
      <c r="L20" s="2">
        <f>('[2]Sheet1'!K188)</f>
        <v>200</v>
      </c>
      <c r="M20" s="9">
        <f>('[2]Sheet1'!E211)</f>
        <v>1385009</v>
      </c>
      <c r="N20" s="183">
        <f>('[2]Sheet1'!E235)</f>
        <v>729420</v>
      </c>
      <c r="O20" s="9">
        <f>('[2]Sheet1'!W24)</f>
        <v>1559215.4</v>
      </c>
      <c r="P20" s="9">
        <f>('[2]Sheet1'!W46)</f>
        <v>58349</v>
      </c>
      <c r="Q20" s="9">
        <f>('[2]Sheet1'!W$121)</f>
        <v>17680</v>
      </c>
      <c r="R20" s="9">
        <f t="shared" si="1"/>
        <v>3749873.4</v>
      </c>
      <c r="S20" s="2"/>
      <c r="T20" s="41">
        <f t="shared" si="2"/>
        <v>78430813.4</v>
      </c>
      <c r="V20" s="9" t="s">
        <v>241</v>
      </c>
      <c r="X20" s="9">
        <f>(N24)</f>
        <v>8365440</v>
      </c>
      <c r="Y20" s="9">
        <f t="shared" si="3"/>
        <v>0.004027989327513545</v>
      </c>
      <c r="AA20" s="9">
        <f t="shared" si="4"/>
        <v>9349.942030565524</v>
      </c>
      <c r="AC20" s="9">
        <f t="shared" si="5"/>
        <v>10664.879146532321</v>
      </c>
    </row>
    <row r="21" spans="1:29" ht="12.75">
      <c r="A21" s="26" t="s">
        <v>124</v>
      </c>
      <c r="C21" s="9">
        <f>('[2]Sheet1'!D17)</f>
        <v>61475783</v>
      </c>
      <c r="D21" s="9">
        <f>('[2]Sheet1'!N163)</f>
        <v>-85747</v>
      </c>
      <c r="E21" s="9">
        <f>('[2]Sheet1'!I17)</f>
        <v>6073796</v>
      </c>
      <c r="F21" s="26">
        <f>('[2]Sheet1'!P163)</f>
        <v>0</v>
      </c>
      <c r="G21" s="9">
        <f>('[2]Sheet1'!E43)</f>
        <v>13589109</v>
      </c>
      <c r="H21" s="9">
        <f>('[2]Sheet1'!E68)</f>
        <v>3541363</v>
      </c>
      <c r="I21" s="9">
        <f>('[2]Sheet1'!K95)</f>
        <v>4155941</v>
      </c>
      <c r="J21" s="9">
        <f>('[2]Sheet1'!K142)</f>
        <v>3962023</v>
      </c>
      <c r="K21" s="41">
        <f t="shared" si="0"/>
        <v>92712268</v>
      </c>
      <c r="L21" s="2">
        <f>('[2]Sheet1'!K189)</f>
        <v>400</v>
      </c>
      <c r="M21" s="9">
        <f>('[2]Sheet1'!E212)</f>
        <v>1506172</v>
      </c>
      <c r="N21" s="183">
        <f>('[2]Sheet1'!E236)</f>
        <v>501960</v>
      </c>
      <c r="O21" s="9">
        <f>('[2]Sheet1'!X24)</f>
        <v>1529630.8</v>
      </c>
      <c r="P21" s="9">
        <f>('[2]Sheet1'!X46)</f>
        <v>58349</v>
      </c>
      <c r="Q21" s="9">
        <f>('[2]Sheet1'!X$121)</f>
        <v>17680</v>
      </c>
      <c r="R21" s="9">
        <f t="shared" si="1"/>
        <v>3614191.8</v>
      </c>
      <c r="S21" s="2"/>
      <c r="T21" s="41">
        <f t="shared" si="2"/>
        <v>96326459.8</v>
      </c>
      <c r="V21" s="9" t="s">
        <v>237</v>
      </c>
      <c r="X21" s="9">
        <f>(S24)</f>
        <v>0</v>
      </c>
      <c r="Y21" s="9">
        <f t="shared" si="3"/>
        <v>0</v>
      </c>
      <c r="AA21" s="9">
        <f t="shared" si="4"/>
        <v>0</v>
      </c>
      <c r="AC21" s="9">
        <f t="shared" si="5"/>
        <v>0</v>
      </c>
    </row>
    <row r="22" spans="1:29" ht="12.75">
      <c r="A22" s="26" t="s">
        <v>125</v>
      </c>
      <c r="C22" s="16">
        <f>('[2]Sheet1'!D18)</f>
        <v>61667099</v>
      </c>
      <c r="D22" s="16">
        <f>('[2]Sheet1'!N164)</f>
        <v>7101</v>
      </c>
      <c r="E22" s="16">
        <f>('[2]Sheet1'!I18)</f>
        <v>5809683</v>
      </c>
      <c r="F22" s="19">
        <f>('[2]Sheet1'!P164)</f>
        <v>0</v>
      </c>
      <c r="G22" s="16">
        <f>('[2]Sheet1'!E44)</f>
        <v>13912892</v>
      </c>
      <c r="H22" s="16">
        <f>('[2]Sheet1'!E69)</f>
        <v>3458008</v>
      </c>
      <c r="I22" s="16">
        <f>('[2]Sheet1'!K96)</f>
        <v>4365043</v>
      </c>
      <c r="J22" s="16">
        <f>('[2]Sheet1'!K143)</f>
        <v>3708534</v>
      </c>
      <c r="K22" s="18">
        <f t="shared" si="0"/>
        <v>92928360</v>
      </c>
      <c r="L22" s="4">
        <f>('[2]Sheet1'!K190)</f>
        <v>200</v>
      </c>
      <c r="M22" s="16">
        <f>('[2]Sheet1'!E213)</f>
        <v>1556482</v>
      </c>
      <c r="N22" s="69">
        <f>('[2]Sheet1'!E237)</f>
        <v>551620</v>
      </c>
      <c r="O22" s="16">
        <f>('[2]Sheet1'!Y24)</f>
        <v>1547031.2</v>
      </c>
      <c r="P22" s="16">
        <f>('[2]Sheet1'!Y46)</f>
        <v>58348</v>
      </c>
      <c r="Q22" s="16">
        <f>('[2]Sheet1'!Y$121)</f>
        <v>17680</v>
      </c>
      <c r="R22" s="16">
        <f t="shared" si="1"/>
        <v>3731361.2</v>
      </c>
      <c r="S22" s="2"/>
      <c r="T22" s="18">
        <f t="shared" si="2"/>
        <v>96659721.2</v>
      </c>
      <c r="V22" s="9" t="s">
        <v>244</v>
      </c>
      <c r="X22" s="9">
        <f>(R24)</f>
        <v>44609820</v>
      </c>
      <c r="Y22" s="9">
        <f t="shared" si="3"/>
        <v>0.02147978813574663</v>
      </c>
      <c r="AA22" s="9">
        <f t="shared" si="4"/>
        <v>49859.80785158491</v>
      </c>
      <c r="AC22" s="9">
        <f t="shared" si="5"/>
        <v>56871.8846884994</v>
      </c>
    </row>
    <row r="23" spans="3:20" ht="12.75">
      <c r="C23" s="26" t="s">
        <v>24</v>
      </c>
      <c r="G23" s="26" t="s">
        <v>24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9" ht="13.5" thickBot="1">
      <c r="A24" s="9" t="s">
        <v>114</v>
      </c>
      <c r="C24" s="30">
        <f aca="true" t="shared" si="6" ref="C24:J24">SUM(C11:C22)</f>
        <v>706078436</v>
      </c>
      <c r="D24" s="30">
        <f t="shared" si="6"/>
        <v>11489483</v>
      </c>
      <c r="E24" s="30">
        <f t="shared" si="6"/>
        <v>59473163</v>
      </c>
      <c r="F24" s="30">
        <f t="shared" si="6"/>
        <v>13330</v>
      </c>
      <c r="G24" s="30">
        <f t="shared" si="6"/>
        <v>142895983</v>
      </c>
      <c r="H24" s="30">
        <f t="shared" si="6"/>
        <v>38541750</v>
      </c>
      <c r="I24" s="30">
        <f>SUM(I11:I22)</f>
        <v>43520610</v>
      </c>
      <c r="J24" s="30">
        <f t="shared" si="6"/>
        <v>46317855</v>
      </c>
      <c r="K24" s="30">
        <f>SUM(K11:K22)</f>
        <v>1048330610</v>
      </c>
      <c r="L24" s="30">
        <f aca="true" t="shared" si="7" ref="L24:R24">SUM(L11:L22)</f>
        <v>287800</v>
      </c>
      <c r="M24" s="30">
        <f t="shared" si="7"/>
        <v>16741932</v>
      </c>
      <c r="N24" s="30">
        <f t="shared" si="7"/>
        <v>8365440</v>
      </c>
      <c r="O24" s="30">
        <f t="shared" si="7"/>
        <v>18310496</v>
      </c>
      <c r="P24" s="30">
        <f t="shared" si="7"/>
        <v>696922</v>
      </c>
      <c r="Q24" s="30">
        <f t="shared" si="7"/>
        <v>207230</v>
      </c>
      <c r="R24" s="30">
        <f t="shared" si="7"/>
        <v>44609820</v>
      </c>
      <c r="S24" s="232"/>
      <c r="T24" s="44">
        <f t="shared" si="2"/>
        <v>1092940430</v>
      </c>
      <c r="V24" s="9" t="s">
        <v>114</v>
      </c>
      <c r="X24" s="9">
        <f>SUM(X11:X22)</f>
        <v>2076827747</v>
      </c>
      <c r="Y24" s="9">
        <f>SUM(Y11:Y22)</f>
        <v>0.9999999999999999</v>
      </c>
      <c r="AA24" s="9">
        <v>2321243</v>
      </c>
      <c r="AC24" s="9">
        <f>(2605362+42331)</f>
        <v>2647693</v>
      </c>
    </row>
    <row r="25" spans="1:20" ht="13.5" thickTop="1">
      <c r="A25" s="26" t="s">
        <v>24</v>
      </c>
      <c r="K25" s="26" t="s">
        <v>24</v>
      </c>
      <c r="O25" s="9" t="s">
        <v>24</v>
      </c>
      <c r="Q25" s="2"/>
      <c r="R25" s="2"/>
      <c r="S25" s="2"/>
      <c r="T25" s="2"/>
    </row>
    <row r="26" spans="1:20" s="13" customFormat="1" ht="12.75">
      <c r="A26" s="14" t="s">
        <v>542</v>
      </c>
      <c r="C26" s="13">
        <f aca="true" t="shared" si="8" ref="C26:Q26">(C24/$T$24)</f>
        <v>0.6460356087293797</v>
      </c>
      <c r="D26" s="13">
        <f t="shared" si="8"/>
        <v>0.010512451259580544</v>
      </c>
      <c r="E26" s="13">
        <f t="shared" si="8"/>
        <v>0.05441574066392621</v>
      </c>
      <c r="F26" s="136">
        <f>(F24/$T$24)</f>
        <v>1.2196456123413789E-05</v>
      </c>
      <c r="G26" s="13">
        <f t="shared" si="8"/>
        <v>0.13074453014790569</v>
      </c>
      <c r="H26" s="13">
        <f t="shared" si="8"/>
        <v>0.03526427327791323</v>
      </c>
      <c r="I26" s="13">
        <f t="shared" si="8"/>
        <v>0.039819745711118036</v>
      </c>
      <c r="J26" s="13">
        <f t="shared" si="8"/>
        <v>0.042379121248172696</v>
      </c>
      <c r="K26" s="13">
        <f t="shared" si="8"/>
        <v>0.9591836674941195</v>
      </c>
      <c r="L26" s="13">
        <f t="shared" si="8"/>
        <v>0.00026332633700813866</v>
      </c>
      <c r="M26" s="13">
        <f t="shared" si="8"/>
        <v>0.015318247491311122</v>
      </c>
      <c r="N26" s="13">
        <f t="shared" si="8"/>
        <v>0.007654067660393897</v>
      </c>
      <c r="O26" s="13">
        <f t="shared" si="8"/>
        <v>0.01675342543600478</v>
      </c>
      <c r="P26" s="13">
        <f t="shared" si="8"/>
        <v>0.0006376578090353927</v>
      </c>
      <c r="Q26" s="13">
        <f t="shared" si="8"/>
        <v>0.00018960777212715977</v>
      </c>
      <c r="R26" s="13">
        <f>(R24/$T$24)</f>
        <v>0.04081633250588049</v>
      </c>
      <c r="S26" s="14" t="s">
        <v>24</v>
      </c>
      <c r="T26" s="13">
        <f>(T24/$T$24)</f>
        <v>1</v>
      </c>
    </row>
    <row r="27" spans="1:20" s="13" customFormat="1" ht="12.75">
      <c r="A27" s="14" t="s">
        <v>413</v>
      </c>
      <c r="C27" s="14">
        <f>(C24/$T$27)</f>
        <v>0.652907227287619</v>
      </c>
      <c r="D27" s="14">
        <v>0</v>
      </c>
      <c r="E27" s="14">
        <f>(E24/$T$27)</f>
        <v>0.05499453881120172</v>
      </c>
      <c r="F27" s="14">
        <v>0</v>
      </c>
      <c r="G27" s="14">
        <f>(G24/$T$27)</f>
        <v>0.13213520664872525</v>
      </c>
      <c r="H27" s="14">
        <f>(H24/$T$27)</f>
        <v>0.03563936503976817</v>
      </c>
      <c r="I27" s="14">
        <f>(I24/$T$27)</f>
        <v>0.0402432921842777</v>
      </c>
      <c r="J27" s="14">
        <f>(J24/$T$27)</f>
        <v>0.04282989076012509</v>
      </c>
      <c r="K27" s="135">
        <f>(K24-(D24+F24))</f>
        <v>1036827797</v>
      </c>
      <c r="L27" s="14">
        <f aca="true" t="shared" si="9" ref="L27:Q27">(L24/$T$27)</f>
        <v>0.00026612723237645614</v>
      </c>
      <c r="M27" s="14">
        <f t="shared" si="9"/>
        <v>0.01548118147253241</v>
      </c>
      <c r="N27" s="14">
        <f t="shared" si="9"/>
        <v>0.007735480871477767</v>
      </c>
      <c r="O27" s="14">
        <f t="shared" si="9"/>
        <v>0.01693162482251623</v>
      </c>
      <c r="P27" s="14">
        <f t="shared" si="9"/>
        <v>0.0006444403163386539</v>
      </c>
      <c r="Q27" s="14">
        <f t="shared" si="9"/>
        <v>0.00019162455304160185</v>
      </c>
      <c r="R27" s="14">
        <f>(R24/$T$27)</f>
        <v>0.04125047926828312</v>
      </c>
      <c r="T27" s="184">
        <f>(R24+K27)</f>
        <v>1081437617</v>
      </c>
    </row>
    <row r="28" spans="1:20" s="13" customFormat="1" ht="12.75">
      <c r="A28" s="14"/>
      <c r="C28" s="14"/>
      <c r="D28" s="14"/>
      <c r="E28" s="14"/>
      <c r="F28" s="14"/>
      <c r="G28" s="14"/>
      <c r="H28" s="14"/>
      <c r="I28" s="14"/>
      <c r="J28" s="14"/>
      <c r="K28" s="153">
        <f>SUM(C27:J29)</f>
        <v>1.9240118365895815</v>
      </c>
      <c r="L28" s="14"/>
      <c r="M28" s="14"/>
      <c r="N28" s="14"/>
      <c r="O28" s="14"/>
      <c r="P28" s="14"/>
      <c r="Q28" s="14"/>
      <c r="R28" s="14"/>
      <c r="T28" s="58">
        <f>SUM(C27:J27)+SUM(L27:Q27)</f>
        <v>1</v>
      </c>
    </row>
    <row r="29" spans="1:20" ht="12.75">
      <c r="A29" s="154" t="s">
        <v>543</v>
      </c>
      <c r="B29" s="26"/>
      <c r="C29" s="14">
        <f>(C24/$T$29)</f>
        <v>0.7408561483477152</v>
      </c>
      <c r="D29" s="14">
        <f>(D24/$T$29)</f>
        <v>0.012055394539604027</v>
      </c>
      <c r="E29" s="225">
        <f>(E24/$T$29)</f>
        <v>0.06240249839641873</v>
      </c>
      <c r="F29" s="225">
        <f>(F24/$T$29)</f>
        <v>1.3986565732585328E-05</v>
      </c>
      <c r="G29" s="14">
        <f>(G24/$T$29)</f>
        <v>0.14993428800839428</v>
      </c>
      <c r="K29" s="9">
        <f>SUM(C24,E24,G24)</f>
        <v>908447582</v>
      </c>
      <c r="L29" s="14">
        <f aca="true" t="shared" si="10" ref="L29:Q29">(L24/$T$29)</f>
        <v>0.00030197551521665846</v>
      </c>
      <c r="M29" s="14">
        <f t="shared" si="10"/>
        <v>0.017566551568527662</v>
      </c>
      <c r="N29" s="14">
        <f t="shared" si="10"/>
        <v>0.008777477602550534</v>
      </c>
      <c r="O29" s="14">
        <f t="shared" si="10"/>
        <v>0.019212374786214608</v>
      </c>
      <c r="P29" s="14">
        <f t="shared" si="10"/>
        <v>0.0007312487144399724</v>
      </c>
      <c r="Q29" s="14">
        <f t="shared" si="10"/>
        <v>0.00021743706052240492</v>
      </c>
      <c r="S29" s="14" t="s">
        <v>24</v>
      </c>
      <c r="T29" s="9">
        <f>(R24+K29)</f>
        <v>953057402</v>
      </c>
    </row>
    <row r="30" spans="1:11" s="49" customFormat="1" ht="12">
      <c r="A30" s="49" t="s">
        <v>24</v>
      </c>
      <c r="H30" s="49">
        <f>(H24)</f>
        <v>38541750</v>
      </c>
      <c r="I30" s="49">
        <f>(I24)</f>
        <v>43520610</v>
      </c>
      <c r="J30" s="49">
        <f>(J24)</f>
        <v>46317855</v>
      </c>
      <c r="K30" s="49">
        <f>SUM(H29:J30)</f>
        <v>128380215</v>
      </c>
    </row>
    <row r="31" spans="8:11" ht="12.75">
      <c r="H31" s="58">
        <f>(H30/$K$30)</f>
        <v>0.300215652388493</v>
      </c>
      <c r="I31" s="58">
        <f>(I30/$K$30)</f>
        <v>0.3389977965062607</v>
      </c>
      <c r="J31" s="58">
        <f>(J30/$K$30)</f>
        <v>0.36078655110524627</v>
      </c>
      <c r="K31" s="226">
        <f>SUM(H31:J31)</f>
        <v>1</v>
      </c>
    </row>
    <row r="33" spans="7:11" ht="12.75">
      <c r="G33" s="26" t="s">
        <v>24</v>
      </c>
      <c r="K33" s="26" t="s">
        <v>24</v>
      </c>
    </row>
    <row r="34" ht="12.75">
      <c r="R34" s="9" t="s">
        <v>24</v>
      </c>
    </row>
    <row r="36" spans="1:12" ht="12.75">
      <c r="A36" s="40" t="s">
        <v>262</v>
      </c>
      <c r="B36" s="40"/>
      <c r="L36" s="40" t="s">
        <v>262</v>
      </c>
    </row>
    <row r="37" spans="1:2" ht="12.75">
      <c r="A37" s="40" t="s">
        <v>24</v>
      </c>
      <c r="B37" s="40"/>
    </row>
    <row r="38" spans="11:20" ht="12.75">
      <c r="K38" s="2"/>
      <c r="L38" s="2"/>
      <c r="M38" s="2"/>
      <c r="N38" s="2"/>
      <c r="O38" s="2"/>
      <c r="P38" s="2"/>
      <c r="Q38" s="2"/>
      <c r="R38" s="2"/>
      <c r="S38" s="2"/>
      <c r="T38" s="24"/>
    </row>
    <row r="39" spans="3:20" ht="12.75">
      <c r="C39" s="25" t="str">
        <f>(C7)</f>
        <v>Schedule A</v>
      </c>
      <c r="D39" s="25" t="str">
        <f aca="true" t="shared" si="11" ref="D39:J39">(D7)</f>
        <v>Schedule A</v>
      </c>
      <c r="E39" s="25" t="str">
        <f t="shared" si="11"/>
        <v>Schedule B</v>
      </c>
      <c r="F39" s="25" t="str">
        <f t="shared" si="11"/>
        <v>Schedule B</v>
      </c>
      <c r="G39" s="25" t="str">
        <f t="shared" si="11"/>
        <v>Schedule LP</v>
      </c>
      <c r="H39" s="25" t="str">
        <f t="shared" si="11"/>
        <v>Schedule LP-1</v>
      </c>
      <c r="I39" s="25" t="str">
        <f t="shared" si="11"/>
        <v>Schedule LP-2</v>
      </c>
      <c r="J39" s="25" t="str">
        <f t="shared" si="11"/>
        <v>Schedule LP-3</v>
      </c>
      <c r="K39" s="2"/>
      <c r="L39" s="116" t="s">
        <v>422</v>
      </c>
      <c r="M39" s="116" t="s">
        <v>426</v>
      </c>
      <c r="N39" s="116" t="s">
        <v>428</v>
      </c>
      <c r="O39" s="116" t="s">
        <v>431</v>
      </c>
      <c r="P39" s="116" t="s">
        <v>432</v>
      </c>
      <c r="Q39" s="116" t="s">
        <v>434</v>
      </c>
      <c r="R39" s="2"/>
      <c r="S39" s="2"/>
      <c r="T39" s="24"/>
    </row>
    <row r="40" spans="3:20" ht="12.75">
      <c r="C40" s="25" t="str">
        <f aca="true" t="shared" si="12" ref="C40:J41">(C8)</f>
        <v>Residential</v>
      </c>
      <c r="D40" s="25" t="str">
        <f t="shared" si="12"/>
        <v>Residential</v>
      </c>
      <c r="E40" s="25" t="str">
        <f t="shared" si="12"/>
        <v>Commercial</v>
      </c>
      <c r="F40" s="25" t="str">
        <f t="shared" si="12"/>
        <v>Commercial</v>
      </c>
      <c r="G40" s="25" t="str">
        <f t="shared" si="12"/>
        <v>Large Power</v>
      </c>
      <c r="H40" s="25" t="str">
        <f t="shared" si="12"/>
        <v>Large Power</v>
      </c>
      <c r="I40" s="25" t="str">
        <f t="shared" si="12"/>
        <v>Large Power</v>
      </c>
      <c r="J40" s="25" t="str">
        <f t="shared" si="12"/>
        <v>Large Power</v>
      </c>
      <c r="K40" s="118" t="s">
        <v>437</v>
      </c>
      <c r="L40" s="116" t="s">
        <v>423</v>
      </c>
      <c r="M40" s="116" t="s">
        <v>425</v>
      </c>
      <c r="N40" s="116" t="s">
        <v>429</v>
      </c>
      <c r="O40" s="116" t="s">
        <v>16</v>
      </c>
      <c r="P40" s="116" t="s">
        <v>433</v>
      </c>
      <c r="Q40" s="116" t="s">
        <v>435</v>
      </c>
      <c r="R40" s="118" t="s">
        <v>437</v>
      </c>
      <c r="S40" s="2"/>
      <c r="T40" s="21" t="s">
        <v>439</v>
      </c>
    </row>
    <row r="41" spans="1:20" ht="15">
      <c r="A41" s="182" t="s">
        <v>117</v>
      </c>
      <c r="C41" s="25" t="str">
        <f t="shared" si="12"/>
        <v>Schls &amp; Chur</v>
      </c>
      <c r="D41" s="25" t="str">
        <f t="shared" si="12"/>
        <v>ETS</v>
      </c>
      <c r="E41" s="25" t="str">
        <f t="shared" si="12"/>
        <v>No Demand</v>
      </c>
      <c r="F41" s="25" t="str">
        <f t="shared" si="12"/>
        <v>ETS</v>
      </c>
      <c r="G41" s="25" t="str">
        <f t="shared" si="12"/>
        <v>Rate</v>
      </c>
      <c r="H41" s="25" t="str">
        <f t="shared" si="12"/>
        <v>500-4999 kW</v>
      </c>
      <c r="I41" s="25" t="str">
        <f t="shared" si="12"/>
        <v>5000-9999 kW</v>
      </c>
      <c r="J41" s="25" t="str">
        <f t="shared" si="12"/>
        <v>500-4999 kW</v>
      </c>
      <c r="K41" s="32" t="s">
        <v>438</v>
      </c>
      <c r="L41" s="117" t="s">
        <v>424</v>
      </c>
      <c r="M41" s="117" t="s">
        <v>427</v>
      </c>
      <c r="N41" s="117" t="s">
        <v>430</v>
      </c>
      <c r="O41" s="117" t="s">
        <v>17</v>
      </c>
      <c r="P41" s="117" t="s">
        <v>17</v>
      </c>
      <c r="Q41" s="117" t="s">
        <v>436</v>
      </c>
      <c r="R41" s="32" t="s">
        <v>438</v>
      </c>
      <c r="S41" s="2"/>
      <c r="T41" s="20" t="s">
        <v>47</v>
      </c>
    </row>
    <row r="42" spans="4:19" ht="12.75">
      <c r="D42" s="26" t="s">
        <v>24</v>
      </c>
      <c r="L42" s="2"/>
      <c r="N42" s="2"/>
      <c r="O42" s="2"/>
      <c r="P42" s="2"/>
      <c r="Q42" s="2"/>
      <c r="R42" s="2"/>
      <c r="S42" s="2"/>
    </row>
    <row r="43" spans="1:20" ht="12.75">
      <c r="A43" s="9" t="str">
        <f>(A11)</f>
        <v>September</v>
      </c>
      <c r="C43" s="9">
        <f>('[3]CP'!$B$10)</f>
        <v>110039.15560648398</v>
      </c>
      <c r="D43" s="9">
        <v>0</v>
      </c>
      <c r="E43" s="9">
        <f>('[3]CP'!$B$11)</f>
        <v>30172.61490430587</v>
      </c>
      <c r="F43" s="26">
        <v>0</v>
      </c>
      <c r="G43" s="9">
        <f>('[3]CP'!$B$12)</f>
        <v>18451.292673616903</v>
      </c>
      <c r="H43" s="9">
        <f>('[3]CP'!$B$13)</f>
        <v>3869.28</v>
      </c>
      <c r="I43" s="9">
        <f>('[3]CP'!$B$14)</f>
        <v>0.12</v>
      </c>
      <c r="J43" s="9">
        <f>('[3]CP'!$B$15)</f>
        <v>4453.24</v>
      </c>
      <c r="K43" s="9">
        <f>SUM(C43:J43)</f>
        <v>166985.70318440674</v>
      </c>
      <c r="L43" s="9">
        <f>('[3]CP'!$B$23)</f>
        <v>0.72</v>
      </c>
      <c r="M43" s="227">
        <f>('[3]CP'!$B$17)</f>
        <v>5392.9405228624955</v>
      </c>
      <c r="N43" s="227">
        <f>('[3]CP'!$B$16)</f>
        <v>835.8562927307985</v>
      </c>
      <c r="O43" s="227">
        <f>('[3]CP'!$B$19)</f>
        <v>0</v>
      </c>
      <c r="P43" s="2"/>
      <c r="Q43" s="2"/>
      <c r="R43" s="41">
        <f>SUM(L43:Q43)</f>
        <v>6229.516815593294</v>
      </c>
      <c r="S43" s="2"/>
      <c r="T43" s="9">
        <f>SUM(K43,R43)</f>
        <v>173215.22000000003</v>
      </c>
    </row>
    <row r="44" spans="1:20" ht="12.75">
      <c r="A44" s="9" t="str">
        <f aca="true" t="shared" si="13" ref="A44:A54">(A12)</f>
        <v>October</v>
      </c>
      <c r="C44" s="9">
        <f>('[3]CP'!$C$10)</f>
        <v>97219.39869913417</v>
      </c>
      <c r="D44" s="9">
        <v>0</v>
      </c>
      <c r="E44" s="9">
        <f>('[3]CP'!$C$11)</f>
        <v>13790.710667356418</v>
      </c>
      <c r="F44" s="26">
        <v>0</v>
      </c>
      <c r="G44" s="9">
        <f>('[3]CP'!$C$12)</f>
        <v>14699.048215877798</v>
      </c>
      <c r="H44" s="9">
        <f>('[3]CP'!$C$13)</f>
        <v>3199.68</v>
      </c>
      <c r="I44" s="9">
        <f>('[3]CP'!$C$14)</f>
        <v>0</v>
      </c>
      <c r="J44" s="9">
        <f>('[3]CP'!$C$15)</f>
        <v>4897.9</v>
      </c>
      <c r="K44" s="9">
        <f aca="true" t="shared" si="14" ref="K44:K54">SUM(C44:J44)</f>
        <v>133806.73758236837</v>
      </c>
      <c r="L44" s="9">
        <f>('[3]CP'!$C$23)</f>
        <v>0.72</v>
      </c>
      <c r="M44" s="227">
        <f>('[3]CP'!$C$17)</f>
        <v>2963.3554389650512</v>
      </c>
      <c r="N44" s="227">
        <f>('[3]CP'!$C$16)</f>
        <v>475.776978666558</v>
      </c>
      <c r="O44" s="227">
        <f>('[3]CP'!$C$19)</f>
        <v>0</v>
      </c>
      <c r="P44" s="2"/>
      <c r="Q44" s="2"/>
      <c r="R44" s="41">
        <f aca="true" t="shared" si="15" ref="R44:R54">SUM(L44:Q44)</f>
        <v>3439.852417631609</v>
      </c>
      <c r="S44" s="2"/>
      <c r="T44" s="9">
        <f aca="true" t="shared" si="16" ref="T44:T54">SUM(K44,R44)</f>
        <v>137246.58999999997</v>
      </c>
    </row>
    <row r="45" spans="1:20" ht="12.75">
      <c r="A45" s="9" t="str">
        <f t="shared" si="13"/>
        <v>November</v>
      </c>
      <c r="C45" s="9">
        <f>('[3]CP'!$D$10)</f>
        <v>111132.82724120787</v>
      </c>
      <c r="D45" s="9">
        <v>0</v>
      </c>
      <c r="E45" s="9">
        <f>('[3]CP'!$D$11)</f>
        <v>16799.779270859086</v>
      </c>
      <c r="F45" s="26">
        <v>0</v>
      </c>
      <c r="G45" s="9">
        <f>('[3]CP'!$D$12)</f>
        <v>31561.128241524297</v>
      </c>
      <c r="H45" s="9">
        <f>('[3]CP'!$D$13)</f>
        <v>4773.6</v>
      </c>
      <c r="I45" s="9">
        <f>('[3]CP'!$D$14)</f>
        <v>6.72</v>
      </c>
      <c r="J45" s="9">
        <f>('[3]CP'!$D$15)</f>
        <v>7243.7</v>
      </c>
      <c r="K45" s="9">
        <f t="shared" si="14"/>
        <v>171517.75475359126</v>
      </c>
      <c r="L45" s="9">
        <f>('[3]CP'!$D$23)</f>
        <v>0.18</v>
      </c>
      <c r="M45" s="227">
        <f>('[3]CP'!$D$17)</f>
        <v>5949.295395075386</v>
      </c>
      <c r="N45" s="227">
        <f>('[3]CP'!$D$16)</f>
        <v>1219.8963722186206</v>
      </c>
      <c r="O45" s="227">
        <f>('[3]CP'!$D$19)</f>
        <v>4324.756524807304</v>
      </c>
      <c r="P45" s="227">
        <f>('[3]CP'!$D$18)</f>
        <v>162.61228433200188</v>
      </c>
      <c r="Q45" s="227">
        <f>('[3]CP'!$D$20)</f>
        <v>60.244669975402374</v>
      </c>
      <c r="R45" s="41">
        <f t="shared" si="15"/>
        <v>11716.985246408716</v>
      </c>
      <c r="S45" s="2"/>
      <c r="T45" s="9">
        <f t="shared" si="16"/>
        <v>183234.74</v>
      </c>
    </row>
    <row r="46" spans="1:20" ht="12.75">
      <c r="A46" s="9" t="str">
        <f t="shared" si="13"/>
        <v>December</v>
      </c>
      <c r="C46" s="9">
        <f>('[3]CP'!$E$10)</f>
        <v>203686.79891613036</v>
      </c>
      <c r="D46" s="9">
        <v>0</v>
      </c>
      <c r="E46" s="9">
        <f>('[3]CP'!$E$11)</f>
        <v>36693.42849286886</v>
      </c>
      <c r="F46" s="26">
        <v>0</v>
      </c>
      <c r="G46" s="9">
        <f>('[3]CP'!$E$12)</f>
        <v>37019.19832396562</v>
      </c>
      <c r="H46" s="9">
        <f>('[3]CP'!$E$13)</f>
        <v>4813.92</v>
      </c>
      <c r="I46" s="9">
        <f>('[3]CP'!$E$14)</f>
        <v>15.72</v>
      </c>
      <c r="J46" s="9">
        <f>('[3]CP'!$E$15)</f>
        <v>7345.26</v>
      </c>
      <c r="K46" s="9">
        <f t="shared" si="14"/>
        <v>289574.3257329648</v>
      </c>
      <c r="L46" s="9">
        <f>('[3]CP'!$E$23)</f>
        <v>364.86</v>
      </c>
      <c r="M46" s="227">
        <f>('[3]CP'!$E$17)</f>
        <v>7782.573449491203</v>
      </c>
      <c r="N46" s="227">
        <f>('[3]CP'!$E$16)</f>
        <v>2006.6832262842531</v>
      </c>
      <c r="O46" s="227">
        <f>('[3]CP'!$E$19)</f>
        <v>4904.511398544164</v>
      </c>
      <c r="P46" s="227">
        <f>('[3]CP'!$E$18)</f>
        <v>183.4489702037991</v>
      </c>
      <c r="Q46" s="227">
        <f>('[3]CP'!$E$20)</f>
        <v>70.38722251174329</v>
      </c>
      <c r="R46" s="41">
        <f t="shared" si="15"/>
        <v>15312.464267035162</v>
      </c>
      <c r="S46" s="2"/>
      <c r="T46" s="9">
        <f t="shared" si="16"/>
        <v>304886.79</v>
      </c>
    </row>
    <row r="47" spans="1:20" ht="12.75">
      <c r="A47" s="9" t="str">
        <f t="shared" si="13"/>
        <v>January</v>
      </c>
      <c r="C47" s="9">
        <f>('[3]CP'!$F$10)</f>
        <v>200574.64796552638</v>
      </c>
      <c r="D47" s="9">
        <v>0</v>
      </c>
      <c r="E47" s="9">
        <f>('[3]CP'!$F$11)</f>
        <v>36721.81083968169</v>
      </c>
      <c r="F47" s="9">
        <v>0</v>
      </c>
      <c r="G47" s="9">
        <f>('[3]CP'!$F$12)</f>
        <v>36710.48302798749</v>
      </c>
      <c r="H47" s="9">
        <f>('[3]CP'!$F$13)</f>
        <v>4965.12</v>
      </c>
      <c r="I47" s="9">
        <f>('[3]CP'!$F$14)</f>
        <v>14.4</v>
      </c>
      <c r="J47" s="9">
        <f>('[3]CP'!$F$15)</f>
        <v>8484.3</v>
      </c>
      <c r="K47" s="9">
        <f t="shared" si="14"/>
        <v>287470.7618331956</v>
      </c>
      <c r="L47" s="9">
        <f>('[3]CP'!$F$23)</f>
        <v>1.98</v>
      </c>
      <c r="M47" s="227">
        <f>('[3]CP'!$F$17)</f>
        <v>7474.3220786803</v>
      </c>
      <c r="N47" s="227">
        <f>('[3]CP'!$F$16)</f>
        <v>2226.839823618433</v>
      </c>
      <c r="O47" s="227">
        <f>('[3]CP'!$F$19)</f>
        <v>4384.492656524548</v>
      </c>
      <c r="P47" s="227">
        <f>('[3]CP'!$F$18)</f>
        <v>165.0263056921975</v>
      </c>
      <c r="Q47" s="227">
        <f>('[3]CP'!$F$20)</f>
        <v>63.02730228901676</v>
      </c>
      <c r="R47" s="41">
        <f t="shared" si="15"/>
        <v>14315.688166804493</v>
      </c>
      <c r="S47" s="2"/>
      <c r="T47" s="9">
        <f t="shared" si="16"/>
        <v>301786.45000000007</v>
      </c>
    </row>
    <row r="48" spans="1:20" ht="12.75">
      <c r="A48" s="9" t="str">
        <f t="shared" si="13"/>
        <v>February</v>
      </c>
      <c r="C48" s="9">
        <f>('[3]CP'!$G$10)</f>
        <v>143073.1884164179</v>
      </c>
      <c r="D48" s="9">
        <v>0</v>
      </c>
      <c r="E48" s="9">
        <f>('[3]CP'!$G$11)</f>
        <v>25498.559049255422</v>
      </c>
      <c r="F48" s="9">
        <v>0</v>
      </c>
      <c r="G48" s="9">
        <f>('[3]CP'!$G$12)</f>
        <v>27174.210519691158</v>
      </c>
      <c r="H48" s="9">
        <f>('[3]CP'!$G$13)</f>
        <v>5083.2</v>
      </c>
      <c r="I48" s="9">
        <f>('[3]CP'!$G$14)</f>
        <v>9.48</v>
      </c>
      <c r="J48" s="9">
        <f>('[3]CP'!$G$15)</f>
        <v>7899.16</v>
      </c>
      <c r="K48" s="9">
        <f t="shared" si="14"/>
        <v>208737.7979853645</v>
      </c>
      <c r="L48" s="9">
        <f>('[3]CP'!$G$23)</f>
        <v>0.18</v>
      </c>
      <c r="M48" s="227">
        <f>('[3]CP'!$G$17)</f>
        <v>5036.8263441981935</v>
      </c>
      <c r="N48" s="227">
        <f>('[3]CP'!$G$16)</f>
        <v>1225.9618723085307</v>
      </c>
      <c r="O48" s="227">
        <f>('[3]CP'!$G$19)</f>
        <v>4049.3748061486367</v>
      </c>
      <c r="P48" s="227">
        <f>('[3]CP'!$G$18)</f>
        <v>151.8484359118411</v>
      </c>
      <c r="Q48" s="227">
        <f>('[3]CP'!$G$20)</f>
        <v>60.090556068317724</v>
      </c>
      <c r="R48" s="41">
        <f t="shared" si="15"/>
        <v>10524.28201463552</v>
      </c>
      <c r="S48" s="2"/>
      <c r="T48" s="9">
        <f t="shared" si="16"/>
        <v>219262.08000000002</v>
      </c>
    </row>
    <row r="49" spans="1:20" ht="12.75">
      <c r="A49" s="9" t="str">
        <f t="shared" si="13"/>
        <v>March</v>
      </c>
      <c r="C49" s="9">
        <f>('[3]CP'!$H$10)</f>
        <v>150228.0708408015</v>
      </c>
      <c r="D49" s="9">
        <v>0</v>
      </c>
      <c r="E49" s="9">
        <f>('[3]CP'!$H$11)</f>
        <v>25835.29817344981</v>
      </c>
      <c r="F49" s="9">
        <v>0</v>
      </c>
      <c r="G49" s="9">
        <f>('[3]CP'!$H$12)</f>
        <v>32713.341874518843</v>
      </c>
      <c r="H49" s="9">
        <f>('[3]CP'!$H$13)</f>
        <v>5130.72</v>
      </c>
      <c r="I49" s="9">
        <f>('[3]CP'!$H$14)</f>
        <v>120.96</v>
      </c>
      <c r="J49" s="9">
        <f>('[3]CP'!$H$15)</f>
        <v>8178.72</v>
      </c>
      <c r="K49" s="9">
        <f t="shared" si="14"/>
        <v>222207.11088877014</v>
      </c>
      <c r="L49" s="9">
        <f>('[3]CP'!$H$23)</f>
        <v>35.82</v>
      </c>
      <c r="M49" s="227">
        <f>('[3]CP'!$H$17)</f>
        <v>5957.199471650208</v>
      </c>
      <c r="N49" s="227">
        <f>('[3]CP'!$H$16)</f>
        <v>2080.7459568363593</v>
      </c>
      <c r="O49" s="227">
        <f>('[3]CP'!$H$19)</f>
        <v>4030.7020794321184</v>
      </c>
      <c r="P49" s="227">
        <f>('[3]CP'!$H$18)</f>
        <v>150.43807596693023</v>
      </c>
      <c r="Q49" s="227">
        <f>('[3]CP'!$H$20)</f>
        <v>58.54352734423842</v>
      </c>
      <c r="R49" s="41">
        <f t="shared" si="15"/>
        <v>12313.449111229853</v>
      </c>
      <c r="S49" s="2"/>
      <c r="T49" s="9">
        <f t="shared" si="16"/>
        <v>234520.56</v>
      </c>
    </row>
    <row r="50" spans="1:20" ht="12.75">
      <c r="A50" s="9" t="str">
        <f t="shared" si="13"/>
        <v>April</v>
      </c>
      <c r="C50" s="9">
        <f>('[3]CP'!$I$10)</f>
        <v>115651.3540531278</v>
      </c>
      <c r="D50" s="9">
        <v>0</v>
      </c>
      <c r="E50" s="9">
        <f>('[3]CP'!$I$11)</f>
        <v>19700.72771776744</v>
      </c>
      <c r="F50" s="9">
        <v>0</v>
      </c>
      <c r="G50" s="9">
        <f>('[3]CP'!$I$12)</f>
        <v>13710.28956693863</v>
      </c>
      <c r="H50" s="9">
        <f>('[3]CP'!$I$13)</f>
        <v>3074.4</v>
      </c>
      <c r="I50" s="9">
        <f>('[3]CP'!$I$14)</f>
        <v>0.12</v>
      </c>
      <c r="J50" s="9">
        <f>('[3]CP'!$I$15)</f>
        <v>3421.98</v>
      </c>
      <c r="K50" s="9">
        <f t="shared" si="14"/>
        <v>155558.87133783384</v>
      </c>
      <c r="L50" s="9">
        <f>('[3]CP'!$I$23)</f>
        <v>0.36</v>
      </c>
      <c r="M50" s="227">
        <f>('[3]CP'!$I$17)</f>
        <v>3255.499890230029</v>
      </c>
      <c r="N50" s="227">
        <f>('[3]CP'!$I$16)</f>
        <v>611.9526719360578</v>
      </c>
      <c r="O50" s="227">
        <f>('[3]CP'!$I$19)</f>
        <v>0</v>
      </c>
      <c r="P50" s="2"/>
      <c r="Q50" s="2"/>
      <c r="R50" s="41">
        <f t="shared" si="15"/>
        <v>3867.812562166087</v>
      </c>
      <c r="S50" s="2"/>
      <c r="T50" s="9">
        <f t="shared" si="16"/>
        <v>159426.68389999992</v>
      </c>
    </row>
    <row r="51" spans="1:20" ht="12.75">
      <c r="A51" s="9" t="str">
        <f t="shared" si="13"/>
        <v>May</v>
      </c>
      <c r="C51" s="9">
        <f>('[3]CP'!$J$10)</f>
        <v>92009.79465649556</v>
      </c>
      <c r="D51" s="9">
        <v>0</v>
      </c>
      <c r="E51" s="9">
        <f>('[3]CP'!$J$11)</f>
        <v>24659.530081292367</v>
      </c>
      <c r="F51" s="9">
        <v>0</v>
      </c>
      <c r="G51" s="26">
        <f>('[3]CP'!$J$12)</f>
        <v>31882.76624623931</v>
      </c>
      <c r="H51" s="9">
        <f>('[3]CP'!$J$13)</f>
        <v>5409.6</v>
      </c>
      <c r="I51" s="9">
        <f>('[3]CP'!$J$14)</f>
        <v>0.12</v>
      </c>
      <c r="J51" s="9">
        <f>('[3]CP'!$J$15)</f>
        <v>9150.44</v>
      </c>
      <c r="K51" s="9">
        <f t="shared" si="14"/>
        <v>163112.25098402725</v>
      </c>
      <c r="L51" s="9">
        <f>('[3]CP'!$J$23)</f>
        <v>1.26</v>
      </c>
      <c r="M51" s="227">
        <f>('[3]CP'!$J$17)</f>
        <v>6244.694389796968</v>
      </c>
      <c r="N51" s="227">
        <f>('[3]CP'!$J$16)</f>
        <v>1138.8341261757712</v>
      </c>
      <c r="O51" s="227">
        <f>('[3]CP'!$J$19)</f>
        <v>0</v>
      </c>
      <c r="P51" s="2"/>
      <c r="Q51" s="2"/>
      <c r="R51" s="41">
        <f t="shared" si="15"/>
        <v>7384.788515972739</v>
      </c>
      <c r="S51" s="2"/>
      <c r="T51" s="9">
        <f t="shared" si="16"/>
        <v>170497.03949999998</v>
      </c>
    </row>
    <row r="52" spans="1:20" ht="12.75">
      <c r="A52" s="9" t="str">
        <f t="shared" si="13"/>
        <v>June</v>
      </c>
      <c r="C52" s="9">
        <f>('[3]CP'!$K$10)</f>
        <v>104664.25030952055</v>
      </c>
      <c r="D52" s="9">
        <v>0</v>
      </c>
      <c r="E52" s="9">
        <f>('[3]CP'!$K$11)</f>
        <v>41765.17915035108</v>
      </c>
      <c r="F52" s="9">
        <v>0</v>
      </c>
      <c r="G52" s="9">
        <f>('[3]CP'!$K$12)</f>
        <v>33752.39521204782</v>
      </c>
      <c r="H52" s="9">
        <f>('[3]CP'!$K$13)</f>
        <v>5103.84</v>
      </c>
      <c r="I52" s="9">
        <f>('[3]CP'!$K$14)</f>
        <v>0.36</v>
      </c>
      <c r="J52" s="9">
        <f>('[3]CP'!$K$15)</f>
        <v>8958.22</v>
      </c>
      <c r="K52" s="9">
        <f t="shared" si="14"/>
        <v>194244.24467191944</v>
      </c>
      <c r="L52" s="9">
        <f>('[3]CP'!$K$23)</f>
        <v>0.36</v>
      </c>
      <c r="M52" s="227">
        <f>('[3]CP'!$K$17)</f>
        <v>7121.343655302215</v>
      </c>
      <c r="N52" s="227">
        <f>('[3]CP'!$K$16)</f>
        <v>1007.1716727783811</v>
      </c>
      <c r="O52" s="227">
        <f>('[3]CP'!$K$19)</f>
        <v>0</v>
      </c>
      <c r="P52" s="2"/>
      <c r="Q52" s="2"/>
      <c r="R52" s="41">
        <f t="shared" si="15"/>
        <v>8128.875328080596</v>
      </c>
      <c r="S52" s="2"/>
      <c r="T52" s="9">
        <f t="shared" si="16"/>
        <v>202373.12000000002</v>
      </c>
    </row>
    <row r="53" spans="1:20" ht="12.75">
      <c r="A53" s="9" t="str">
        <f t="shared" si="13"/>
        <v>July</v>
      </c>
      <c r="C53" s="9">
        <f>('[3]CP'!$L$10)</f>
        <v>120842.48262810546</v>
      </c>
      <c r="D53" s="9">
        <v>0</v>
      </c>
      <c r="E53" s="9">
        <f>('[3]CP'!$L$11)</f>
        <v>39749.21208165165</v>
      </c>
      <c r="F53" s="9">
        <v>0</v>
      </c>
      <c r="G53" s="9">
        <f>('[3]CP'!$L$12)</f>
        <v>30309.265487732977</v>
      </c>
      <c r="H53" s="9">
        <f>('[3]CP'!$L$13)</f>
        <v>5623.2</v>
      </c>
      <c r="I53" s="9">
        <f>('[3]CP'!$L$14)</f>
        <v>0.36</v>
      </c>
      <c r="J53" s="9">
        <f>('[3]CP'!$L$15)</f>
        <v>8086.96</v>
      </c>
      <c r="K53" s="9">
        <f t="shared" si="14"/>
        <v>204611.48019749008</v>
      </c>
      <c r="L53" s="9">
        <f>('[3]CP'!$L$23)</f>
        <v>0.18</v>
      </c>
      <c r="M53" s="227">
        <f>('[3]CP'!$L$17)</f>
        <v>6293.62524626151</v>
      </c>
      <c r="N53" s="227">
        <f>('[3]CP'!$L$16)</f>
        <v>805.8004562484316</v>
      </c>
      <c r="O53" s="227">
        <f>('[3]CP'!$L$19)</f>
        <v>0</v>
      </c>
      <c r="P53" s="2"/>
      <c r="Q53" s="2"/>
      <c r="R53" s="41">
        <f t="shared" si="15"/>
        <v>7099.605702509942</v>
      </c>
      <c r="S53" s="2"/>
      <c r="T53" s="9">
        <f t="shared" si="16"/>
        <v>211711.0859</v>
      </c>
    </row>
    <row r="54" spans="1:20" ht="13.5" thickBot="1">
      <c r="A54" s="9" t="str">
        <f t="shared" si="13"/>
        <v>August</v>
      </c>
      <c r="C54" s="23">
        <f>('[3]CP'!$M$10)</f>
        <v>112458.65582041812</v>
      </c>
      <c r="D54" s="23">
        <v>0</v>
      </c>
      <c r="E54" s="23">
        <f>('[3]CP'!$M$11)</f>
        <v>41009.86029649862</v>
      </c>
      <c r="F54" s="23">
        <v>0</v>
      </c>
      <c r="G54" s="23">
        <f>('[3]CP'!$M$12)</f>
        <v>33978.40242001718</v>
      </c>
      <c r="H54" s="23">
        <f>('[3]CP'!$M$13)</f>
        <v>5762.4</v>
      </c>
      <c r="I54" s="23">
        <f>('[3]CP'!$M$14)</f>
        <v>0.36</v>
      </c>
      <c r="J54" s="23">
        <f>('[3]CP'!$M$15)</f>
        <v>10018.28</v>
      </c>
      <c r="K54" s="23">
        <f t="shared" si="14"/>
        <v>203227.95853693387</v>
      </c>
      <c r="L54" s="23">
        <f>('[3]CP'!$M$23)</f>
        <v>0.18</v>
      </c>
      <c r="M54" s="222">
        <f>('[3]CP'!$M$17)</f>
        <v>7062.294566773849</v>
      </c>
      <c r="N54" s="222">
        <f>('[3]CP'!$M$16)</f>
        <v>1265.8068962922305</v>
      </c>
      <c r="O54" s="222">
        <f>('[3]CP'!$M$19)</f>
        <v>0</v>
      </c>
      <c r="P54" s="43"/>
      <c r="Q54" s="43"/>
      <c r="R54" s="223">
        <f t="shared" si="15"/>
        <v>8328.28146306608</v>
      </c>
      <c r="S54" s="43"/>
      <c r="T54" s="23">
        <f t="shared" si="16"/>
        <v>211556.23999999996</v>
      </c>
    </row>
    <row r="55" spans="12:19" ht="12.75">
      <c r="L55" s="2"/>
      <c r="M55" s="2"/>
      <c r="N55" s="2"/>
      <c r="O55" s="2"/>
      <c r="P55" s="2"/>
      <c r="Q55" s="2"/>
      <c r="R55" s="2"/>
      <c r="S55" s="2"/>
    </row>
    <row r="56" spans="1:20" ht="13.5" thickBot="1">
      <c r="A56" s="9" t="s">
        <v>114</v>
      </c>
      <c r="C56" s="30">
        <f>SUM(C43:C54)</f>
        <v>1561580.6251533697</v>
      </c>
      <c r="D56" s="30">
        <f>SUM(D43:D54)</f>
        <v>0</v>
      </c>
      <c r="E56" s="30">
        <f>SUM(E43:E54)</f>
        <v>352396.7107253384</v>
      </c>
      <c r="F56" s="30">
        <f>SUM(F43:F54)</f>
        <v>0</v>
      </c>
      <c r="G56" s="30">
        <f>SUM(G43:G54)</f>
        <v>341961.82181015797</v>
      </c>
      <c r="H56" s="30">
        <v>69075</v>
      </c>
      <c r="I56" s="30">
        <v>88610</v>
      </c>
      <c r="J56" s="30">
        <v>78515</v>
      </c>
      <c r="K56" s="30">
        <f>SUM(K43:K54)</f>
        <v>2401054.9976888653</v>
      </c>
      <c r="L56" s="30">
        <f aca="true" t="shared" si="17" ref="L56:R56">SUM(L43:L54)</f>
        <v>406.80000000000007</v>
      </c>
      <c r="M56" s="30">
        <f>SUM(M43:M54)</f>
        <v>70533.97044928742</v>
      </c>
      <c r="N56" s="30">
        <f t="shared" si="17"/>
        <v>14901.326346094424</v>
      </c>
      <c r="O56" s="30">
        <f t="shared" si="17"/>
        <v>21693.83746545677</v>
      </c>
      <c r="P56" s="30">
        <f t="shared" si="17"/>
        <v>813.3740721067697</v>
      </c>
      <c r="Q56" s="30">
        <f t="shared" si="17"/>
        <v>312.29327818871855</v>
      </c>
      <c r="R56" s="30">
        <f t="shared" si="17"/>
        <v>108661.6016111341</v>
      </c>
      <c r="S56" s="232"/>
      <c r="T56" s="30">
        <f>SUM(C56:J56)+SUM(L56:Q56)</f>
        <v>2600800.7593000005</v>
      </c>
    </row>
    <row r="57" spans="1:20" s="13" customFormat="1" ht="13.5" thickTop="1">
      <c r="A57" s="14" t="s">
        <v>270</v>
      </c>
      <c r="C57" s="13">
        <f aca="true" t="shared" si="18" ref="C57:H57">(C56/$T$56)</f>
        <v>0.6004230118625717</v>
      </c>
      <c r="D57" s="13">
        <f t="shared" si="18"/>
        <v>0</v>
      </c>
      <c r="E57" s="13">
        <f t="shared" si="18"/>
        <v>0.1354954659503349</v>
      </c>
      <c r="F57" s="13">
        <f t="shared" si="18"/>
        <v>0</v>
      </c>
      <c r="G57" s="13">
        <f t="shared" si="18"/>
        <v>0.13148328282640004</v>
      </c>
      <c r="H57" s="13">
        <f t="shared" si="18"/>
        <v>0.026559127896668016</v>
      </c>
      <c r="I57" s="13">
        <f>(J59/$T$56)</f>
        <v>0.030188779251637918</v>
      </c>
      <c r="J57" s="13">
        <f>(I56/$T$56)</f>
        <v>0.034070276119055415</v>
      </c>
      <c r="K57" s="13">
        <f>SUM(C57:J57)</f>
        <v>0.9582199439066681</v>
      </c>
      <c r="L57" s="13">
        <f aca="true" t="shared" si="19" ref="L57:S57">(L56/$T$56)</f>
        <v>0.00015641336559340645</v>
      </c>
      <c r="M57" s="13">
        <f t="shared" si="19"/>
        <v>0.027120097607273644</v>
      </c>
      <c r="N57" s="13">
        <f t="shared" si="19"/>
        <v>0.0057295147630244</v>
      </c>
      <c r="O57" s="13">
        <f t="shared" si="19"/>
        <v>0.008341214677011866</v>
      </c>
      <c r="P57" s="13">
        <f t="shared" si="19"/>
        <v>0.00031273986259742847</v>
      </c>
      <c r="Q57" s="13">
        <f t="shared" si="19"/>
        <v>0.00012007581783110966</v>
      </c>
      <c r="R57" s="13">
        <f t="shared" si="19"/>
        <v>0.04178005609333185</v>
      </c>
      <c r="S57" s="13">
        <f t="shared" si="19"/>
        <v>0</v>
      </c>
      <c r="T57" s="13">
        <f>SUM(C57:J57)+SUM(L57:Q57)</f>
        <v>1</v>
      </c>
    </row>
    <row r="58" spans="1:20" ht="12.75">
      <c r="A58" s="26" t="s">
        <v>543</v>
      </c>
      <c r="C58" s="13">
        <f>(C56/$T$58)</f>
        <v>0.6603992741741523</v>
      </c>
      <c r="D58" s="13">
        <f>(D56/$T$58)</f>
        <v>0</v>
      </c>
      <c r="E58" s="13">
        <f>(E56/$T$58)</f>
        <v>0.1490301097719597</v>
      </c>
      <c r="F58" s="13">
        <f>(F56/$T$58)</f>
        <v>0</v>
      </c>
      <c r="G58" s="13">
        <f>(G56/$T$58)</f>
        <v>0.14461714962461142</v>
      </c>
      <c r="K58" s="9">
        <f>SUM(C56:G56)</f>
        <v>2255939.1576888664</v>
      </c>
      <c r="L58" s="13">
        <f aca="true" t="shared" si="20" ref="L58:Q58">(L56/$T$58)</f>
        <v>0.00017203749867712392</v>
      </c>
      <c r="M58" s="13">
        <f t="shared" si="20"/>
        <v>0.02982912450310123</v>
      </c>
      <c r="N58" s="13">
        <f t="shared" si="20"/>
        <v>0.006301836065766005</v>
      </c>
      <c r="O58" s="13">
        <f t="shared" si="20"/>
        <v>0.009174418717466224</v>
      </c>
      <c r="P58" s="13">
        <f t="shared" si="20"/>
        <v>0.00034397945146036205</v>
      </c>
      <c r="Q58" s="13">
        <f t="shared" si="20"/>
        <v>0.00013207019280547284</v>
      </c>
      <c r="S58" s="58">
        <f>SUM(C58:G58)+SUM(L57:Q57)</f>
        <v>0.9958265896640555</v>
      </c>
      <c r="T58" s="9">
        <f>SUM(R56+K58)</f>
        <v>2364600.7593000005</v>
      </c>
    </row>
    <row r="59" spans="1:20" s="13" customFormat="1" ht="12.75">
      <c r="A59" s="14" t="s">
        <v>24</v>
      </c>
      <c r="C59" s="14" t="s">
        <v>24</v>
      </c>
      <c r="D59" s="14" t="s">
        <v>24</v>
      </c>
      <c r="E59" s="14" t="s">
        <v>24</v>
      </c>
      <c r="F59" s="14" t="s">
        <v>24</v>
      </c>
      <c r="G59" s="135" t="s">
        <v>24</v>
      </c>
      <c r="H59" s="135">
        <f>(H56)</f>
        <v>69075</v>
      </c>
      <c r="I59" s="135">
        <f>(I56)</f>
        <v>88610</v>
      </c>
      <c r="J59" s="9">
        <v>78515</v>
      </c>
      <c r="K59" s="135">
        <f>SUM(H59:J59)</f>
        <v>236200</v>
      </c>
      <c r="L59" s="2"/>
      <c r="M59" s="2"/>
      <c r="N59" s="2"/>
      <c r="O59" s="2"/>
      <c r="P59" s="2"/>
      <c r="Q59" s="2"/>
      <c r="R59" s="2"/>
      <c r="S59" s="2"/>
      <c r="T59" s="14"/>
    </row>
    <row r="60" spans="8:20" s="13" customFormat="1" ht="12.75">
      <c r="H60" s="58">
        <f>(H59/$K$59)</f>
        <v>0.2924428450465707</v>
      </c>
      <c r="I60" s="58">
        <f>(I59/$K$59)</f>
        <v>0.3751481795088908</v>
      </c>
      <c r="J60" s="58">
        <f>(J59/$K$59)</f>
        <v>0.3324089754445385</v>
      </c>
      <c r="K60" s="46">
        <f>SUM(H60:J60)</f>
        <v>1</v>
      </c>
      <c r="L60" s="2"/>
      <c r="M60" s="2"/>
      <c r="N60" s="2"/>
      <c r="O60" s="2"/>
      <c r="P60" s="2"/>
      <c r="Q60" s="2"/>
      <c r="R60" s="2"/>
      <c r="S60" s="2"/>
      <c r="T60" s="14"/>
    </row>
    <row r="61" spans="1:20" s="13" customFormat="1" ht="12.75">
      <c r="A61" s="14" t="s">
        <v>24</v>
      </c>
      <c r="H61" s="9"/>
      <c r="I61" s="9"/>
      <c r="J61" s="9"/>
      <c r="P61" s="14"/>
      <c r="S61" s="14"/>
      <c r="T61" s="14"/>
    </row>
    <row r="62" spans="1:20" s="13" customFormat="1" ht="12.75">
      <c r="A62" s="14" t="s">
        <v>264</v>
      </c>
      <c r="H62" s="9"/>
      <c r="I62" s="9"/>
      <c r="J62" s="9"/>
      <c r="L62" s="14" t="s">
        <v>264</v>
      </c>
      <c r="P62" s="14"/>
      <c r="S62" s="14"/>
      <c r="T62" s="14"/>
    </row>
    <row r="63" spans="1:20" s="13" customFormat="1" ht="12.75">
      <c r="A63" s="14" t="s">
        <v>24</v>
      </c>
      <c r="H63" s="9"/>
      <c r="I63" s="9"/>
      <c r="J63" s="9"/>
      <c r="P63" s="14"/>
      <c r="S63" s="14"/>
      <c r="T63" s="14"/>
    </row>
    <row r="64" spans="8:20" s="13" customFormat="1" ht="12.75">
      <c r="H64" s="9"/>
      <c r="I64" s="9"/>
      <c r="J64" s="9"/>
      <c r="K64" s="26" t="s">
        <v>24</v>
      </c>
      <c r="P64" s="14"/>
      <c r="S64" s="14"/>
      <c r="T64" s="14"/>
    </row>
    <row r="65" ht="12.75">
      <c r="P65" s="26" t="s">
        <v>24</v>
      </c>
    </row>
    <row r="66" ht="12.75">
      <c r="P66" s="26"/>
    </row>
    <row r="67" ht="12.75">
      <c r="P67" s="26"/>
    </row>
    <row r="68" spans="1:16" ht="12.75">
      <c r="A68" s="40" t="s">
        <v>263</v>
      </c>
      <c r="B68" s="40"/>
      <c r="L68" s="40" t="s">
        <v>263</v>
      </c>
      <c r="P68" s="26"/>
    </row>
    <row r="69" ht="12.75">
      <c r="P69" s="26"/>
    </row>
    <row r="70" spans="1:16" ht="12.75">
      <c r="A70" s="40" t="s">
        <v>24</v>
      </c>
      <c r="B70" s="40" t="s">
        <v>24</v>
      </c>
      <c r="P70" s="26" t="s">
        <v>24</v>
      </c>
    </row>
    <row r="71" spans="11:20" ht="12.75">
      <c r="K71" s="2"/>
      <c r="L71" s="2"/>
      <c r="M71" s="2"/>
      <c r="N71" s="2"/>
      <c r="O71" s="2"/>
      <c r="P71" s="2"/>
      <c r="Q71" s="2"/>
      <c r="R71" s="2"/>
      <c r="S71" s="2"/>
      <c r="T71" s="24"/>
    </row>
    <row r="72" spans="3:20" ht="12.75">
      <c r="C72" s="25" t="str">
        <f>(C39)</f>
        <v>Schedule A</v>
      </c>
      <c r="D72" s="25" t="str">
        <f aca="true" t="shared" si="21" ref="D72:J72">(D39)</f>
        <v>Schedule A</v>
      </c>
      <c r="E72" s="25" t="str">
        <f t="shared" si="21"/>
        <v>Schedule B</v>
      </c>
      <c r="F72" s="25" t="str">
        <f t="shared" si="21"/>
        <v>Schedule B</v>
      </c>
      <c r="G72" s="25" t="str">
        <f t="shared" si="21"/>
        <v>Schedule LP</v>
      </c>
      <c r="H72" s="25" t="str">
        <f t="shared" si="21"/>
        <v>Schedule LP-1</v>
      </c>
      <c r="I72" s="25" t="str">
        <f t="shared" si="21"/>
        <v>Schedule LP-2</v>
      </c>
      <c r="J72" s="25" t="str">
        <f t="shared" si="21"/>
        <v>Schedule LP-3</v>
      </c>
      <c r="K72" s="2"/>
      <c r="L72" s="116" t="s">
        <v>422</v>
      </c>
      <c r="M72" s="116" t="s">
        <v>426</v>
      </c>
      <c r="N72" s="116" t="s">
        <v>428</v>
      </c>
      <c r="O72" s="116" t="s">
        <v>431</v>
      </c>
      <c r="P72" s="116" t="s">
        <v>432</v>
      </c>
      <c r="Q72" s="116" t="s">
        <v>434</v>
      </c>
      <c r="R72" s="2"/>
      <c r="S72" s="2"/>
      <c r="T72" s="24"/>
    </row>
    <row r="73" spans="3:20" ht="12.75">
      <c r="C73" s="25" t="str">
        <f aca="true" t="shared" si="22" ref="C73:J74">(C40)</f>
        <v>Residential</v>
      </c>
      <c r="D73" s="25" t="str">
        <f t="shared" si="22"/>
        <v>Residential</v>
      </c>
      <c r="E73" s="25" t="str">
        <f t="shared" si="22"/>
        <v>Commercial</v>
      </c>
      <c r="F73" s="25" t="str">
        <f t="shared" si="22"/>
        <v>Commercial</v>
      </c>
      <c r="G73" s="25" t="str">
        <f t="shared" si="22"/>
        <v>Large Power</v>
      </c>
      <c r="H73" s="25" t="str">
        <f t="shared" si="22"/>
        <v>Large Power</v>
      </c>
      <c r="I73" s="25" t="str">
        <f t="shared" si="22"/>
        <v>Large Power</v>
      </c>
      <c r="J73" s="25" t="str">
        <f t="shared" si="22"/>
        <v>Large Power</v>
      </c>
      <c r="K73" s="118" t="s">
        <v>437</v>
      </c>
      <c r="L73" s="116" t="s">
        <v>423</v>
      </c>
      <c r="M73" s="116" t="s">
        <v>425</v>
      </c>
      <c r="N73" s="116" t="s">
        <v>429</v>
      </c>
      <c r="O73" s="116" t="s">
        <v>16</v>
      </c>
      <c r="P73" s="116" t="s">
        <v>433</v>
      </c>
      <c r="Q73" s="116" t="s">
        <v>435</v>
      </c>
      <c r="R73" s="118" t="s">
        <v>437</v>
      </c>
      <c r="S73" s="2"/>
      <c r="T73" s="21" t="s">
        <v>439</v>
      </c>
    </row>
    <row r="74" spans="1:20" ht="15">
      <c r="A74" s="182" t="s">
        <v>117</v>
      </c>
      <c r="C74" s="25" t="str">
        <f t="shared" si="22"/>
        <v>Schls &amp; Chur</v>
      </c>
      <c r="D74" s="25" t="str">
        <f t="shared" si="22"/>
        <v>ETS</v>
      </c>
      <c r="E74" s="25" t="str">
        <f t="shared" si="22"/>
        <v>No Demand</v>
      </c>
      <c r="F74" s="25" t="str">
        <f t="shared" si="22"/>
        <v>ETS</v>
      </c>
      <c r="G74" s="25" t="str">
        <f t="shared" si="22"/>
        <v>Rate</v>
      </c>
      <c r="H74" s="25" t="str">
        <f t="shared" si="22"/>
        <v>500-4999 kW</v>
      </c>
      <c r="I74" s="25" t="str">
        <f t="shared" si="22"/>
        <v>5000-9999 kW</v>
      </c>
      <c r="J74" s="25" t="str">
        <f t="shared" si="22"/>
        <v>500-4999 kW</v>
      </c>
      <c r="K74" s="32" t="s">
        <v>438</v>
      </c>
      <c r="L74" s="117" t="s">
        <v>424</v>
      </c>
      <c r="M74" s="117" t="s">
        <v>427</v>
      </c>
      <c r="N74" s="117" t="s">
        <v>430</v>
      </c>
      <c r="O74" s="117" t="s">
        <v>17</v>
      </c>
      <c r="P74" s="117" t="s">
        <v>17</v>
      </c>
      <c r="Q74" s="117" t="s">
        <v>436</v>
      </c>
      <c r="R74" s="32" t="s">
        <v>438</v>
      </c>
      <c r="S74" s="2"/>
      <c r="T74" s="20" t="s">
        <v>47</v>
      </c>
    </row>
    <row r="75" spans="12:19" ht="12.75">
      <c r="L75" s="2"/>
      <c r="M75" s="2"/>
      <c r="N75" s="2"/>
      <c r="O75" s="2"/>
      <c r="P75" s="2"/>
      <c r="Q75" s="2"/>
      <c r="R75" s="2"/>
      <c r="S75" s="2"/>
    </row>
    <row r="76" spans="1:20" ht="12.75">
      <c r="A76" s="9" t="str">
        <f>(A43)</f>
        <v>September</v>
      </c>
      <c r="C76" s="9">
        <f>('[3]Class Peak'!$B$9)</f>
        <v>141870</v>
      </c>
      <c r="D76" s="9">
        <v>0</v>
      </c>
      <c r="E76" s="9">
        <f>('[3]Class Peak'!$B$10)</f>
        <v>33262</v>
      </c>
      <c r="F76" s="9">
        <f>('[3]Class Peak'!$B$21)</f>
        <v>0</v>
      </c>
      <c r="G76" s="9">
        <f>('[3]Class Peak'!$B$11)</f>
        <v>34013.69996</v>
      </c>
      <c r="H76" s="68">
        <f>('[3]Class Peak'!$B$12)</f>
        <v>5738.34</v>
      </c>
      <c r="I76" s="68">
        <f>('[3]Class Peak'!$B$13)</f>
        <v>7585.9</v>
      </c>
      <c r="J76" s="68">
        <f>('[3]Class Peak'!$B$14)</f>
        <v>8148.3</v>
      </c>
      <c r="K76" s="9">
        <f aca="true" t="shared" si="23" ref="K76:K87">SUM(C76:J76)</f>
        <v>230618.23995999998</v>
      </c>
      <c r="L76" s="228">
        <f>('[3]Class Peak'!$B$22)</f>
        <v>0.72</v>
      </c>
      <c r="M76" s="9">
        <f>('[3]Class Peak'!$B$16)</f>
        <v>9522</v>
      </c>
      <c r="N76" s="9">
        <f>('[3]Class Peak'!$B$15)</f>
        <v>1953.64</v>
      </c>
      <c r="O76" s="9">
        <f>('[3]Class Peak'!$B$18)</f>
        <v>3998.475</v>
      </c>
      <c r="P76" s="228">
        <f>('[3]Class Peak'!$B$17)</f>
        <v>151.425</v>
      </c>
      <c r="Q76" s="228">
        <f>('[3]Class Peak'!$B$19)</f>
        <v>58.1</v>
      </c>
      <c r="R76" s="41">
        <f>SUM(L76:Q76)</f>
        <v>15684.359999999999</v>
      </c>
      <c r="S76" s="2"/>
      <c r="T76" s="9">
        <f>SUM(K76,R76)</f>
        <v>246302.59995999996</v>
      </c>
    </row>
    <row r="77" spans="1:20" ht="12.75">
      <c r="A77" s="9" t="str">
        <f aca="true" t="shared" si="24" ref="A77:A87">(A44)</f>
        <v>October</v>
      </c>
      <c r="C77" s="9">
        <f>('[3]Class Peak'!$C$9)</f>
        <v>97219.39869913417</v>
      </c>
      <c r="D77" s="9">
        <v>0</v>
      </c>
      <c r="E77" s="9">
        <f>('[3]Class Peak'!$C$10)</f>
        <v>27231</v>
      </c>
      <c r="F77" s="9">
        <f>('[3]Class Peak'!$C$21)</f>
        <v>0</v>
      </c>
      <c r="G77" s="9">
        <f>('[3]Class Peak'!$C$11)</f>
        <v>29186.187608695654</v>
      </c>
      <c r="H77" s="68">
        <f>('[3]Class Peak'!$C$12)</f>
        <v>5627.48</v>
      </c>
      <c r="I77" s="68">
        <f>('[3]Class Peak'!$C$13)</f>
        <v>7153.9</v>
      </c>
      <c r="J77" s="68">
        <f>('[3]Class Peak'!$C$14)</f>
        <v>7867.54</v>
      </c>
      <c r="K77" s="9">
        <f t="shared" si="23"/>
        <v>174285.50630782984</v>
      </c>
      <c r="L77" s="228">
        <f>('[3]Class Peak'!$C$22)</f>
        <v>1.08</v>
      </c>
      <c r="M77" s="9">
        <f>('[3]Class Peak'!$C$16)</f>
        <v>7515</v>
      </c>
      <c r="N77" s="9">
        <f>('[3]Class Peak'!$C$15)</f>
        <v>1805.84</v>
      </c>
      <c r="O77" s="9">
        <f>('[3]Class Peak'!$C$18)</f>
        <v>4034.8</v>
      </c>
      <c r="P77" s="228">
        <f>('[3]Class Peak'!$C$17)</f>
        <v>151.6</v>
      </c>
      <c r="Q77" s="228">
        <f>('[3]Class Peak'!$C$19)</f>
        <v>58.1</v>
      </c>
      <c r="R77" s="41">
        <f aca="true" t="shared" si="25" ref="R77:R87">SUM(L77:Q77)</f>
        <v>13566.420000000002</v>
      </c>
      <c r="S77" s="2"/>
      <c r="T77" s="9">
        <f aca="true" t="shared" si="26" ref="T77:T87">SUM(K77,R77)</f>
        <v>187851.92630782985</v>
      </c>
    </row>
    <row r="78" spans="1:20" ht="12.75">
      <c r="A78" s="9" t="str">
        <f t="shared" si="24"/>
        <v>November</v>
      </c>
      <c r="C78" s="9">
        <f>('[3]Class Peak'!$D$9)</f>
        <v>112781</v>
      </c>
      <c r="D78" s="9">
        <v>0</v>
      </c>
      <c r="E78" s="9">
        <f>('[3]Class Peak'!$D$10)</f>
        <v>23329</v>
      </c>
      <c r="F78" s="9">
        <v>0</v>
      </c>
      <c r="G78" s="9">
        <f>('[3]Class Peak'!$D$11)</f>
        <v>31561.128241524297</v>
      </c>
      <c r="H78" s="68">
        <f>('[3]Class Peak'!$D$12)</f>
        <v>5646.22</v>
      </c>
      <c r="I78" s="68">
        <f>('[3]Class Peak'!$D$13)</f>
        <v>7002.72</v>
      </c>
      <c r="J78" s="68">
        <f>('[3]Class Peak'!$D$14)</f>
        <v>7906.6</v>
      </c>
      <c r="K78" s="9">
        <f t="shared" si="23"/>
        <v>188226.6682415243</v>
      </c>
      <c r="L78" s="228">
        <f>('[3]Class Peak'!$D$22)</f>
        <v>445.08</v>
      </c>
      <c r="M78" s="9">
        <f>('[3]Class Peak'!$D$16)</f>
        <v>7457</v>
      </c>
      <c r="N78" s="9">
        <f>('[3]Class Peak'!$D$15)</f>
        <v>2222.16</v>
      </c>
      <c r="O78" s="9">
        <f>('[3]Class Peak'!$D$18)</f>
        <v>4324.756524807304</v>
      </c>
      <c r="P78" s="228">
        <f>('[3]Class Peak'!$D$17)</f>
        <v>162.61228433200188</v>
      </c>
      <c r="Q78" s="228">
        <f>('[3]Class Peak'!$D$19)</f>
        <v>60.244669975402374</v>
      </c>
      <c r="R78" s="41">
        <f t="shared" si="25"/>
        <v>14671.853479114709</v>
      </c>
      <c r="S78" s="2"/>
      <c r="T78" s="9">
        <f t="shared" si="26"/>
        <v>202898.52172063902</v>
      </c>
    </row>
    <row r="79" spans="1:20" ht="12.75">
      <c r="A79" s="9" t="str">
        <f t="shared" si="24"/>
        <v>December</v>
      </c>
      <c r="C79" s="9">
        <f>('[3]Class Peak'!$E$9)</f>
        <v>203686.79891613036</v>
      </c>
      <c r="D79" s="9">
        <v>0</v>
      </c>
      <c r="E79" s="9">
        <f>('[3]Class Peak'!$E$10)</f>
        <v>36693.42849286886</v>
      </c>
      <c r="F79" s="9">
        <v>0</v>
      </c>
      <c r="G79" s="9">
        <f>('[3]Class Peak'!$E$11)</f>
        <v>37019.19832396562</v>
      </c>
      <c r="H79" s="68">
        <f>('[3]Class Peak'!$E$12)</f>
        <v>5638.96</v>
      </c>
      <c r="I79" s="68">
        <f>('[3]Class Peak'!$E$13)</f>
        <v>6652.8</v>
      </c>
      <c r="J79" s="68">
        <f>('[3]Class Peak'!$E$14)</f>
        <v>8237.54</v>
      </c>
      <c r="K79" s="9">
        <f t="shared" si="23"/>
        <v>297928.7257329648</v>
      </c>
      <c r="L79" s="228">
        <f>('[3]Class Peak'!$E$22)</f>
        <v>407.52</v>
      </c>
      <c r="M79" s="9">
        <f>('[3]Class Peak'!$E$16)</f>
        <v>7782.573449491203</v>
      </c>
      <c r="N79" s="9">
        <f>('[3]Class Peak'!$E$15)</f>
        <v>3238.86</v>
      </c>
      <c r="O79" s="9">
        <f>('[3]Class Peak'!$E$18)</f>
        <v>4904.511398544164</v>
      </c>
      <c r="P79" s="228">
        <f>('[3]Class Peak'!$E$17)</f>
        <v>183.4489702037991</v>
      </c>
      <c r="Q79" s="228">
        <f>('[3]Class Peak'!$E$19)</f>
        <v>70.38722251174329</v>
      </c>
      <c r="R79" s="41">
        <f t="shared" si="25"/>
        <v>16587.301040750914</v>
      </c>
      <c r="S79" s="2"/>
      <c r="T79" s="9">
        <f t="shared" si="26"/>
        <v>314516.02677371574</v>
      </c>
    </row>
    <row r="80" spans="1:20" ht="12.75">
      <c r="A80" s="9" t="str">
        <f t="shared" si="24"/>
        <v>January</v>
      </c>
      <c r="C80" s="9">
        <f>('[3]Class Peak'!$F$9)</f>
        <v>200574.64796552638</v>
      </c>
      <c r="D80" s="9">
        <v>0</v>
      </c>
      <c r="E80" s="9">
        <f>('[3]Class Peak'!$F$10)</f>
        <v>36721.81083968169</v>
      </c>
      <c r="F80" s="9">
        <v>0</v>
      </c>
      <c r="G80" s="9">
        <f>('[3]Class Peak'!$F$11)</f>
        <v>36710.48302798749</v>
      </c>
      <c r="H80" s="68">
        <f>('[3]Class Peak'!$F$12)</f>
        <v>5458.98</v>
      </c>
      <c r="I80" s="68">
        <f>('[3]Class Peak'!$F$13)</f>
        <v>6963.84</v>
      </c>
      <c r="J80" s="68">
        <f>('[3]Class Peak'!$F$14)</f>
        <v>8484.3</v>
      </c>
      <c r="K80" s="9">
        <f t="shared" si="23"/>
        <v>294914.06183319556</v>
      </c>
      <c r="L80" s="228">
        <f>('[3]Class Peak'!$F22)</f>
        <v>471.84</v>
      </c>
      <c r="M80" s="9">
        <f>('[3]Class Peak'!$F$16)</f>
        <v>7563</v>
      </c>
      <c r="N80" s="9">
        <f>('[3]Class Peak'!$F$15)</f>
        <v>2787.48</v>
      </c>
      <c r="O80" s="9">
        <f>('[3]Class Peak'!$F$18)</f>
        <v>4384.492656524548</v>
      </c>
      <c r="P80" s="228">
        <f>('[3]Class Peak'!$F$17)</f>
        <v>165.0263056921975</v>
      </c>
      <c r="Q80" s="228">
        <f>('[3]Class Peak'!$F$19)</f>
        <v>63.02730228901676</v>
      </c>
      <c r="R80" s="41">
        <f t="shared" si="25"/>
        <v>15434.866264505761</v>
      </c>
      <c r="S80" s="2"/>
      <c r="T80" s="9">
        <f t="shared" si="26"/>
        <v>310348.92809770134</v>
      </c>
    </row>
    <row r="81" spans="1:20" ht="12.75">
      <c r="A81" s="9" t="str">
        <f t="shared" si="24"/>
        <v>February</v>
      </c>
      <c r="C81" s="9">
        <f>('[3]Class Peak'!$G$9)</f>
        <v>147159</v>
      </c>
      <c r="D81" s="9">
        <v>0</v>
      </c>
      <c r="E81" s="9">
        <f>('[3]Class Peak'!$G$10)</f>
        <v>30251</v>
      </c>
      <c r="F81" s="9">
        <v>0</v>
      </c>
      <c r="G81" s="9">
        <f>('[3]Class Peak'!$G$11)</f>
        <v>30899.661874999998</v>
      </c>
      <c r="H81" s="68">
        <f>('[3]Class Peak'!$G$12)</f>
        <v>5493.58</v>
      </c>
      <c r="I81" s="68">
        <f>('[3]Class Peak'!$G$13)</f>
        <v>6600.96</v>
      </c>
      <c r="J81" s="68">
        <f>('[3]Class Peak'!$G$14)</f>
        <v>8180.16</v>
      </c>
      <c r="K81" s="9">
        <f t="shared" si="23"/>
        <v>228584.36187499997</v>
      </c>
      <c r="L81" s="228">
        <f>('[3]Class Peak'!$G$22)</f>
        <v>529.2</v>
      </c>
      <c r="M81" s="9">
        <f>('[3]Class Peak'!$G$16)</f>
        <v>7135</v>
      </c>
      <c r="N81" s="9">
        <f>('[3]Class Peak'!$G$15)</f>
        <v>2607.66</v>
      </c>
      <c r="O81" s="9">
        <f>('[3]Class Peak'!$G$18)</f>
        <v>4056.75</v>
      </c>
      <c r="P81" s="228">
        <f>('[3]Class Peak'!$G$17)</f>
        <v>152.125</v>
      </c>
      <c r="Q81" s="228">
        <f>('[3]Class Peak'!$G$19)</f>
        <v>60.2</v>
      </c>
      <c r="R81" s="41">
        <f t="shared" si="25"/>
        <v>14540.935000000001</v>
      </c>
      <c r="S81" s="2"/>
      <c r="T81" s="9">
        <f t="shared" si="26"/>
        <v>243125.29687499997</v>
      </c>
    </row>
    <row r="82" spans="1:20" ht="12.75">
      <c r="A82" s="9" t="str">
        <f t="shared" si="24"/>
        <v>March</v>
      </c>
      <c r="C82" s="9">
        <f>('[3]Class Peak'!$H$9)</f>
        <v>163048</v>
      </c>
      <c r="D82" s="9">
        <v>0</v>
      </c>
      <c r="E82" s="9">
        <f>('[3]Class Peak'!$H$10)</f>
        <v>28205</v>
      </c>
      <c r="F82" s="9">
        <v>0</v>
      </c>
      <c r="G82" s="9">
        <f>('[3]Class Peak'!$H$11)</f>
        <v>32713.341874518843</v>
      </c>
      <c r="H82" s="68">
        <f>('[3]Class Peak'!$H$12)</f>
        <v>5806</v>
      </c>
      <c r="I82" s="68">
        <f>('[3]Class Peak'!$H$13)</f>
        <v>6730.56</v>
      </c>
      <c r="J82" s="68">
        <f>('[3]Class Peak'!$H$14)</f>
        <v>8178.72</v>
      </c>
      <c r="K82" s="9">
        <f t="shared" si="23"/>
        <v>244681.62187451884</v>
      </c>
      <c r="L82" s="228">
        <f>('[3]Class Peak'!$H$22)</f>
        <v>522</v>
      </c>
      <c r="M82" s="9">
        <f>('[3]Class Peak'!$H$16)</f>
        <v>6771</v>
      </c>
      <c r="N82" s="9">
        <f>('[3]Class Peak'!$H$15)</f>
        <v>2601.48</v>
      </c>
      <c r="O82" s="9">
        <f>('[3]Class Peak'!$H$18)</f>
        <v>4075.9</v>
      </c>
      <c r="P82" s="228">
        <f>('[3]Class Peak'!$H$17)</f>
        <v>152.125</v>
      </c>
      <c r="Q82" s="228">
        <f>('[3]Class Peak'!$H$19)</f>
        <v>59.2</v>
      </c>
      <c r="R82" s="41">
        <f t="shared" si="25"/>
        <v>14181.705</v>
      </c>
      <c r="S82" s="2"/>
      <c r="T82" s="9">
        <f t="shared" si="26"/>
        <v>258863.32687451883</v>
      </c>
    </row>
    <row r="83" spans="1:20" ht="12.75">
      <c r="A83" s="9" t="str">
        <f t="shared" si="24"/>
        <v>April</v>
      </c>
      <c r="C83" s="9">
        <f>('[3]Class Peak'!$I$9)</f>
        <v>118401</v>
      </c>
      <c r="D83" s="9">
        <v>0</v>
      </c>
      <c r="E83" s="9">
        <f>('[3]Class Peak'!$I$10)</f>
        <v>27265</v>
      </c>
      <c r="F83" s="9">
        <v>0</v>
      </c>
      <c r="G83" s="9">
        <f>('[3]Class Peak'!$I$11)</f>
        <v>31381.886826086957</v>
      </c>
      <c r="H83" s="68">
        <f>('[3]Class Peak'!$I$12)</f>
        <v>5816.16</v>
      </c>
      <c r="I83" s="68">
        <f>('[3]Class Peak'!$I$13)</f>
        <v>7032.9</v>
      </c>
      <c r="J83" s="68">
        <f>('[3]Class Peak'!$I$14)</f>
        <v>7465.3</v>
      </c>
      <c r="K83" s="9">
        <f t="shared" si="23"/>
        <v>197362.24682608695</v>
      </c>
      <c r="L83" s="228">
        <f>('[3]Class Peak'!$I$22)</f>
        <v>8.04</v>
      </c>
      <c r="M83" s="9">
        <f>('[3]Class Peak'!$I$16)</f>
        <v>7179</v>
      </c>
      <c r="N83" s="9">
        <f>('[3]Class Peak'!$I$15)</f>
        <v>2399.1</v>
      </c>
      <c r="O83" s="9">
        <f>('[3]Class Peak'!$I$18)</f>
        <v>4096.525</v>
      </c>
      <c r="P83" s="228">
        <f>('[3]Class Peak'!$I$17)</f>
        <v>153.325</v>
      </c>
      <c r="Q83" s="228">
        <f>('[3]Class Peak'!$I$19)</f>
        <v>60.2</v>
      </c>
      <c r="R83" s="41">
        <f t="shared" si="25"/>
        <v>13896.19</v>
      </c>
      <c r="S83" s="2"/>
      <c r="T83" s="9">
        <f t="shared" si="26"/>
        <v>211258.43682608695</v>
      </c>
    </row>
    <row r="84" spans="1:20" ht="12.75">
      <c r="A84" s="9" t="str">
        <f t="shared" si="24"/>
        <v>May</v>
      </c>
      <c r="C84" s="9">
        <f>('[3]Class Peak'!$J$9)</f>
        <v>118358</v>
      </c>
      <c r="D84" s="9">
        <v>0</v>
      </c>
      <c r="E84" s="9">
        <f>('[3]Class Peak'!$J$10)</f>
        <v>29481</v>
      </c>
      <c r="F84" s="9">
        <f>('[3]Class Peak'!$J$21)</f>
        <v>0</v>
      </c>
      <c r="G84" s="9">
        <f>('[3]Class Peak'!$J$11)</f>
        <v>32363.607000000004</v>
      </c>
      <c r="H84" s="68">
        <f>('[3]Class Peak'!$J$12)</f>
        <v>5960.16</v>
      </c>
      <c r="I84" s="68">
        <f>('[3]Class Peak'!$J$13)</f>
        <v>7240.32</v>
      </c>
      <c r="J84" s="68">
        <f>('[3]Class Peak'!$J$14)</f>
        <v>9150.44</v>
      </c>
      <c r="K84" s="9">
        <f t="shared" si="23"/>
        <v>202553.52700000003</v>
      </c>
      <c r="L84" s="228">
        <f>('[3]Class Peak'!$J$22)</f>
        <v>1.26</v>
      </c>
      <c r="M84" s="9">
        <f>('[3]Class Peak'!$J$16)</f>
        <v>7995</v>
      </c>
      <c r="N84" s="9">
        <f>('[3]Class Peak'!$J$15)</f>
        <v>2473.58</v>
      </c>
      <c r="O84" s="9">
        <f>('[3]Class Peak'!$J$18)</f>
        <v>4088.3249999999994</v>
      </c>
      <c r="P84" s="228">
        <f>('[3]Class Peak'!$J$17)</f>
        <v>153.325</v>
      </c>
      <c r="Q84" s="228">
        <f>('[3]Class Peak'!$J$19)</f>
        <v>60.2</v>
      </c>
      <c r="R84" s="41">
        <f t="shared" si="25"/>
        <v>14771.69</v>
      </c>
      <c r="S84" s="2"/>
      <c r="T84" s="9">
        <f t="shared" si="26"/>
        <v>217325.21700000003</v>
      </c>
    </row>
    <row r="85" spans="1:20" ht="12.75">
      <c r="A85" s="9" t="str">
        <f t="shared" si="24"/>
        <v>June</v>
      </c>
      <c r="C85" s="9">
        <f>('[3]Class Peak'!$K$9)</f>
        <v>158137</v>
      </c>
      <c r="D85" s="9">
        <v>0</v>
      </c>
      <c r="E85" s="9">
        <f>('[3]Class Peak'!$K$10)</f>
        <v>41765.17915035108</v>
      </c>
      <c r="F85" s="9">
        <f>('[3]Class Peak'!$K$21)</f>
        <v>0</v>
      </c>
      <c r="G85" s="9">
        <f>('[3]Class Peak'!$K$11)</f>
        <v>33752.39521204782</v>
      </c>
      <c r="H85" s="68">
        <f>('[3]Class Peak'!$K$12)</f>
        <v>6277.44</v>
      </c>
      <c r="I85" s="68">
        <f>('[3]Class Peak'!$K$13)</f>
        <v>7836.4</v>
      </c>
      <c r="J85" s="68">
        <f>('[3]Class Peak'!$K$14)</f>
        <v>8958.22</v>
      </c>
      <c r="K85" s="9">
        <f t="shared" si="23"/>
        <v>256726.6343623989</v>
      </c>
      <c r="L85" s="228">
        <f>('[3]Class Peak'!$K$22)</f>
        <v>4.68</v>
      </c>
      <c r="M85" s="9">
        <f>('[3]Class Peak'!$K$16)</f>
        <v>8696</v>
      </c>
      <c r="N85" s="9">
        <f>('[3]Class Peak'!$K$15)</f>
        <v>1695.38</v>
      </c>
      <c r="O85" s="9">
        <f>('[3]Class Peak'!$K$18)</f>
        <v>4105.075000000001</v>
      </c>
      <c r="P85" s="228">
        <f>('[3]Class Peak'!$K$17)</f>
        <v>153.325</v>
      </c>
      <c r="Q85" s="228">
        <f>('[3]Class Peak'!$K$19)</f>
        <v>61.35</v>
      </c>
      <c r="R85" s="41">
        <f t="shared" si="25"/>
        <v>14715.810000000003</v>
      </c>
      <c r="S85" s="2"/>
      <c r="T85" s="9">
        <f t="shared" si="26"/>
        <v>271442.44436239894</v>
      </c>
    </row>
    <row r="86" spans="1:20" ht="12.75">
      <c r="A86" s="9" t="str">
        <f t="shared" si="24"/>
        <v>July</v>
      </c>
      <c r="C86" s="9">
        <f>('[3]Class Peak'!$L$9)</f>
        <v>165722</v>
      </c>
      <c r="D86" s="9">
        <v>0</v>
      </c>
      <c r="E86" s="9">
        <f>('[3]Class Peak'!$L$10)</f>
        <v>40058</v>
      </c>
      <c r="F86" s="9">
        <f>('[3]Class Peak'!$L$21)</f>
        <v>0</v>
      </c>
      <c r="G86" s="9">
        <f>('[3]Class Peak'!$L$11)</f>
        <v>33644.19391304348</v>
      </c>
      <c r="H86" s="68">
        <f>('[3]Class Peak'!$L$12)</f>
        <v>6260.64</v>
      </c>
      <c r="I86" s="68">
        <f>('[3]Class Peak'!$L$13)</f>
        <v>8354.88</v>
      </c>
      <c r="J86" s="68">
        <f>('[3]Class Peak'!$L$14)</f>
        <v>8086.96</v>
      </c>
      <c r="K86" s="9">
        <f t="shared" si="23"/>
        <v>262126.6739130435</v>
      </c>
      <c r="L86" s="228">
        <f>('[3]Class Peak'!$L$22)</f>
        <v>0.36</v>
      </c>
      <c r="M86" s="9">
        <f>('[3]Class Peak'!$L$16)</f>
        <v>8379</v>
      </c>
      <c r="N86" s="9">
        <f>('[3]Class Peak'!$L$15)</f>
        <v>1766.06</v>
      </c>
      <c r="O86" s="9">
        <f>('[3]Class Peak'!$L$18)</f>
        <v>4126.65</v>
      </c>
      <c r="P86" s="228">
        <f>('[3]Class Peak'!$L$17)</f>
        <v>153.325</v>
      </c>
      <c r="Q86" s="228">
        <f>('[3]Class Peak'!$L$19)</f>
        <v>61.35</v>
      </c>
      <c r="R86" s="41">
        <f t="shared" si="25"/>
        <v>14486.745</v>
      </c>
      <c r="S86" s="2"/>
      <c r="T86" s="9">
        <f t="shared" si="26"/>
        <v>276613.4189130435</v>
      </c>
    </row>
    <row r="87" spans="1:20" ht="12.75">
      <c r="A87" s="9" t="str">
        <f t="shared" si="24"/>
        <v>August</v>
      </c>
      <c r="C87" s="16">
        <f>('[3]Class Peak'!$M$9)</f>
        <v>151940</v>
      </c>
      <c r="D87" s="16">
        <v>0</v>
      </c>
      <c r="E87" s="16">
        <f>('[3]Class Peak'!$M$10)</f>
        <v>42222</v>
      </c>
      <c r="F87" s="16">
        <f>('[3]Class Peak'!$M$21)</f>
        <v>0</v>
      </c>
      <c r="G87" s="16">
        <f>('[3]Class Peak'!$M$11)</f>
        <v>33978.40242001718</v>
      </c>
      <c r="H87" s="178">
        <f>('[3]Class Peak'!$M$12)</f>
        <v>6419.48</v>
      </c>
      <c r="I87" s="178">
        <f>('[3]Class Peak'!$M$13)</f>
        <v>8341.92</v>
      </c>
      <c r="J87" s="178">
        <f>('[3]Class Peak'!$M$14)</f>
        <v>10018.28</v>
      </c>
      <c r="K87" s="16">
        <f t="shared" si="23"/>
        <v>252920.0824200172</v>
      </c>
      <c r="L87" s="229">
        <f>('[3]Class Peak'!$M$22)</f>
        <v>4.2</v>
      </c>
      <c r="M87" s="16">
        <f>('[3]Class Peak'!$M$16)</f>
        <v>8770</v>
      </c>
      <c r="N87" s="16">
        <f>('[3]Class Peak'!$M$15)</f>
        <v>2147.18</v>
      </c>
      <c r="O87" s="16">
        <f>('[3]Class Peak'!$M$18)</f>
        <v>4137.3</v>
      </c>
      <c r="P87" s="229">
        <f>('[3]Class Peak'!$M$17)</f>
        <v>153.325</v>
      </c>
      <c r="Q87" s="229">
        <f>('[3]Class Peak'!$M$19)</f>
        <v>61.35</v>
      </c>
      <c r="R87" s="18">
        <f t="shared" si="25"/>
        <v>15273.355000000001</v>
      </c>
      <c r="S87" s="2"/>
      <c r="T87" s="16">
        <f t="shared" si="26"/>
        <v>268193.4374200172</v>
      </c>
    </row>
    <row r="88" spans="12:19" ht="12.75">
      <c r="L88" s="2"/>
      <c r="M88" s="2"/>
      <c r="N88" s="2"/>
      <c r="O88" s="2"/>
      <c r="P88" s="2"/>
      <c r="Q88" s="2"/>
      <c r="R88" s="2"/>
      <c r="S88" s="2"/>
    </row>
    <row r="89" spans="1:20" ht="13.5" thickBot="1">
      <c r="A89" s="9" t="s">
        <v>114</v>
      </c>
      <c r="C89" s="30">
        <f aca="true" t="shared" si="27" ref="C89:I89">SUM(C76:C87)</f>
        <v>1778896.845580791</v>
      </c>
      <c r="D89" s="30">
        <f t="shared" si="27"/>
        <v>0</v>
      </c>
      <c r="E89" s="30">
        <f t="shared" si="27"/>
        <v>396484.41848290164</v>
      </c>
      <c r="F89" s="30">
        <f t="shared" si="27"/>
        <v>0</v>
      </c>
      <c r="G89" s="30">
        <f t="shared" si="27"/>
        <v>397224.18628288736</v>
      </c>
      <c r="H89" s="30">
        <f t="shared" si="27"/>
        <v>70143.44</v>
      </c>
      <c r="I89" s="30">
        <f t="shared" si="27"/>
        <v>87497.1</v>
      </c>
      <c r="J89" s="30">
        <f>SUM(J76:J87)</f>
        <v>100682.36000000002</v>
      </c>
      <c r="K89" s="30">
        <f>SUM(K76:K87)</f>
        <v>2830928.3503465797</v>
      </c>
      <c r="L89" s="30">
        <f aca="true" t="shared" si="28" ref="L89:T89">SUM(L76:L87)</f>
        <v>2395.98</v>
      </c>
      <c r="M89" s="30">
        <f>SUM(M76:M87)</f>
        <v>94764.5734494912</v>
      </c>
      <c r="N89" s="30">
        <f t="shared" si="28"/>
        <v>27698.42</v>
      </c>
      <c r="O89" s="30">
        <f t="shared" si="28"/>
        <v>50333.560579876015</v>
      </c>
      <c r="P89" s="30">
        <f t="shared" si="28"/>
        <v>1884.9875602279988</v>
      </c>
      <c r="Q89" s="30">
        <f t="shared" si="28"/>
        <v>733.7091947761625</v>
      </c>
      <c r="R89" s="30">
        <f t="shared" si="28"/>
        <v>177811.23078437138</v>
      </c>
      <c r="S89" s="2"/>
      <c r="T89" s="30">
        <f t="shared" si="28"/>
        <v>3008739.581130951</v>
      </c>
    </row>
    <row r="90" spans="12:19" ht="13.5" thickTop="1">
      <c r="L90" s="2"/>
      <c r="M90" s="2"/>
      <c r="N90" s="2"/>
      <c r="O90" s="2"/>
      <c r="P90" s="2"/>
      <c r="Q90" s="2"/>
      <c r="R90" s="2"/>
      <c r="S90" s="2"/>
    </row>
    <row r="91" spans="1:20" s="13" customFormat="1" ht="12.75">
      <c r="A91" s="14" t="s">
        <v>270</v>
      </c>
      <c r="C91" s="13">
        <f>(C89/$T$89)</f>
        <v>0.5912432091953015</v>
      </c>
      <c r="D91" s="13">
        <f>(D89/$T$89)</f>
        <v>0</v>
      </c>
      <c r="E91" s="13">
        <f>(E89/$T$89)</f>
        <v>0.1317775792127106</v>
      </c>
      <c r="F91" s="13">
        <f aca="true" t="shared" si="29" ref="F91:T91">(F89/$T$89)</f>
        <v>0</v>
      </c>
      <c r="G91" s="13">
        <f t="shared" si="29"/>
        <v>0.13202345220372155</v>
      </c>
      <c r="H91" s="13">
        <f t="shared" si="29"/>
        <v>0.023313230709596303</v>
      </c>
      <c r="I91" s="13">
        <f t="shared" si="29"/>
        <v>0.029080981467698455</v>
      </c>
      <c r="J91" s="13">
        <f t="shared" si="29"/>
        <v>0.03346330158695711</v>
      </c>
      <c r="K91" s="13">
        <f t="shared" si="29"/>
        <v>0.9409017543759854</v>
      </c>
      <c r="L91" s="13">
        <f t="shared" si="29"/>
        <v>0.0007963401070089882</v>
      </c>
      <c r="M91" s="13">
        <f t="shared" si="29"/>
        <v>0.03149643593077945</v>
      </c>
      <c r="N91" s="13">
        <f t="shared" si="29"/>
        <v>0.009205987840791617</v>
      </c>
      <c r="O91" s="13">
        <f t="shared" si="29"/>
        <v>0.01672911836422752</v>
      </c>
      <c r="P91" s="13">
        <f t="shared" si="29"/>
        <v>0.0006265040590583295</v>
      </c>
      <c r="Q91" s="13">
        <f t="shared" si="29"/>
        <v>0.00024385932214856875</v>
      </c>
      <c r="R91" s="13">
        <f t="shared" si="29"/>
        <v>0.05909824562401447</v>
      </c>
      <c r="S91" s="14" t="s">
        <v>24</v>
      </c>
      <c r="T91" s="13">
        <f t="shared" si="29"/>
        <v>1</v>
      </c>
    </row>
    <row r="93" spans="8:19" s="13" customFormat="1" ht="12.75">
      <c r="H93" s="26" t="s">
        <v>24</v>
      </c>
      <c r="I93" s="26"/>
      <c r="J93" s="26"/>
      <c r="L93" s="2"/>
      <c r="M93" s="2"/>
      <c r="N93" s="2"/>
      <c r="O93" s="2"/>
      <c r="P93" s="2"/>
      <c r="Q93" s="2"/>
      <c r="R93" s="2"/>
      <c r="S93" s="2"/>
    </row>
    <row r="94" spans="1:19" s="13" customFormat="1" ht="12.75">
      <c r="A94" s="14" t="s">
        <v>265</v>
      </c>
      <c r="H94" s="9"/>
      <c r="I94" s="9"/>
      <c r="J94" s="9"/>
      <c r="L94" s="14" t="s">
        <v>265</v>
      </c>
      <c r="M94" s="2"/>
      <c r="N94" s="2"/>
      <c r="O94" s="2"/>
      <c r="P94" s="2"/>
      <c r="Q94" s="2"/>
      <c r="R94" s="2"/>
      <c r="S94" s="2"/>
    </row>
    <row r="95" spans="8:15" s="13" customFormat="1" ht="12.75">
      <c r="H95" s="9"/>
      <c r="I95" s="9"/>
      <c r="J95" s="9"/>
      <c r="K95" s="26" t="s">
        <v>24</v>
      </c>
      <c r="O95" s="14"/>
    </row>
    <row r="100" ht="12.75">
      <c r="B100" s="40"/>
    </row>
    <row r="101" spans="1:12" s="2" customFormat="1" ht="12.75">
      <c r="A101" s="40" t="s">
        <v>347</v>
      </c>
      <c r="B101" s="40"/>
      <c r="H101" s="9"/>
      <c r="I101" s="9"/>
      <c r="J101" s="9"/>
      <c r="L101" s="40" t="s">
        <v>347</v>
      </c>
    </row>
    <row r="102" spans="1:2" ht="12.75">
      <c r="A102" s="40" t="s">
        <v>24</v>
      </c>
      <c r="B102" s="40"/>
    </row>
    <row r="103" spans="11:20" ht="12.75">
      <c r="K103" s="2"/>
      <c r="L103" s="2"/>
      <c r="M103" s="2"/>
      <c r="N103" s="2"/>
      <c r="O103" s="2"/>
      <c r="P103" s="2"/>
      <c r="Q103" s="2"/>
      <c r="R103" s="2"/>
      <c r="S103" s="2"/>
      <c r="T103" s="24"/>
    </row>
    <row r="104" spans="3:20" ht="12.75">
      <c r="C104" s="25" t="str">
        <f>(C72)</f>
        <v>Schedule A</v>
      </c>
      <c r="D104" s="25" t="str">
        <f aca="true" t="shared" si="30" ref="D104:J104">(D72)</f>
        <v>Schedule A</v>
      </c>
      <c r="E104" s="25" t="str">
        <f t="shared" si="30"/>
        <v>Schedule B</v>
      </c>
      <c r="F104" s="25" t="str">
        <f t="shared" si="30"/>
        <v>Schedule B</v>
      </c>
      <c r="G104" s="25" t="str">
        <f t="shared" si="30"/>
        <v>Schedule LP</v>
      </c>
      <c r="H104" s="25" t="str">
        <f t="shared" si="30"/>
        <v>Schedule LP-1</v>
      </c>
      <c r="I104" s="25" t="str">
        <f t="shared" si="30"/>
        <v>Schedule LP-2</v>
      </c>
      <c r="J104" s="25" t="str">
        <f t="shared" si="30"/>
        <v>Schedule LP-3</v>
      </c>
      <c r="K104" s="2"/>
      <c r="L104" s="116" t="s">
        <v>422</v>
      </c>
      <c r="M104" s="116" t="s">
        <v>426</v>
      </c>
      <c r="N104" s="116" t="s">
        <v>428</v>
      </c>
      <c r="O104" s="116" t="s">
        <v>431</v>
      </c>
      <c r="P104" s="116" t="s">
        <v>432</v>
      </c>
      <c r="Q104" s="116" t="s">
        <v>434</v>
      </c>
      <c r="R104" s="2"/>
      <c r="S104" s="2"/>
      <c r="T104" s="24"/>
    </row>
    <row r="105" spans="3:20" ht="12.75">
      <c r="C105" s="25" t="str">
        <f aca="true" t="shared" si="31" ref="C105:J106">(C73)</f>
        <v>Residential</v>
      </c>
      <c r="D105" s="25" t="str">
        <f t="shared" si="31"/>
        <v>Residential</v>
      </c>
      <c r="E105" s="25" t="str">
        <f t="shared" si="31"/>
        <v>Commercial</v>
      </c>
      <c r="F105" s="25" t="str">
        <f t="shared" si="31"/>
        <v>Commercial</v>
      </c>
      <c r="G105" s="25" t="str">
        <f t="shared" si="31"/>
        <v>Large Power</v>
      </c>
      <c r="H105" s="25" t="str">
        <f t="shared" si="31"/>
        <v>Large Power</v>
      </c>
      <c r="I105" s="25" t="str">
        <f t="shared" si="31"/>
        <v>Large Power</v>
      </c>
      <c r="J105" s="25" t="str">
        <f t="shared" si="31"/>
        <v>Large Power</v>
      </c>
      <c r="K105" s="118" t="s">
        <v>437</v>
      </c>
      <c r="L105" s="116" t="s">
        <v>423</v>
      </c>
      <c r="M105" s="116" t="s">
        <v>425</v>
      </c>
      <c r="N105" s="116" t="s">
        <v>429</v>
      </c>
      <c r="O105" s="116" t="s">
        <v>16</v>
      </c>
      <c r="P105" s="116" t="s">
        <v>433</v>
      </c>
      <c r="Q105" s="116" t="s">
        <v>435</v>
      </c>
      <c r="R105" s="118" t="s">
        <v>437</v>
      </c>
      <c r="S105" s="2"/>
      <c r="T105" s="21" t="s">
        <v>439</v>
      </c>
    </row>
    <row r="106" spans="1:20" ht="15">
      <c r="A106" s="182" t="s">
        <v>117</v>
      </c>
      <c r="C106" s="25" t="str">
        <f t="shared" si="31"/>
        <v>Schls &amp; Chur</v>
      </c>
      <c r="D106" s="25" t="str">
        <f t="shared" si="31"/>
        <v>ETS</v>
      </c>
      <c r="E106" s="25" t="str">
        <f t="shared" si="31"/>
        <v>No Demand</v>
      </c>
      <c r="F106" s="25" t="str">
        <f t="shared" si="31"/>
        <v>ETS</v>
      </c>
      <c r="G106" s="25" t="str">
        <f t="shared" si="31"/>
        <v>Rate</v>
      </c>
      <c r="H106" s="25" t="str">
        <f t="shared" si="31"/>
        <v>500-4999 kW</v>
      </c>
      <c r="I106" s="25" t="str">
        <f t="shared" si="31"/>
        <v>5000-9999 kW</v>
      </c>
      <c r="J106" s="25" t="str">
        <f t="shared" si="31"/>
        <v>500-4999 kW</v>
      </c>
      <c r="K106" s="32" t="s">
        <v>438</v>
      </c>
      <c r="L106" s="117" t="s">
        <v>424</v>
      </c>
      <c r="M106" s="117" t="s">
        <v>427</v>
      </c>
      <c r="N106" s="117" t="s">
        <v>430</v>
      </c>
      <c r="O106" s="117" t="s">
        <v>17</v>
      </c>
      <c r="P106" s="117" t="s">
        <v>17</v>
      </c>
      <c r="Q106" s="117" t="s">
        <v>436</v>
      </c>
      <c r="R106" s="32" t="s">
        <v>438</v>
      </c>
      <c r="S106" s="2"/>
      <c r="T106" s="20" t="s">
        <v>47</v>
      </c>
    </row>
    <row r="107" spans="12:19" ht="12.75">
      <c r="L107" s="2"/>
      <c r="M107" s="2"/>
      <c r="N107" s="2"/>
      <c r="O107" s="2"/>
      <c r="P107" s="2"/>
      <c r="Q107" s="2"/>
      <c r="R107" s="2"/>
      <c r="S107" s="2"/>
    </row>
    <row r="108" spans="1:20" ht="12.75">
      <c r="A108" s="9" t="s">
        <v>118</v>
      </c>
      <c r="C108" s="9">
        <f>('[3]NCP'!$B$9)</f>
        <v>430985</v>
      </c>
      <c r="D108" s="9">
        <f>('[3]NCP'!$B$20)</f>
        <v>2233</v>
      </c>
      <c r="E108" s="9">
        <f>('[3]NCP'!$B$10)</f>
        <v>62069</v>
      </c>
      <c r="F108" s="9">
        <f>('[3]NCP'!$B$21)</f>
        <v>0</v>
      </c>
      <c r="G108" s="9">
        <f>('[3]NCP'!$B$11)</f>
        <v>42213.533</v>
      </c>
      <c r="H108" s="68">
        <f>('[3]NCP'!$B$12)</f>
        <v>5738.34</v>
      </c>
      <c r="I108" s="68">
        <f>('[3]NCP'!$B$13)</f>
        <v>7585.9</v>
      </c>
      <c r="J108" s="68">
        <f>('[3]NCP'!$B$14)</f>
        <v>8148.3</v>
      </c>
      <c r="K108" s="9">
        <f aca="true" t="shared" si="32" ref="K108:K119">SUM(C108:J108)</f>
        <v>558973.0730000001</v>
      </c>
      <c r="L108" s="228">
        <f>('[3]NCP'!$B$22)</f>
        <v>0.12</v>
      </c>
      <c r="M108" s="9">
        <f>('[3]NCP'!$B$16)</f>
        <v>13632</v>
      </c>
      <c r="N108" s="9">
        <f>('[3]NCP'!$B$15)</f>
        <v>2193.64</v>
      </c>
      <c r="O108" s="9">
        <f>('[3]NCP'!$B$18)</f>
        <v>3998.475</v>
      </c>
      <c r="P108" s="9">
        <f>('[3]NCP'!$B$17)</f>
        <v>151.425</v>
      </c>
      <c r="Q108" s="9">
        <f>('[3]NCP'!$B$19)</f>
        <v>58.1</v>
      </c>
      <c r="R108" s="9">
        <f aca="true" t="shared" si="33" ref="R108:R119">SUM(L108:Q108)</f>
        <v>20033.76</v>
      </c>
      <c r="S108" s="2"/>
      <c r="T108" s="9">
        <f>(R108+K108)</f>
        <v>579006.8330000001</v>
      </c>
    </row>
    <row r="109" spans="1:20" ht="12.75">
      <c r="A109" s="9" t="s">
        <v>119</v>
      </c>
      <c r="C109" s="9">
        <f>('[3]NCP'!$C$9)</f>
        <v>421259</v>
      </c>
      <c r="D109" s="9">
        <f>('[3]NCP'!$C$20)</f>
        <v>6699</v>
      </c>
      <c r="E109" s="9">
        <f>('[3]NCP'!$C$10)</f>
        <v>59472</v>
      </c>
      <c r="F109" s="9">
        <f>('[3]NCP'!$C$21)</f>
        <v>0</v>
      </c>
      <c r="G109" s="9">
        <f>('[3]NCP'!$C$11)</f>
        <v>38131.536</v>
      </c>
      <c r="H109" s="68">
        <f>('[3]NCP'!$C$12)</f>
        <v>5627.48</v>
      </c>
      <c r="I109" s="68">
        <f>('[3]NCP'!$C$13)</f>
        <v>7153.9</v>
      </c>
      <c r="J109" s="68">
        <f>('[3]NCP'!$C$14)</f>
        <v>7867.54</v>
      </c>
      <c r="K109" s="9">
        <f t="shared" si="32"/>
        <v>546210.456</v>
      </c>
      <c r="L109" s="228">
        <f>('[3]NCP'!$C$22)</f>
        <v>1.08</v>
      </c>
      <c r="M109" s="9">
        <f>('[3]NCP'!$C$16)</f>
        <v>11904</v>
      </c>
      <c r="N109" s="9">
        <f>('[3]NCP'!$C$15)</f>
        <v>2059.84</v>
      </c>
      <c r="O109" s="9">
        <f>('[3]NCP'!$C$18)</f>
        <v>4034.8</v>
      </c>
      <c r="P109" s="9">
        <f>('[3]NCP'!$C$17)</f>
        <v>151.6</v>
      </c>
      <c r="Q109" s="9">
        <f>('[3]NCP'!$C$19)</f>
        <v>58.1</v>
      </c>
      <c r="R109" s="9">
        <f t="shared" si="33"/>
        <v>18209.42</v>
      </c>
      <c r="S109" s="2"/>
      <c r="T109" s="9">
        <f aca="true" t="shared" si="34" ref="T109:T119">(R109+K109)</f>
        <v>564419.876</v>
      </c>
    </row>
    <row r="110" spans="1:20" ht="12.75">
      <c r="A110" s="9" t="s">
        <v>120</v>
      </c>
      <c r="C110" s="9">
        <f>('[3]NCP'!$D$9)</f>
        <v>462909</v>
      </c>
      <c r="D110" s="9">
        <f>('[3]NCP'!$D$20)</f>
        <v>8925</v>
      </c>
      <c r="E110" s="9">
        <f>('[3]NCP'!$D$10)</f>
        <v>67648</v>
      </c>
      <c r="F110" s="9">
        <f>('[3]NCP'!$D$21)</f>
        <v>14</v>
      </c>
      <c r="G110" s="9">
        <f>('[3]NCP'!$D$11)</f>
        <v>40192.88</v>
      </c>
      <c r="H110" s="68">
        <f>('[3]NCP'!$D$12)</f>
        <v>5646.22</v>
      </c>
      <c r="I110" s="68">
        <f>('[3]NCP'!$D$13)</f>
        <v>7002.72</v>
      </c>
      <c r="J110" s="68">
        <f>('[3]NCP'!$D$14)</f>
        <v>7906.6</v>
      </c>
      <c r="K110" s="9">
        <f t="shared" si="32"/>
        <v>600244.4199999999</v>
      </c>
      <c r="L110" s="228">
        <f>('[3]NCP'!$D$22)</f>
        <v>445.08</v>
      </c>
      <c r="M110" s="9">
        <f>('[3]NCP'!$D$16)</f>
        <v>12438</v>
      </c>
      <c r="N110" s="9">
        <f>('[3]NCP'!$D$15)</f>
        <v>2502.16</v>
      </c>
      <c r="O110" s="9">
        <f>('[3]NCP'!$D$18)</f>
        <v>4027.2249999999995</v>
      </c>
      <c r="P110" s="9">
        <f>('[3]NCP'!$D$17)</f>
        <v>151.425</v>
      </c>
      <c r="Q110" s="9">
        <f>('[3]NCP'!$D$19)</f>
        <v>56.1</v>
      </c>
      <c r="R110" s="9">
        <f t="shared" si="33"/>
        <v>19619.989999999998</v>
      </c>
      <c r="S110" s="2"/>
      <c r="T110" s="9">
        <f t="shared" si="34"/>
        <v>619864.4099999999</v>
      </c>
    </row>
    <row r="111" spans="1:20" ht="12.75">
      <c r="A111" s="9" t="s">
        <v>121</v>
      </c>
      <c r="C111" s="9">
        <f>('[3]NCP'!$E$9)</f>
        <v>540697</v>
      </c>
      <c r="D111" s="9">
        <f>('[3]NCP'!$E$20)</f>
        <v>9989</v>
      </c>
      <c r="E111" s="9">
        <f>('[3]NCP'!$E$10)</f>
        <v>70754</v>
      </c>
      <c r="F111" s="9">
        <f>('[3]NCP'!$E$21)</f>
        <v>14</v>
      </c>
      <c r="G111" s="9">
        <f>('[3]NCP'!$E$11)</f>
        <v>41407.342000000004</v>
      </c>
      <c r="H111" s="68">
        <f>('[3]NCP'!$E$12)</f>
        <v>5638.96</v>
      </c>
      <c r="I111" s="68">
        <f>('[3]NCP'!$E$13)</f>
        <v>6652.8</v>
      </c>
      <c r="J111" s="68">
        <f>('[3]NCP'!$E$14)</f>
        <v>8237.54</v>
      </c>
      <c r="K111" s="9">
        <f t="shared" si="32"/>
        <v>683390.642</v>
      </c>
      <c r="L111" s="228">
        <f>('[3]NCP'!$E$22)</f>
        <v>407.52</v>
      </c>
      <c r="M111" s="9">
        <f>('[3]NCP'!$E$16)</f>
        <v>12245</v>
      </c>
      <c r="N111" s="9">
        <f>('[3]NCP'!$E$15)</f>
        <v>3502.86</v>
      </c>
      <c r="O111" s="9">
        <f>('[3]NCP'!$E$18)</f>
        <v>4048.35</v>
      </c>
      <c r="P111" s="9">
        <f>('[3]NCP'!$E$17)</f>
        <v>151.425</v>
      </c>
      <c r="Q111" s="9">
        <f>('[3]NCP'!$E$19)</f>
        <v>58.1</v>
      </c>
      <c r="R111" s="9">
        <f t="shared" si="33"/>
        <v>20413.254999999997</v>
      </c>
      <c r="S111" s="2"/>
      <c r="T111" s="9">
        <f t="shared" si="34"/>
        <v>703803.897</v>
      </c>
    </row>
    <row r="112" spans="1:20" ht="12.75">
      <c r="A112" s="9" t="s">
        <v>122</v>
      </c>
      <c r="C112" s="9">
        <f>('[3]NCP'!$F9)</f>
        <v>532666</v>
      </c>
      <c r="D112" s="9">
        <f>('[3]NCP'!$F$20)</f>
        <v>10255</v>
      </c>
      <c r="E112" s="9">
        <f>('[3]NCP'!$F$10)</f>
        <v>75957</v>
      </c>
      <c r="F112" s="9">
        <f>('[3]NCP'!$F$21)</f>
        <v>14</v>
      </c>
      <c r="G112" s="9">
        <f>('[3]NCP'!$F$11)</f>
        <v>37893.137</v>
      </c>
      <c r="H112" s="68">
        <f>('[3]NCP'!$F$12)</f>
        <v>5458.98</v>
      </c>
      <c r="I112" s="68">
        <f>('[3]NCP'!$F$13)</f>
        <v>6963.84</v>
      </c>
      <c r="J112" s="68">
        <f>('[3]NCP'!$F$14)</f>
        <v>8458.88</v>
      </c>
      <c r="K112" s="9">
        <f t="shared" si="32"/>
        <v>677666.8369999999</v>
      </c>
      <c r="L112" s="228">
        <f>('[3]NCP'!$F$22)</f>
        <v>471.84</v>
      </c>
      <c r="M112" s="9">
        <f>('[3]NCP'!$F$16)</f>
        <v>11272</v>
      </c>
      <c r="N112" s="9">
        <f>('[3]NCP'!$F$15)</f>
        <v>2986.48</v>
      </c>
      <c r="O112" s="9">
        <f>('[3]NCP'!$F$18)</f>
        <v>4041.725</v>
      </c>
      <c r="P112" s="9">
        <f>('[3]NCP'!$F$17)</f>
        <v>152.125</v>
      </c>
      <c r="Q112" s="9">
        <f>('[3]NCP'!$F$19)</f>
        <v>58.1</v>
      </c>
      <c r="R112" s="9">
        <f t="shared" si="33"/>
        <v>18982.269999999997</v>
      </c>
      <c r="S112" s="2"/>
      <c r="T112" s="9">
        <f t="shared" si="34"/>
        <v>696649.107</v>
      </c>
    </row>
    <row r="113" spans="1:20" ht="12.75">
      <c r="A113" s="9" t="s">
        <v>123</v>
      </c>
      <c r="C113" s="9">
        <f>('[3]NCP'!$G$9)</f>
        <v>497392</v>
      </c>
      <c r="D113" s="9">
        <f>('[3]NCP'!$G$20)</f>
        <v>10325</v>
      </c>
      <c r="E113" s="9">
        <f>('[3]NCP'!$G$10)</f>
        <v>70733</v>
      </c>
      <c r="F113" s="9">
        <f>('[3]NCP'!$G$21)</f>
        <v>14</v>
      </c>
      <c r="G113" s="9">
        <f>('[3]NCP'!$G$11)</f>
        <v>38749.149</v>
      </c>
      <c r="H113" s="68">
        <f>('[3]NCP'!$G$12)</f>
        <v>5493.58</v>
      </c>
      <c r="I113" s="68">
        <f>('[3]NCP'!$G$13)</f>
        <v>6600.96</v>
      </c>
      <c r="J113" s="68">
        <f>('[3]NCP'!$G$14)</f>
        <v>8180.16</v>
      </c>
      <c r="K113" s="9">
        <f t="shared" si="32"/>
        <v>637487.8489999999</v>
      </c>
      <c r="L113" s="228">
        <f>('[3]NCP'!$G$22)</f>
        <v>529.2</v>
      </c>
      <c r="M113" s="9">
        <f>('[3]NCP'!$G$16)</f>
        <v>11172</v>
      </c>
      <c r="N113" s="9">
        <f>('[3]NCP'!$G$15)</f>
        <v>2832.66</v>
      </c>
      <c r="O113" s="9">
        <f>('[3]NCP'!$G$18)</f>
        <v>4056.75</v>
      </c>
      <c r="P113" s="9">
        <f>('[3]NCP'!$G$17)</f>
        <v>152.125</v>
      </c>
      <c r="Q113" s="9">
        <f>('[3]NCP'!$G$19)</f>
        <v>60.2</v>
      </c>
      <c r="R113" s="9">
        <f t="shared" si="33"/>
        <v>18802.935</v>
      </c>
      <c r="S113" s="2"/>
      <c r="T113" s="9">
        <f t="shared" si="34"/>
        <v>656290.784</v>
      </c>
    </row>
    <row r="114" spans="1:20" ht="12.75">
      <c r="A114" s="9" t="s">
        <v>124</v>
      </c>
      <c r="C114" s="9">
        <f>('[3]NCP'!$H$9)</f>
        <v>508669</v>
      </c>
      <c r="D114" s="9">
        <f>('[3]NCP'!$H$20)</f>
        <v>10374</v>
      </c>
      <c r="E114" s="9">
        <f>('[3]NCP'!$H$10)</f>
        <v>74784</v>
      </c>
      <c r="F114" s="9">
        <f>('[3]NCP'!$H$21)</f>
        <v>14</v>
      </c>
      <c r="G114" s="9">
        <f>('[3]NCP'!$H$11)</f>
        <v>42071.477</v>
      </c>
      <c r="H114" s="68">
        <f>('[3]NCP'!$H$12)</f>
        <v>5806</v>
      </c>
      <c r="I114" s="68">
        <f>('[3]NCP'!$H$13)</f>
        <v>6730.56</v>
      </c>
      <c r="J114" s="68">
        <f>('[3]NCP'!$H$14)</f>
        <v>7914.66</v>
      </c>
      <c r="K114" s="9">
        <f t="shared" si="32"/>
        <v>656363.697</v>
      </c>
      <c r="L114" s="228">
        <f>('[3]NCP'!$H$22)</f>
        <v>522</v>
      </c>
      <c r="M114" s="9">
        <f>('[3]NCP'!$H$16)</f>
        <v>12302</v>
      </c>
      <c r="N114" s="9">
        <f>('[3]NCP'!$H$15)</f>
        <v>2919.48</v>
      </c>
      <c r="O114" s="9">
        <f>('[3]NCP'!$H$18)</f>
        <v>4075.9</v>
      </c>
      <c r="P114" s="9">
        <f>('[3]NCP'!$H$17)</f>
        <v>152.125</v>
      </c>
      <c r="Q114" s="9">
        <f>('[3]NCP'!$H$19)</f>
        <v>59.2</v>
      </c>
      <c r="R114" s="9">
        <f t="shared" si="33"/>
        <v>20030.705</v>
      </c>
      <c r="S114" s="2"/>
      <c r="T114" s="9">
        <f t="shared" si="34"/>
        <v>676394.402</v>
      </c>
    </row>
    <row r="115" spans="1:20" ht="12.75">
      <c r="A115" s="9" t="s">
        <v>125</v>
      </c>
      <c r="C115" s="9">
        <f>('[3]NCP'!$I$9)</f>
        <v>488048</v>
      </c>
      <c r="D115" s="9">
        <f>('[3]NCP'!$I$20)</f>
        <v>8820</v>
      </c>
      <c r="E115" s="9">
        <f>('[3]NCP'!$I$10)</f>
        <v>79884</v>
      </c>
      <c r="F115" s="9">
        <f>('[3]NCP'!$I$21)</f>
        <v>7</v>
      </c>
      <c r="G115" s="9">
        <f>('[3]NCP'!$I$11)</f>
        <v>41541.255999999994</v>
      </c>
      <c r="H115" s="68">
        <f>('[3]NCP'!$I$12)</f>
        <v>5816.16</v>
      </c>
      <c r="I115" s="68">
        <f>('[3]NCP'!$I$13)</f>
        <v>7032.9</v>
      </c>
      <c r="J115" s="68">
        <f>('[3]NCP'!$I$14)</f>
        <v>7465.3</v>
      </c>
      <c r="K115" s="9">
        <f t="shared" si="32"/>
        <v>638614.6160000002</v>
      </c>
      <c r="L115" s="228">
        <f>('[3]NCP'!$I$22)</f>
        <v>8.04</v>
      </c>
      <c r="M115" s="9">
        <f>('[3]NCP'!$I$16)</f>
        <v>12318</v>
      </c>
      <c r="N115" s="9">
        <f>('[3]NCP'!$I$15)</f>
        <v>2684.1</v>
      </c>
      <c r="O115" s="9">
        <f>('[3]NCP'!$I$18)</f>
        <v>4096.525</v>
      </c>
      <c r="P115" s="9">
        <f>('[3]NCP'!$I$17)</f>
        <v>153.325</v>
      </c>
      <c r="Q115" s="9">
        <f>('[3]NCP'!$I$19)</f>
        <v>60.2</v>
      </c>
      <c r="R115" s="9">
        <f t="shared" si="33"/>
        <v>19320.190000000002</v>
      </c>
      <c r="S115" s="2"/>
      <c r="T115" s="9">
        <f t="shared" si="34"/>
        <v>657934.8060000001</v>
      </c>
    </row>
    <row r="116" spans="1:20" ht="12.75">
      <c r="A116" s="9" t="s">
        <v>126</v>
      </c>
      <c r="C116" s="9">
        <f>('[3]NCP'!$J$9)</f>
        <v>479405</v>
      </c>
      <c r="D116" s="9">
        <f>('[3]NCP'!$J$20)</f>
        <v>5544</v>
      </c>
      <c r="E116" s="9">
        <f>('[3]NCP'!$J$10)</f>
        <v>78440</v>
      </c>
      <c r="F116" s="9">
        <f>('[3]NCP'!$J$21)</f>
        <v>0</v>
      </c>
      <c r="G116" s="9">
        <f>('[3]NCP'!$J$11)</f>
        <v>41131.289000000004</v>
      </c>
      <c r="H116" s="68">
        <f>('[3]NCP'!$J$12)</f>
        <v>5960.16</v>
      </c>
      <c r="I116" s="68">
        <f>('[3]NCP'!$J$13)</f>
        <v>7240.32</v>
      </c>
      <c r="J116" s="68">
        <f>('[3]NCP'!$J$14)</f>
        <v>7703.06</v>
      </c>
      <c r="K116" s="9">
        <f t="shared" si="32"/>
        <v>625423.829</v>
      </c>
      <c r="L116" s="228">
        <f>('[3]NCP'!$J$22)</f>
        <v>0.96</v>
      </c>
      <c r="M116" s="9">
        <f>('[3]NCP'!$J$16)</f>
        <v>12501</v>
      </c>
      <c r="N116" s="9">
        <f>('[3]NCP'!$J$15)</f>
        <v>2717.58</v>
      </c>
      <c r="O116" s="9">
        <f>('[3]NCP'!$J$18)</f>
        <v>4088.3249999999994</v>
      </c>
      <c r="P116" s="9">
        <f>('[3]NCP'!$J$17)</f>
        <v>153.325</v>
      </c>
      <c r="Q116" s="9">
        <f>('[3]NCP'!$J$19)</f>
        <v>60.2</v>
      </c>
      <c r="R116" s="9">
        <f t="shared" si="33"/>
        <v>19521.39</v>
      </c>
      <c r="S116" s="2"/>
      <c r="T116" s="9">
        <f t="shared" si="34"/>
        <v>644945.219</v>
      </c>
    </row>
    <row r="117" spans="1:20" ht="12.75">
      <c r="A117" s="9" t="s">
        <v>127</v>
      </c>
      <c r="C117" s="9">
        <f>('[3]NCP'!$K$9)</f>
        <v>454013</v>
      </c>
      <c r="D117" s="9">
        <f>('[3]NCP'!$K$20)</f>
        <v>1463</v>
      </c>
      <c r="E117" s="9">
        <f>('[3]NCP'!$K$10)</f>
        <v>73516</v>
      </c>
      <c r="F117" s="9">
        <f>('[3]NCP'!$K$21)</f>
        <v>0</v>
      </c>
      <c r="G117" s="9">
        <f>('[3]NCP'!$K$11)</f>
        <v>40069.621</v>
      </c>
      <c r="H117" s="68">
        <f>('[3]NCP'!$K$12)</f>
        <v>6277.44</v>
      </c>
      <c r="I117" s="68">
        <f>('[3]NCP'!$K$13)</f>
        <v>7836.4</v>
      </c>
      <c r="J117" s="68">
        <f>('[3]NCP'!$K$14)</f>
        <v>7718.44</v>
      </c>
      <c r="K117" s="9">
        <f t="shared" si="32"/>
        <v>590893.901</v>
      </c>
      <c r="L117" s="228">
        <f>('[3]NCP'!$K$22)</f>
        <v>4.68</v>
      </c>
      <c r="M117" s="9">
        <f>('[3]NCP'!$K$16)</f>
        <v>12002</v>
      </c>
      <c r="N117" s="9">
        <f>('[3]NCP'!$K$15)</f>
        <v>1879.38</v>
      </c>
      <c r="O117" s="9">
        <f>('[3]NCP'!$K$18)</f>
        <v>4105.075000000001</v>
      </c>
      <c r="P117" s="9">
        <f>('[3]NCP'!$K$17)</f>
        <v>153.325</v>
      </c>
      <c r="Q117" s="9">
        <f>('[3]NCP'!$K$19)</f>
        <v>61.35</v>
      </c>
      <c r="R117" s="9">
        <f t="shared" si="33"/>
        <v>18205.81</v>
      </c>
      <c r="S117" s="2"/>
      <c r="T117" s="9">
        <f t="shared" si="34"/>
        <v>609099.711</v>
      </c>
    </row>
    <row r="118" spans="1:20" ht="12.75">
      <c r="A118" s="9" t="s">
        <v>128</v>
      </c>
      <c r="C118" s="9">
        <f>('[3]NCP'!$L$9)</f>
        <v>445596</v>
      </c>
      <c r="D118" s="9">
        <f>('[3]NCP'!$L$20)</f>
        <v>721</v>
      </c>
      <c r="E118" s="9">
        <f>('[3]NCP'!$L$10)</f>
        <v>75442</v>
      </c>
      <c r="F118" s="9">
        <f>('[3]NCP'!$L$21)</f>
        <v>0</v>
      </c>
      <c r="G118" s="9">
        <f>('[3]NCP'!$L$11)</f>
        <v>42434.73</v>
      </c>
      <c r="H118" s="68">
        <f>('[3]NCP'!$L$12)</f>
        <v>6260.64</v>
      </c>
      <c r="I118" s="68">
        <f>('[3]NCP'!$L$13)</f>
        <v>8354.88</v>
      </c>
      <c r="J118" s="68">
        <f>('[3]NCP'!$L$14)</f>
        <v>7724.12</v>
      </c>
      <c r="K118" s="9">
        <f t="shared" si="32"/>
        <v>586533.37</v>
      </c>
      <c r="L118" s="228">
        <f>('[3]NCP'!$L$22)</f>
        <v>0.36</v>
      </c>
      <c r="M118" s="9">
        <f>('[3]NCP'!$L$16)</f>
        <v>12464</v>
      </c>
      <c r="N118" s="9">
        <f>('[3]NCP'!$L$15)</f>
        <v>2000.06</v>
      </c>
      <c r="O118" s="9">
        <f>('[3]NCP'!$L$18)</f>
        <v>4126.65</v>
      </c>
      <c r="P118" s="9">
        <f>('[3]NCP'!$L$17)</f>
        <v>153.325</v>
      </c>
      <c r="Q118" s="9">
        <f>('[3]NCP'!$L$19)</f>
        <v>61.35</v>
      </c>
      <c r="R118" s="9">
        <f t="shared" si="33"/>
        <v>18805.745</v>
      </c>
      <c r="S118" s="2"/>
      <c r="T118" s="9">
        <f t="shared" si="34"/>
        <v>605339.115</v>
      </c>
    </row>
    <row r="119" spans="1:20" ht="12.75">
      <c r="A119" s="9" t="s">
        <v>129</v>
      </c>
      <c r="C119" s="16">
        <f>('[3]NCP'!$M$9)</f>
        <v>424060</v>
      </c>
      <c r="D119" s="16">
        <f>('[3]NCP'!$M$20)</f>
        <v>714</v>
      </c>
      <c r="E119" s="16">
        <f>('[3]NCP'!$M$10)</f>
        <v>69518</v>
      </c>
      <c r="F119" s="16">
        <f>('[3]NCP'!$M$21)</f>
        <v>0</v>
      </c>
      <c r="G119" s="16">
        <f>('[3]NCP'!$M$11)</f>
        <v>42520.257</v>
      </c>
      <c r="H119" s="178">
        <f>('[3]NCP'!$M$12)</f>
        <v>6419.48</v>
      </c>
      <c r="I119" s="178">
        <f>('[3]NCP'!$M$13)</f>
        <v>8341.92</v>
      </c>
      <c r="J119" s="178">
        <f>('[3]NCP'!$M$14)</f>
        <v>7773</v>
      </c>
      <c r="K119" s="16">
        <f t="shared" si="32"/>
        <v>559346.657</v>
      </c>
      <c r="L119" s="229">
        <f>('[3]NCP'!$M$22)</f>
        <v>4.2</v>
      </c>
      <c r="M119" s="16">
        <f>('[3]NCP'!$M$16)</f>
        <v>13167</v>
      </c>
      <c r="N119" s="16">
        <f>('[3]NCP'!$M$15)</f>
        <v>2408.18</v>
      </c>
      <c r="O119" s="16">
        <f>('[3]NCP'!$M$18)</f>
        <v>4137.3</v>
      </c>
      <c r="P119" s="16">
        <f>('[3]NCP'!$M$17)</f>
        <v>153.325</v>
      </c>
      <c r="Q119" s="16">
        <f>('[3]NCP'!$M$19)</f>
        <v>61.35</v>
      </c>
      <c r="R119" s="16">
        <f t="shared" si="33"/>
        <v>19931.355</v>
      </c>
      <c r="S119" s="4"/>
      <c r="T119" s="16">
        <f t="shared" si="34"/>
        <v>579278.012</v>
      </c>
    </row>
    <row r="120" spans="12:19" ht="12.75">
      <c r="L120" s="2"/>
      <c r="M120" s="2"/>
      <c r="N120" s="2"/>
      <c r="O120" s="2"/>
      <c r="P120" s="2"/>
      <c r="Q120" s="2"/>
      <c r="R120" s="2"/>
      <c r="S120" s="2"/>
    </row>
    <row r="121" spans="1:20" ht="13.5" thickBot="1">
      <c r="A121" s="9" t="s">
        <v>114</v>
      </c>
      <c r="C121" s="30">
        <f>SUM(C108:C119)</f>
        <v>5685699</v>
      </c>
      <c r="D121" s="30">
        <f aca="true" t="shared" si="35" ref="D121:T121">SUM(D108:D119)</f>
        <v>76062</v>
      </c>
      <c r="E121" s="30">
        <f t="shared" si="35"/>
        <v>858217</v>
      </c>
      <c r="F121" s="30">
        <f t="shared" si="35"/>
        <v>77</v>
      </c>
      <c r="G121" s="30">
        <f t="shared" si="35"/>
        <v>488356.20699999994</v>
      </c>
      <c r="H121" s="30">
        <f t="shared" si="35"/>
        <v>70143.44</v>
      </c>
      <c r="I121" s="30">
        <f>SUM(I108:I119)</f>
        <v>87497.1</v>
      </c>
      <c r="J121" s="30">
        <f t="shared" si="35"/>
        <v>95097.6</v>
      </c>
      <c r="K121" s="30">
        <f t="shared" si="35"/>
        <v>7361149.346999999</v>
      </c>
      <c r="L121" s="30">
        <f t="shared" si="35"/>
        <v>2395.08</v>
      </c>
      <c r="M121" s="30">
        <f t="shared" si="35"/>
        <v>147417</v>
      </c>
      <c r="N121" s="30">
        <f t="shared" si="35"/>
        <v>30686.42</v>
      </c>
      <c r="O121" s="30">
        <f t="shared" si="35"/>
        <v>48837.1</v>
      </c>
      <c r="P121" s="30">
        <f>SUM(P108:P119)</f>
        <v>1828.8750000000002</v>
      </c>
      <c r="Q121" s="30">
        <f t="shared" si="35"/>
        <v>712.35</v>
      </c>
      <c r="R121" s="30">
        <f t="shared" si="35"/>
        <v>231876.82499999998</v>
      </c>
      <c r="S121" s="143" t="s">
        <v>24</v>
      </c>
      <c r="T121" s="30">
        <f t="shared" si="35"/>
        <v>7593026.172000001</v>
      </c>
    </row>
    <row r="122" spans="12:19" ht="13.5" thickTop="1">
      <c r="L122" s="2"/>
      <c r="M122" s="2"/>
      <c r="N122" s="2"/>
      <c r="O122" s="2"/>
      <c r="P122" s="2"/>
      <c r="Q122" s="2"/>
      <c r="R122" s="2"/>
      <c r="S122" s="2"/>
    </row>
    <row r="123" spans="1:20" s="13" customFormat="1" ht="12.75">
      <c r="A123" s="13" t="s">
        <v>130</v>
      </c>
      <c r="C123" s="13">
        <f>(C121/$T$121)</f>
        <v>0.7488054000085698</v>
      </c>
      <c r="D123" s="13">
        <f aca="true" t="shared" si="36" ref="D123:T123">(D121/$T$121)</f>
        <v>0.010017349904638257</v>
      </c>
      <c r="E123" s="13">
        <f t="shared" si="36"/>
        <v>0.11302700406390748</v>
      </c>
      <c r="F123" s="13">
        <f t="shared" si="36"/>
        <v>1.014088431354876E-05</v>
      </c>
      <c r="G123" s="13">
        <f t="shared" si="36"/>
        <v>0.06431641297390221</v>
      </c>
      <c r="H123" s="13">
        <f t="shared" si="36"/>
        <v>0.009237876758368164</v>
      </c>
      <c r="I123" s="13">
        <f t="shared" si="36"/>
        <v>0.011523350245078017</v>
      </c>
      <c r="J123" s="13">
        <f t="shared" si="36"/>
        <v>0.012524334546703047</v>
      </c>
      <c r="K123" s="13">
        <f t="shared" si="36"/>
        <v>0.9694618693854804</v>
      </c>
      <c r="L123" s="13">
        <f t="shared" si="36"/>
        <v>0.0003154315480739528</v>
      </c>
      <c r="M123" s="13">
        <f t="shared" si="36"/>
        <v>0.01941478886818724</v>
      </c>
      <c r="N123" s="13">
        <f t="shared" si="36"/>
        <v>0.0040413952625580375</v>
      </c>
      <c r="O123" s="13">
        <f t="shared" si="36"/>
        <v>0.0064318361208988584</v>
      </c>
      <c r="P123" s="13">
        <f t="shared" si="36"/>
        <v>0.00024086246492131805</v>
      </c>
      <c r="Q123" s="13">
        <f t="shared" si="36"/>
        <v>9.381634987995401E-05</v>
      </c>
      <c r="R123" s="13">
        <f t="shared" si="36"/>
        <v>0.03053813061451936</v>
      </c>
      <c r="S123" s="14" t="s">
        <v>24</v>
      </c>
      <c r="T123" s="13">
        <f t="shared" si="36"/>
        <v>1</v>
      </c>
    </row>
    <row r="124" spans="8:19" s="13" customFormat="1" ht="12.75">
      <c r="H124" s="9"/>
      <c r="I124" s="9"/>
      <c r="J124" s="9"/>
      <c r="L124" s="2"/>
      <c r="M124" s="2"/>
      <c r="N124" s="2"/>
      <c r="O124" s="2"/>
      <c r="P124" s="2"/>
      <c r="Q124" s="2"/>
      <c r="R124" s="2"/>
      <c r="S124" s="2"/>
    </row>
    <row r="125" spans="8:10" s="13" customFormat="1" ht="12.75">
      <c r="H125" s="9"/>
      <c r="I125" s="9"/>
      <c r="J125" s="9"/>
    </row>
    <row r="126" spans="8:10" s="13" customFormat="1" ht="12.75">
      <c r="H126" s="9"/>
      <c r="I126" s="9"/>
      <c r="J126" s="9"/>
    </row>
    <row r="127" ht="12.75">
      <c r="K127" s="9">
        <v>28</v>
      </c>
    </row>
  </sheetData>
  <printOptions horizontalCentered="1" verticalCentered="1"/>
  <pageMargins left="0.75" right="0.75" top="1" bottom="1" header="0.5" footer="0.5"/>
  <pageSetup horizontalDpi="300" verticalDpi="300" orientation="landscape" pageOrder="overThenDown" scale="80" r:id="rId1"/>
  <headerFooter alignWithMargins="0">
    <oddHeader xml:space="preserve">&amp;C&amp;"Arial,Bold"&amp;14 SOUTH KENTUCKY RECC
Case No. 2005-00450
Demand Related Costs and Energy Related Costs Allocators&amp;R
Exhibit R
Schedule 6
Page &amp;P of &amp;N
&amp;"Arial,Bold"&amp;11 </oddHeader>
  </headerFooter>
  <rowBreaks count="3" manualBreakCount="3">
    <brk id="33" max="255" man="1"/>
    <brk id="64" max="255" man="1"/>
    <brk id="95" max="255" man="1"/>
  </rowBreaks>
  <colBreaks count="1" manualBreakCount="1">
    <brk id="11" max="9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6:P185"/>
  <sheetViews>
    <sheetView tabSelected="1" view="pageBreakPreview" zoomScale="60" workbookViewId="0" topLeftCell="A137">
      <pane xSplit="2" topLeftCell="C1" activePane="topRight" state="frozen"/>
      <selection pane="topLeft" activeCell="A80" sqref="A80"/>
      <selection pane="topRight" activeCell="Q129" sqref="Q129"/>
    </sheetView>
  </sheetViews>
  <sheetFormatPr defaultColWidth="9.140625" defaultRowHeight="12.75"/>
  <cols>
    <col min="1" max="1" width="20.8515625" style="83" customWidth="1"/>
    <col min="2" max="2" width="25.57421875" style="83" customWidth="1"/>
    <col min="3" max="3" width="13.00390625" style="83" customWidth="1"/>
    <col min="4" max="4" width="12.57421875" style="83" customWidth="1"/>
    <col min="5" max="5" width="10.00390625" style="83" customWidth="1"/>
    <col min="6" max="6" width="12.8515625" style="83" bestFit="1" customWidth="1"/>
    <col min="7" max="7" width="10.8515625" style="92" customWidth="1"/>
    <col min="8" max="8" width="13.57421875" style="83" customWidth="1"/>
    <col min="9" max="9" width="12.8515625" style="83" bestFit="1" customWidth="1"/>
    <col min="10" max="10" width="12.00390625" style="83" customWidth="1"/>
    <col min="11" max="11" width="11.421875" style="83" bestFit="1" customWidth="1"/>
    <col min="12" max="12" width="13.00390625" style="83" customWidth="1"/>
    <col min="13" max="14" width="12.8515625" style="83" bestFit="1" customWidth="1"/>
    <col min="15" max="15" width="9.28125" style="83" bestFit="1" customWidth="1"/>
    <col min="16" max="16" width="9.421875" style="83" customWidth="1"/>
    <col min="17" max="17" width="11.28125" style="83" bestFit="1" customWidth="1"/>
    <col min="18" max="16384" width="9.140625" style="83" customWidth="1"/>
  </cols>
  <sheetData>
    <row r="6" spans="1:14" ht="1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</row>
    <row r="7" spans="1:14" ht="1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</row>
    <row r="8" spans="1:14" ht="15">
      <c r="A8" s="81"/>
      <c r="B8" s="81"/>
      <c r="C8" s="81"/>
      <c r="D8" s="81"/>
      <c r="E8" s="81"/>
      <c r="F8" s="81"/>
      <c r="G8" s="82"/>
      <c r="H8" s="81"/>
      <c r="I8" s="81"/>
      <c r="J8" s="81"/>
      <c r="K8" s="81"/>
      <c r="L8" s="81"/>
      <c r="M8" s="81"/>
      <c r="N8" s="81"/>
    </row>
    <row r="9" spans="1:14" ht="15">
      <c r="A9" s="81"/>
      <c r="B9" s="81"/>
      <c r="C9" s="81"/>
      <c r="D9" s="81"/>
      <c r="E9" s="81"/>
      <c r="F9" s="81"/>
      <c r="G9" s="82"/>
      <c r="H9" s="81"/>
      <c r="I9" s="81"/>
      <c r="J9" s="81"/>
      <c r="K9" s="81"/>
      <c r="L9" s="81"/>
      <c r="M9" s="81"/>
      <c r="N9" s="81"/>
    </row>
    <row r="10" spans="1:14" ht="15.75">
      <c r="A10" s="84" t="s">
        <v>170</v>
      </c>
      <c r="B10" s="81"/>
      <c r="C10" s="81"/>
      <c r="D10" s="81"/>
      <c r="E10" s="81"/>
      <c r="F10" s="81"/>
      <c r="G10" s="82"/>
      <c r="H10" s="81"/>
      <c r="I10" s="81"/>
      <c r="J10" s="81"/>
      <c r="K10" s="81"/>
      <c r="L10" s="81"/>
      <c r="M10" s="81"/>
      <c r="N10" s="81"/>
    </row>
    <row r="11" spans="1:14" ht="15">
      <c r="A11" s="81"/>
      <c r="B11" s="81"/>
      <c r="C11" s="85" t="s">
        <v>167</v>
      </c>
      <c r="D11" s="85"/>
      <c r="E11" s="85"/>
      <c r="F11" s="85"/>
      <c r="G11" s="86" t="s">
        <v>7</v>
      </c>
      <c r="H11" s="81"/>
      <c r="I11" s="81"/>
      <c r="J11" s="81"/>
      <c r="K11" s="81"/>
      <c r="L11" s="81"/>
      <c r="M11" s="81"/>
      <c r="N11" s="81"/>
    </row>
    <row r="12" spans="1:14" ht="17.25">
      <c r="A12" s="81"/>
      <c r="B12" s="94"/>
      <c r="C12" s="119" t="s">
        <v>168</v>
      </c>
      <c r="D12" s="87"/>
      <c r="E12" s="87"/>
      <c r="F12" s="87"/>
      <c r="G12" s="120" t="s">
        <v>130</v>
      </c>
      <c r="H12" s="81"/>
      <c r="I12" s="81"/>
      <c r="J12" s="81"/>
      <c r="K12" s="81"/>
      <c r="L12" s="81"/>
      <c r="M12" s="81"/>
      <c r="N12" s="81"/>
    </row>
    <row r="13" spans="1:14" ht="15">
      <c r="A13" s="81"/>
      <c r="B13" s="81"/>
      <c r="C13" s="81"/>
      <c r="D13" s="81"/>
      <c r="E13" s="81"/>
      <c r="F13" s="81"/>
      <c r="G13" s="82"/>
      <c r="H13" s="81"/>
      <c r="I13" s="81"/>
      <c r="J13" s="81"/>
      <c r="K13" s="81"/>
      <c r="L13" s="81"/>
      <c r="M13" s="81"/>
      <c r="N13" s="81"/>
    </row>
    <row r="14" spans="1:14" ht="15">
      <c r="A14" s="75" t="s">
        <v>440</v>
      </c>
      <c r="B14" s="81"/>
      <c r="C14" s="52">
        <f>('[2]Sheet1'!$C$18)</f>
        <v>55298</v>
      </c>
      <c r="D14" s="81"/>
      <c r="E14" s="81"/>
      <c r="F14" s="81"/>
      <c r="G14" s="76">
        <f>(C14/$C$29)</f>
        <v>0.9322139617997606</v>
      </c>
      <c r="H14" s="81"/>
      <c r="I14" s="81"/>
      <c r="J14" s="81"/>
      <c r="K14" s="81"/>
      <c r="L14" s="81"/>
      <c r="M14" s="81"/>
      <c r="N14" s="81"/>
    </row>
    <row r="15" spans="1:14" ht="15">
      <c r="A15" s="75" t="s">
        <v>441</v>
      </c>
      <c r="B15" s="81"/>
      <c r="C15" s="52"/>
      <c r="D15" s="81"/>
      <c r="E15" s="81"/>
      <c r="F15" s="81"/>
      <c r="G15" s="76">
        <f aca="true" t="shared" si="0" ref="G15:G27">(C15/$C$29)</f>
        <v>0</v>
      </c>
      <c r="H15" s="81"/>
      <c r="I15" s="81"/>
      <c r="J15" s="81"/>
      <c r="K15" s="81"/>
      <c r="L15" s="81"/>
      <c r="M15" s="81"/>
      <c r="N15" s="81"/>
    </row>
    <row r="16" spans="1:14" ht="15">
      <c r="A16" s="75" t="s">
        <v>442</v>
      </c>
      <c r="B16" s="81"/>
      <c r="C16" s="52">
        <f>('[2]Sheet1'!$H$18)</f>
        <v>3581</v>
      </c>
      <c r="D16" s="81"/>
      <c r="E16" s="81"/>
      <c r="F16" s="81"/>
      <c r="G16" s="76">
        <f t="shared" si="0"/>
        <v>0.06036851598981777</v>
      </c>
      <c r="H16" s="81"/>
      <c r="I16" s="81"/>
      <c r="J16" s="81"/>
      <c r="K16" s="81"/>
      <c r="L16" s="81"/>
      <c r="M16" s="81"/>
      <c r="N16" s="81"/>
    </row>
    <row r="17" spans="1:14" ht="15">
      <c r="A17" s="75" t="s">
        <v>443</v>
      </c>
      <c r="B17" s="81"/>
      <c r="C17" s="52">
        <v>0</v>
      </c>
      <c r="D17" s="81"/>
      <c r="E17" s="81"/>
      <c r="F17" s="81"/>
      <c r="G17" s="76">
        <f t="shared" si="0"/>
        <v>0</v>
      </c>
      <c r="H17" s="81"/>
      <c r="I17" s="81"/>
      <c r="J17" s="81"/>
      <c r="K17" s="81"/>
      <c r="L17" s="81"/>
      <c r="M17" s="81"/>
      <c r="N17" s="81"/>
    </row>
    <row r="18" spans="1:14" ht="15">
      <c r="A18" s="75" t="s">
        <v>444</v>
      </c>
      <c r="B18" s="81"/>
      <c r="C18" s="121">
        <f>('[2]Sheet1'!$C$44)</f>
        <v>246</v>
      </c>
      <c r="D18" s="81"/>
      <c r="E18" s="81"/>
      <c r="F18" s="81"/>
      <c r="G18" s="76">
        <f t="shared" si="0"/>
        <v>0.004147069235826632</v>
      </c>
      <c r="H18" s="81"/>
      <c r="I18" s="81"/>
      <c r="J18" s="81"/>
      <c r="K18" s="81"/>
      <c r="L18" s="81"/>
      <c r="M18" s="81"/>
      <c r="N18" s="81"/>
    </row>
    <row r="19" spans="1:14" ht="15">
      <c r="A19" s="78" t="s">
        <v>445</v>
      </c>
      <c r="B19" s="77"/>
      <c r="C19" s="79">
        <f>('[2]Sheet1'!$C$69)</f>
        <v>2</v>
      </c>
      <c r="D19" s="77"/>
      <c r="E19" s="77"/>
      <c r="F19" s="77"/>
      <c r="G19" s="76">
        <f t="shared" si="0"/>
        <v>3.3716010047370996E-05</v>
      </c>
      <c r="H19" s="81"/>
      <c r="I19" s="81"/>
      <c r="J19" s="81"/>
      <c r="K19" s="81"/>
      <c r="L19" s="81"/>
      <c r="M19" s="81"/>
      <c r="N19" s="81"/>
    </row>
    <row r="20" spans="1:14" ht="15">
      <c r="A20" s="81" t="s">
        <v>446</v>
      </c>
      <c r="B20" s="81"/>
      <c r="C20" s="52">
        <f>('[2]Sheet1'!$C$96)</f>
        <v>1</v>
      </c>
      <c r="D20" s="81"/>
      <c r="E20" s="81"/>
      <c r="F20" s="81"/>
      <c r="G20" s="76">
        <f t="shared" si="0"/>
        <v>1.6858005023685498E-05</v>
      </c>
      <c r="H20" s="81"/>
      <c r="I20" s="81"/>
      <c r="J20" s="81"/>
      <c r="K20" s="81"/>
      <c r="L20" s="81"/>
      <c r="M20" s="81"/>
      <c r="N20" s="81"/>
    </row>
    <row r="21" spans="1:14" ht="15">
      <c r="A21" s="81" t="s">
        <v>447</v>
      </c>
      <c r="B21" s="81"/>
      <c r="C21" s="52">
        <f>('[2]Sheet1'!$C$143)</f>
        <v>5</v>
      </c>
      <c r="D21" s="81"/>
      <c r="E21" s="81"/>
      <c r="F21" s="81"/>
      <c r="G21" s="76">
        <f t="shared" si="0"/>
        <v>8.429002511842749E-05</v>
      </c>
      <c r="H21" s="81"/>
      <c r="I21" s="81"/>
      <c r="J21" s="81"/>
      <c r="K21" s="81"/>
      <c r="L21" s="81"/>
      <c r="M21" s="81"/>
      <c r="N21" s="81"/>
    </row>
    <row r="22" spans="1:14" ht="15">
      <c r="A22" s="81" t="s">
        <v>448</v>
      </c>
      <c r="B22" s="81"/>
      <c r="C22" s="52">
        <f>('[2]Sheet1'!$D$190)</f>
        <v>1</v>
      </c>
      <c r="D22" s="81"/>
      <c r="E22" s="81"/>
      <c r="F22" s="81"/>
      <c r="G22" s="76">
        <f t="shared" si="0"/>
        <v>1.6858005023685498E-05</v>
      </c>
      <c r="H22" s="81"/>
      <c r="I22" s="81"/>
      <c r="J22" s="81"/>
      <c r="K22" s="81"/>
      <c r="L22" s="81"/>
      <c r="M22" s="81"/>
      <c r="N22" s="81"/>
    </row>
    <row r="23" spans="1:14" ht="15">
      <c r="A23" s="81" t="s">
        <v>449</v>
      </c>
      <c r="B23" s="81"/>
      <c r="C23" s="52">
        <f>('[2]Sheet1'!$C$213)</f>
        <v>150</v>
      </c>
      <c r="D23" s="81"/>
      <c r="E23" s="81"/>
      <c r="F23" s="81"/>
      <c r="G23" s="76">
        <f t="shared" si="0"/>
        <v>0.0025287007535528244</v>
      </c>
      <c r="H23" s="81"/>
      <c r="I23" s="81"/>
      <c r="J23" s="81"/>
      <c r="K23" s="81"/>
      <c r="L23" s="81"/>
      <c r="M23" s="81"/>
      <c r="N23" s="81"/>
    </row>
    <row r="24" spans="1:14" ht="15">
      <c r="A24" s="81" t="s">
        <v>450</v>
      </c>
      <c r="B24" s="81"/>
      <c r="C24" s="52">
        <f>('[2]Sheet1'!$C$237)</f>
        <v>10</v>
      </c>
      <c r="D24" s="81"/>
      <c r="E24" s="81"/>
      <c r="F24" s="81"/>
      <c r="G24" s="76">
        <f t="shared" si="0"/>
        <v>0.00016858005023685497</v>
      </c>
      <c r="H24" s="81"/>
      <c r="I24" s="81"/>
      <c r="J24" s="81"/>
      <c r="K24" s="81"/>
      <c r="L24" s="81"/>
      <c r="M24" s="81"/>
      <c r="N24" s="81"/>
    </row>
    <row r="25" spans="1:14" ht="15">
      <c r="A25" s="81" t="s">
        <v>451</v>
      </c>
      <c r="B25" s="81"/>
      <c r="C25" s="81">
        <v>0</v>
      </c>
      <c r="D25" s="81"/>
      <c r="E25" s="81"/>
      <c r="F25" s="81"/>
      <c r="G25" s="76">
        <f t="shared" si="0"/>
        <v>0</v>
      </c>
      <c r="H25" s="81"/>
      <c r="I25" s="81"/>
      <c r="J25" s="81"/>
      <c r="K25" s="81"/>
      <c r="L25" s="81"/>
      <c r="M25" s="81"/>
      <c r="N25" s="81"/>
    </row>
    <row r="26" spans="1:14" ht="15">
      <c r="A26" s="81" t="s">
        <v>452</v>
      </c>
      <c r="B26" s="81"/>
      <c r="C26" s="52">
        <v>20</v>
      </c>
      <c r="D26" s="81"/>
      <c r="E26" s="81"/>
      <c r="F26" s="81"/>
      <c r="G26" s="76">
        <f t="shared" si="0"/>
        <v>0.00033716010047370995</v>
      </c>
      <c r="H26" s="81"/>
      <c r="I26" s="81"/>
      <c r="J26" s="81"/>
      <c r="K26" s="81"/>
      <c r="L26" s="81"/>
      <c r="M26" s="81"/>
      <c r="N26" s="81"/>
    </row>
    <row r="27" spans="1:14" ht="15">
      <c r="A27" s="81" t="s">
        <v>453</v>
      </c>
      <c r="B27" s="81"/>
      <c r="C27" s="52">
        <v>5</v>
      </c>
      <c r="D27" s="81"/>
      <c r="E27" s="81"/>
      <c r="F27" s="81"/>
      <c r="G27" s="76">
        <f t="shared" si="0"/>
        <v>8.429002511842749E-05</v>
      </c>
      <c r="H27" s="81"/>
      <c r="I27" s="81"/>
      <c r="J27" s="81"/>
      <c r="K27" s="81"/>
      <c r="L27" s="81"/>
      <c r="M27" s="81"/>
      <c r="N27" s="81"/>
    </row>
    <row r="28" spans="1:14" ht="15">
      <c r="A28" s="81"/>
      <c r="B28" s="81"/>
      <c r="C28" s="81"/>
      <c r="D28" s="81"/>
      <c r="E28" s="81"/>
      <c r="F28" s="81"/>
      <c r="G28" s="98"/>
      <c r="H28" s="81"/>
      <c r="I28" s="81"/>
      <c r="J28" s="81"/>
      <c r="K28" s="81"/>
      <c r="L28" s="81"/>
      <c r="M28" s="81"/>
      <c r="N28" s="81"/>
    </row>
    <row r="29" spans="1:14" ht="15">
      <c r="A29" s="81"/>
      <c r="B29" s="81"/>
      <c r="C29" s="81">
        <f>SUM(C14:C27)</f>
        <v>59319</v>
      </c>
      <c r="D29" s="81"/>
      <c r="E29" s="81"/>
      <c r="F29" s="81"/>
      <c r="G29" s="132">
        <f>SUM(G14:G27)</f>
        <v>1</v>
      </c>
      <c r="H29" s="81"/>
      <c r="I29" s="81"/>
      <c r="J29" s="81"/>
      <c r="K29" s="81"/>
      <c r="L29" s="81"/>
      <c r="M29" s="81"/>
      <c r="N29" s="81"/>
    </row>
    <row r="30" spans="1:14" ht="15">
      <c r="A30" s="81"/>
      <c r="B30" s="81"/>
      <c r="C30" s="81"/>
      <c r="D30" s="81"/>
      <c r="E30" s="81"/>
      <c r="F30" s="81"/>
      <c r="G30" s="132"/>
      <c r="H30" s="81"/>
      <c r="I30" s="81"/>
      <c r="J30" s="81"/>
      <c r="K30" s="81"/>
      <c r="L30" s="81"/>
      <c r="M30" s="81"/>
      <c r="N30" s="81"/>
    </row>
    <row r="31" spans="1:14" ht="15">
      <c r="A31" s="81"/>
      <c r="B31" s="81"/>
      <c r="C31" s="81"/>
      <c r="D31" s="81"/>
      <c r="E31" s="81"/>
      <c r="F31" s="81"/>
      <c r="G31" s="132"/>
      <c r="H31" s="81"/>
      <c r="I31" s="81"/>
      <c r="J31" s="81"/>
      <c r="K31" s="81"/>
      <c r="L31" s="81"/>
      <c r="M31" s="81"/>
      <c r="N31" s="81"/>
    </row>
    <row r="32" spans="1:14" ht="15">
      <c r="A32" s="81"/>
      <c r="B32" s="81"/>
      <c r="C32" s="81"/>
      <c r="D32" s="81"/>
      <c r="E32" s="81"/>
      <c r="F32" s="81"/>
      <c r="G32" s="132"/>
      <c r="H32" s="81"/>
      <c r="I32" s="81"/>
      <c r="J32" s="81"/>
      <c r="K32" s="81"/>
      <c r="L32" s="81"/>
      <c r="M32" s="81"/>
      <c r="N32" s="81"/>
    </row>
    <row r="33" spans="1:14" ht="15">
      <c r="A33" s="81"/>
      <c r="B33" s="81"/>
      <c r="C33" s="81"/>
      <c r="D33" s="81"/>
      <c r="E33" s="81"/>
      <c r="F33" s="81"/>
      <c r="G33" s="132"/>
      <c r="H33" s="81"/>
      <c r="I33" s="81"/>
      <c r="J33" s="81"/>
      <c r="K33" s="81"/>
      <c r="L33" s="81"/>
      <c r="M33" s="81"/>
      <c r="N33" s="81"/>
    </row>
    <row r="34" spans="1:14" ht="15">
      <c r="A34" s="81"/>
      <c r="B34" s="81"/>
      <c r="C34" s="81"/>
      <c r="D34" s="81"/>
      <c r="E34" s="81"/>
      <c r="F34" s="81"/>
      <c r="G34" s="132"/>
      <c r="H34" s="81"/>
      <c r="I34" s="81"/>
      <c r="J34" s="81"/>
      <c r="K34" s="81"/>
      <c r="L34" s="81"/>
      <c r="M34" s="81"/>
      <c r="N34" s="81"/>
    </row>
    <row r="35" spans="1:14" ht="15">
      <c r="A35" s="81"/>
      <c r="B35" s="81"/>
      <c r="C35" s="81"/>
      <c r="D35" s="81"/>
      <c r="E35" s="81"/>
      <c r="F35" s="81"/>
      <c r="G35" s="82"/>
      <c r="H35" s="81"/>
      <c r="I35" s="81"/>
      <c r="J35" s="81"/>
      <c r="K35" s="81"/>
      <c r="L35" s="81"/>
      <c r="M35" s="81"/>
      <c r="N35" s="81"/>
    </row>
    <row r="36" spans="1:14" ht="15.75">
      <c r="A36" s="84" t="s">
        <v>134</v>
      </c>
      <c r="B36" s="81"/>
      <c r="C36" s="85"/>
      <c r="D36" s="85" t="s">
        <v>331</v>
      </c>
      <c r="E36" s="85"/>
      <c r="F36" s="85"/>
      <c r="G36" s="86"/>
      <c r="H36" s="81"/>
      <c r="I36" s="81"/>
      <c r="J36" s="81"/>
      <c r="K36" s="81"/>
      <c r="L36" s="81"/>
      <c r="M36" s="81"/>
      <c r="N36" s="81"/>
    </row>
    <row r="37" spans="1:14" ht="15">
      <c r="A37" s="81"/>
      <c r="B37" s="81"/>
      <c r="C37" s="85" t="s">
        <v>167</v>
      </c>
      <c r="D37" s="85" t="s">
        <v>156</v>
      </c>
      <c r="E37" s="85" t="s">
        <v>136</v>
      </c>
      <c r="F37" s="85"/>
      <c r="G37" s="83"/>
      <c r="H37" s="86" t="s">
        <v>7</v>
      </c>
      <c r="I37" s="81"/>
      <c r="J37" s="81"/>
      <c r="K37" s="85"/>
      <c r="L37" s="85"/>
      <c r="M37" s="85"/>
      <c r="N37" s="85" t="s">
        <v>114</v>
      </c>
    </row>
    <row r="38" spans="1:14" ht="17.25">
      <c r="A38" s="81" t="s">
        <v>132</v>
      </c>
      <c r="B38" s="81"/>
      <c r="C38" s="87" t="s">
        <v>169</v>
      </c>
      <c r="D38" s="87" t="s">
        <v>135</v>
      </c>
      <c r="E38" s="87" t="s">
        <v>135</v>
      </c>
      <c r="F38" s="87" t="s">
        <v>137</v>
      </c>
      <c r="G38" s="83"/>
      <c r="H38" s="88" t="s">
        <v>130</v>
      </c>
      <c r="I38" s="81"/>
      <c r="J38" s="81"/>
      <c r="K38" s="85" t="s">
        <v>92</v>
      </c>
      <c r="L38" s="85" t="s">
        <v>89</v>
      </c>
      <c r="M38" s="85" t="s">
        <v>139</v>
      </c>
      <c r="N38" s="85" t="s">
        <v>135</v>
      </c>
    </row>
    <row r="39" spans="1:14" ht="15">
      <c r="A39" s="81"/>
      <c r="B39" s="81"/>
      <c r="C39" s="81"/>
      <c r="D39" s="81"/>
      <c r="E39" s="81"/>
      <c r="F39" s="81"/>
      <c r="G39" s="83"/>
      <c r="H39" s="82"/>
      <c r="I39" s="81"/>
      <c r="J39" s="81"/>
      <c r="K39" s="81" t="s">
        <v>24</v>
      </c>
      <c r="L39" s="81" t="s">
        <v>24</v>
      </c>
      <c r="M39" s="81" t="s">
        <v>24</v>
      </c>
      <c r="N39" s="81" t="s">
        <v>24</v>
      </c>
    </row>
    <row r="40" spans="1:14" ht="15">
      <c r="A40" s="75" t="str">
        <f aca="true" t="shared" si="1" ref="A40:A53">(A14)</f>
        <v>Schedule A - Residential</v>
      </c>
      <c r="B40" s="81"/>
      <c r="C40" s="52">
        <f>(C14)</f>
        <v>55298</v>
      </c>
      <c r="D40" s="81">
        <f aca="true" t="shared" si="2" ref="D40:D52">(N40)</f>
        <v>250.4541279990257</v>
      </c>
      <c r="E40" s="81">
        <f aca="true" t="shared" si="3" ref="E40:E53">(D40/$D$44)</f>
        <v>0.1760628875720734</v>
      </c>
      <c r="F40" s="81">
        <f aca="true" t="shared" si="4" ref="F40:F53">(C40*E40)</f>
        <v>9735.925556960514</v>
      </c>
      <c r="G40" s="83"/>
      <c r="H40" s="80">
        <f aca="true" t="shared" si="5" ref="H40:H53">(F40/$F$54)</f>
        <v>0.869052281921376</v>
      </c>
      <c r="I40" s="81"/>
      <c r="J40" s="81"/>
      <c r="K40" s="145">
        <v>1</v>
      </c>
      <c r="L40" s="81" t="s">
        <v>272</v>
      </c>
      <c r="M40" s="81">
        <f>(Classification!F157)</f>
        <v>250.4541279990257</v>
      </c>
      <c r="N40" s="81">
        <f>(K40*M40)</f>
        <v>250.4541279990257</v>
      </c>
    </row>
    <row r="41" spans="1:14" ht="15">
      <c r="A41" s="75" t="str">
        <f t="shared" si="1"/>
        <v>Schedule A - Marketing ETS</v>
      </c>
      <c r="B41" s="81"/>
      <c r="C41" s="52">
        <f aca="true" t="shared" si="6" ref="C41:C50">(C15)</f>
        <v>0</v>
      </c>
      <c r="D41" s="81">
        <f t="shared" si="2"/>
        <v>0</v>
      </c>
      <c r="E41" s="81">
        <f t="shared" si="3"/>
        <v>0</v>
      </c>
      <c r="F41" s="81">
        <f t="shared" si="4"/>
        <v>0</v>
      </c>
      <c r="G41" s="83"/>
      <c r="H41" s="80">
        <f t="shared" si="5"/>
        <v>0</v>
      </c>
      <c r="I41" s="81"/>
      <c r="J41" s="81"/>
      <c r="K41" s="145">
        <v>0</v>
      </c>
      <c r="L41" s="81">
        <v>0</v>
      </c>
      <c r="M41" s="81">
        <v>0</v>
      </c>
      <c r="N41" s="81">
        <v>0</v>
      </c>
    </row>
    <row r="42" spans="1:14" ht="15">
      <c r="A42" s="75" t="str">
        <f t="shared" si="1"/>
        <v>Schedule B - Small Commercial </v>
      </c>
      <c r="B42" s="81"/>
      <c r="C42" s="52">
        <f t="shared" si="6"/>
        <v>3581</v>
      </c>
      <c r="D42" s="81">
        <f t="shared" si="2"/>
        <v>380.359299367908</v>
      </c>
      <c r="E42" s="81">
        <f t="shared" si="3"/>
        <v>0.267382921961123</v>
      </c>
      <c r="F42" s="81">
        <f t="shared" si="4"/>
        <v>957.4982435427816</v>
      </c>
      <c r="G42" s="83"/>
      <c r="H42" s="80">
        <f t="shared" si="5"/>
        <v>0.08546861093156759</v>
      </c>
      <c r="I42" s="81"/>
      <c r="J42" s="81"/>
      <c r="K42" s="145">
        <v>1</v>
      </c>
      <c r="L42" s="81" t="s">
        <v>549</v>
      </c>
      <c r="M42" s="81">
        <f>(Classification!F159)</f>
        <v>380.359299367908</v>
      </c>
      <c r="N42" s="81">
        <f aca="true" t="shared" si="7" ref="N42:N47">(K42*M42)</f>
        <v>380.359299367908</v>
      </c>
    </row>
    <row r="43" spans="1:14" ht="15">
      <c r="A43" s="75" t="str">
        <f t="shared" si="1"/>
        <v>Schedule B- ETS</v>
      </c>
      <c r="B43" s="81"/>
      <c r="C43" s="52">
        <f t="shared" si="6"/>
        <v>0</v>
      </c>
      <c r="D43" s="81">
        <f t="shared" si="2"/>
        <v>0</v>
      </c>
      <c r="E43" s="81">
        <f t="shared" si="3"/>
        <v>0</v>
      </c>
      <c r="F43" s="81">
        <f t="shared" si="4"/>
        <v>0</v>
      </c>
      <c r="G43" s="83"/>
      <c r="H43" s="80">
        <f t="shared" si="5"/>
        <v>0</v>
      </c>
      <c r="I43" s="81"/>
      <c r="J43" s="81"/>
      <c r="K43" s="145">
        <v>0</v>
      </c>
      <c r="L43" s="81">
        <v>0</v>
      </c>
      <c r="M43" s="81">
        <v>0</v>
      </c>
      <c r="N43" s="81">
        <v>0</v>
      </c>
    </row>
    <row r="44" spans="1:14" ht="15">
      <c r="A44" s="75" t="str">
        <f t="shared" si="1"/>
        <v>Schedule LP - Large Power Rate</v>
      </c>
      <c r="B44" s="81"/>
      <c r="C44" s="52">
        <f t="shared" si="6"/>
        <v>246</v>
      </c>
      <c r="D44" s="81">
        <f t="shared" si="2"/>
        <v>1422.526527042784</v>
      </c>
      <c r="E44" s="81">
        <f t="shared" si="3"/>
        <v>1</v>
      </c>
      <c r="F44" s="81">
        <f t="shared" si="4"/>
        <v>246</v>
      </c>
      <c r="G44" s="83"/>
      <c r="H44" s="80">
        <f t="shared" si="5"/>
        <v>0.02195855546572207</v>
      </c>
      <c r="I44" s="81"/>
      <c r="J44" s="81"/>
      <c r="K44" s="145">
        <v>3</v>
      </c>
      <c r="L44" s="81" t="s">
        <v>355</v>
      </c>
      <c r="M44" s="81">
        <f>(Classification!F161)</f>
        <v>474.17550901426137</v>
      </c>
      <c r="N44" s="81">
        <f t="shared" si="7"/>
        <v>1422.526527042784</v>
      </c>
    </row>
    <row r="45" spans="1:14" s="89" customFormat="1" ht="15">
      <c r="A45" s="75" t="str">
        <f t="shared" si="1"/>
        <v>Schedule LP-1 - Large Power (500-4999 kW)</v>
      </c>
      <c r="B45" s="77"/>
      <c r="C45" s="52">
        <f t="shared" si="6"/>
        <v>2</v>
      </c>
      <c r="D45" s="81">
        <f t="shared" si="2"/>
        <v>6190.925294117646</v>
      </c>
      <c r="E45" s="81">
        <f t="shared" si="3"/>
        <v>4.352063161161316</v>
      </c>
      <c r="F45" s="81">
        <f t="shared" si="4"/>
        <v>8.704126322322631</v>
      </c>
      <c r="H45" s="80">
        <f t="shared" si="5"/>
        <v>0.0007769513846722478</v>
      </c>
      <c r="I45" s="77"/>
      <c r="J45" s="77"/>
      <c r="K45" s="145">
        <v>1</v>
      </c>
      <c r="L45" s="81" t="s">
        <v>299</v>
      </c>
      <c r="M45" s="81">
        <f>(Classification!F176)</f>
        <v>6190.925294117646</v>
      </c>
      <c r="N45" s="81">
        <f t="shared" si="7"/>
        <v>6190.925294117646</v>
      </c>
    </row>
    <row r="46" spans="1:14" ht="15">
      <c r="A46" s="75" t="str">
        <f t="shared" si="1"/>
        <v>Schedule LP-2 - Large Power (5000-9999kW)</v>
      </c>
      <c r="B46" s="81"/>
      <c r="C46" s="52">
        <f t="shared" si="6"/>
        <v>1</v>
      </c>
      <c r="D46" s="81">
        <f t="shared" si="2"/>
        <v>34487.78</v>
      </c>
      <c r="E46" s="81">
        <f t="shared" si="3"/>
        <v>24.244032954306196</v>
      </c>
      <c r="F46" s="81">
        <f t="shared" si="4"/>
        <v>24.244032954306196</v>
      </c>
      <c r="G46" s="83"/>
      <c r="H46" s="80">
        <f t="shared" si="5"/>
        <v>0.0021640810664224647</v>
      </c>
      <c r="I46" s="81"/>
      <c r="J46" s="81"/>
      <c r="K46" s="145">
        <v>2</v>
      </c>
      <c r="L46" s="81" t="s">
        <v>550</v>
      </c>
      <c r="M46" s="81">
        <f>(Classification!F181)</f>
        <v>17243.89</v>
      </c>
      <c r="N46" s="81">
        <f t="shared" si="7"/>
        <v>34487.78</v>
      </c>
    </row>
    <row r="47" spans="1:14" ht="15">
      <c r="A47" s="75" t="str">
        <f t="shared" si="1"/>
        <v>Schedule LP-3 - Large Power (500-4999 kW)</v>
      </c>
      <c r="B47" s="81"/>
      <c r="C47" s="52">
        <f t="shared" si="6"/>
        <v>5</v>
      </c>
      <c r="D47" s="81">
        <f t="shared" si="2"/>
        <v>6190.925294117646</v>
      </c>
      <c r="E47" s="81">
        <f t="shared" si="3"/>
        <v>4.352063161161316</v>
      </c>
      <c r="F47" s="81">
        <f t="shared" si="4"/>
        <v>21.760315805806577</v>
      </c>
      <c r="G47" s="83"/>
      <c r="H47" s="80">
        <f t="shared" si="5"/>
        <v>0.0019423784616806193</v>
      </c>
      <c r="I47" s="81"/>
      <c r="J47" s="81"/>
      <c r="K47" s="145">
        <v>1</v>
      </c>
      <c r="L47" s="81" t="s">
        <v>299</v>
      </c>
      <c r="M47" s="81">
        <f>(M45)</f>
        <v>6190.925294117646</v>
      </c>
      <c r="N47" s="81">
        <f t="shared" si="7"/>
        <v>6190.925294117646</v>
      </c>
    </row>
    <row r="48" spans="1:14" ht="15">
      <c r="A48" s="75" t="str">
        <f t="shared" si="1"/>
        <v>Special Contract</v>
      </c>
      <c r="B48" s="81"/>
      <c r="C48" s="52">
        <f t="shared" si="6"/>
        <v>1</v>
      </c>
      <c r="D48" s="81">
        <f t="shared" si="2"/>
        <v>12381.850588235293</v>
      </c>
      <c r="E48" s="81">
        <f t="shared" si="3"/>
        <v>8.704126322322631</v>
      </c>
      <c r="F48" s="81">
        <f t="shared" si="4"/>
        <v>8.704126322322631</v>
      </c>
      <c r="G48" s="83"/>
      <c r="H48" s="80">
        <f t="shared" si="5"/>
        <v>0.0007769513846722478</v>
      </c>
      <c r="I48" s="81"/>
      <c r="J48" s="81"/>
      <c r="K48" s="145">
        <v>2</v>
      </c>
      <c r="L48" s="81" t="s">
        <v>299</v>
      </c>
      <c r="M48" s="81">
        <f>(M47)</f>
        <v>6190.925294117646</v>
      </c>
      <c r="N48" s="81">
        <f>(K48*M48)</f>
        <v>12381.850588235293</v>
      </c>
    </row>
    <row r="49" spans="1:14" ht="15">
      <c r="A49" s="75" t="str">
        <f t="shared" si="1"/>
        <v>Schedule OPS - Optional Power Service</v>
      </c>
      <c r="B49" s="81"/>
      <c r="C49" s="52">
        <f t="shared" si="6"/>
        <v>150</v>
      </c>
      <c r="D49" s="81">
        <f t="shared" si="2"/>
        <v>1422.526527042784</v>
      </c>
      <c r="E49" s="81">
        <f t="shared" si="3"/>
        <v>1</v>
      </c>
      <c r="F49" s="81">
        <f t="shared" si="4"/>
        <v>150</v>
      </c>
      <c r="G49" s="83"/>
      <c r="H49" s="80">
        <f t="shared" si="5"/>
        <v>0.013389363088854921</v>
      </c>
      <c r="I49" s="81"/>
      <c r="J49" s="81"/>
      <c r="K49" s="145">
        <v>3</v>
      </c>
      <c r="L49" s="81" t="s">
        <v>355</v>
      </c>
      <c r="M49" s="81">
        <f>(M44)</f>
        <v>474.17550901426137</v>
      </c>
      <c r="N49" s="81">
        <f>(K49*M49)</f>
        <v>1422.526527042784</v>
      </c>
    </row>
    <row r="50" spans="1:14" ht="15">
      <c r="A50" s="75" t="str">
        <f t="shared" si="1"/>
        <v>Schedule AES - All Electric Schools</v>
      </c>
      <c r="B50" s="81"/>
      <c r="C50" s="52">
        <f t="shared" si="6"/>
        <v>10</v>
      </c>
      <c r="D50" s="81">
        <f t="shared" si="2"/>
        <v>3934.9429565217397</v>
      </c>
      <c r="E50" s="81">
        <f t="shared" si="3"/>
        <v>2.7661649056920483</v>
      </c>
      <c r="F50" s="81">
        <f t="shared" si="4"/>
        <v>27.66164905692048</v>
      </c>
      <c r="G50" s="83"/>
      <c r="H50" s="80">
        <f t="shared" si="5"/>
        <v>0.002469145752397264</v>
      </c>
      <c r="I50" s="81"/>
      <c r="J50" s="81"/>
      <c r="K50" s="145">
        <v>3</v>
      </c>
      <c r="L50" s="81" t="s">
        <v>539</v>
      </c>
      <c r="M50" s="81">
        <f>(Classification!F168)</f>
        <v>1311.6476521739132</v>
      </c>
      <c r="N50" s="81">
        <f>(K50*M50)</f>
        <v>3934.9429565217397</v>
      </c>
    </row>
    <row r="51" spans="1:14" ht="15">
      <c r="A51" s="75" t="str">
        <f t="shared" si="1"/>
        <v>Schedule OL - Outdoor Lighting</v>
      </c>
      <c r="B51" s="81"/>
      <c r="C51" s="52">
        <v>0</v>
      </c>
      <c r="D51" s="81">
        <f t="shared" si="2"/>
        <v>0</v>
      </c>
      <c r="E51" s="81">
        <f t="shared" si="3"/>
        <v>0</v>
      </c>
      <c r="F51" s="81">
        <f t="shared" si="4"/>
        <v>0</v>
      </c>
      <c r="G51" s="83"/>
      <c r="H51" s="80">
        <f t="shared" si="5"/>
        <v>0</v>
      </c>
      <c r="I51" s="81"/>
      <c r="J51" s="81"/>
      <c r="K51" s="145"/>
      <c r="L51" s="81"/>
      <c r="M51" s="81"/>
      <c r="N51" s="81">
        <f>(K51*M51)</f>
        <v>0</v>
      </c>
    </row>
    <row r="52" spans="1:14" ht="15">
      <c r="A52" s="75" t="str">
        <f t="shared" si="1"/>
        <v>Schedule STL - Street Lighting</v>
      </c>
      <c r="B52" s="81"/>
      <c r="C52" s="52">
        <v>359</v>
      </c>
      <c r="D52" s="81">
        <f t="shared" si="2"/>
        <v>74.90420289855074</v>
      </c>
      <c r="E52" s="81">
        <f t="shared" si="3"/>
        <v>0.052655751210675256</v>
      </c>
      <c r="F52" s="81">
        <f t="shared" si="4"/>
        <v>18.903414684632416</v>
      </c>
      <c r="G52" s="83"/>
      <c r="H52" s="80">
        <f t="shared" si="5"/>
        <v>0.001687364552211569</v>
      </c>
      <c r="I52" s="81"/>
      <c r="J52" s="81"/>
      <c r="K52" s="145">
        <v>1</v>
      </c>
      <c r="L52" s="81" t="s">
        <v>551</v>
      </c>
      <c r="M52" s="81">
        <f>(Classification!F151)</f>
        <v>74.90420289855074</v>
      </c>
      <c r="N52" s="81">
        <f>(K52*M52)</f>
        <v>74.90420289855074</v>
      </c>
    </row>
    <row r="53" spans="1:14" ht="15">
      <c r="A53" s="75" t="str">
        <f t="shared" si="1"/>
        <v>Schedule DSTL - Decorative Street Lighting</v>
      </c>
      <c r="B53" s="81"/>
      <c r="C53" s="52">
        <v>20</v>
      </c>
      <c r="D53" s="81">
        <f>(Classification!F157)</f>
        <v>250.4541279990257</v>
      </c>
      <c r="E53" s="81">
        <f t="shared" si="3"/>
        <v>0.1760628875720734</v>
      </c>
      <c r="F53" s="81">
        <f t="shared" si="4"/>
        <v>3.5212577514414676</v>
      </c>
      <c r="G53" s="83"/>
      <c r="H53" s="80">
        <f t="shared" si="5"/>
        <v>0.00031431599042329775</v>
      </c>
      <c r="I53" s="81"/>
      <c r="J53" s="81"/>
      <c r="K53" s="81"/>
      <c r="L53" s="81"/>
      <c r="M53" s="81"/>
      <c r="N53" s="81"/>
    </row>
    <row r="54" spans="1:14" ht="15">
      <c r="A54" s="81"/>
      <c r="B54" s="81"/>
      <c r="C54" s="52">
        <f>SUM(C40:C53)</f>
        <v>59673</v>
      </c>
      <c r="D54" s="81"/>
      <c r="E54" s="81"/>
      <c r="F54" s="81">
        <f>SUM(F40:F53)</f>
        <v>11202.922723401045</v>
      </c>
      <c r="G54" s="83"/>
      <c r="H54" s="132">
        <f>SUM(H40:H53)</f>
        <v>1.0000000000000004</v>
      </c>
      <c r="I54" s="81"/>
      <c r="J54" s="81"/>
      <c r="K54" s="81"/>
      <c r="L54" s="81"/>
      <c r="M54" s="81"/>
      <c r="N54" s="81"/>
    </row>
    <row r="55" spans="1:14" ht="15">
      <c r="A55" s="81"/>
      <c r="B55" s="81"/>
      <c r="C55" s="81"/>
      <c r="D55" s="81"/>
      <c r="E55" s="81"/>
      <c r="F55" s="81"/>
      <c r="G55" s="82"/>
      <c r="H55" s="81"/>
      <c r="I55" s="81"/>
      <c r="J55" s="81"/>
      <c r="K55" s="81"/>
      <c r="L55" s="81"/>
      <c r="M55" s="81"/>
      <c r="N55" s="81"/>
    </row>
    <row r="56" spans="1:14" ht="15">
      <c r="A56" s="81"/>
      <c r="B56" s="81"/>
      <c r="C56" s="81"/>
      <c r="D56" s="81"/>
      <c r="E56" s="81"/>
      <c r="F56" s="81"/>
      <c r="G56" s="82"/>
      <c r="H56" s="81"/>
      <c r="I56" s="81"/>
      <c r="J56" s="81"/>
      <c r="K56" s="81"/>
      <c r="L56" s="81"/>
      <c r="M56" s="81"/>
      <c r="N56" s="81"/>
    </row>
    <row r="57" spans="1:14" ht="15">
      <c r="A57" s="81"/>
      <c r="B57" s="81"/>
      <c r="C57" s="81"/>
      <c r="D57" s="81"/>
      <c r="E57" s="81"/>
      <c r="F57" s="81"/>
      <c r="G57" s="82"/>
      <c r="H57" s="81"/>
      <c r="I57" s="81"/>
      <c r="J57" s="81"/>
      <c r="K57" s="81"/>
      <c r="L57" s="81"/>
      <c r="M57" s="81"/>
      <c r="N57" s="81"/>
    </row>
    <row r="58" spans="1:14" ht="15">
      <c r="A58" s="81"/>
      <c r="B58" s="81"/>
      <c r="C58" s="81"/>
      <c r="D58" s="81"/>
      <c r="E58" s="81"/>
      <c r="F58" s="81"/>
      <c r="G58" s="82"/>
      <c r="H58" s="81"/>
      <c r="I58" s="81"/>
      <c r="J58" s="81"/>
      <c r="K58" s="81"/>
      <c r="L58" s="81"/>
      <c r="M58" s="81"/>
      <c r="N58" s="81"/>
    </row>
    <row r="59" spans="1:14" ht="15">
      <c r="A59" s="81"/>
      <c r="B59" s="81"/>
      <c r="C59" s="81"/>
      <c r="D59" s="81"/>
      <c r="E59" s="81"/>
      <c r="F59" s="81"/>
      <c r="G59" s="82"/>
      <c r="H59" s="81"/>
      <c r="I59" s="81"/>
      <c r="J59" s="81"/>
      <c r="K59" s="81"/>
      <c r="L59" s="81"/>
      <c r="M59" s="81"/>
      <c r="N59" s="81"/>
    </row>
    <row r="60" spans="1:14" ht="15.75">
      <c r="A60" s="84" t="s">
        <v>138</v>
      </c>
      <c r="B60" s="81"/>
      <c r="C60" s="85"/>
      <c r="D60" s="85" t="s">
        <v>348</v>
      </c>
      <c r="E60" s="85"/>
      <c r="F60" s="85"/>
      <c r="G60" s="86"/>
      <c r="H60" s="81"/>
      <c r="I60" s="81"/>
      <c r="J60" s="81"/>
      <c r="K60" s="81"/>
      <c r="L60" s="81"/>
      <c r="M60" s="81"/>
      <c r="N60" s="81"/>
    </row>
    <row r="61" spans="1:14" ht="15">
      <c r="A61" s="81"/>
      <c r="B61" s="81"/>
      <c r="C61" s="85"/>
      <c r="D61" s="85" t="s">
        <v>286</v>
      </c>
      <c r="E61" s="85" t="s">
        <v>136</v>
      </c>
      <c r="F61" s="85"/>
      <c r="G61" s="83"/>
      <c r="H61" s="86" t="s">
        <v>7</v>
      </c>
      <c r="I61" s="81"/>
      <c r="J61" s="81"/>
      <c r="K61" s="81"/>
      <c r="L61" s="81"/>
      <c r="M61" s="81"/>
      <c r="N61" s="81" t="s">
        <v>114</v>
      </c>
    </row>
    <row r="62" spans="1:14" ht="17.25">
      <c r="A62" s="81" t="s">
        <v>132</v>
      </c>
      <c r="B62" s="81"/>
      <c r="C62" s="87" t="s">
        <v>133</v>
      </c>
      <c r="D62" s="87" t="s">
        <v>135</v>
      </c>
      <c r="E62" s="87" t="s">
        <v>135</v>
      </c>
      <c r="F62" s="87" t="s">
        <v>137</v>
      </c>
      <c r="G62" s="83"/>
      <c r="H62" s="88" t="s">
        <v>130</v>
      </c>
      <c r="I62" s="81"/>
      <c r="J62" s="81"/>
      <c r="K62" s="81" t="s">
        <v>92</v>
      </c>
      <c r="L62" s="81" t="s">
        <v>89</v>
      </c>
      <c r="M62" s="81" t="s">
        <v>139</v>
      </c>
      <c r="N62" s="81" t="s">
        <v>135</v>
      </c>
    </row>
    <row r="63" spans="1:14" ht="15">
      <c r="A63" s="81"/>
      <c r="B63" s="81"/>
      <c r="C63" s="81"/>
      <c r="D63" s="81"/>
      <c r="E63" s="81"/>
      <c r="F63" s="81"/>
      <c r="G63" s="83"/>
      <c r="H63" s="82"/>
      <c r="I63" s="81"/>
      <c r="J63" s="81"/>
      <c r="K63" s="81"/>
      <c r="L63" s="81"/>
      <c r="M63" s="81"/>
      <c r="N63" s="81"/>
    </row>
    <row r="64" spans="1:14" ht="15">
      <c r="A64" s="75" t="str">
        <f aca="true" t="shared" si="8" ref="A64:A77">(A40)</f>
        <v>Schedule A - Residential</v>
      </c>
      <c r="B64" s="81"/>
      <c r="C64" s="52">
        <f>(C14)</f>
        <v>55298</v>
      </c>
      <c r="D64" s="81">
        <f>(N64)</f>
        <v>142.712047702053</v>
      </c>
      <c r="E64" s="81">
        <f>(D64/$D$68)</f>
        <v>0.2963013934656054</v>
      </c>
      <c r="F64" s="81">
        <f aca="true" t="shared" si="9" ref="F64:F77">(C64*E64)</f>
        <v>16384.87445586105</v>
      </c>
      <c r="G64" s="83"/>
      <c r="H64" s="76">
        <f aca="true" t="shared" si="10" ref="H64:H77">(F64/$F$79)</f>
        <v>0.9175125386333365</v>
      </c>
      <c r="I64" s="81"/>
      <c r="J64" s="81"/>
      <c r="K64" s="81">
        <v>125</v>
      </c>
      <c r="L64" s="81" t="s">
        <v>531</v>
      </c>
      <c r="M64" s="81">
        <f>(5010562.91/43887)/100</f>
        <v>1.141696381616424</v>
      </c>
      <c r="N64" s="81">
        <f>(K64*M64)</f>
        <v>142.712047702053</v>
      </c>
    </row>
    <row r="65" spans="1:14" ht="15">
      <c r="A65" s="75" t="str">
        <f t="shared" si="8"/>
        <v>Schedule A - Marketing ETS</v>
      </c>
      <c r="B65" s="81"/>
      <c r="C65" s="52">
        <f aca="true" t="shared" si="11" ref="C65:C74">(C41)</f>
        <v>0</v>
      </c>
      <c r="D65" s="81">
        <f>(N65)</f>
        <v>0</v>
      </c>
      <c r="E65" s="81">
        <f>(D65/$D$68)</f>
        <v>0</v>
      </c>
      <c r="F65" s="81">
        <f t="shared" si="9"/>
        <v>0</v>
      </c>
      <c r="G65" s="83"/>
      <c r="H65" s="76">
        <f t="shared" si="10"/>
        <v>0</v>
      </c>
      <c r="I65" s="81"/>
      <c r="J65" s="81"/>
      <c r="K65" s="81">
        <v>0</v>
      </c>
      <c r="L65" s="81">
        <v>0</v>
      </c>
      <c r="M65" s="81" t="s">
        <v>24</v>
      </c>
      <c r="N65" s="81">
        <v>0</v>
      </c>
    </row>
    <row r="66" spans="1:14" ht="15">
      <c r="A66" s="75" t="str">
        <f t="shared" si="8"/>
        <v>Schedule B - Small Commercial </v>
      </c>
      <c r="B66" s="81"/>
      <c r="C66" s="52">
        <f t="shared" si="11"/>
        <v>3581</v>
      </c>
      <c r="D66" s="81">
        <f>(N66)</f>
        <v>142.712047702053</v>
      </c>
      <c r="E66" s="81">
        <f>(D66/$D$68)</f>
        <v>0.2963013934656054</v>
      </c>
      <c r="F66" s="81">
        <f t="shared" si="9"/>
        <v>1061.055290000333</v>
      </c>
      <c r="G66" s="83"/>
      <c r="H66" s="76">
        <f t="shared" si="10"/>
        <v>0.0594164780072693</v>
      </c>
      <c r="I66" s="81"/>
      <c r="J66" s="81"/>
      <c r="K66" s="81">
        <v>125</v>
      </c>
      <c r="L66" s="81" t="str">
        <f>(L64)</f>
        <v>2 Triplex</v>
      </c>
      <c r="M66" s="81">
        <f>(5010562.91/43887)/100</f>
        <v>1.141696381616424</v>
      </c>
      <c r="N66" s="81">
        <f>(K66*M66)</f>
        <v>142.712047702053</v>
      </c>
    </row>
    <row r="67" spans="1:14" ht="15">
      <c r="A67" s="75" t="str">
        <f t="shared" si="8"/>
        <v>Schedule B- ETS</v>
      </c>
      <c r="B67" s="81"/>
      <c r="C67" s="52">
        <f t="shared" si="11"/>
        <v>0</v>
      </c>
      <c r="D67" s="81">
        <f>(N67)</f>
        <v>142.712047702053</v>
      </c>
      <c r="E67" s="81">
        <f>(D67/$D$64)</f>
        <v>1</v>
      </c>
      <c r="F67" s="81">
        <f t="shared" si="9"/>
        <v>0</v>
      </c>
      <c r="G67" s="83"/>
      <c r="H67" s="76">
        <f t="shared" si="10"/>
        <v>0</v>
      </c>
      <c r="I67" s="81"/>
      <c r="J67" s="81"/>
      <c r="K67" s="81">
        <v>125</v>
      </c>
      <c r="L67" s="81" t="str">
        <f>(L64)</f>
        <v>2 Triplex</v>
      </c>
      <c r="M67" s="81">
        <f>(5010562.91/43887)/100</f>
        <v>1.141696381616424</v>
      </c>
      <c r="N67" s="81">
        <f aca="true" t="shared" si="12" ref="N67:N74">(K67*M67)</f>
        <v>142.712047702053</v>
      </c>
    </row>
    <row r="68" spans="1:14" ht="15">
      <c r="A68" s="75" t="str">
        <f t="shared" si="8"/>
        <v>Schedule LP - Large Power Rate</v>
      </c>
      <c r="B68" s="81"/>
      <c r="C68" s="52">
        <f t="shared" si="11"/>
        <v>246</v>
      </c>
      <c r="D68" s="81">
        <f>(N68)</f>
        <v>481.6448752834468</v>
      </c>
      <c r="E68" s="81">
        <f>(D68/$D$68)</f>
        <v>1</v>
      </c>
      <c r="F68" s="81">
        <f t="shared" si="9"/>
        <v>246</v>
      </c>
      <c r="G68" s="83"/>
      <c r="H68" s="76">
        <f t="shared" si="10"/>
        <v>0.01377539297672571</v>
      </c>
      <c r="I68" s="81"/>
      <c r="J68" s="81"/>
      <c r="K68" s="81">
        <v>100</v>
      </c>
      <c r="L68" s="81" t="s">
        <v>552</v>
      </c>
      <c r="M68" s="81">
        <f>(212405.39/441)/100</f>
        <v>4.816448752834468</v>
      </c>
      <c r="N68" s="81">
        <f t="shared" si="12"/>
        <v>481.6448752834468</v>
      </c>
    </row>
    <row r="69" spans="1:14" s="89" customFormat="1" ht="15">
      <c r="A69" s="75" t="str">
        <f t="shared" si="8"/>
        <v>Schedule LP-1 - Large Power (500-4999 kW)</v>
      </c>
      <c r="B69" s="77"/>
      <c r="C69" s="52">
        <f t="shared" si="11"/>
        <v>2</v>
      </c>
      <c r="D69" s="81">
        <f>(N70)</f>
        <v>0</v>
      </c>
      <c r="E69" s="81">
        <f>(D69/$D$68)</f>
        <v>0</v>
      </c>
      <c r="F69" s="81">
        <f t="shared" si="9"/>
        <v>0</v>
      </c>
      <c r="H69" s="76">
        <f t="shared" si="10"/>
        <v>0</v>
      </c>
      <c r="I69" s="77"/>
      <c r="J69" s="77"/>
      <c r="K69" s="83">
        <v>100</v>
      </c>
      <c r="L69" s="81" t="s">
        <v>552</v>
      </c>
      <c r="M69" s="131">
        <f aca="true" t="shared" si="13" ref="M69:M74">(M68)</f>
        <v>4.816448752834468</v>
      </c>
      <c r="N69" s="81">
        <f t="shared" si="12"/>
        <v>481.6448752834468</v>
      </c>
    </row>
    <row r="70" spans="1:14" ht="15">
      <c r="A70" s="75" t="str">
        <f t="shared" si="8"/>
        <v>Schedule LP-2 - Large Power (5000-9999kW)</v>
      </c>
      <c r="B70" s="81"/>
      <c r="C70" s="52">
        <f t="shared" si="11"/>
        <v>1</v>
      </c>
      <c r="D70" s="81">
        <f>(N70)</f>
        <v>0</v>
      </c>
      <c r="E70" s="81">
        <f>(D70/$D$68)</f>
        <v>0</v>
      </c>
      <c r="F70" s="81">
        <f t="shared" si="9"/>
        <v>0</v>
      </c>
      <c r="G70" s="83"/>
      <c r="H70" s="76">
        <f t="shared" si="10"/>
        <v>0</v>
      </c>
      <c r="I70" s="81"/>
      <c r="J70" s="81"/>
      <c r="K70" s="81">
        <v>100</v>
      </c>
      <c r="L70" s="81" t="s">
        <v>24</v>
      </c>
      <c r="M70" s="131">
        <v>0</v>
      </c>
      <c r="N70" s="81">
        <f t="shared" si="12"/>
        <v>0</v>
      </c>
    </row>
    <row r="71" spans="1:14" ht="15">
      <c r="A71" s="75" t="str">
        <f t="shared" si="8"/>
        <v>Schedule LP-3 - Large Power (500-4999 kW)</v>
      </c>
      <c r="B71" s="81"/>
      <c r="C71" s="52">
        <f t="shared" si="11"/>
        <v>5</v>
      </c>
      <c r="D71" s="81">
        <f>(N71)</f>
        <v>481.6448752834468</v>
      </c>
      <c r="E71" s="81">
        <f>(D71/$D$68)</f>
        <v>1</v>
      </c>
      <c r="F71" s="81">
        <f t="shared" si="9"/>
        <v>5</v>
      </c>
      <c r="G71" s="83"/>
      <c r="H71" s="76">
        <f t="shared" si="10"/>
        <v>0.00027998766212857136</v>
      </c>
      <c r="I71" s="81"/>
      <c r="J71" s="81"/>
      <c r="K71" s="81">
        <v>100</v>
      </c>
      <c r="L71" s="81" t="s">
        <v>552</v>
      </c>
      <c r="M71" s="131">
        <f>(M69)</f>
        <v>4.816448752834468</v>
      </c>
      <c r="N71" s="81">
        <f t="shared" si="12"/>
        <v>481.6448752834468</v>
      </c>
    </row>
    <row r="72" spans="1:14" ht="15">
      <c r="A72" s="75" t="str">
        <f t="shared" si="8"/>
        <v>Special Contract</v>
      </c>
      <c r="B72" s="81"/>
      <c r="C72" s="52">
        <f t="shared" si="11"/>
        <v>1</v>
      </c>
      <c r="D72" s="81">
        <f aca="true" t="shared" si="14" ref="D72:D77">(N72)</f>
        <v>481.6448752834468</v>
      </c>
      <c r="E72" s="81">
        <f aca="true" t="shared" si="15" ref="E72:E77">(D72/$D$68)</f>
        <v>1</v>
      </c>
      <c r="F72" s="81">
        <f t="shared" si="9"/>
        <v>1</v>
      </c>
      <c r="G72" s="83"/>
      <c r="H72" s="76">
        <f t="shared" si="10"/>
        <v>5.599753242571427E-05</v>
      </c>
      <c r="I72" s="81"/>
      <c r="J72" s="81"/>
      <c r="K72" s="81">
        <v>100</v>
      </c>
      <c r="L72" s="81" t="s">
        <v>552</v>
      </c>
      <c r="M72" s="131">
        <f t="shared" si="13"/>
        <v>4.816448752834468</v>
      </c>
      <c r="N72" s="81">
        <f t="shared" si="12"/>
        <v>481.6448752834468</v>
      </c>
    </row>
    <row r="73" spans="1:14" ht="15">
      <c r="A73" s="75" t="str">
        <f t="shared" si="8"/>
        <v>Schedule OPS - Optional Power Service</v>
      </c>
      <c r="B73" s="81"/>
      <c r="C73" s="52">
        <f t="shared" si="11"/>
        <v>150</v>
      </c>
      <c r="D73" s="81">
        <f t="shared" si="14"/>
        <v>481.6448752834468</v>
      </c>
      <c r="E73" s="81">
        <f t="shared" si="15"/>
        <v>1</v>
      </c>
      <c r="F73" s="81">
        <f t="shared" si="9"/>
        <v>150</v>
      </c>
      <c r="G73" s="83"/>
      <c r="H73" s="76">
        <f t="shared" si="10"/>
        <v>0.00839962986385714</v>
      </c>
      <c r="I73" s="81"/>
      <c r="J73" s="81"/>
      <c r="K73" s="81">
        <v>100</v>
      </c>
      <c r="L73" s="81" t="s">
        <v>552</v>
      </c>
      <c r="M73" s="131">
        <f t="shared" si="13"/>
        <v>4.816448752834468</v>
      </c>
      <c r="N73" s="81">
        <f t="shared" si="12"/>
        <v>481.6448752834468</v>
      </c>
    </row>
    <row r="74" spans="1:14" ht="15">
      <c r="A74" s="75" t="str">
        <f t="shared" si="8"/>
        <v>Schedule AES - All Electric Schools</v>
      </c>
      <c r="B74" s="81"/>
      <c r="C74" s="52">
        <f t="shared" si="11"/>
        <v>10</v>
      </c>
      <c r="D74" s="81">
        <f t="shared" si="14"/>
        <v>481.6448752834468</v>
      </c>
      <c r="E74" s="81">
        <f t="shared" si="15"/>
        <v>1</v>
      </c>
      <c r="F74" s="81">
        <f t="shared" si="9"/>
        <v>10</v>
      </c>
      <c r="G74" s="83"/>
      <c r="H74" s="76">
        <f t="shared" si="10"/>
        <v>0.0005599753242571427</v>
      </c>
      <c r="I74" s="81"/>
      <c r="J74" s="81"/>
      <c r="K74" s="81">
        <v>100</v>
      </c>
      <c r="L74" s="81" t="s">
        <v>552</v>
      </c>
      <c r="M74" s="131">
        <f t="shared" si="13"/>
        <v>4.816448752834468</v>
      </c>
      <c r="N74" s="81">
        <f t="shared" si="12"/>
        <v>481.6448752834468</v>
      </c>
    </row>
    <row r="75" spans="1:14" ht="15">
      <c r="A75" s="75" t="str">
        <f t="shared" si="8"/>
        <v>Schedule OL - Outdoor Lighting</v>
      </c>
      <c r="B75" s="81"/>
      <c r="C75" s="52">
        <v>0</v>
      </c>
      <c r="D75" s="81">
        <f t="shared" si="14"/>
        <v>95.33164786497142</v>
      </c>
      <c r="E75" s="81">
        <f t="shared" si="15"/>
        <v>0.1979293308350244</v>
      </c>
      <c r="F75" s="81">
        <f t="shared" si="9"/>
        <v>0</v>
      </c>
      <c r="G75" s="83"/>
      <c r="H75" s="76">
        <f t="shared" si="10"/>
        <v>0</v>
      </c>
      <c r="I75" s="81"/>
      <c r="J75" s="81"/>
      <c r="K75" s="81">
        <v>83.5</v>
      </c>
      <c r="L75" s="81" t="str">
        <f>(L64)</f>
        <v>2 Triplex</v>
      </c>
      <c r="M75" s="81">
        <f>(M64)</f>
        <v>1.141696381616424</v>
      </c>
      <c r="N75" s="81">
        <f>(K75*M75)</f>
        <v>95.33164786497142</v>
      </c>
    </row>
    <row r="76" spans="1:14" ht="15">
      <c r="A76" s="75" t="str">
        <f t="shared" si="8"/>
        <v>Schedule STL - Street Lighting</v>
      </c>
      <c r="B76" s="81"/>
      <c r="C76" s="52">
        <v>0</v>
      </c>
      <c r="D76" s="81">
        <f t="shared" si="14"/>
        <v>127.86999474103949</v>
      </c>
      <c r="E76" s="81">
        <f t="shared" si="15"/>
        <v>0.26548604854518243</v>
      </c>
      <c r="F76" s="81">
        <f t="shared" si="9"/>
        <v>0</v>
      </c>
      <c r="G76" s="83"/>
      <c r="H76" s="76">
        <f t="shared" si="10"/>
        <v>0</v>
      </c>
      <c r="I76" s="81"/>
      <c r="J76" s="81"/>
      <c r="K76" s="81">
        <v>112</v>
      </c>
      <c r="L76" s="81" t="str">
        <f>(L75)</f>
        <v>2 Triplex</v>
      </c>
      <c r="M76" s="81">
        <f>(M64)</f>
        <v>1.141696381616424</v>
      </c>
      <c r="N76" s="81">
        <f>(K76*M76)</f>
        <v>127.86999474103949</v>
      </c>
    </row>
    <row r="77" spans="1:14" ht="15">
      <c r="A77" s="75" t="str">
        <f t="shared" si="8"/>
        <v>Schedule DSTL - Decorative Street Lighting</v>
      </c>
      <c r="B77" s="81"/>
      <c r="C77" s="52">
        <v>0</v>
      </c>
      <c r="D77" s="81">
        <f t="shared" si="14"/>
        <v>141.57035132043657</v>
      </c>
      <c r="E77" s="81">
        <f t="shared" si="15"/>
        <v>0.2939309823178805</v>
      </c>
      <c r="F77" s="81">
        <f t="shared" si="9"/>
        <v>0</v>
      </c>
      <c r="G77" s="83"/>
      <c r="H77" s="76">
        <f t="shared" si="10"/>
        <v>0</v>
      </c>
      <c r="I77" s="81"/>
      <c r="J77" s="81"/>
      <c r="K77" s="81">
        <v>124</v>
      </c>
      <c r="L77" s="81" t="str">
        <f>(L76)</f>
        <v>2 Triplex</v>
      </c>
      <c r="M77" s="81">
        <f>(M66)</f>
        <v>1.141696381616424</v>
      </c>
      <c r="N77" s="81">
        <f>(K77*M77)</f>
        <v>141.57035132043657</v>
      </c>
    </row>
    <row r="78" spans="1:14" ht="15">
      <c r="A78" s="75"/>
      <c r="B78" s="81"/>
      <c r="C78" s="81"/>
      <c r="D78" s="81"/>
      <c r="E78" s="81"/>
      <c r="F78" s="81"/>
      <c r="G78" s="83"/>
      <c r="H78" s="82"/>
      <c r="I78" s="81"/>
      <c r="J78" s="81"/>
      <c r="K78" s="81" t="s">
        <v>24</v>
      </c>
      <c r="L78" s="81"/>
      <c r="M78" s="81"/>
      <c r="N78" s="81" t="s">
        <v>24</v>
      </c>
    </row>
    <row r="79" spans="1:14" ht="15">
      <c r="A79" s="75"/>
      <c r="B79" s="81"/>
      <c r="C79" s="81">
        <f>SUM(C64:C77)</f>
        <v>59294</v>
      </c>
      <c r="D79" s="81"/>
      <c r="E79" s="81"/>
      <c r="F79" s="81">
        <f>SUM(F64:F77)</f>
        <v>17857.92974586138</v>
      </c>
      <c r="G79" s="83"/>
      <c r="H79" s="129">
        <f>SUM(H64:H77)</f>
        <v>1</v>
      </c>
      <c r="I79" s="81"/>
      <c r="J79" s="81"/>
      <c r="K79" s="81"/>
      <c r="L79" s="81"/>
      <c r="M79" s="81"/>
      <c r="N79" s="81"/>
    </row>
    <row r="80" spans="1:14" ht="15">
      <c r="A80" s="75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  <c r="M80" s="81"/>
      <c r="N80" s="81"/>
    </row>
    <row r="81" spans="1:14" ht="15">
      <c r="A81" s="75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  <c r="M81" s="81"/>
      <c r="N81" s="81"/>
    </row>
    <row r="82" spans="1:14" ht="15">
      <c r="A82" s="75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  <c r="M82" s="81"/>
      <c r="N82" s="81"/>
    </row>
    <row r="83" spans="1:14" ht="15">
      <c r="A83" s="75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  <c r="M83" s="81"/>
      <c r="N83" s="81"/>
    </row>
    <row r="84" spans="1:14" ht="15">
      <c r="A84" s="75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  <c r="M84" s="81"/>
      <c r="N84" s="81"/>
    </row>
    <row r="85" spans="1:14" ht="15">
      <c r="A85" s="75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  <c r="M85" s="81"/>
      <c r="N85" s="81"/>
    </row>
    <row r="86" spans="1:14" ht="15">
      <c r="A86" s="75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  <c r="M86" s="81"/>
      <c r="N86" s="81"/>
    </row>
    <row r="87" spans="1:14" ht="15.75">
      <c r="A87" s="84" t="s">
        <v>140</v>
      </c>
      <c r="B87" s="81"/>
      <c r="C87" s="85"/>
      <c r="D87" s="85" t="s">
        <v>331</v>
      </c>
      <c r="E87" s="85"/>
      <c r="F87" s="85"/>
      <c r="G87" s="86"/>
      <c r="H87" s="81"/>
      <c r="I87" s="81"/>
      <c r="J87" s="81"/>
      <c r="K87" s="81"/>
      <c r="L87" s="81"/>
      <c r="M87" s="81"/>
      <c r="N87" s="81"/>
    </row>
    <row r="88" spans="1:16" ht="15">
      <c r="A88" s="81"/>
      <c r="B88" s="81"/>
      <c r="C88" s="85"/>
      <c r="D88" s="85" t="s">
        <v>332</v>
      </c>
      <c r="E88" s="85" t="s">
        <v>136</v>
      </c>
      <c r="F88" s="85"/>
      <c r="G88" s="83"/>
      <c r="H88" s="86" t="s">
        <v>7</v>
      </c>
      <c r="I88" s="81"/>
      <c r="J88" s="81"/>
      <c r="K88" s="81"/>
      <c r="L88" s="81"/>
      <c r="M88" s="81"/>
      <c r="N88" s="81" t="s">
        <v>114</v>
      </c>
      <c r="P88" s="83" t="s">
        <v>24</v>
      </c>
    </row>
    <row r="89" spans="1:16" ht="17.25">
      <c r="A89" s="81" t="s">
        <v>132</v>
      </c>
      <c r="B89" s="81"/>
      <c r="C89" s="87" t="s">
        <v>133</v>
      </c>
      <c r="D89" s="87" t="s">
        <v>135</v>
      </c>
      <c r="E89" s="87" t="s">
        <v>135</v>
      </c>
      <c r="F89" s="87" t="s">
        <v>137</v>
      </c>
      <c r="G89" s="83"/>
      <c r="H89" s="88" t="s">
        <v>130</v>
      </c>
      <c r="I89" s="81"/>
      <c r="J89" s="81"/>
      <c r="K89" s="81" t="s">
        <v>92</v>
      </c>
      <c r="L89" s="81" t="s">
        <v>89</v>
      </c>
      <c r="M89" s="81" t="s">
        <v>139</v>
      </c>
      <c r="N89" s="81" t="s">
        <v>135</v>
      </c>
      <c r="O89" s="83" t="s">
        <v>24</v>
      </c>
      <c r="P89" s="83" t="s">
        <v>24</v>
      </c>
    </row>
    <row r="90" spans="1:14" ht="15">
      <c r="A90" s="81"/>
      <c r="B90" s="81"/>
      <c r="C90" s="81"/>
      <c r="D90" s="81"/>
      <c r="E90" s="81"/>
      <c r="F90" s="81"/>
      <c r="G90" s="83"/>
      <c r="H90" s="82"/>
      <c r="I90" s="81"/>
      <c r="J90" s="81"/>
      <c r="K90" s="81"/>
      <c r="L90" s="81"/>
      <c r="M90" s="81"/>
      <c r="N90" s="81"/>
    </row>
    <row r="91" spans="1:14" ht="15">
      <c r="A91" s="75" t="str">
        <f aca="true" t="shared" si="16" ref="A91:A104">(A64)</f>
        <v>Schedule A - Residential</v>
      </c>
      <c r="B91" s="81"/>
      <c r="C91" s="52">
        <f aca="true" t="shared" si="17" ref="C91:C104">(C14)</f>
        <v>55298</v>
      </c>
      <c r="D91" s="81">
        <f aca="true" t="shared" si="18" ref="D91:D98">(N91)</f>
        <v>38.39710019668134</v>
      </c>
      <c r="E91" s="81">
        <f aca="true" t="shared" si="19" ref="E91:E103">(D91/$D$91)</f>
        <v>1</v>
      </c>
      <c r="F91" s="81">
        <f aca="true" t="shared" si="20" ref="F91:F98">(C91*E91)</f>
        <v>55298</v>
      </c>
      <c r="G91" s="83"/>
      <c r="H91" s="76">
        <f aca="true" t="shared" si="21" ref="H91:H104">(F91/$F$105)</f>
        <v>0.8994971513635543</v>
      </c>
      <c r="I91" s="77"/>
      <c r="J91" s="81"/>
      <c r="K91" s="77"/>
      <c r="L91" s="81" t="s">
        <v>532</v>
      </c>
      <c r="M91" s="81">
        <f>(2772193.84/72198)</f>
        <v>38.39710019668134</v>
      </c>
      <c r="N91" s="81">
        <f>(M91)</f>
        <v>38.39710019668134</v>
      </c>
    </row>
    <row r="92" spans="1:14" ht="15">
      <c r="A92" s="75" t="str">
        <f t="shared" si="16"/>
        <v>Schedule A - Marketing ETS</v>
      </c>
      <c r="B92" s="81"/>
      <c r="C92" s="52">
        <f t="shared" si="17"/>
        <v>0</v>
      </c>
      <c r="D92" s="81">
        <f t="shared" si="18"/>
        <v>38.39710019668134</v>
      </c>
      <c r="E92" s="81">
        <f t="shared" si="19"/>
        <v>1</v>
      </c>
      <c r="F92" s="81">
        <f t="shared" si="20"/>
        <v>0</v>
      </c>
      <c r="G92" s="83"/>
      <c r="H92" s="76">
        <f t="shared" si="21"/>
        <v>0</v>
      </c>
      <c r="I92" s="77"/>
      <c r="J92" s="81"/>
      <c r="K92" s="77"/>
      <c r="L92" s="81" t="str">
        <f>(L91)</f>
        <v>3 W Meters</v>
      </c>
      <c r="M92" s="81">
        <f>(2772193.84/72198)</f>
        <v>38.39710019668134</v>
      </c>
      <c r="N92" s="81">
        <f>(M92)</f>
        <v>38.39710019668134</v>
      </c>
    </row>
    <row r="93" spans="1:14" ht="15">
      <c r="A93" s="75" t="str">
        <f t="shared" si="16"/>
        <v>Schedule B - Small Commercial </v>
      </c>
      <c r="B93" s="81"/>
      <c r="C93" s="52">
        <f t="shared" si="17"/>
        <v>3581</v>
      </c>
      <c r="D93" s="81">
        <f t="shared" si="18"/>
        <v>38.39710019668134</v>
      </c>
      <c r="E93" s="81">
        <f t="shared" si="19"/>
        <v>1</v>
      </c>
      <c r="F93" s="81">
        <f t="shared" si="20"/>
        <v>3581</v>
      </c>
      <c r="G93" s="83"/>
      <c r="H93" s="76">
        <f t="shared" si="21"/>
        <v>0.05824983361121357</v>
      </c>
      <c r="I93" s="77"/>
      <c r="J93" s="81"/>
      <c r="K93" s="77"/>
      <c r="L93" s="81" t="str">
        <f>(L92)</f>
        <v>3 W Meters</v>
      </c>
      <c r="M93" s="81">
        <f>(M91)</f>
        <v>38.39710019668134</v>
      </c>
      <c r="N93" s="81">
        <f>(M93)</f>
        <v>38.39710019668134</v>
      </c>
    </row>
    <row r="94" spans="1:14" ht="15">
      <c r="A94" s="75" t="str">
        <f t="shared" si="16"/>
        <v>Schedule B- ETS</v>
      </c>
      <c r="B94" s="81"/>
      <c r="C94" s="52">
        <f t="shared" si="17"/>
        <v>0</v>
      </c>
      <c r="D94" s="81">
        <f t="shared" si="18"/>
        <v>38.39710019668134</v>
      </c>
      <c r="E94" s="81">
        <f t="shared" si="19"/>
        <v>1</v>
      </c>
      <c r="F94" s="81">
        <f t="shared" si="20"/>
        <v>0</v>
      </c>
      <c r="G94" s="83"/>
      <c r="H94" s="76">
        <f t="shared" si="21"/>
        <v>0</v>
      </c>
      <c r="I94" s="77"/>
      <c r="J94" s="81"/>
      <c r="K94" s="77"/>
      <c r="L94" s="81" t="str">
        <f>(L93)</f>
        <v>3 W Meters</v>
      </c>
      <c r="M94" s="81">
        <f>(M92)</f>
        <v>38.39710019668134</v>
      </c>
      <c r="N94" s="81">
        <f>(M94)</f>
        <v>38.39710019668134</v>
      </c>
    </row>
    <row r="95" spans="1:14" s="89" customFormat="1" ht="15">
      <c r="A95" s="75" t="str">
        <f t="shared" si="16"/>
        <v>Schedule LP - Large Power Rate</v>
      </c>
      <c r="B95" s="77"/>
      <c r="C95" s="52">
        <f t="shared" si="17"/>
        <v>246</v>
      </c>
      <c r="D95" s="81">
        <f t="shared" si="18"/>
        <v>245.0593932038835</v>
      </c>
      <c r="E95" s="81">
        <f t="shared" si="19"/>
        <v>6.382236990517944</v>
      </c>
      <c r="F95" s="81">
        <f t="shared" si="20"/>
        <v>1570.0302996674143</v>
      </c>
      <c r="H95" s="76">
        <f t="shared" si="21"/>
        <v>0.025538677386258212</v>
      </c>
      <c r="I95" s="77"/>
      <c r="J95" s="77"/>
      <c r="K95" s="77"/>
      <c r="L95" s="96" t="s">
        <v>533</v>
      </c>
      <c r="M95" s="96">
        <f>(100964.47/412)</f>
        <v>245.0593932038835</v>
      </c>
      <c r="N95" s="130">
        <f>(M95)</f>
        <v>245.0593932038835</v>
      </c>
    </row>
    <row r="96" spans="1:14" s="89" customFormat="1" ht="15">
      <c r="A96" s="75" t="str">
        <f t="shared" si="16"/>
        <v>Schedule LP-1 - Large Power (500-4999 kW)</v>
      </c>
      <c r="B96" s="77"/>
      <c r="C96" s="52">
        <f t="shared" si="17"/>
        <v>2</v>
      </c>
      <c r="D96" s="81">
        <v>0</v>
      </c>
      <c r="E96" s="81">
        <f t="shared" si="19"/>
        <v>0</v>
      </c>
      <c r="F96" s="81">
        <f t="shared" si="20"/>
        <v>0</v>
      </c>
      <c r="H96" s="76">
        <f t="shared" si="21"/>
        <v>0</v>
      </c>
      <c r="I96" s="77"/>
      <c r="J96" s="77"/>
      <c r="K96" s="77"/>
      <c r="L96" s="96" t="s">
        <v>24</v>
      </c>
      <c r="M96" s="96" t="s">
        <v>24</v>
      </c>
      <c r="N96" s="96" t="s">
        <v>24</v>
      </c>
    </row>
    <row r="97" spans="1:14" ht="15">
      <c r="A97" s="75" t="str">
        <f t="shared" si="16"/>
        <v>Schedule LP-2 - Large Power (5000-9999kW)</v>
      </c>
      <c r="B97" s="81"/>
      <c r="C97" s="52">
        <f t="shared" si="17"/>
        <v>1</v>
      </c>
      <c r="D97" s="81">
        <v>0</v>
      </c>
      <c r="E97" s="81">
        <f t="shared" si="19"/>
        <v>0</v>
      </c>
      <c r="F97" s="81">
        <f t="shared" si="20"/>
        <v>0</v>
      </c>
      <c r="G97" s="83"/>
      <c r="H97" s="76">
        <f t="shared" si="21"/>
        <v>0</v>
      </c>
      <c r="I97" s="81"/>
      <c r="J97" s="81"/>
      <c r="K97" s="81"/>
      <c r="L97" s="96" t="s">
        <v>24</v>
      </c>
      <c r="M97" s="96" t="s">
        <v>24</v>
      </c>
      <c r="N97" s="96" t="s">
        <v>24</v>
      </c>
    </row>
    <row r="98" spans="1:14" ht="15">
      <c r="A98" s="75" t="str">
        <f t="shared" si="16"/>
        <v>Schedule LP-3 - Large Power (500-4999 kW)</v>
      </c>
      <c r="B98" s="81"/>
      <c r="C98" s="52">
        <f t="shared" si="17"/>
        <v>5</v>
      </c>
      <c r="D98" s="81">
        <f t="shared" si="18"/>
        <v>0</v>
      </c>
      <c r="E98" s="81">
        <f t="shared" si="19"/>
        <v>0</v>
      </c>
      <c r="F98" s="81">
        <f t="shared" si="20"/>
        <v>0</v>
      </c>
      <c r="G98" s="83"/>
      <c r="H98" s="76">
        <f t="shared" si="21"/>
        <v>0</v>
      </c>
      <c r="I98" s="81"/>
      <c r="J98" s="81"/>
      <c r="K98" s="81"/>
      <c r="L98" s="81"/>
      <c r="M98" s="81"/>
      <c r="N98" s="81"/>
    </row>
    <row r="99" spans="1:14" ht="15">
      <c r="A99" s="75" t="str">
        <f t="shared" si="16"/>
        <v>Special Contract</v>
      </c>
      <c r="B99" s="81"/>
      <c r="C99" s="52">
        <f t="shared" si="17"/>
        <v>1</v>
      </c>
      <c r="D99" s="81">
        <f>(N99)</f>
        <v>245.0593932038835</v>
      </c>
      <c r="E99" s="81">
        <f t="shared" si="19"/>
        <v>6.382236990517944</v>
      </c>
      <c r="F99" s="81">
        <f aca="true" t="shared" si="22" ref="F99:F104">(C99*E99)</f>
        <v>6.382236990517944</v>
      </c>
      <c r="G99" s="83"/>
      <c r="H99" s="76">
        <f t="shared" si="21"/>
        <v>0.00010381576173275696</v>
      </c>
      <c r="I99" s="81"/>
      <c r="J99" s="81"/>
      <c r="K99" s="81"/>
      <c r="L99" s="96" t="s">
        <v>533</v>
      </c>
      <c r="M99" s="96">
        <f>(100964.47/412)</f>
        <v>245.0593932038835</v>
      </c>
      <c r="N99" s="130">
        <f>(M99)</f>
        <v>245.0593932038835</v>
      </c>
    </row>
    <row r="100" spans="1:14" ht="15">
      <c r="A100" s="75" t="str">
        <f t="shared" si="16"/>
        <v>Schedule OPS - Optional Power Service</v>
      </c>
      <c r="B100" s="81"/>
      <c r="C100" s="52">
        <f t="shared" si="17"/>
        <v>150</v>
      </c>
      <c r="D100" s="81">
        <f>(N100)</f>
        <v>245.0593932038835</v>
      </c>
      <c r="E100" s="81">
        <f t="shared" si="19"/>
        <v>6.382236990517944</v>
      </c>
      <c r="F100" s="81">
        <f t="shared" si="22"/>
        <v>957.3355485776916</v>
      </c>
      <c r="G100" s="83"/>
      <c r="H100" s="76">
        <f t="shared" si="21"/>
        <v>0.015572364259913544</v>
      </c>
      <c r="I100" s="81"/>
      <c r="J100" s="81"/>
      <c r="K100" s="81"/>
      <c r="L100" s="96" t="s">
        <v>533</v>
      </c>
      <c r="M100" s="96">
        <f>(100964.47/412)</f>
        <v>245.0593932038835</v>
      </c>
      <c r="N100" s="130">
        <f>(M100)</f>
        <v>245.0593932038835</v>
      </c>
    </row>
    <row r="101" spans="1:14" ht="15">
      <c r="A101" s="75" t="str">
        <f t="shared" si="16"/>
        <v>Schedule AES - All Electric Schools</v>
      </c>
      <c r="B101" s="81"/>
      <c r="C101" s="52">
        <f t="shared" si="17"/>
        <v>10</v>
      </c>
      <c r="D101" s="81">
        <f>(N101)</f>
        <v>245.0593932038835</v>
      </c>
      <c r="E101" s="81">
        <f t="shared" si="19"/>
        <v>6.382236990517944</v>
      </c>
      <c r="F101" s="81">
        <f t="shared" si="22"/>
        <v>63.82236990517944</v>
      </c>
      <c r="G101" s="83"/>
      <c r="H101" s="76">
        <f t="shared" si="21"/>
        <v>0.0010381576173275698</v>
      </c>
      <c r="I101" s="81"/>
      <c r="J101" s="81"/>
      <c r="K101" s="81"/>
      <c r="L101" s="96" t="s">
        <v>540</v>
      </c>
      <c r="M101" s="96">
        <f>(100964.47/412)</f>
        <v>245.0593932038835</v>
      </c>
      <c r="N101" s="130">
        <f>(M101)</f>
        <v>245.0593932038835</v>
      </c>
    </row>
    <row r="102" spans="1:14" ht="15">
      <c r="A102" s="75" t="str">
        <f t="shared" si="16"/>
        <v>Schedule OL - Outdoor Lighting</v>
      </c>
      <c r="B102" s="81"/>
      <c r="C102" s="52">
        <f t="shared" si="17"/>
        <v>0</v>
      </c>
      <c r="D102" s="81">
        <f>(N102)</f>
        <v>0</v>
      </c>
      <c r="E102" s="81">
        <f t="shared" si="19"/>
        <v>0</v>
      </c>
      <c r="F102" s="81">
        <f t="shared" si="22"/>
        <v>0</v>
      </c>
      <c r="G102" s="83"/>
      <c r="H102" s="76">
        <f t="shared" si="21"/>
        <v>0</v>
      </c>
      <c r="I102" s="81"/>
      <c r="J102" s="81"/>
      <c r="K102" s="81"/>
      <c r="L102" s="81"/>
      <c r="M102" s="81"/>
      <c r="N102" s="81"/>
    </row>
    <row r="103" spans="1:14" ht="15">
      <c r="A103" s="75" t="str">
        <f t="shared" si="16"/>
        <v>Schedule STL - Street Lighting</v>
      </c>
      <c r="B103" s="81"/>
      <c r="C103" s="52">
        <f t="shared" si="17"/>
        <v>20</v>
      </c>
      <c r="D103" s="81">
        <f>(N103)</f>
        <v>0</v>
      </c>
      <c r="E103" s="81">
        <f t="shared" si="19"/>
        <v>0</v>
      </c>
      <c r="F103" s="81">
        <f t="shared" si="22"/>
        <v>0</v>
      </c>
      <c r="G103" s="83"/>
      <c r="H103" s="76">
        <f t="shared" si="21"/>
        <v>0</v>
      </c>
      <c r="I103" s="81"/>
      <c r="J103" s="81"/>
      <c r="K103" s="81"/>
      <c r="L103" s="81"/>
      <c r="M103" s="81"/>
      <c r="N103" s="81"/>
    </row>
    <row r="104" spans="1:14" ht="15">
      <c r="A104" s="75" t="str">
        <f t="shared" si="16"/>
        <v>Schedule DSTL - Decorative Street Lighting</v>
      </c>
      <c r="B104" s="81"/>
      <c r="C104" s="52">
        <f t="shared" si="17"/>
        <v>5</v>
      </c>
      <c r="D104" s="81"/>
      <c r="E104" s="81"/>
      <c r="F104" s="81">
        <f t="shared" si="22"/>
        <v>0</v>
      </c>
      <c r="G104" s="83"/>
      <c r="H104" s="76">
        <f t="shared" si="21"/>
        <v>0</v>
      </c>
      <c r="I104" s="81"/>
      <c r="J104" s="81"/>
      <c r="K104" s="81"/>
      <c r="L104" s="81"/>
      <c r="M104" s="81"/>
      <c r="N104" s="81"/>
    </row>
    <row r="105" spans="1:14" ht="15">
      <c r="A105" s="75" t="s">
        <v>24</v>
      </c>
      <c r="B105" s="81"/>
      <c r="C105" s="81">
        <f>SUM(C91:C104)</f>
        <v>59319</v>
      </c>
      <c r="D105" s="81"/>
      <c r="E105" s="81"/>
      <c r="F105" s="81">
        <f>SUM(F91:F104)</f>
        <v>61476.570455140805</v>
      </c>
      <c r="G105" s="83"/>
      <c r="H105" s="132">
        <f>SUM(H91:H104)</f>
        <v>1.0000000000000002</v>
      </c>
      <c r="I105" s="81"/>
      <c r="J105" s="81"/>
      <c r="K105" s="81"/>
      <c r="L105" s="81"/>
      <c r="M105" s="81"/>
      <c r="N105" s="81"/>
    </row>
    <row r="106" spans="1:14" ht="1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  <c r="M106" s="81"/>
      <c r="N106" s="81"/>
    </row>
    <row r="107" spans="1:14" ht="1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  <c r="M107" s="81"/>
      <c r="N107" s="81"/>
    </row>
    <row r="108" spans="1:14" ht="15">
      <c r="A108" s="81"/>
      <c r="B108" s="81"/>
      <c r="C108" s="81"/>
      <c r="D108" s="81"/>
      <c r="E108" s="81"/>
      <c r="F108" s="81"/>
      <c r="G108" s="90" t="s">
        <v>24</v>
      </c>
      <c r="H108" s="81"/>
      <c r="I108" s="81"/>
      <c r="J108" s="81"/>
      <c r="K108" s="81"/>
      <c r="L108" s="81"/>
      <c r="M108" s="81"/>
      <c r="N108" s="81"/>
    </row>
    <row r="109" spans="1:14" ht="15">
      <c r="A109" s="81"/>
      <c r="B109" s="81"/>
      <c r="C109" s="81"/>
      <c r="D109" s="81"/>
      <c r="E109" s="81"/>
      <c r="F109" s="81"/>
      <c r="G109" s="90"/>
      <c r="H109" s="81"/>
      <c r="I109" s="81"/>
      <c r="J109" s="81"/>
      <c r="K109" s="81"/>
      <c r="L109" s="81"/>
      <c r="M109" s="81"/>
      <c r="N109" s="81"/>
    </row>
    <row r="110" spans="1:14" ht="15">
      <c r="A110" s="81"/>
      <c r="B110" s="81"/>
      <c r="C110" s="81"/>
      <c r="D110" s="81"/>
      <c r="E110" s="81"/>
      <c r="F110" s="81"/>
      <c r="G110" s="90"/>
      <c r="H110" s="81"/>
      <c r="I110" s="81"/>
      <c r="J110" s="81"/>
      <c r="K110" s="81"/>
      <c r="L110" s="81"/>
      <c r="M110" s="81"/>
      <c r="N110" s="81"/>
    </row>
    <row r="111" spans="1:14" ht="15">
      <c r="A111" s="81"/>
      <c r="B111" s="81"/>
      <c r="C111" s="81"/>
      <c r="D111" s="81"/>
      <c r="E111" s="81"/>
      <c r="F111" s="81"/>
      <c r="G111" s="90"/>
      <c r="H111" s="81"/>
      <c r="I111" s="81"/>
      <c r="J111" s="81"/>
      <c r="K111" s="81"/>
      <c r="L111" s="81"/>
      <c r="M111" s="81"/>
      <c r="N111" s="81"/>
    </row>
    <row r="112" spans="1:14" ht="15.75">
      <c r="A112" s="84" t="s">
        <v>141</v>
      </c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  <c r="M112" s="81"/>
      <c r="N112" s="81"/>
    </row>
    <row r="113" spans="1:14" ht="1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  <c r="M113" s="81"/>
      <c r="N113" s="81"/>
    </row>
    <row r="114" spans="1:14" ht="15">
      <c r="A114" s="81" t="s">
        <v>24</v>
      </c>
      <c r="B114" s="81"/>
      <c r="C114" s="85"/>
      <c r="D114" s="85" t="s">
        <v>136</v>
      </c>
      <c r="E114" s="85" t="s">
        <v>136</v>
      </c>
      <c r="F114" s="85" t="s">
        <v>136</v>
      </c>
      <c r="G114" s="86" t="s">
        <v>349</v>
      </c>
      <c r="H114" s="85"/>
      <c r="I114" s="85"/>
      <c r="J114" s="81"/>
      <c r="K114" s="81"/>
      <c r="L114" s="81"/>
      <c r="M114" s="81"/>
      <c r="N114" s="81"/>
    </row>
    <row r="115" spans="1:14" ht="15">
      <c r="A115" s="81"/>
      <c r="B115" s="81"/>
      <c r="C115" s="85"/>
      <c r="D115" s="85" t="s">
        <v>137</v>
      </c>
      <c r="E115" s="85" t="s">
        <v>137</v>
      </c>
      <c r="F115" s="85" t="s">
        <v>137</v>
      </c>
      <c r="G115" s="92" t="s">
        <v>333</v>
      </c>
      <c r="H115" s="85"/>
      <c r="I115" s="85" t="s">
        <v>7</v>
      </c>
      <c r="J115" s="81"/>
      <c r="K115" s="81"/>
      <c r="L115" s="81"/>
      <c r="M115" s="81"/>
      <c r="N115" s="81"/>
    </row>
    <row r="116" spans="1:14" ht="17.25">
      <c r="A116" s="81" t="s">
        <v>132</v>
      </c>
      <c r="B116" s="81"/>
      <c r="C116" s="87" t="s">
        <v>133</v>
      </c>
      <c r="D116" s="87" t="s">
        <v>142</v>
      </c>
      <c r="E116" s="87" t="s">
        <v>143</v>
      </c>
      <c r="F116" s="87" t="s">
        <v>171</v>
      </c>
      <c r="G116" s="88" t="s">
        <v>334</v>
      </c>
      <c r="H116" s="87" t="s">
        <v>137</v>
      </c>
      <c r="I116" s="87" t="s">
        <v>130</v>
      </c>
      <c r="J116" s="81"/>
      <c r="K116" s="81"/>
      <c r="L116" s="81"/>
      <c r="M116" s="81"/>
      <c r="N116" s="81"/>
    </row>
    <row r="117" spans="1:14" ht="1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1"/>
      <c r="N117" s="81"/>
    </row>
    <row r="118" spans="1:14" ht="15">
      <c r="A118" s="75" t="str">
        <f aca="true" t="shared" si="23" ref="A118:A131">(A91)</f>
        <v>Schedule A - Residential</v>
      </c>
      <c r="B118" s="81"/>
      <c r="C118" s="52">
        <f aca="true" t="shared" si="24" ref="C118:C131">(C14)</f>
        <v>55298</v>
      </c>
      <c r="D118" s="81">
        <f>(E144)/($E$159)</f>
        <v>0.0625</v>
      </c>
      <c r="E118" s="81">
        <f>(H144/$H$159)*5</f>
        <v>0.32608695652173914</v>
      </c>
      <c r="F118" s="81">
        <f>(E170/$E$185)</f>
        <v>0.0975609756097561</v>
      </c>
      <c r="G118" s="82">
        <f aca="true" t="shared" si="25" ref="G118:G131">(D118+E118+F118)</f>
        <v>0.4861479321314952</v>
      </c>
      <c r="H118" s="52">
        <f>(C118*G118)</f>
        <v>26883.008351007422</v>
      </c>
      <c r="I118" s="146">
        <f>(H118/$H$132)</f>
        <v>0.9202008246562424</v>
      </c>
      <c r="J118" s="81"/>
      <c r="K118" s="81"/>
      <c r="L118" s="81"/>
      <c r="M118" s="81"/>
      <c r="N118" s="81"/>
    </row>
    <row r="119" spans="1:14" ht="15">
      <c r="A119" s="75" t="str">
        <f t="shared" si="23"/>
        <v>Schedule A - Marketing ETS</v>
      </c>
      <c r="B119" s="81"/>
      <c r="C119" s="52">
        <v>1722</v>
      </c>
      <c r="D119" s="81">
        <f aca="true" t="shared" si="26" ref="D119:D131">(E145)/($E$159)</f>
        <v>0.0625</v>
      </c>
      <c r="E119" s="81">
        <f aca="true" t="shared" si="27" ref="E119:E131">(H145/$H$159)*5</f>
        <v>0.10869565217391304</v>
      </c>
      <c r="F119" s="81">
        <f aca="true" t="shared" si="28" ref="F119:F131">(E171/$E$185)</f>
        <v>0.024390243902439025</v>
      </c>
      <c r="G119" s="82">
        <f t="shared" si="25"/>
        <v>0.19558589607635204</v>
      </c>
      <c r="H119" s="52">
        <f>(C119*G119)</f>
        <v>336.7989130434782</v>
      </c>
      <c r="I119" s="146">
        <f>(H119/$H$132)</f>
        <v>0.011528569774607112</v>
      </c>
      <c r="J119" s="81"/>
      <c r="K119" s="81"/>
      <c r="L119" s="81"/>
      <c r="M119" s="81"/>
      <c r="N119" s="81"/>
    </row>
    <row r="120" spans="1:14" ht="15">
      <c r="A120" s="75" t="str">
        <f t="shared" si="23"/>
        <v>Schedule B - Small Commercial </v>
      </c>
      <c r="B120" s="81"/>
      <c r="C120" s="52">
        <f t="shared" si="24"/>
        <v>3581</v>
      </c>
      <c r="D120" s="81">
        <f t="shared" si="26"/>
        <v>0.0625</v>
      </c>
      <c r="E120" s="81">
        <f t="shared" si="27"/>
        <v>0.32608695652173914</v>
      </c>
      <c r="F120" s="81">
        <f t="shared" si="28"/>
        <v>0.0975609756097561</v>
      </c>
      <c r="G120" s="82">
        <f t="shared" si="25"/>
        <v>0.4861479321314952</v>
      </c>
      <c r="H120" s="52">
        <f>(C120*G120)</f>
        <v>1740.8957449628842</v>
      </c>
      <c r="I120" s="146">
        <f>(H120/$H$132)</f>
        <v>0.059590566622554235</v>
      </c>
      <c r="J120" s="81"/>
      <c r="K120" s="81"/>
      <c r="L120" s="81"/>
      <c r="M120" s="81"/>
      <c r="N120" s="81"/>
    </row>
    <row r="121" spans="1:14" ht="15">
      <c r="A121" s="75" t="str">
        <f t="shared" si="23"/>
        <v>Schedule B- ETS</v>
      </c>
      <c r="B121" s="81"/>
      <c r="C121" s="79">
        <v>2</v>
      </c>
      <c r="D121" s="81">
        <f t="shared" si="26"/>
        <v>0.0625</v>
      </c>
      <c r="E121" s="81">
        <f t="shared" si="27"/>
        <v>0.10869565217391304</v>
      </c>
      <c r="F121" s="81">
        <f t="shared" si="28"/>
        <v>0.024390243902439025</v>
      </c>
      <c r="G121" s="82">
        <f t="shared" si="25"/>
        <v>0.19558589607635204</v>
      </c>
      <c r="H121" s="52">
        <f>(C121*G121)</f>
        <v>0.3911717921527041</v>
      </c>
      <c r="I121" s="146">
        <f aca="true" t="shared" si="29" ref="I121:I129">(H121/$H$132)</f>
        <v>1.338974422137876E-05</v>
      </c>
      <c r="J121" s="81"/>
      <c r="K121" s="81"/>
      <c r="L121" s="81"/>
      <c r="M121" s="81"/>
      <c r="N121" s="81"/>
    </row>
    <row r="122" spans="1:14" ht="15">
      <c r="A122" s="75" t="str">
        <f t="shared" si="23"/>
        <v>Schedule LP - Large Power Rate</v>
      </c>
      <c r="B122" s="81"/>
      <c r="C122" s="52">
        <f t="shared" si="24"/>
        <v>246</v>
      </c>
      <c r="D122" s="81">
        <f t="shared" si="26"/>
        <v>0.125</v>
      </c>
      <c r="E122" s="81">
        <f t="shared" si="27"/>
        <v>0.43478260869565216</v>
      </c>
      <c r="F122" s="81">
        <f t="shared" si="28"/>
        <v>0.0975609756097561</v>
      </c>
      <c r="G122" s="82">
        <f t="shared" si="25"/>
        <v>0.6573435843054082</v>
      </c>
      <c r="H122" s="52">
        <f>(C122*G122)</f>
        <v>161.7065217391304</v>
      </c>
      <c r="I122" s="146">
        <f t="shared" si="29"/>
        <v>0.005535186862785174</v>
      </c>
      <c r="J122" s="81"/>
      <c r="K122" s="81"/>
      <c r="L122" s="81"/>
      <c r="M122" s="81"/>
      <c r="N122" s="81"/>
    </row>
    <row r="123" spans="1:14" s="89" customFormat="1" ht="15">
      <c r="A123" s="75" t="str">
        <f t="shared" si="23"/>
        <v>Schedule LP-1 - Large Power (500-4999 kW)</v>
      </c>
      <c r="B123" s="77"/>
      <c r="C123" s="52">
        <f t="shared" si="24"/>
        <v>2</v>
      </c>
      <c r="D123" s="81">
        <f t="shared" si="26"/>
        <v>0.125</v>
      </c>
      <c r="E123" s="81">
        <f t="shared" si="27"/>
        <v>0.6521739130434783</v>
      </c>
      <c r="F123" s="81">
        <f t="shared" si="28"/>
        <v>0.0975609756097561</v>
      </c>
      <c r="G123" s="82">
        <f t="shared" si="25"/>
        <v>0.8747348886532343</v>
      </c>
      <c r="H123" s="52">
        <f aca="true" t="shared" si="30" ref="H123:H131">(C123*G123)</f>
        <v>1.7494697773064687</v>
      </c>
      <c r="I123" s="146">
        <f t="shared" si="29"/>
        <v>5.988405429812162E-05</v>
      </c>
      <c r="J123" s="77"/>
      <c r="K123" s="77"/>
      <c r="L123" s="77"/>
      <c r="M123" s="77"/>
      <c r="N123" s="77"/>
    </row>
    <row r="124" spans="1:14" s="89" customFormat="1" ht="15">
      <c r="A124" s="75" t="str">
        <f t="shared" si="23"/>
        <v>Schedule LP-2 - Large Power (5000-9999kW)</v>
      </c>
      <c r="B124" s="77"/>
      <c r="C124" s="52">
        <f t="shared" si="24"/>
        <v>1</v>
      </c>
      <c r="D124" s="81">
        <f t="shared" si="26"/>
        <v>0.125</v>
      </c>
      <c r="E124" s="81">
        <f t="shared" si="27"/>
        <v>0.6521739130434783</v>
      </c>
      <c r="F124" s="81">
        <f t="shared" si="28"/>
        <v>0.0975609756097561</v>
      </c>
      <c r="G124" s="82">
        <f t="shared" si="25"/>
        <v>0.8747348886532343</v>
      </c>
      <c r="H124" s="52">
        <f t="shared" si="30"/>
        <v>0.8747348886532343</v>
      </c>
      <c r="I124" s="146">
        <f t="shared" si="29"/>
        <v>2.994202714906081E-05</v>
      </c>
      <c r="J124" s="77"/>
      <c r="K124" s="77"/>
      <c r="L124" s="77"/>
      <c r="M124" s="77"/>
      <c r="N124" s="77"/>
    </row>
    <row r="125" spans="1:14" ht="15">
      <c r="A125" s="75" t="str">
        <f t="shared" si="23"/>
        <v>Schedule LP-3 - Large Power (500-4999 kW)</v>
      </c>
      <c r="B125" s="81"/>
      <c r="C125" s="52">
        <f t="shared" si="24"/>
        <v>5</v>
      </c>
      <c r="D125" s="81">
        <f t="shared" si="26"/>
        <v>0.125</v>
      </c>
      <c r="E125" s="81">
        <f t="shared" si="27"/>
        <v>0.6521739130434783</v>
      </c>
      <c r="F125" s="81">
        <f t="shared" si="28"/>
        <v>0.0975609756097561</v>
      </c>
      <c r="G125" s="82">
        <f t="shared" si="25"/>
        <v>0.8747348886532343</v>
      </c>
      <c r="H125" s="52">
        <f t="shared" si="30"/>
        <v>4.373674443266172</v>
      </c>
      <c r="I125" s="146">
        <f t="shared" si="29"/>
        <v>0.00014971013574530405</v>
      </c>
      <c r="J125" s="81"/>
      <c r="K125" s="81"/>
      <c r="L125" s="81"/>
      <c r="M125" s="81"/>
      <c r="N125" s="81"/>
    </row>
    <row r="126" spans="1:14" ht="15">
      <c r="A126" s="75" t="str">
        <f t="shared" si="23"/>
        <v>Special Contract</v>
      </c>
      <c r="B126" s="81"/>
      <c r="C126" s="52">
        <f t="shared" si="24"/>
        <v>1</v>
      </c>
      <c r="D126" s="81">
        <f t="shared" si="26"/>
        <v>0.125</v>
      </c>
      <c r="E126" s="81">
        <f t="shared" si="27"/>
        <v>0.43478260869565216</v>
      </c>
      <c r="F126" s="81">
        <f t="shared" si="28"/>
        <v>0.0975609756097561</v>
      </c>
      <c r="G126" s="82">
        <f t="shared" si="25"/>
        <v>0.6573435843054082</v>
      </c>
      <c r="H126" s="52">
        <f t="shared" si="30"/>
        <v>0.6573435843054082</v>
      </c>
      <c r="I126" s="146">
        <f t="shared" si="29"/>
        <v>2.2500759604817782E-05</v>
      </c>
      <c r="J126" s="81"/>
      <c r="K126" s="81"/>
      <c r="L126" s="81"/>
      <c r="M126" s="81"/>
      <c r="N126" s="81"/>
    </row>
    <row r="127" spans="1:14" ht="15">
      <c r="A127" s="75" t="str">
        <f t="shared" si="23"/>
        <v>Schedule OPS - Optional Power Service</v>
      </c>
      <c r="B127" s="81"/>
      <c r="C127" s="52">
        <f t="shared" si="24"/>
        <v>150</v>
      </c>
      <c r="D127" s="81">
        <f t="shared" si="26"/>
        <v>0.0625</v>
      </c>
      <c r="E127" s="81">
        <f t="shared" si="27"/>
        <v>0.32608695652173914</v>
      </c>
      <c r="F127" s="81">
        <f t="shared" si="28"/>
        <v>0.0975609756097561</v>
      </c>
      <c r="G127" s="82">
        <f t="shared" si="25"/>
        <v>0.4861479321314952</v>
      </c>
      <c r="H127" s="52">
        <f t="shared" si="30"/>
        <v>72.92218981972428</v>
      </c>
      <c r="I127" s="146">
        <f t="shared" si="29"/>
        <v>0.00249611421205896</v>
      </c>
      <c r="J127" s="81"/>
      <c r="K127" s="81"/>
      <c r="L127" s="81"/>
      <c r="M127" s="81"/>
      <c r="N127" s="81"/>
    </row>
    <row r="128" spans="1:14" ht="15">
      <c r="A128" s="75" t="str">
        <f t="shared" si="23"/>
        <v>Schedule AES - All Electric Schools</v>
      </c>
      <c r="B128" s="81"/>
      <c r="C128" s="52">
        <f t="shared" si="24"/>
        <v>10</v>
      </c>
      <c r="D128" s="81">
        <f t="shared" si="26"/>
        <v>0.0625</v>
      </c>
      <c r="E128" s="81">
        <f t="shared" si="27"/>
        <v>0.32608695652173914</v>
      </c>
      <c r="F128" s="81">
        <f t="shared" si="28"/>
        <v>0.0975609756097561</v>
      </c>
      <c r="G128" s="82">
        <f t="shared" si="25"/>
        <v>0.4861479321314952</v>
      </c>
      <c r="H128" s="52">
        <f t="shared" si="30"/>
        <v>4.8614793213149525</v>
      </c>
      <c r="I128" s="146">
        <f t="shared" si="29"/>
        <v>0.000166407614137264</v>
      </c>
      <c r="J128" s="81"/>
      <c r="K128" s="81"/>
      <c r="L128" s="81"/>
      <c r="M128" s="81"/>
      <c r="N128" s="81"/>
    </row>
    <row r="129" spans="1:14" ht="15">
      <c r="A129" s="75" t="str">
        <f t="shared" si="23"/>
        <v>Schedule OL - Outdoor Lighting</v>
      </c>
      <c r="B129" s="81"/>
      <c r="C129" s="52">
        <f t="shared" si="24"/>
        <v>0</v>
      </c>
      <c r="D129" s="81">
        <f t="shared" si="26"/>
        <v>0</v>
      </c>
      <c r="E129" s="81">
        <f t="shared" si="27"/>
        <v>0.21739130434782608</v>
      </c>
      <c r="F129" s="81">
        <f t="shared" si="28"/>
        <v>0.024390243902439025</v>
      </c>
      <c r="G129" s="82">
        <f t="shared" si="25"/>
        <v>0.2417815482502651</v>
      </c>
      <c r="H129" s="52">
        <f t="shared" si="30"/>
        <v>0</v>
      </c>
      <c r="I129" s="146">
        <f t="shared" si="29"/>
        <v>0</v>
      </c>
      <c r="J129" s="81"/>
      <c r="K129" s="81"/>
      <c r="L129" s="81"/>
      <c r="M129" s="81"/>
      <c r="N129" s="81"/>
    </row>
    <row r="130" spans="1:14" ht="15">
      <c r="A130" s="75" t="str">
        <f t="shared" si="23"/>
        <v>Schedule STL - Street Lighting</v>
      </c>
      <c r="B130" s="81"/>
      <c r="C130" s="52">
        <v>20</v>
      </c>
      <c r="D130" s="81">
        <f t="shared" si="26"/>
        <v>0</v>
      </c>
      <c r="E130" s="81">
        <f t="shared" si="27"/>
        <v>0.21739130434782608</v>
      </c>
      <c r="F130" s="81">
        <f t="shared" si="28"/>
        <v>0.024390243902439025</v>
      </c>
      <c r="G130" s="82">
        <f t="shared" si="25"/>
        <v>0.2417815482502651</v>
      </c>
      <c r="H130" s="52">
        <f t="shared" si="30"/>
        <v>4.835630965005302</v>
      </c>
      <c r="I130" s="146">
        <f>(H130/$H$132)</f>
        <v>0.00016552282927682048</v>
      </c>
      <c r="J130" s="81"/>
      <c r="K130" s="81"/>
      <c r="L130" s="81"/>
      <c r="M130" s="81"/>
      <c r="N130" s="81"/>
    </row>
    <row r="131" spans="1:14" ht="15">
      <c r="A131" s="75" t="str">
        <f t="shared" si="23"/>
        <v>Schedule DSTL - Decorative Street Lighting</v>
      </c>
      <c r="B131" s="81"/>
      <c r="C131" s="52">
        <f t="shared" si="24"/>
        <v>5</v>
      </c>
      <c r="D131" s="81">
        <f t="shared" si="26"/>
        <v>0</v>
      </c>
      <c r="E131" s="81">
        <f t="shared" si="27"/>
        <v>0.21739130434782608</v>
      </c>
      <c r="F131" s="81">
        <f t="shared" si="28"/>
        <v>0.024390243902439025</v>
      </c>
      <c r="G131" s="82">
        <f t="shared" si="25"/>
        <v>0.2417815482502651</v>
      </c>
      <c r="H131" s="52">
        <f t="shared" si="30"/>
        <v>1.2089077412513256</v>
      </c>
      <c r="I131" s="146">
        <f>(H131/$H$132)</f>
        <v>4.138070731920512E-05</v>
      </c>
      <c r="J131" s="81"/>
      <c r="K131" s="81"/>
      <c r="L131" s="81"/>
      <c r="M131" s="81"/>
      <c r="N131" s="81"/>
    </row>
    <row r="132" spans="1:14" ht="15">
      <c r="A132" s="75"/>
      <c r="B132" s="81"/>
      <c r="C132" s="81"/>
      <c r="D132" s="81"/>
      <c r="E132" s="81"/>
      <c r="F132" s="81"/>
      <c r="G132" s="82"/>
      <c r="H132" s="81">
        <f>SUM(H118:H131)</f>
        <v>29214.284133085897</v>
      </c>
      <c r="I132" s="133">
        <f>SUM(I118:I131)</f>
        <v>0.9999999999999999</v>
      </c>
      <c r="J132" s="81"/>
      <c r="K132" s="81"/>
      <c r="L132" s="81"/>
      <c r="M132" s="81"/>
      <c r="N132" s="81"/>
    </row>
    <row r="133" spans="1:14" ht="15">
      <c r="A133" s="75"/>
      <c r="B133" s="81"/>
      <c r="C133" s="81"/>
      <c r="D133" s="81">
        <f>SUM(D118:D131)</f>
        <v>1</v>
      </c>
      <c r="E133" s="81">
        <f>SUM(E118:E131)</f>
        <v>5.000000000000001</v>
      </c>
      <c r="F133" s="81">
        <f>SUM(F118:F131)</f>
        <v>0.9999999999999999</v>
      </c>
      <c r="G133" s="81">
        <f>SUM(G118:G131)</f>
        <v>7.000000000000001</v>
      </c>
      <c r="H133" s="81"/>
      <c r="I133" s="81"/>
      <c r="J133" s="81"/>
      <c r="K133" s="81"/>
      <c r="L133" s="81"/>
      <c r="M133" s="81"/>
      <c r="N133" s="81"/>
    </row>
    <row r="134" spans="1:14" ht="15">
      <c r="A134" s="75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  <c r="M134" s="81"/>
      <c r="N134" s="81"/>
    </row>
    <row r="135" spans="1:14" ht="15">
      <c r="A135" s="81" t="s">
        <v>24</v>
      </c>
      <c r="B135" s="81"/>
      <c r="C135" s="81" t="s">
        <v>24</v>
      </c>
      <c r="D135" s="81" t="s">
        <v>24</v>
      </c>
      <c r="E135" s="81" t="s">
        <v>24</v>
      </c>
      <c r="F135" s="81" t="s">
        <v>24</v>
      </c>
      <c r="G135" s="82"/>
      <c r="H135" s="81"/>
      <c r="I135" s="81"/>
      <c r="J135" s="81"/>
      <c r="K135" s="81"/>
      <c r="L135" s="81"/>
      <c r="M135" s="81"/>
      <c r="N135" s="81"/>
    </row>
    <row r="136" spans="1:14" ht="1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  <c r="M136" s="81"/>
      <c r="N136" s="81"/>
    </row>
    <row r="137" spans="1:14" ht="1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  <c r="M137" s="81"/>
      <c r="N137" s="81"/>
    </row>
    <row r="138" spans="1:14" ht="1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  <c r="M138" s="81"/>
      <c r="N138" s="81"/>
    </row>
    <row r="139" spans="1:14" ht="1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  <c r="M139" s="81"/>
      <c r="N139" s="81"/>
    </row>
    <row r="140" spans="1:14" ht="15">
      <c r="A140" s="81" t="s">
        <v>24</v>
      </c>
      <c r="B140" s="81"/>
      <c r="C140" s="254" t="s">
        <v>267</v>
      </c>
      <c r="D140" s="254"/>
      <c r="E140" s="254"/>
      <c r="F140" s="254" t="s">
        <v>268</v>
      </c>
      <c r="G140" s="254"/>
      <c r="H140" s="254"/>
      <c r="L140" s="81"/>
      <c r="M140" s="81"/>
      <c r="N140" s="81"/>
    </row>
    <row r="141" spans="1:14" ht="15">
      <c r="A141" s="81" t="s">
        <v>24</v>
      </c>
      <c r="B141" s="81"/>
      <c r="C141" s="81"/>
      <c r="D141" s="85" t="s">
        <v>24</v>
      </c>
      <c r="E141" s="85" t="s">
        <v>136</v>
      </c>
      <c r="F141" s="85"/>
      <c r="G141" s="86" t="s">
        <v>24</v>
      </c>
      <c r="H141" s="85" t="s">
        <v>136</v>
      </c>
      <c r="L141" s="81"/>
      <c r="M141" s="81"/>
      <c r="N141" s="81"/>
    </row>
    <row r="142" spans="1:14" ht="15">
      <c r="A142" s="81" t="s">
        <v>24</v>
      </c>
      <c r="B142" s="81"/>
      <c r="C142" s="81"/>
      <c r="D142" s="85" t="s">
        <v>24</v>
      </c>
      <c r="E142" s="85" t="s">
        <v>137</v>
      </c>
      <c r="F142" s="85"/>
      <c r="G142" s="86" t="s">
        <v>24</v>
      </c>
      <c r="H142" s="85" t="s">
        <v>137</v>
      </c>
      <c r="L142" s="81"/>
      <c r="M142" s="81"/>
      <c r="N142" s="81"/>
    </row>
    <row r="143" spans="1:14" ht="17.25">
      <c r="A143" s="81" t="s">
        <v>24</v>
      </c>
      <c r="B143" s="81"/>
      <c r="C143" s="87" t="s">
        <v>266</v>
      </c>
      <c r="D143" s="93" t="s">
        <v>137</v>
      </c>
      <c r="E143" s="94" t="s">
        <v>24</v>
      </c>
      <c r="F143" s="87" t="s">
        <v>266</v>
      </c>
      <c r="G143" s="95" t="s">
        <v>137</v>
      </c>
      <c r="H143" s="94" t="s">
        <v>24</v>
      </c>
      <c r="L143" s="81"/>
      <c r="M143" s="81"/>
      <c r="N143" s="81"/>
    </row>
    <row r="144" spans="1:14" ht="15">
      <c r="A144" s="75" t="str">
        <f>(A118)</f>
        <v>Schedule A - Residential</v>
      </c>
      <c r="B144" s="81"/>
      <c r="C144" s="81">
        <v>1</v>
      </c>
      <c r="D144" s="81">
        <v>1</v>
      </c>
      <c r="E144" s="81">
        <f aca="true" t="shared" si="31" ref="E144:E157">(C144*D144)</f>
        <v>1</v>
      </c>
      <c r="F144" s="81">
        <v>3</v>
      </c>
      <c r="G144" s="82">
        <v>5</v>
      </c>
      <c r="H144" s="81">
        <f aca="true" t="shared" si="32" ref="H144:H157">(F144*G144)</f>
        <v>15</v>
      </c>
      <c r="L144" s="81"/>
      <c r="M144" s="81"/>
      <c r="N144" s="81"/>
    </row>
    <row r="145" spans="1:14" ht="15">
      <c r="A145" s="75" t="str">
        <f aca="true" t="shared" si="33" ref="A145:A157">(A119)</f>
        <v>Schedule A - Marketing ETS</v>
      </c>
      <c r="B145" s="81"/>
      <c r="C145" s="81">
        <v>1</v>
      </c>
      <c r="D145" s="81">
        <v>1</v>
      </c>
      <c r="E145" s="81">
        <f t="shared" si="31"/>
        <v>1</v>
      </c>
      <c r="F145" s="81">
        <v>1</v>
      </c>
      <c r="G145" s="82">
        <v>5</v>
      </c>
      <c r="H145" s="81">
        <f t="shared" si="32"/>
        <v>5</v>
      </c>
      <c r="L145" s="81"/>
      <c r="M145" s="81"/>
      <c r="N145" s="81"/>
    </row>
    <row r="146" spans="1:14" ht="15">
      <c r="A146" s="75" t="str">
        <f t="shared" si="33"/>
        <v>Schedule B - Small Commercial </v>
      </c>
      <c r="B146" s="81"/>
      <c r="C146" s="81">
        <v>1</v>
      </c>
      <c r="D146" s="81">
        <v>1</v>
      </c>
      <c r="E146" s="81">
        <f t="shared" si="31"/>
        <v>1</v>
      </c>
      <c r="F146" s="81">
        <v>3</v>
      </c>
      <c r="G146" s="82">
        <v>5</v>
      </c>
      <c r="H146" s="81">
        <f t="shared" si="32"/>
        <v>15</v>
      </c>
      <c r="L146" s="81"/>
      <c r="M146" s="81"/>
      <c r="N146" s="81"/>
    </row>
    <row r="147" spans="1:14" ht="15">
      <c r="A147" s="75" t="str">
        <f t="shared" si="33"/>
        <v>Schedule B- ETS</v>
      </c>
      <c r="B147" s="81"/>
      <c r="C147" s="81">
        <v>1</v>
      </c>
      <c r="D147" s="81">
        <v>1</v>
      </c>
      <c r="E147" s="81">
        <f t="shared" si="31"/>
        <v>1</v>
      </c>
      <c r="F147" s="81">
        <v>1</v>
      </c>
      <c r="G147" s="82">
        <v>5</v>
      </c>
      <c r="H147" s="81">
        <f t="shared" si="32"/>
        <v>5</v>
      </c>
      <c r="L147" s="81"/>
      <c r="M147" s="81"/>
      <c r="N147" s="81"/>
    </row>
    <row r="148" spans="1:14" ht="15">
      <c r="A148" s="75" t="str">
        <f t="shared" si="33"/>
        <v>Schedule LP - Large Power Rate</v>
      </c>
      <c r="B148" s="81"/>
      <c r="C148" s="81">
        <v>2</v>
      </c>
      <c r="D148" s="81">
        <v>1</v>
      </c>
      <c r="E148" s="81">
        <f t="shared" si="31"/>
        <v>2</v>
      </c>
      <c r="F148" s="81">
        <v>4</v>
      </c>
      <c r="G148" s="82">
        <v>5</v>
      </c>
      <c r="H148" s="81">
        <f t="shared" si="32"/>
        <v>20</v>
      </c>
      <c r="L148" s="81"/>
      <c r="M148" s="81"/>
      <c r="N148" s="81"/>
    </row>
    <row r="149" spans="1:14" s="89" customFormat="1" ht="15">
      <c r="A149" s="75" t="str">
        <f t="shared" si="33"/>
        <v>Schedule LP-1 - Large Power (500-4999 kW)</v>
      </c>
      <c r="B149" s="77"/>
      <c r="C149" s="81">
        <v>2</v>
      </c>
      <c r="D149" s="81">
        <v>1</v>
      </c>
      <c r="E149" s="81">
        <f t="shared" si="31"/>
        <v>2</v>
      </c>
      <c r="F149" s="81">
        <v>6</v>
      </c>
      <c r="G149" s="82">
        <v>5</v>
      </c>
      <c r="H149" s="81">
        <f t="shared" si="32"/>
        <v>30</v>
      </c>
      <c r="I149" s="77"/>
      <c r="J149" s="77"/>
      <c r="K149" s="77"/>
      <c r="L149" s="77"/>
      <c r="M149" s="77"/>
      <c r="N149" s="77"/>
    </row>
    <row r="150" spans="1:14" s="89" customFormat="1" ht="15">
      <c r="A150" s="75" t="str">
        <f t="shared" si="33"/>
        <v>Schedule LP-2 - Large Power (5000-9999kW)</v>
      </c>
      <c r="B150" s="83"/>
      <c r="C150" s="81">
        <v>2</v>
      </c>
      <c r="D150" s="81">
        <v>1</v>
      </c>
      <c r="E150" s="81">
        <f t="shared" si="31"/>
        <v>2</v>
      </c>
      <c r="F150" s="81">
        <v>6</v>
      </c>
      <c r="G150" s="82">
        <v>5</v>
      </c>
      <c r="H150" s="81">
        <f t="shared" si="32"/>
        <v>30</v>
      </c>
      <c r="I150" s="77"/>
      <c r="J150" s="77"/>
      <c r="K150" s="77"/>
      <c r="L150" s="77"/>
      <c r="M150" s="77"/>
      <c r="N150" s="77"/>
    </row>
    <row r="151" spans="1:14" s="89" customFormat="1" ht="15">
      <c r="A151" s="75" t="str">
        <f t="shared" si="33"/>
        <v>Schedule LP-3 - Large Power (500-4999 kW)</v>
      </c>
      <c r="B151" s="83"/>
      <c r="C151" s="81">
        <v>2</v>
      </c>
      <c r="D151" s="81">
        <v>1</v>
      </c>
      <c r="E151" s="81">
        <f t="shared" si="31"/>
        <v>2</v>
      </c>
      <c r="F151" s="81">
        <v>6</v>
      </c>
      <c r="G151" s="82">
        <v>5</v>
      </c>
      <c r="H151" s="81">
        <f t="shared" si="32"/>
        <v>30</v>
      </c>
      <c r="I151" s="77"/>
      <c r="J151" s="77"/>
      <c r="K151" s="77"/>
      <c r="L151" s="77"/>
      <c r="M151" s="77"/>
      <c r="N151" s="77"/>
    </row>
    <row r="152" spans="1:14" s="89" customFormat="1" ht="15">
      <c r="A152" s="75" t="str">
        <f t="shared" si="33"/>
        <v>Special Contract</v>
      </c>
      <c r="B152" s="83"/>
      <c r="C152" s="81">
        <v>2</v>
      </c>
      <c r="D152" s="81">
        <v>1</v>
      </c>
      <c r="E152" s="81">
        <f t="shared" si="31"/>
        <v>2</v>
      </c>
      <c r="F152" s="81">
        <v>4</v>
      </c>
      <c r="G152" s="82">
        <v>5</v>
      </c>
      <c r="H152" s="81">
        <f t="shared" si="32"/>
        <v>20</v>
      </c>
      <c r="I152" s="77"/>
      <c r="J152" s="77"/>
      <c r="K152" s="77"/>
      <c r="L152" s="77"/>
      <c r="M152" s="77"/>
      <c r="N152" s="77"/>
    </row>
    <row r="153" spans="1:14" s="89" customFormat="1" ht="15">
      <c r="A153" s="75" t="str">
        <f t="shared" si="33"/>
        <v>Schedule OPS - Optional Power Service</v>
      </c>
      <c r="B153" s="83"/>
      <c r="C153" s="83">
        <v>1</v>
      </c>
      <c r="D153" s="81">
        <v>1</v>
      </c>
      <c r="E153" s="81">
        <f t="shared" si="31"/>
        <v>1</v>
      </c>
      <c r="F153" s="81">
        <v>3</v>
      </c>
      <c r="G153" s="82">
        <v>5</v>
      </c>
      <c r="H153" s="81">
        <f t="shared" si="32"/>
        <v>15</v>
      </c>
      <c r="I153" s="77"/>
      <c r="J153" s="77"/>
      <c r="K153" s="77"/>
      <c r="L153" s="77"/>
      <c r="M153" s="77"/>
      <c r="N153" s="77"/>
    </row>
    <row r="154" spans="1:14" s="89" customFormat="1" ht="15">
      <c r="A154" s="75" t="str">
        <f t="shared" si="33"/>
        <v>Schedule AES - All Electric Schools</v>
      </c>
      <c r="B154" s="83"/>
      <c r="C154" s="83">
        <v>1</v>
      </c>
      <c r="D154" s="81">
        <v>1</v>
      </c>
      <c r="E154" s="81">
        <f t="shared" si="31"/>
        <v>1</v>
      </c>
      <c r="F154" s="81">
        <v>3</v>
      </c>
      <c r="G154" s="82">
        <v>5</v>
      </c>
      <c r="H154" s="81">
        <f t="shared" si="32"/>
        <v>15</v>
      </c>
      <c r="I154" s="77"/>
      <c r="J154" s="77"/>
      <c r="K154" s="77"/>
      <c r="L154" s="77"/>
      <c r="M154" s="77"/>
      <c r="N154" s="77"/>
    </row>
    <row r="155" spans="1:14" s="89" customFormat="1" ht="15">
      <c r="A155" s="75" t="str">
        <f t="shared" si="33"/>
        <v>Schedule OL - Outdoor Lighting</v>
      </c>
      <c r="B155" s="83"/>
      <c r="C155" s="83"/>
      <c r="D155" s="81">
        <v>1</v>
      </c>
      <c r="E155" s="81">
        <f t="shared" si="31"/>
        <v>0</v>
      </c>
      <c r="F155" s="81">
        <v>2</v>
      </c>
      <c r="G155" s="82">
        <v>5</v>
      </c>
      <c r="H155" s="81">
        <f t="shared" si="32"/>
        <v>10</v>
      </c>
      <c r="I155" s="77"/>
      <c r="J155" s="77"/>
      <c r="K155" s="77"/>
      <c r="L155" s="77"/>
      <c r="M155" s="77"/>
      <c r="N155" s="77"/>
    </row>
    <row r="156" spans="1:14" s="89" customFormat="1" ht="15">
      <c r="A156" s="75" t="str">
        <f t="shared" si="33"/>
        <v>Schedule STL - Street Lighting</v>
      </c>
      <c r="B156" s="83"/>
      <c r="C156" s="83">
        <v>0</v>
      </c>
      <c r="D156" s="81">
        <v>1</v>
      </c>
      <c r="E156" s="81">
        <f t="shared" si="31"/>
        <v>0</v>
      </c>
      <c r="F156" s="81">
        <v>2</v>
      </c>
      <c r="G156" s="82">
        <v>5</v>
      </c>
      <c r="H156" s="81">
        <f t="shared" si="32"/>
        <v>10</v>
      </c>
      <c r="I156" s="77"/>
      <c r="J156" s="77"/>
      <c r="K156" s="77"/>
      <c r="L156" s="77"/>
      <c r="M156" s="77"/>
      <c r="N156" s="77"/>
    </row>
    <row r="157" spans="1:14" s="89" customFormat="1" ht="15">
      <c r="A157" s="75" t="str">
        <f t="shared" si="33"/>
        <v>Schedule DSTL - Decorative Street Lighting</v>
      </c>
      <c r="B157" s="83"/>
      <c r="C157" s="83">
        <v>0</v>
      </c>
      <c r="D157" s="81">
        <v>1</v>
      </c>
      <c r="E157" s="81">
        <f t="shared" si="31"/>
        <v>0</v>
      </c>
      <c r="F157" s="81">
        <v>2</v>
      </c>
      <c r="G157" s="82">
        <v>5</v>
      </c>
      <c r="H157" s="81">
        <f t="shared" si="32"/>
        <v>10</v>
      </c>
      <c r="I157" s="77"/>
      <c r="J157" s="77"/>
      <c r="K157" s="77"/>
      <c r="L157" s="77"/>
      <c r="M157" s="77"/>
      <c r="N157" s="77"/>
    </row>
    <row r="158" spans="1:14" s="89" customFormat="1" ht="15">
      <c r="A158" s="83"/>
      <c r="B158" s="83"/>
      <c r="C158" s="83"/>
      <c r="D158" s="83"/>
      <c r="E158" s="83"/>
      <c r="F158" s="77"/>
      <c r="G158" s="91"/>
      <c r="H158" s="77"/>
      <c r="I158" s="77"/>
      <c r="J158" s="77"/>
      <c r="K158" s="77"/>
      <c r="L158" s="77"/>
      <c r="M158" s="77"/>
      <c r="N158" s="77"/>
    </row>
    <row r="159" spans="1:14" s="89" customFormat="1" ht="15">
      <c r="A159" s="83"/>
      <c r="B159" s="83"/>
      <c r="C159" s="83"/>
      <c r="D159" s="83">
        <f>SUM(D144:D157)</f>
        <v>14</v>
      </c>
      <c r="E159" s="83">
        <f>SUM(E144:E157)</f>
        <v>16</v>
      </c>
      <c r="F159" s="77"/>
      <c r="G159" s="83">
        <f>SUM(G144:G157)</f>
        <v>70</v>
      </c>
      <c r="H159" s="83">
        <f>SUM(H144:H157)</f>
        <v>230</v>
      </c>
      <c r="I159" s="77"/>
      <c r="J159" s="77"/>
      <c r="K159" s="77"/>
      <c r="L159" s="77"/>
      <c r="M159" s="77"/>
      <c r="N159" s="77"/>
    </row>
    <row r="160" spans="1:14" s="89" customFormat="1" ht="15">
      <c r="A160" s="83"/>
      <c r="B160" s="83"/>
      <c r="C160" s="83"/>
      <c r="D160" s="83"/>
      <c r="E160" s="83"/>
      <c r="F160" s="77"/>
      <c r="G160" s="91"/>
      <c r="H160" s="77"/>
      <c r="I160" s="77"/>
      <c r="J160" s="77"/>
      <c r="K160" s="77"/>
      <c r="L160" s="77"/>
      <c r="M160" s="77"/>
      <c r="N160" s="77"/>
    </row>
    <row r="161" spans="1:14" s="89" customFormat="1" ht="15">
      <c r="A161" s="83"/>
      <c r="B161" s="83"/>
      <c r="C161" s="83"/>
      <c r="D161" s="83"/>
      <c r="E161" s="83"/>
      <c r="F161" s="77"/>
      <c r="G161" s="91"/>
      <c r="H161" s="77"/>
      <c r="I161" s="77"/>
      <c r="J161" s="77"/>
      <c r="K161" s="77"/>
      <c r="L161" s="77"/>
      <c r="M161" s="77"/>
      <c r="N161" s="77"/>
    </row>
    <row r="162" spans="1:14" s="89" customFormat="1" ht="15">
      <c r="A162" s="83"/>
      <c r="B162" s="83"/>
      <c r="C162" s="83"/>
      <c r="D162" s="83"/>
      <c r="E162" s="83"/>
      <c r="F162" s="77"/>
      <c r="G162" s="91"/>
      <c r="H162" s="77"/>
      <c r="I162" s="77"/>
      <c r="J162" s="77"/>
      <c r="K162" s="77"/>
      <c r="L162" s="77"/>
      <c r="M162" s="77"/>
      <c r="N162" s="77"/>
    </row>
    <row r="163" spans="1:14" s="89" customFormat="1" ht="15">
      <c r="A163" s="83"/>
      <c r="B163" s="83"/>
      <c r="C163" s="83"/>
      <c r="D163" s="83"/>
      <c r="E163" s="83"/>
      <c r="F163" s="77"/>
      <c r="G163" s="91"/>
      <c r="H163" s="77"/>
      <c r="I163" s="77"/>
      <c r="J163" s="77"/>
      <c r="K163" s="77"/>
      <c r="L163" s="77"/>
      <c r="M163" s="77"/>
      <c r="N163" s="77"/>
    </row>
    <row r="164" spans="1:14" s="89" customFormat="1" ht="15">
      <c r="A164" s="83"/>
      <c r="B164" s="83"/>
      <c r="C164" s="83"/>
      <c r="D164" s="83"/>
      <c r="E164" s="83"/>
      <c r="F164" s="77"/>
      <c r="G164" s="91"/>
      <c r="H164" s="77"/>
      <c r="I164" s="77"/>
      <c r="J164" s="77"/>
      <c r="K164" s="77"/>
      <c r="L164" s="77"/>
      <c r="M164" s="77"/>
      <c r="N164" s="77"/>
    </row>
    <row r="165" spans="1:14" s="89" customFormat="1" ht="15">
      <c r="A165" s="83"/>
      <c r="B165" s="83"/>
      <c r="C165" s="83"/>
      <c r="D165" s="83"/>
      <c r="E165" s="83"/>
      <c r="F165" s="77"/>
      <c r="G165" s="91"/>
      <c r="H165" s="77"/>
      <c r="I165" s="77"/>
      <c r="J165" s="77"/>
      <c r="K165" s="77"/>
      <c r="L165" s="77"/>
      <c r="M165" s="77"/>
      <c r="N165" s="77"/>
    </row>
    <row r="166" spans="1:14" s="89" customFormat="1" ht="15">
      <c r="A166" s="77"/>
      <c r="B166" s="77"/>
      <c r="C166" s="254" t="s">
        <v>269</v>
      </c>
      <c r="D166" s="254"/>
      <c r="E166" s="254"/>
      <c r="F166" s="77"/>
      <c r="G166" s="91"/>
      <c r="H166" s="77"/>
      <c r="I166" s="77"/>
      <c r="J166" s="77"/>
      <c r="K166" s="77"/>
      <c r="L166" s="77"/>
      <c r="M166" s="77"/>
      <c r="N166" s="77"/>
    </row>
    <row r="167" spans="1:14" s="89" customFormat="1" ht="15">
      <c r="A167" s="77"/>
      <c r="B167" s="77"/>
      <c r="C167" s="85"/>
      <c r="D167" s="85" t="s">
        <v>24</v>
      </c>
      <c r="E167" s="85" t="s">
        <v>136</v>
      </c>
      <c r="F167" s="96" t="s">
        <v>24</v>
      </c>
      <c r="G167" s="91"/>
      <c r="H167" s="77"/>
      <c r="I167" s="77"/>
      <c r="J167" s="77"/>
      <c r="K167" s="77"/>
      <c r="L167" s="77"/>
      <c r="M167" s="77"/>
      <c r="N167" s="77"/>
    </row>
    <row r="168" spans="1:14" ht="15">
      <c r="A168" s="77"/>
      <c r="B168" s="77"/>
      <c r="C168" s="85"/>
      <c r="D168" s="85" t="s">
        <v>24</v>
      </c>
      <c r="E168" s="85" t="s">
        <v>137</v>
      </c>
      <c r="F168" s="81"/>
      <c r="G168" s="82"/>
      <c r="H168" s="81"/>
      <c r="I168" s="81"/>
      <c r="J168" s="81"/>
      <c r="K168" s="81"/>
      <c r="L168" s="81"/>
      <c r="M168" s="81"/>
      <c r="N168" s="81"/>
    </row>
    <row r="169" spans="1:14" ht="17.25">
      <c r="A169" s="77"/>
      <c r="B169" s="77"/>
      <c r="C169" s="87" t="s">
        <v>266</v>
      </c>
      <c r="D169" s="97" t="s">
        <v>137</v>
      </c>
      <c r="E169" s="94" t="s">
        <v>24</v>
      </c>
      <c r="F169" s="81"/>
      <c r="G169" s="82"/>
      <c r="H169" s="81"/>
      <c r="I169" s="81"/>
      <c r="J169" s="81"/>
      <c r="K169" s="81"/>
      <c r="L169" s="81"/>
      <c r="M169" s="81"/>
      <c r="N169" s="81"/>
    </row>
    <row r="170" spans="1:14" ht="15">
      <c r="A170" s="96" t="str">
        <f aca="true" t="shared" si="34" ref="A170:A183">(A144)</f>
        <v>Schedule A - Residential</v>
      </c>
      <c r="B170" s="77"/>
      <c r="C170" s="81">
        <v>1</v>
      </c>
      <c r="D170" s="81">
        <v>1</v>
      </c>
      <c r="E170" s="81">
        <f aca="true" t="shared" si="35" ref="E170:E183">(C170*D170)</f>
        <v>1</v>
      </c>
      <c r="F170" s="81"/>
      <c r="G170" s="90" t="s">
        <v>24</v>
      </c>
      <c r="H170" s="81"/>
      <c r="I170" s="81"/>
      <c r="J170" s="81"/>
      <c r="K170" s="81"/>
      <c r="L170" s="81"/>
      <c r="M170" s="81"/>
      <c r="N170" s="81"/>
    </row>
    <row r="171" spans="1:14" ht="15">
      <c r="A171" s="96" t="str">
        <f t="shared" si="34"/>
        <v>Schedule A - Marketing ETS</v>
      </c>
      <c r="B171" s="77"/>
      <c r="C171" s="81">
        <v>0.25</v>
      </c>
      <c r="D171" s="81">
        <v>1</v>
      </c>
      <c r="E171" s="81">
        <f t="shared" si="35"/>
        <v>0.25</v>
      </c>
      <c r="F171" s="81"/>
      <c r="G171" s="82"/>
      <c r="H171" s="81"/>
      <c r="I171" s="81"/>
      <c r="J171" s="81"/>
      <c r="K171" s="81"/>
      <c r="L171" s="81"/>
      <c r="M171" s="81"/>
      <c r="N171" s="81"/>
    </row>
    <row r="172" spans="1:5" ht="15">
      <c r="A172" s="96" t="str">
        <f t="shared" si="34"/>
        <v>Schedule B - Small Commercial </v>
      </c>
      <c r="B172" s="77"/>
      <c r="C172" s="81">
        <v>1</v>
      </c>
      <c r="D172" s="81">
        <v>1</v>
      </c>
      <c r="E172" s="81">
        <f t="shared" si="35"/>
        <v>1</v>
      </c>
    </row>
    <row r="173" spans="1:5" ht="15">
      <c r="A173" s="96" t="str">
        <f t="shared" si="34"/>
        <v>Schedule B- ETS</v>
      </c>
      <c r="B173" s="81"/>
      <c r="C173" s="81">
        <v>0.25</v>
      </c>
      <c r="D173" s="81">
        <v>1</v>
      </c>
      <c r="E173" s="81">
        <f t="shared" si="35"/>
        <v>0.25</v>
      </c>
    </row>
    <row r="174" spans="1:5" ht="15">
      <c r="A174" s="96" t="str">
        <f t="shared" si="34"/>
        <v>Schedule LP - Large Power Rate</v>
      </c>
      <c r="B174" s="81"/>
      <c r="C174" s="81">
        <v>1</v>
      </c>
      <c r="D174" s="81">
        <v>1</v>
      </c>
      <c r="E174" s="81">
        <f t="shared" si="35"/>
        <v>1</v>
      </c>
    </row>
    <row r="175" spans="1:5" ht="15">
      <c r="A175" s="96" t="str">
        <f t="shared" si="34"/>
        <v>Schedule LP-1 - Large Power (500-4999 kW)</v>
      </c>
      <c r="C175" s="81">
        <v>1</v>
      </c>
      <c r="D175" s="81">
        <v>1</v>
      </c>
      <c r="E175" s="81">
        <f t="shared" si="35"/>
        <v>1</v>
      </c>
    </row>
    <row r="176" spans="1:5" ht="15">
      <c r="A176" s="96" t="str">
        <f t="shared" si="34"/>
        <v>Schedule LP-2 - Large Power (5000-9999kW)</v>
      </c>
      <c r="C176" s="81">
        <v>1</v>
      </c>
      <c r="D176" s="81">
        <v>1</v>
      </c>
      <c r="E176" s="81">
        <f t="shared" si="35"/>
        <v>1</v>
      </c>
    </row>
    <row r="177" spans="1:5" ht="15">
      <c r="A177" s="96" t="str">
        <f t="shared" si="34"/>
        <v>Schedule LP-3 - Large Power (500-4999 kW)</v>
      </c>
      <c r="C177" s="81">
        <v>1</v>
      </c>
      <c r="D177" s="81">
        <v>1</v>
      </c>
      <c r="E177" s="81">
        <f t="shared" si="35"/>
        <v>1</v>
      </c>
    </row>
    <row r="178" spans="1:5" ht="15">
      <c r="A178" s="96" t="str">
        <f t="shared" si="34"/>
        <v>Special Contract</v>
      </c>
      <c r="C178" s="81">
        <v>1</v>
      </c>
      <c r="D178" s="81">
        <v>1</v>
      </c>
      <c r="E178" s="81">
        <f t="shared" si="35"/>
        <v>1</v>
      </c>
    </row>
    <row r="179" spans="1:5" ht="15">
      <c r="A179" s="96" t="str">
        <f t="shared" si="34"/>
        <v>Schedule OPS - Optional Power Service</v>
      </c>
      <c r="C179" s="81">
        <v>1</v>
      </c>
      <c r="D179" s="81">
        <v>1</v>
      </c>
      <c r="E179" s="81">
        <f t="shared" si="35"/>
        <v>1</v>
      </c>
    </row>
    <row r="180" spans="1:5" ht="15">
      <c r="A180" s="96" t="str">
        <f t="shared" si="34"/>
        <v>Schedule AES - All Electric Schools</v>
      </c>
      <c r="C180" s="81">
        <v>1</v>
      </c>
      <c r="D180" s="81">
        <v>1</v>
      </c>
      <c r="E180" s="81">
        <f t="shared" si="35"/>
        <v>1</v>
      </c>
    </row>
    <row r="181" spans="1:5" ht="15">
      <c r="A181" s="96" t="str">
        <f t="shared" si="34"/>
        <v>Schedule OL - Outdoor Lighting</v>
      </c>
      <c r="C181" s="81">
        <v>0.25</v>
      </c>
      <c r="D181" s="81">
        <v>1</v>
      </c>
      <c r="E181" s="81">
        <f t="shared" si="35"/>
        <v>0.25</v>
      </c>
    </row>
    <row r="182" spans="1:5" ht="15">
      <c r="A182" s="96" t="str">
        <f t="shared" si="34"/>
        <v>Schedule STL - Street Lighting</v>
      </c>
      <c r="C182" s="81">
        <v>0.25</v>
      </c>
      <c r="D182" s="81">
        <v>1</v>
      </c>
      <c r="E182" s="81">
        <f t="shared" si="35"/>
        <v>0.25</v>
      </c>
    </row>
    <row r="183" spans="1:5" ht="15">
      <c r="A183" s="96" t="str">
        <f t="shared" si="34"/>
        <v>Schedule DSTL - Decorative Street Lighting</v>
      </c>
      <c r="C183" s="81">
        <v>0.25</v>
      </c>
      <c r="D183" s="81">
        <v>1</v>
      </c>
      <c r="E183" s="81">
        <f t="shared" si="35"/>
        <v>0.25</v>
      </c>
    </row>
    <row r="185" ht="15">
      <c r="E185" s="83">
        <f>SUM(E170:E183)</f>
        <v>10.25</v>
      </c>
    </row>
  </sheetData>
  <mergeCells count="3">
    <mergeCell ref="C140:E140"/>
    <mergeCell ref="F140:H140"/>
    <mergeCell ref="C166:E166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SOUTH KENTUCKY RECC
CASE NO. 2005-00450
Consumer Related Costs Allocators&amp;R
Exhibit R
 Schedule 8
Page &amp;P of &amp;N 
&amp;"Arial,Bold"&amp;11 </oddHeader>
  </headerFooter>
  <rowBreaks count="6" manualBreakCount="6">
    <brk id="29" max="8" man="1"/>
    <brk id="54" max="8" man="1"/>
    <brk id="81" max="8" man="1"/>
    <brk id="107" max="8" man="1"/>
    <brk id="135" max="8" man="1"/>
    <brk id="160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5:B11"/>
  <sheetViews>
    <sheetView workbookViewId="0" topLeftCell="A1">
      <selection activeCell="G13" sqref="G13"/>
    </sheetView>
  </sheetViews>
  <sheetFormatPr defaultColWidth="9.140625" defaultRowHeight="12.75"/>
  <cols>
    <col min="1" max="1" width="4.28125" style="1" customWidth="1"/>
  </cols>
  <sheetData>
    <row r="5" spans="1:2" ht="12.75">
      <c r="A5" s="1">
        <v>1</v>
      </c>
      <c r="B5" t="s">
        <v>553</v>
      </c>
    </row>
    <row r="7" spans="1:2" ht="12.75">
      <c r="A7" s="1">
        <v>2</v>
      </c>
      <c r="B7" t="s">
        <v>554</v>
      </c>
    </row>
    <row r="9" spans="1:2" ht="12.75">
      <c r="A9" s="1">
        <v>3</v>
      </c>
      <c r="B9" t="s">
        <v>555</v>
      </c>
    </row>
    <row r="11" spans="1:2" ht="12.75">
      <c r="A11" s="1">
        <v>4</v>
      </c>
      <c r="B11" t="s">
        <v>556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60" workbookViewId="0" topLeftCell="A2">
      <selection activeCell="B2" sqref="B2:J2"/>
    </sheetView>
  </sheetViews>
  <sheetFormatPr defaultColWidth="9.140625" defaultRowHeight="12.75"/>
  <cols>
    <col min="1" max="1" width="3.8515625" style="105" customWidth="1"/>
    <col min="2" max="2" width="3.8515625" style="89" customWidth="1"/>
    <col min="3" max="6" width="9.140625" style="89" customWidth="1"/>
    <col min="7" max="7" width="6.8515625" style="89" customWidth="1"/>
    <col min="8" max="8" width="15.7109375" style="89" customWidth="1"/>
    <col min="9" max="9" width="14.57421875" style="89" customWidth="1"/>
    <col min="10" max="10" width="15.57421875" style="89" customWidth="1"/>
    <col min="11" max="16384" width="9.140625" style="89" customWidth="1"/>
  </cols>
  <sheetData>
    <row r="1" spans="2:10" ht="15">
      <c r="B1" s="237" t="s">
        <v>366</v>
      </c>
      <c r="C1" s="237"/>
      <c r="D1" s="237"/>
      <c r="E1" s="237"/>
      <c r="F1" s="237"/>
      <c r="G1" s="237"/>
      <c r="H1" s="237"/>
      <c r="I1" s="237"/>
      <c r="J1" s="237"/>
    </row>
    <row r="2" spans="2:10" ht="15">
      <c r="B2" s="237" t="s">
        <v>367</v>
      </c>
      <c r="C2" s="237"/>
      <c r="D2" s="237"/>
      <c r="E2" s="237"/>
      <c r="F2" s="237"/>
      <c r="G2" s="237"/>
      <c r="H2" s="237"/>
      <c r="I2" s="237"/>
      <c r="J2" s="237"/>
    </row>
    <row r="4" spans="2:10" ht="15">
      <c r="B4" s="236" t="s">
        <v>368</v>
      </c>
      <c r="C4" s="236"/>
      <c r="D4" s="236"/>
      <c r="E4" s="236"/>
      <c r="F4" s="236"/>
      <c r="G4" s="236"/>
      <c r="H4" s="236"/>
      <c r="I4" s="236"/>
      <c r="J4" s="236"/>
    </row>
    <row r="7" spans="1:9" ht="15.75" thickBot="1">
      <c r="A7" s="105">
        <v>1</v>
      </c>
      <c r="B7" s="89" t="s">
        <v>369</v>
      </c>
      <c r="I7" s="107" t="s">
        <v>370</v>
      </c>
    </row>
    <row r="9" spans="1:9" ht="15">
      <c r="A9" s="105">
        <v>2</v>
      </c>
      <c r="B9" s="89" t="s">
        <v>371</v>
      </c>
      <c r="I9" s="108">
        <f>-('[1]StmtOper'!$W$53)</f>
        <v>379785.5766459332</v>
      </c>
    </row>
    <row r="11" spans="1:9" ht="15.75" thickBot="1">
      <c r="A11" s="105">
        <v>3</v>
      </c>
      <c r="B11" s="89" t="s">
        <v>372</v>
      </c>
      <c r="I11" s="109">
        <f>('[1]StmtOper'!$W$37)</f>
        <v>1015090.4590449401</v>
      </c>
    </row>
    <row r="13" spans="1:9" ht="15.75" thickBot="1">
      <c r="A13" s="105">
        <v>4</v>
      </c>
      <c r="B13" s="89" t="s">
        <v>373</v>
      </c>
      <c r="I13" s="115">
        <f>(I9+I11)</f>
        <v>1394876.0356908734</v>
      </c>
    </row>
    <row r="14" ht="15.75" thickTop="1"/>
    <row r="17" spans="1:10" ht="15">
      <c r="A17" s="236" t="s">
        <v>374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9" spans="1:2" ht="15">
      <c r="A19" s="105">
        <v>1</v>
      </c>
      <c r="B19" s="89" t="s">
        <v>375</v>
      </c>
    </row>
    <row r="21" spans="2:9" ht="15">
      <c r="B21" s="89" t="s">
        <v>376</v>
      </c>
      <c r="C21" s="89" t="s">
        <v>377</v>
      </c>
      <c r="I21" s="110">
        <f>-('StmtOper-O'!$M$24)</f>
        <v>35803.880643200566</v>
      </c>
    </row>
    <row r="23" spans="2:9" ht="15">
      <c r="B23" s="89" t="s">
        <v>378</v>
      </c>
      <c r="C23" s="89" t="s">
        <v>379</v>
      </c>
      <c r="I23" s="79">
        <f>('StmtOper-O'!$M$16)</f>
        <v>69780.88608939096</v>
      </c>
    </row>
    <row r="25" spans="2:9" ht="15">
      <c r="B25" s="89" t="s">
        <v>380</v>
      </c>
      <c r="C25" s="89" t="s">
        <v>381</v>
      </c>
      <c r="I25" s="110">
        <f>(I21+I23)</f>
        <v>105584.76673259152</v>
      </c>
    </row>
    <row r="27" spans="2:9" ht="15">
      <c r="B27" s="89" t="s">
        <v>382</v>
      </c>
      <c r="C27" s="89" t="s">
        <v>383</v>
      </c>
      <c r="I27" s="79">
        <f>('StmtOper-O'!$M$6)</f>
        <v>1952450</v>
      </c>
    </row>
    <row r="29" spans="2:9" ht="15">
      <c r="B29" s="89" t="s">
        <v>384</v>
      </c>
      <c r="C29" s="89" t="s">
        <v>385</v>
      </c>
      <c r="I29" s="111">
        <f>(I25/I27)</f>
        <v>0.0540780899549753</v>
      </c>
    </row>
    <row r="31" spans="2:3" ht="15">
      <c r="B31" s="89" t="s">
        <v>386</v>
      </c>
      <c r="C31" s="89" t="s">
        <v>387</v>
      </c>
    </row>
    <row r="33" spans="9:10" ht="15">
      <c r="I33" s="105" t="s">
        <v>388</v>
      </c>
      <c r="J33" s="105" t="s">
        <v>389</v>
      </c>
    </row>
    <row r="34" spans="9:10" ht="15">
      <c r="I34" s="106" t="s">
        <v>390</v>
      </c>
      <c r="J34" s="106" t="s">
        <v>390</v>
      </c>
    </row>
    <row r="35" ht="15">
      <c r="D35" s="89" t="s">
        <v>24</v>
      </c>
    </row>
    <row r="36" spans="3:10" ht="15">
      <c r="C36" s="89" t="s">
        <v>391</v>
      </c>
      <c r="I36" s="112">
        <v>5.94</v>
      </c>
      <c r="J36" s="112">
        <v>11.4</v>
      </c>
    </row>
    <row r="38" spans="3:10" ht="15">
      <c r="C38" s="89" t="s">
        <v>392</v>
      </c>
      <c r="I38" s="83">
        <f>(I36*I29)</f>
        <v>0.3212238543325533</v>
      </c>
      <c r="J38" s="83">
        <f>(J36*I29)</f>
        <v>0.6164902254867185</v>
      </c>
    </row>
    <row r="40" spans="3:10" ht="15">
      <c r="C40" s="89" t="s">
        <v>393</v>
      </c>
      <c r="I40" s="113">
        <f>(I36+I38)</f>
        <v>6.261223854332553</v>
      </c>
      <c r="J40" s="113">
        <f>(J36+J38)</f>
        <v>12.016490225486718</v>
      </c>
    </row>
    <row r="46" spans="1:2" ht="15">
      <c r="A46" s="105">
        <v>2</v>
      </c>
      <c r="B46" s="89" t="s">
        <v>394</v>
      </c>
    </row>
    <row r="48" spans="2:10" ht="15">
      <c r="B48" s="89" t="s">
        <v>376</v>
      </c>
      <c r="C48" s="89" t="s">
        <v>377</v>
      </c>
      <c r="D48" s="89" t="s">
        <v>395</v>
      </c>
      <c r="J48" s="101">
        <f>(I13)</f>
        <v>1394876.0356908734</v>
      </c>
    </row>
    <row r="50" spans="2:10" ht="15">
      <c r="B50" s="89" t="s">
        <v>378</v>
      </c>
      <c r="C50" s="89" t="s">
        <v>396</v>
      </c>
      <c r="J50" s="101">
        <f>(I25)</f>
        <v>105584.76673259152</v>
      </c>
    </row>
    <row r="52" spans="2:10" ht="15">
      <c r="B52" s="89" t="s">
        <v>380</v>
      </c>
      <c r="C52" s="89" t="s">
        <v>381</v>
      </c>
      <c r="J52" s="101">
        <f>(J48-J50)</f>
        <v>1289291.268958282</v>
      </c>
    </row>
    <row r="54" spans="2:10" ht="15">
      <c r="B54" s="89" t="s">
        <v>382</v>
      </c>
      <c r="C54" s="89" t="s">
        <v>383</v>
      </c>
      <c r="H54" s="110">
        <f>('[1]NormRev'!$D$13)</f>
        <v>18382370.12464</v>
      </c>
      <c r="I54" s="110">
        <f>('[1]NormRev'!$D$14)</f>
        <v>44001.56953</v>
      </c>
      <c r="J54" s="110">
        <f>('[1]NormRev'!$D$13+'[1]NormRev'!$D$14)</f>
        <v>18426371.69417</v>
      </c>
    </row>
    <row r="56" spans="2:10" ht="15">
      <c r="B56" s="89" t="s">
        <v>384</v>
      </c>
      <c r="C56" s="89" t="s">
        <v>385</v>
      </c>
      <c r="J56" s="111">
        <f>(J52/J54)</f>
        <v>0.06996989371305294</v>
      </c>
    </row>
    <row r="58" spans="2:3" ht="15">
      <c r="B58" s="89" t="s">
        <v>386</v>
      </c>
      <c r="C58" s="89" t="s">
        <v>387</v>
      </c>
    </row>
    <row r="60" spans="3:10" ht="15">
      <c r="C60" s="89" t="s">
        <v>397</v>
      </c>
      <c r="I60" s="101" t="s">
        <v>24</v>
      </c>
      <c r="J60" s="101">
        <f>(J52)</f>
        <v>1289291.268958282</v>
      </c>
    </row>
    <row r="62" spans="3:10" ht="15">
      <c r="C62" s="89" t="s">
        <v>398</v>
      </c>
      <c r="H62" s="79">
        <f>('[1]NormRev-1'!$D$8)+('[1]YrEnd#Consum'!$E$27)</f>
        <v>294691994.02559763</v>
      </c>
      <c r="I62" s="79">
        <f>('[1]NormRev-1'!$D$11)</f>
        <v>1257547</v>
      </c>
      <c r="J62" s="79">
        <f>(H62+(I62*0.6))</f>
        <v>295446522.2255976</v>
      </c>
    </row>
    <row r="64" spans="3:10" ht="15">
      <c r="C64" s="89" t="s">
        <v>399</v>
      </c>
      <c r="I64" s="102" t="s">
        <v>24</v>
      </c>
      <c r="J64" s="103">
        <f>(J60/J62)</f>
        <v>0.004363873567527738</v>
      </c>
    </row>
    <row r="66" spans="3:10" ht="15">
      <c r="C66" s="89" t="s">
        <v>400</v>
      </c>
      <c r="J66" s="89">
        <v>0.05832</v>
      </c>
    </row>
    <row r="68" spans="3:10" ht="15">
      <c r="C68" s="89" t="s">
        <v>401</v>
      </c>
      <c r="I68" s="104" t="s">
        <v>24</v>
      </c>
      <c r="J68" s="114">
        <f>(J64+J66)</f>
        <v>0.06268387356752773</v>
      </c>
    </row>
    <row r="71" spans="1:10" ht="15">
      <c r="A71" s="236" t="s">
        <v>402</v>
      </c>
      <c r="B71" s="236"/>
      <c r="C71" s="236"/>
      <c r="D71" s="236"/>
      <c r="E71" s="236"/>
      <c r="F71" s="236"/>
      <c r="G71" s="236"/>
      <c r="H71" s="236"/>
      <c r="I71" s="236"/>
      <c r="J71" s="236"/>
    </row>
    <row r="73" spans="1:10" ht="15">
      <c r="A73" s="236" t="s">
        <v>403</v>
      </c>
      <c r="B73" s="236"/>
      <c r="C73" s="236"/>
      <c r="D73" s="236"/>
      <c r="E73" s="236"/>
      <c r="F73" s="236"/>
      <c r="G73" s="236"/>
      <c r="H73" s="236"/>
      <c r="I73" s="236"/>
      <c r="J73" s="236"/>
    </row>
    <row r="76" spans="9:10" ht="15">
      <c r="I76" s="105" t="s">
        <v>404</v>
      </c>
      <c r="J76" s="105" t="s">
        <v>405</v>
      </c>
    </row>
    <row r="77" spans="9:10" ht="15">
      <c r="I77" s="106" t="s">
        <v>166</v>
      </c>
      <c r="J77" s="106" t="s">
        <v>166</v>
      </c>
    </row>
    <row r="78" spans="1:2" ht="15">
      <c r="A78" s="105">
        <v>1</v>
      </c>
      <c r="B78" s="89" t="s">
        <v>406</v>
      </c>
    </row>
    <row r="80" spans="3:10" ht="15">
      <c r="C80" s="89" t="s">
        <v>407</v>
      </c>
      <c r="I80" s="112">
        <v>8.11</v>
      </c>
      <c r="J80" s="112">
        <f>(I80*(1+$I$29))</f>
        <v>8.548573309534849</v>
      </c>
    </row>
    <row r="81" ht="15">
      <c r="I81" s="112"/>
    </row>
    <row r="82" spans="1:9" ht="15">
      <c r="A82" s="105">
        <v>2</v>
      </c>
      <c r="B82" s="89" t="s">
        <v>408</v>
      </c>
      <c r="I82" s="112"/>
    </row>
    <row r="83" ht="15">
      <c r="I83" s="112"/>
    </row>
    <row r="84" spans="3:10" ht="15">
      <c r="C84" s="89" t="s">
        <v>409</v>
      </c>
      <c r="I84" s="112">
        <v>5.94</v>
      </c>
      <c r="J84" s="112">
        <f>(I84*(1+$I$29))</f>
        <v>6.261223854332553</v>
      </c>
    </row>
    <row r="85" spans="3:10" ht="15">
      <c r="C85" s="89" t="s">
        <v>410</v>
      </c>
      <c r="I85" s="112">
        <v>6.78</v>
      </c>
      <c r="J85" s="112">
        <f>(I85*(1+$I$29))</f>
        <v>7.146649449894733</v>
      </c>
    </row>
    <row r="86" spans="3:10" ht="15">
      <c r="C86" s="89" t="s">
        <v>411</v>
      </c>
      <c r="I86" s="112">
        <v>7.34</v>
      </c>
      <c r="J86" s="112">
        <f>(I86*(1+$I$29))</f>
        <v>7.736933180269519</v>
      </c>
    </row>
    <row r="87" spans="3:10" ht="15">
      <c r="C87" s="89" t="s">
        <v>412</v>
      </c>
      <c r="I87" s="112">
        <v>11.4</v>
      </c>
      <c r="J87" s="112">
        <f>(I87*(1+$I$29))</f>
        <v>12.016490225486718</v>
      </c>
    </row>
  </sheetData>
  <mergeCells count="6">
    <mergeCell ref="A71:J71"/>
    <mergeCell ref="A73:J73"/>
    <mergeCell ref="B1:J1"/>
    <mergeCell ref="B2:J2"/>
    <mergeCell ref="B4:J4"/>
    <mergeCell ref="A17:J17"/>
  </mergeCells>
  <printOptions/>
  <pageMargins left="0.75" right="0.75" top="1" bottom="1" header="0.5" footer="0.5"/>
  <pageSetup horizontalDpi="300" verticalDpi="300" orientation="portrait" scale="93" r:id="rId1"/>
  <headerFooter alignWithMargins="0">
    <oddHeader>&amp;RExhibit S
Schedule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W51"/>
  <sheetViews>
    <sheetView view="pageBreakPreview" zoomScale="60" workbookViewId="0" topLeftCell="A1">
      <pane xSplit="4" topLeftCell="E1" activePane="topRight" state="frozen"/>
      <selection pane="topLeft" activeCell="A1" sqref="A1"/>
      <selection pane="topRight" activeCell="J44" sqref="J44"/>
    </sheetView>
  </sheetViews>
  <sheetFormatPr defaultColWidth="9.140625" defaultRowHeight="12.75"/>
  <cols>
    <col min="1" max="1" width="17.421875" style="0" customWidth="1"/>
    <col min="2" max="2" width="2.8515625" style="0" customWidth="1"/>
    <col min="3" max="4" width="9.140625" style="0" hidden="1" customWidth="1"/>
    <col min="6" max="6" width="13.28125" style="0" customWidth="1"/>
    <col min="7" max="7" width="13.7109375" style="0" customWidth="1"/>
    <col min="8" max="8" width="12.140625" style="0" customWidth="1"/>
    <col min="9" max="9" width="13.8515625" style="0" customWidth="1"/>
    <col min="10" max="10" width="15.00390625" style="0" customWidth="1"/>
    <col min="11" max="11" width="12.421875" style="0" customWidth="1"/>
    <col min="12" max="12" width="11.7109375" style="0" customWidth="1"/>
    <col min="13" max="13" width="12.140625" style="0" customWidth="1"/>
    <col min="14" max="14" width="11.140625" style="0" customWidth="1"/>
    <col min="15" max="15" width="14.00390625" style="0" customWidth="1"/>
    <col min="16" max="16" width="13.57421875" style="0" customWidth="1"/>
    <col min="17" max="17" width="12.7109375" style="0" customWidth="1"/>
    <col min="18" max="18" width="12.57421875" style="0" customWidth="1"/>
    <col min="19" max="19" width="13.8515625" style="0" customWidth="1"/>
    <col min="20" max="20" width="4.00390625" style="0" customWidth="1"/>
    <col min="21" max="21" width="12.57421875" style="0" customWidth="1"/>
    <col min="22" max="22" width="13.7109375" style="0" customWidth="1"/>
    <col min="23" max="23" width="10.421875" style="0" customWidth="1"/>
  </cols>
  <sheetData>
    <row r="3" spans="6:19" ht="12.75">
      <c r="F3" s="99" t="str">
        <f>('StmtOper-Unbund'!E4)</f>
        <v>Schedule A</v>
      </c>
      <c r="G3" s="99" t="str">
        <f>('StmtOper-Unbund'!F4)</f>
        <v>Schedule A</v>
      </c>
      <c r="H3" s="99" t="str">
        <f>('StmtOper-Unbund'!G4)</f>
        <v>Schedule B</v>
      </c>
      <c r="I3" s="99" t="str">
        <f>('StmtOper-Unbund'!H4)</f>
        <v>Schedule B</v>
      </c>
      <c r="J3" s="99" t="str">
        <f>('StmtOper-Unbund'!I4)</f>
        <v>Schedule LP</v>
      </c>
      <c r="K3" s="99" t="str">
        <f>('StmtOper-Unbund'!J4)</f>
        <v>Schedule LP-1</v>
      </c>
      <c r="L3" s="99" t="str">
        <f>('StmtOper-Unbund'!K4)</f>
        <v>Schedule LP-2</v>
      </c>
      <c r="M3" s="99" t="str">
        <f>('StmtOper-Unbund'!L4)</f>
        <v>Schedule LP-3</v>
      </c>
      <c r="N3" s="99" t="str">
        <f>('StmtOper-Unbund'!M4)</f>
        <v>Special</v>
      </c>
      <c r="O3" s="99" t="str">
        <f>('StmtOper-Unbund'!N4)</f>
        <v>Schedule OPS</v>
      </c>
      <c r="P3" s="99" t="str">
        <f>('StmtOper-Unbund'!O4)</f>
        <v>Schedule AES</v>
      </c>
      <c r="Q3" s="99" t="str">
        <f>('StmtOper-Unbund'!P4)</f>
        <v>Schedule OL</v>
      </c>
      <c r="R3" s="99" t="str">
        <f>('StmtOper-Unbund'!Q4)</f>
        <v>Schedule STL</v>
      </c>
      <c r="S3" s="99" t="str">
        <f>('StmtOper-Unbund'!R4)</f>
        <v>Schedule DSTL</v>
      </c>
    </row>
    <row r="4" spans="6:21" ht="12.75">
      <c r="F4" s="99" t="str">
        <f>('StmtOper-Unbund'!E5)</f>
        <v>Residential</v>
      </c>
      <c r="G4" s="99" t="str">
        <f>('StmtOper-Unbund'!F5)</f>
        <v>ETS</v>
      </c>
      <c r="H4" s="99" t="str">
        <f>('StmtOper-Unbund'!G5)</f>
        <v>Commercial</v>
      </c>
      <c r="I4" s="99" t="str">
        <f>('StmtOper-Unbund'!H5)</f>
        <v>ETS</v>
      </c>
      <c r="J4" s="99" t="str">
        <f>('StmtOper-Unbund'!I5)</f>
        <v>Large Power</v>
      </c>
      <c r="K4" s="99" t="str">
        <f>('StmtOper-Unbund'!J5)</f>
        <v>(500-4,999 kW)</v>
      </c>
      <c r="L4" s="99" t="str">
        <f>('StmtOper-Unbund'!K5)</f>
        <v>(5,000-9,999 kW</v>
      </c>
      <c r="M4" s="99" t="str">
        <f>('StmtOper-Unbund'!L5)</f>
        <v>(500-4,999 kW)</v>
      </c>
      <c r="N4" s="99" t="str">
        <f>('StmtOper-Unbund'!M5)</f>
        <v>Contract</v>
      </c>
      <c r="O4" s="99" t="str">
        <f>('StmtOper-Unbund'!N5)</f>
        <v>Optional Power</v>
      </c>
      <c r="P4" s="99" t="str">
        <f>('StmtOper-Unbund'!O5)</f>
        <v>All Elec Sch.</v>
      </c>
      <c r="Q4" s="99" t="str">
        <f>('StmtOper-Unbund'!P5)</f>
        <v>Outdoor Light</v>
      </c>
      <c r="R4" s="99" t="str">
        <f>('StmtOper-Unbund'!Q5)</f>
        <v>Street Lights</v>
      </c>
      <c r="S4" s="99" t="str">
        <f>('StmtOper-Unbund'!R5)</f>
        <v>Decorative St Lt</v>
      </c>
      <c r="U4" s="1" t="s">
        <v>559</v>
      </c>
    </row>
    <row r="5" spans="6:15" ht="12.75">
      <c r="F5" s="26"/>
      <c r="G5" s="9"/>
      <c r="H5" s="9"/>
      <c r="I5" s="9"/>
      <c r="J5" s="9"/>
      <c r="K5" s="9"/>
      <c r="L5" s="9"/>
      <c r="M5" s="9"/>
      <c r="N5" s="9"/>
      <c r="O5" s="9"/>
    </row>
    <row r="6" spans="1:22" ht="12.75">
      <c r="A6" t="s">
        <v>233</v>
      </c>
      <c r="F6" s="16">
        <f>('StmtOper-Unbund'!E7)</f>
        <v>46846925</v>
      </c>
      <c r="G6" s="16">
        <f>('StmtOper-Unbund'!F7)</f>
        <v>421319</v>
      </c>
      <c r="H6" s="16">
        <f>('StmtOper-Unbund'!G7)</f>
        <v>4249966</v>
      </c>
      <c r="I6" s="16">
        <f>('StmtOper-Unbund'!H7)</f>
        <v>533</v>
      </c>
      <c r="J6" s="16">
        <f>('StmtOper-Unbund'!I7)</f>
        <v>8665601</v>
      </c>
      <c r="K6" s="16">
        <f>('StmtOper-Unbund'!J7)</f>
        <v>1850764</v>
      </c>
      <c r="L6" s="16">
        <f>('StmtOper-Unbund'!K7)</f>
        <v>2069359</v>
      </c>
      <c r="M6" s="16">
        <f>('StmtOper-Unbund'!L7)</f>
        <v>1952450</v>
      </c>
      <c r="N6" s="16">
        <f>('StmtOper-Unbund'!M7)</f>
        <v>44320</v>
      </c>
      <c r="O6" s="16">
        <f>('StmtOper-Unbund'!N7)</f>
        <v>1250199</v>
      </c>
      <c r="P6" s="16">
        <f>('StmtOper-Unbund'!O7)</f>
        <v>480361</v>
      </c>
      <c r="Q6" s="16">
        <f>('StmtOper-Unbund'!P7)</f>
        <v>1643394</v>
      </c>
      <c r="R6" s="16">
        <f>('StmtOper-Unbund'!Q7)</f>
        <v>38839</v>
      </c>
      <c r="S6" s="16">
        <f>('StmtOper-Unbund'!R7)</f>
        <v>33061</v>
      </c>
      <c r="T6" s="19" t="s">
        <v>24</v>
      </c>
      <c r="U6" s="18">
        <f>SUM(F6:S6)</f>
        <v>69547091</v>
      </c>
      <c r="V6" s="6">
        <v>69547480</v>
      </c>
    </row>
    <row r="7" ht="12.75">
      <c r="O7" s="9">
        <f>SUM(F7:M7)</f>
        <v>0</v>
      </c>
    </row>
    <row r="8" spans="1:21" ht="12.75">
      <c r="A8" t="s">
        <v>256</v>
      </c>
      <c r="F8" s="6">
        <f>('StmtOper-Unbund'!E14)</f>
        <v>32919946.057372306</v>
      </c>
      <c r="G8" s="6">
        <f>('StmtOper-Unbund'!F14)</f>
        <v>331459.36169574474</v>
      </c>
      <c r="H8" s="6">
        <f>('StmtOper-Unbund'!G14)</f>
        <v>4085388.4810603396</v>
      </c>
      <c r="I8" s="6">
        <f>('StmtOper-Unbund'!H14)</f>
        <v>384.5563191489362</v>
      </c>
      <c r="J8" s="6">
        <f>('StmtOper-Unbund'!I14)</f>
        <v>6816422.316545918</v>
      </c>
      <c r="K8" s="6">
        <f>('StmtOper-Unbund'!J14)</f>
        <v>1465406.328118181</v>
      </c>
      <c r="L8" s="6">
        <f>('StmtOper-Unbund'!K14)</f>
        <v>1712122.5560099431</v>
      </c>
      <c r="M8" s="6">
        <f>('StmtOper-Unbund'!L14)</f>
        <v>1739425.6866050446</v>
      </c>
      <c r="N8" s="6">
        <f>('StmtOper-Unbund'!M14)</f>
        <v>12053.209080424924</v>
      </c>
      <c r="O8" s="6">
        <f>('StmtOper-Unbund'!N14)</f>
        <v>979692.787884237</v>
      </c>
      <c r="P8" s="6">
        <f>('StmtOper-Unbund'!O14)</f>
        <v>368634.15562468313</v>
      </c>
      <c r="Q8" s="6">
        <f>('StmtOper-Unbund'!P14)</f>
        <v>741966.4441321903</v>
      </c>
      <c r="R8" s="6">
        <f>('StmtOper-Unbund'!Q14)</f>
        <v>28167.00786763813</v>
      </c>
      <c r="S8" s="6">
        <f>('StmtOper-Unbund'!R14)</f>
        <v>8794.05168420115</v>
      </c>
      <c r="T8" s="6"/>
      <c r="U8" s="7">
        <f>SUM(F8:S8)</f>
        <v>51209863</v>
      </c>
    </row>
    <row r="9" spans="6:15" ht="12.75">
      <c r="F9" s="6"/>
      <c r="G9" s="6"/>
      <c r="H9" s="6"/>
      <c r="I9" s="6"/>
      <c r="J9" s="6"/>
      <c r="K9" s="6"/>
      <c r="L9" s="6"/>
      <c r="M9" s="6"/>
      <c r="N9" s="6"/>
      <c r="O9" s="9">
        <f>SUM(F9:M9)</f>
        <v>0</v>
      </c>
    </row>
    <row r="10" spans="1:21" ht="12.75">
      <c r="A10" t="s">
        <v>247</v>
      </c>
      <c r="F10" s="6">
        <f>('RevReq-Rate Class'!G137+'RevReq-Rate Class'!I137)</f>
        <v>8671260.281546954</v>
      </c>
      <c r="G10" s="6">
        <f>('RevReq-Rate Class'!J137+'RevReq-Rate Class'!L137)</f>
        <v>40687.40570471762</v>
      </c>
      <c r="H10" s="6">
        <f>('RevReq-Rate Class'!M137+'RevReq-Rate Class'!O137)</f>
        <v>876570.416077438</v>
      </c>
      <c r="I10" s="6">
        <f>('RevReq-Rate Class'!P137+'RevReq-Rate Class'!R137)</f>
        <v>47.25598804264533</v>
      </c>
      <c r="J10" s="6">
        <f>('RevReq-Rate Class'!S137+'RevReq-Rate Class'!U137)</f>
        <v>513980.2547956435</v>
      </c>
      <c r="K10" s="6">
        <f>('RevReq-Rate Class'!V137+'RevReq-Rate Class'!X137)</f>
        <v>78796.77593413275</v>
      </c>
      <c r="L10" s="6">
        <f>('RevReq-Rate Class'!Y137+'RevReq-Rate Class'!AA137)</f>
        <v>98096.76004644264</v>
      </c>
      <c r="M10" s="6">
        <f>('RevReq-Rate Class'!AB137+'RevReq-Rate Class'!AD137)</f>
        <v>113628.57689651073</v>
      </c>
      <c r="N10" s="6">
        <f>('RevReq-Rate Class'!AG137+'RevReq-Rate Class'!AE137)</f>
        <v>2967.150167500274</v>
      </c>
      <c r="O10" s="6">
        <f>('RevReq-Rate Class'!AH137+'RevReq-Rate Class'!AJ137)</f>
        <v>145235.6085441491</v>
      </c>
      <c r="P10" s="6">
        <f>('RevReq-Rate Class'!AK137+'RevReq-Rate Class'!AM137)</f>
        <v>33625.44584156897</v>
      </c>
      <c r="Q10" s="6">
        <f>('RevReq-Rate Class'!AN137+'RevReq-Rate Class'!AP137)</f>
        <v>545638.5530230692</v>
      </c>
      <c r="R10" s="6">
        <f>('RevReq-Rate Class'!AQ137+'RevReq-Rate Class'!AS137)</f>
        <v>13454.187628475505</v>
      </c>
      <c r="S10" s="6">
        <f>('RevReq-Rate Class'!AT137+'RevReq-Rate Class'!AV137)</f>
        <v>3791.677805355875</v>
      </c>
      <c r="U10" s="7">
        <f>SUM(F10:S10)</f>
        <v>11137780.350000007</v>
      </c>
    </row>
    <row r="11" spans="6:15" ht="12.75">
      <c r="F11" s="6"/>
      <c r="G11" s="6"/>
      <c r="H11" s="6"/>
      <c r="I11" s="6"/>
      <c r="J11" s="6"/>
      <c r="K11" s="6"/>
      <c r="L11" s="6"/>
      <c r="M11" s="6"/>
      <c r="N11" s="6"/>
      <c r="O11" s="9">
        <f>SUM(F11:M11)</f>
        <v>0</v>
      </c>
    </row>
    <row r="12" spans="1:21" ht="12.75">
      <c r="A12" t="s">
        <v>225</v>
      </c>
      <c r="F12" s="6">
        <f>('RevReq-Rate Class'!G138+'RevReq-Rate Class'!I138)</f>
        <v>2208613.736354133</v>
      </c>
      <c r="G12" s="6">
        <f>('RevReq-Rate Class'!J138+'RevReq-Rate Class'!L138)</f>
        <v>13557.647053133303</v>
      </c>
      <c r="H12" s="6">
        <f>('RevReq-Rate Class'!M138+'RevReq-Rate Class'!O138)</f>
        <v>229090.73935540474</v>
      </c>
      <c r="I12" s="6">
        <f>('RevReq-Rate Class'!P138+'RevReq-Rate Class'!R138)</f>
        <v>15.746396112814521</v>
      </c>
      <c r="J12" s="6">
        <f>('RevReq-Rate Class'!S138+'RevReq-Rate Class'!U138)</f>
        <v>131637.4488462281</v>
      </c>
      <c r="K12" s="6">
        <f>('RevReq-Rate Class'!V138+'RevReq-Rate Class'!X138)</f>
        <v>21010.766585588262</v>
      </c>
      <c r="L12" s="6">
        <f>('RevReq-Rate Class'!Y138+'RevReq-Rate Class'!AA138)</f>
        <v>26245.552981594712</v>
      </c>
      <c r="M12" s="6">
        <f>('RevReq-Rate Class'!AB138+'RevReq-Rate Class'!AD138)</f>
        <v>30361.91631679627</v>
      </c>
      <c r="N12" s="6">
        <f>('RevReq-Rate Class'!AG138+'RevReq-Rate Class'!AE138)</f>
        <v>823.8672606092264</v>
      </c>
      <c r="O12" s="6">
        <f>('RevReq-Rate Class'!AH138+'RevReq-Rate Class'!AJ138)</f>
        <v>35373.42446514672</v>
      </c>
      <c r="P12" s="6">
        <f>('RevReq-Rate Class'!AK138+'RevReq-Rate Class'!AM138)</f>
        <v>8847.443840408529</v>
      </c>
      <c r="Q12" s="6">
        <f>('RevReq-Rate Class'!AN138+'RevReq-Rate Class'!AP138)</f>
        <v>149572.12681664948</v>
      </c>
      <c r="R12" s="6">
        <f>('RevReq-Rate Class'!AQ138+'RevReq-Rate Class'!AS138)</f>
        <v>6858.677478386477</v>
      </c>
      <c r="S12" s="6">
        <f>('RevReq-Rate Class'!AT138+'RevReq-Rate Class'!AV138)</f>
        <v>1861.3262498076429</v>
      </c>
      <c r="U12" s="7">
        <f>SUM(F12:S12)</f>
        <v>2863870.4199999995</v>
      </c>
    </row>
    <row r="13" spans="6:19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1" ht="12.75">
      <c r="A14" t="s">
        <v>335</v>
      </c>
      <c r="F14" s="6">
        <f>('RevReq-Rate Class'!G139+'RevReq-Rate Class'!I139)</f>
        <v>2939460.0312595824</v>
      </c>
      <c r="G14" s="6">
        <f>('RevReq-Rate Class'!J139+'RevReq-Rate Class'!L139)</f>
        <v>2326.1844931743244</v>
      </c>
      <c r="H14" s="6">
        <f>('RevReq-Rate Class'!M139+'RevReq-Rate Class'!O139)</f>
        <v>400752.70131155767</v>
      </c>
      <c r="I14" s="6">
        <f>('RevReq-Rate Class'!P139+'RevReq-Rate Class'!R139)</f>
        <v>2.701724150028251</v>
      </c>
      <c r="J14" s="6">
        <f>('RevReq-Rate Class'!S139+'RevReq-Rate Class'!U139)</f>
        <v>307011.2530833928</v>
      </c>
      <c r="K14" s="6">
        <f>('RevReq-Rate Class'!V139+'RevReq-Rate Class'!X139)</f>
        <v>51203.9103982402</v>
      </c>
      <c r="L14" s="6">
        <f>+('RevReq-Rate Class'!Y139+'RevReq-Rate Class'!AA139)</f>
        <v>64081.174945663544</v>
      </c>
      <c r="M14" s="6">
        <f>('RevReq-Rate Class'!AB139+'RevReq-Rate Class'!AD139)</f>
        <v>73824.08878842006</v>
      </c>
      <c r="N14" s="6">
        <f>('RevReq-Rate Class'!AG139+'RevReq-Rate Class'!AE139)</f>
        <v>1953.920052171682</v>
      </c>
      <c r="O14" s="6">
        <f>('RevReq-Rate Class'!AH139+'RevReq-Rate Class'!AJ139)</f>
        <v>79803.20018001106</v>
      </c>
      <c r="P14" s="6">
        <f>('RevReq-Rate Class'!AK139+'RevReq-Rate Class'!AM139)</f>
        <v>21184.079859374193</v>
      </c>
      <c r="Q14" s="6">
        <f>('RevReq-Rate Class'!AN139+'RevReq-Rate Class'!AP139)</f>
        <v>365651.63206790603</v>
      </c>
      <c r="R14" s="6">
        <f>('RevReq-Rate Class'!AQ139+'RevReq-Rate Class'!AS139)</f>
        <v>16324.605571583706</v>
      </c>
      <c r="S14" s="6">
        <f>('RevReq-Rate Class'!AT139+'RevReq-Rate Class'!AV139)</f>
        <v>4439.676264771847</v>
      </c>
      <c r="U14" s="7">
        <f>SUM(F14:S14)</f>
        <v>4328019.16</v>
      </c>
    </row>
    <row r="15" spans="6:19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1" ht="12.75">
      <c r="A16" t="s">
        <v>227</v>
      </c>
      <c r="F16" s="6">
        <f>('RevReq-Rate Class'!G140+'RevReq-Rate Class'!I140)</f>
        <v>2776086.4803144815</v>
      </c>
      <c r="G16" s="6">
        <f>('RevReq-Rate Class'!J140+'RevReq-Rate Class'!L140)</f>
        <v>2168.7212449273825</v>
      </c>
      <c r="H16" s="6">
        <f>('RevReq-Rate Class'!M140+'RevReq-Rate Class'!O140)</f>
        <v>378650.9146199153</v>
      </c>
      <c r="I16" s="6">
        <f>('RevReq-Rate Class'!P140+'RevReq-Rate Class'!R140)</f>
        <v>2.5188400057228604</v>
      </c>
      <c r="J16" s="6">
        <f>('RevReq-Rate Class'!S140+'RevReq-Rate Class'!U140)</f>
        <v>290184.0243447803</v>
      </c>
      <c r="K16" s="6">
        <f>('RevReq-Rate Class'!V140+'RevReq-Rate Class'!X140)</f>
        <v>48399.68582654746</v>
      </c>
      <c r="L16" s="6">
        <f>('RevReq-Rate Class'!Y140+'RevReq-Rate Class'!AA140)</f>
        <v>60571.83371189004</v>
      </c>
      <c r="M16" s="6">
        <f>('RevReq-Rate Class'!AB140+'RevReq-Rate Class'!AD140)</f>
        <v>69780.88608939096</v>
      </c>
      <c r="N16" s="6">
        <f>('RevReq-Rate Class'!AG140+'RevReq-Rate Class'!AE140)</f>
        <v>1846.8592647702178</v>
      </c>
      <c r="O16" s="6">
        <f>('RevReq-Rate Class'!AH140+'RevReq-Rate Class'!AJ140)</f>
        <v>75426.44359998056</v>
      </c>
      <c r="P16" s="6">
        <f>('RevReq-Rate Class'!AK140+'RevReq-Rate Class'!AM140)</f>
        <v>20023.546695762154</v>
      </c>
      <c r="Q16" s="6">
        <f>('RevReq-Rate Class'!AN140+'RevReq-Rate Class'!AP140)</f>
        <v>345627.5331120143</v>
      </c>
      <c r="R16" s="6">
        <f>('RevReq-Rate Class'!AQ140+'RevReq-Rate Class'!AS140)</f>
        <v>15430.193025145478</v>
      </c>
      <c r="S16" s="6">
        <f>('RevReq-Rate Class'!AT140+'RevReq-Rate Class'!AV140)</f>
        <v>4196.439310388824</v>
      </c>
      <c r="U16" s="7">
        <f>SUM(F16:S16)</f>
        <v>4088396.0800000005</v>
      </c>
    </row>
    <row r="17" spans="6:19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1" ht="12.75">
      <c r="A18" t="s">
        <v>69</v>
      </c>
      <c r="F18" s="16">
        <f aca="true" t="shared" si="0" ref="F18:L18">SUM(F8,F10,F12,F14,F16)</f>
        <v>49515366.586847454</v>
      </c>
      <c r="G18" s="16">
        <f t="shared" si="0"/>
        <v>390199.32019169733</v>
      </c>
      <c r="H18" s="16">
        <f t="shared" si="0"/>
        <v>5970453.2524246555</v>
      </c>
      <c r="I18" s="16">
        <f t="shared" si="0"/>
        <v>452.7792674601472</v>
      </c>
      <c r="J18" s="16">
        <f t="shared" si="0"/>
        <v>8059235.297615963</v>
      </c>
      <c r="K18" s="16">
        <f t="shared" si="0"/>
        <v>1664817.4668626897</v>
      </c>
      <c r="L18" s="16">
        <f t="shared" si="0"/>
        <v>1961117.8776955344</v>
      </c>
      <c r="M18" s="16">
        <f>SUM(M8,M10,M12,M14,M16)</f>
        <v>2027021.1546961628</v>
      </c>
      <c r="N18" s="16">
        <f aca="true" t="shared" si="1" ref="N18:S18">SUM(N8,N10,N12,N14,N16)</f>
        <v>19645.005825476324</v>
      </c>
      <c r="O18" s="16">
        <f t="shared" si="1"/>
        <v>1315531.4646735245</v>
      </c>
      <c r="P18" s="16">
        <f t="shared" si="1"/>
        <v>452314.671861797</v>
      </c>
      <c r="Q18" s="16">
        <f t="shared" si="1"/>
        <v>2148456.289151829</v>
      </c>
      <c r="R18" s="16">
        <f t="shared" si="1"/>
        <v>80234.6715712293</v>
      </c>
      <c r="S18" s="16">
        <f t="shared" si="1"/>
        <v>23083.171314525338</v>
      </c>
      <c r="U18" s="7">
        <f>SUM(F18:S18)</f>
        <v>73627929.00999999</v>
      </c>
    </row>
    <row r="19" spans="6:15" ht="12.75">
      <c r="F19" s="6"/>
      <c r="G19" s="6"/>
      <c r="H19" s="6"/>
      <c r="I19" s="6"/>
      <c r="J19" s="6"/>
      <c r="K19" s="6"/>
      <c r="L19" s="6"/>
      <c r="M19" s="6"/>
      <c r="N19" s="6"/>
      <c r="O19" s="9">
        <f>SUM(F19:M19)</f>
        <v>0</v>
      </c>
    </row>
    <row r="20" spans="1:21" ht="12.75">
      <c r="A20" t="s">
        <v>328</v>
      </c>
      <c r="F20" s="7">
        <f aca="true" t="shared" si="2" ref="F20:S20">(F6-F18)</f>
        <v>-2668441.5868474543</v>
      </c>
      <c r="G20" s="7">
        <f t="shared" si="2"/>
        <v>31119.679808302666</v>
      </c>
      <c r="H20" s="7">
        <f t="shared" si="2"/>
        <v>-1720487.2524246555</v>
      </c>
      <c r="I20" s="7">
        <f t="shared" si="2"/>
        <v>80.2207325398528</v>
      </c>
      <c r="J20" s="7">
        <f t="shared" si="2"/>
        <v>606365.702384037</v>
      </c>
      <c r="K20" s="7">
        <f t="shared" si="2"/>
        <v>185946.5331373103</v>
      </c>
      <c r="L20" s="7">
        <f t="shared" si="2"/>
        <v>108241.12230446562</v>
      </c>
      <c r="M20" s="7">
        <f t="shared" si="2"/>
        <v>-74571.15469616279</v>
      </c>
      <c r="N20" s="7">
        <f t="shared" si="2"/>
        <v>24674.994174523676</v>
      </c>
      <c r="O20" s="7">
        <f t="shared" si="2"/>
        <v>-65332.46467352449</v>
      </c>
      <c r="P20" s="7">
        <f t="shared" si="2"/>
        <v>28046.32813820301</v>
      </c>
      <c r="Q20" s="7">
        <f t="shared" si="2"/>
        <v>-505062.2891518292</v>
      </c>
      <c r="R20" s="7">
        <f t="shared" si="2"/>
        <v>-41395.67157122929</v>
      </c>
      <c r="S20" s="7">
        <f t="shared" si="2"/>
        <v>9977.828685474662</v>
      </c>
      <c r="U20" s="7">
        <f>SUM(F20:S20)</f>
        <v>-4080838.0099999984</v>
      </c>
    </row>
    <row r="21" ht="12.75">
      <c r="O21" s="9">
        <f>SUM(F21:M21)</f>
        <v>0</v>
      </c>
    </row>
    <row r="22" spans="1:21" ht="12.75">
      <c r="A22" t="s">
        <v>249</v>
      </c>
      <c r="F22" s="16">
        <f>('RevReq-Rate Class'!G144+'RevReq-Rate Class'!I144)</f>
        <v>1542274.846427278</v>
      </c>
      <c r="G22" s="16">
        <f>('RevReq-Rate Class'!J144+'RevReq-Rate Class'!L144)</f>
        <v>1204.8487137133607</v>
      </c>
      <c r="H22" s="16">
        <f>('RevReq-Rate Class'!M144+'RevReq-Rate Class'!O144)</f>
        <v>210362.24387679133</v>
      </c>
      <c r="I22" s="16">
        <f>('RevReq-Rate Class'!P144+'RevReq-Rate Class'!R144)</f>
        <v>1.3993597139528</v>
      </c>
      <c r="J22" s="16">
        <f>('RevReq-Rate Class'!S144+'RevReq-Rate Class'!U144)</f>
        <v>161213.825561838</v>
      </c>
      <c r="K22" s="16">
        <f>('RevReq-Rate Class'!X144+'RevReq-Rate Class'!V144)</f>
        <v>26888.794190882323</v>
      </c>
      <c r="L22" s="16">
        <f>('RevReq-Rate Class'!Y144+'RevReq-Rate Class'!AA144)</f>
        <v>33651.118651477016</v>
      </c>
      <c r="M22" s="16">
        <f>('RevReq-Rate Class'!AB144+'RevReq-Rate Class'!AD144)</f>
        <v>38767.274052962224</v>
      </c>
      <c r="N22" s="16">
        <f>('RevReq-Rate Class'!AG144+'RevReq-Rate Class'!AE144)</f>
        <v>1026.0359715536001</v>
      </c>
      <c r="O22" s="16">
        <f>('RevReq-Rate Class'!AH144+'RevReq-Rate Class'!AJ144)</f>
        <v>41903.704205402784</v>
      </c>
      <c r="P22" s="16">
        <f>('RevReq-Rate Class'!AK144+'RevReq-Rate Class'!AM144)</f>
        <v>11124.225640707578</v>
      </c>
      <c r="Q22" s="16">
        <f>('RevReq-Rate Class'!AN144+'RevReq-Rate Class'!AP144)</f>
        <v>192015.86633964855</v>
      </c>
      <c r="R22" s="16">
        <f>('RevReq-Rate Class'!AQ144+'RevReq-Rate Class'!AS144)</f>
        <v>8572.354912914549</v>
      </c>
      <c r="S22" s="16">
        <f>('RevReq-Rate Class'!AT144+'RevReq-Rate Class'!AV144)</f>
        <v>2331.3620951167723</v>
      </c>
      <c r="U22" s="7">
        <f>SUM(F22:S22)</f>
        <v>2271337.8999999994</v>
      </c>
    </row>
    <row r="23" ht="12.75">
      <c r="O23" s="8" t="s">
        <v>24</v>
      </c>
    </row>
    <row r="24" spans="1:21" ht="13.5" thickBot="1">
      <c r="A24" t="s">
        <v>336</v>
      </c>
      <c r="F24" s="44">
        <f aca="true" t="shared" si="3" ref="F24:S24">(F20+F22)</f>
        <v>-1126166.7404201764</v>
      </c>
      <c r="G24" s="44">
        <f t="shared" si="3"/>
        <v>32324.528522016026</v>
      </c>
      <c r="H24" s="44">
        <f t="shared" si="3"/>
        <v>-1510125.0085478642</v>
      </c>
      <c r="I24" s="44">
        <f t="shared" si="3"/>
        <v>81.62009225380561</v>
      </c>
      <c r="J24" s="44">
        <f t="shared" si="3"/>
        <v>767579.527945875</v>
      </c>
      <c r="K24" s="44">
        <f t="shared" si="3"/>
        <v>212835.32732819262</v>
      </c>
      <c r="L24" s="44">
        <f t="shared" si="3"/>
        <v>141892.24095594263</v>
      </c>
      <c r="M24" s="44">
        <f t="shared" si="3"/>
        <v>-35803.880643200566</v>
      </c>
      <c r="N24" s="44">
        <f t="shared" si="3"/>
        <v>25701.030146077275</v>
      </c>
      <c r="O24" s="44">
        <f t="shared" si="3"/>
        <v>-23428.760468121705</v>
      </c>
      <c r="P24" s="44">
        <f t="shared" si="3"/>
        <v>39170.55377891059</v>
      </c>
      <c r="Q24" s="44">
        <f t="shared" si="3"/>
        <v>-313046.42281218065</v>
      </c>
      <c r="R24" s="44">
        <f t="shared" si="3"/>
        <v>-32823.31665831475</v>
      </c>
      <c r="S24" s="44">
        <f t="shared" si="3"/>
        <v>12309.190780591434</v>
      </c>
      <c r="U24" s="7">
        <f>SUM(F24:S24)</f>
        <v>-1809500.1099999992</v>
      </c>
    </row>
    <row r="25" ht="13.5" thickTop="1"/>
    <row r="26" spans="1:21" ht="12.75">
      <c r="A26" t="s">
        <v>248</v>
      </c>
      <c r="F26" s="5">
        <f aca="true" t="shared" si="4" ref="F26:K26">(F24+F28)/(F28)</f>
        <v>0.5908852756835383</v>
      </c>
      <c r="G26" s="5">
        <f t="shared" si="4"/>
        <v>16.03155359445149</v>
      </c>
      <c r="H26" s="5">
        <f t="shared" si="4"/>
        <v>-3.0220669369888267</v>
      </c>
      <c r="I26" s="5">
        <f t="shared" si="4"/>
        <v>33.67923664888669</v>
      </c>
      <c r="J26" s="5">
        <f t="shared" si="4"/>
        <v>3.6676281294920337</v>
      </c>
      <c r="K26" s="5">
        <f t="shared" si="4"/>
        <v>5.434825924124881</v>
      </c>
      <c r="L26" s="5">
        <f aca="true" t="shared" si="5" ref="L26:U26">(L24+L28)/(L28)</f>
        <v>3.3624538355142906</v>
      </c>
      <c r="M26" s="5">
        <f t="shared" si="5"/>
        <v>0.48254924467523613</v>
      </c>
      <c r="N26" s="5">
        <f t="shared" si="5"/>
        <v>15.034344504895008</v>
      </c>
      <c r="O26" s="5">
        <f t="shared" si="5"/>
        <v>0.686742782713237</v>
      </c>
      <c r="P26" s="5">
        <f t="shared" si="5"/>
        <v>2.972850203688819</v>
      </c>
      <c r="Q26" s="5">
        <f t="shared" si="5"/>
        <v>0.08656884924207656</v>
      </c>
      <c r="R26" s="5">
        <f t="shared" si="5"/>
        <v>-1.1452924684165833</v>
      </c>
      <c r="S26" s="5">
        <f t="shared" si="5"/>
        <v>3.9581756689315175</v>
      </c>
      <c r="U26" s="5">
        <f t="shared" si="5"/>
        <v>0.5536443308889163</v>
      </c>
    </row>
    <row r="28" spans="1:21" ht="12.75">
      <c r="A28" t="s">
        <v>563</v>
      </c>
      <c r="F28" s="8">
        <f>(F16*$B$29)</f>
        <v>2752691.784197566</v>
      </c>
      <c r="G28" s="8">
        <f aca="true" t="shared" si="6" ref="G28:S28">(G16*$B$29)</f>
        <v>2150.444950277647</v>
      </c>
      <c r="H28" s="8">
        <f t="shared" si="6"/>
        <v>375459.9394306548</v>
      </c>
      <c r="I28" s="8">
        <f t="shared" si="6"/>
        <v>2.49761318266858</v>
      </c>
      <c r="J28" s="8">
        <f t="shared" si="6"/>
        <v>287738.57924943854</v>
      </c>
      <c r="K28" s="8">
        <f t="shared" si="6"/>
        <v>47991.8109458132</v>
      </c>
      <c r="L28" s="8">
        <f t="shared" si="6"/>
        <v>60061.38144284781</v>
      </c>
      <c r="M28" s="8">
        <f t="shared" si="6"/>
        <v>69192.82709468505</v>
      </c>
      <c r="N28" s="8">
        <f t="shared" si="6"/>
        <v>1831.2953723711905</v>
      </c>
      <c r="O28" s="8">
        <f t="shared" si="6"/>
        <v>74790.80824073868</v>
      </c>
      <c r="P28" s="8">
        <f t="shared" si="6"/>
        <v>19854.80382933778</v>
      </c>
      <c r="Q28" s="8">
        <f t="shared" si="6"/>
        <v>342714.8532786834</v>
      </c>
      <c r="R28" s="8">
        <f t="shared" si="6"/>
        <v>15300.159368266124</v>
      </c>
      <c r="S28" s="8">
        <f t="shared" si="6"/>
        <v>4161.074986137476</v>
      </c>
      <c r="U28" s="7">
        <f>SUM(F28:S28)</f>
        <v>4053942.2600000007</v>
      </c>
    </row>
    <row r="29" spans="2:21" ht="12.75">
      <c r="B29" s="12">
        <f>('Costs&amp;Margins'!F84/('Costs&amp;Margins'!F84+'Costs&amp;Margins'!F86))</f>
        <v>0.9915727783400087</v>
      </c>
      <c r="U29" s="7">
        <f aca="true" t="shared" si="7" ref="U29:U34">SUM(F29:S29)</f>
        <v>0</v>
      </c>
    </row>
    <row r="30" spans="1:21" ht="12.75">
      <c r="A30" t="s">
        <v>69</v>
      </c>
      <c r="F30" s="18">
        <f>(F18)</f>
        <v>49515366.586847454</v>
      </c>
      <c r="G30" s="18">
        <f aca="true" t="shared" si="8" ref="G30:S30">(G18)</f>
        <v>390199.32019169733</v>
      </c>
      <c r="H30" s="18">
        <f t="shared" si="8"/>
        <v>5970453.2524246555</v>
      </c>
      <c r="I30" s="18">
        <f t="shared" si="8"/>
        <v>452.7792674601472</v>
      </c>
      <c r="J30" s="18">
        <f t="shared" si="8"/>
        <v>8059235.297615963</v>
      </c>
      <c r="K30" s="18">
        <f t="shared" si="8"/>
        <v>1664817.4668626897</v>
      </c>
      <c r="L30" s="18">
        <f t="shared" si="8"/>
        <v>1961117.8776955344</v>
      </c>
      <c r="M30" s="18">
        <f t="shared" si="8"/>
        <v>2027021.1546961628</v>
      </c>
      <c r="N30" s="18">
        <f t="shared" si="8"/>
        <v>19645.005825476324</v>
      </c>
      <c r="O30" s="18">
        <f t="shared" si="8"/>
        <v>1315531.4646735245</v>
      </c>
      <c r="P30" s="18">
        <f t="shared" si="8"/>
        <v>452314.671861797</v>
      </c>
      <c r="Q30" s="18">
        <f t="shared" si="8"/>
        <v>2148456.289151829</v>
      </c>
      <c r="R30" s="18">
        <f t="shared" si="8"/>
        <v>80234.6715712293</v>
      </c>
      <c r="S30" s="18">
        <f t="shared" si="8"/>
        <v>23083.171314525338</v>
      </c>
      <c r="T30" s="4"/>
      <c r="U30" s="18">
        <f t="shared" si="7"/>
        <v>73627929.00999999</v>
      </c>
    </row>
    <row r="31" ht="12.75">
      <c r="U31" s="7">
        <f t="shared" si="7"/>
        <v>0</v>
      </c>
    </row>
    <row r="32" spans="1:22" ht="12.75">
      <c r="A32" t="s">
        <v>71</v>
      </c>
      <c r="F32" s="41">
        <f>SUM(F30,F28)</f>
        <v>52268058.37104502</v>
      </c>
      <c r="G32" s="41">
        <f aca="true" t="shared" si="9" ref="G32:S32">SUM(G30,G28)</f>
        <v>392349.76514197496</v>
      </c>
      <c r="H32" s="41">
        <f t="shared" si="9"/>
        <v>6345913.19185531</v>
      </c>
      <c r="I32" s="41">
        <f t="shared" si="9"/>
        <v>455.2768806428158</v>
      </c>
      <c r="J32" s="41">
        <f t="shared" si="9"/>
        <v>8346973.876865402</v>
      </c>
      <c r="K32" s="41">
        <f t="shared" si="9"/>
        <v>1712809.277808503</v>
      </c>
      <c r="L32" s="41">
        <f t="shared" si="9"/>
        <v>2021179.2591383823</v>
      </c>
      <c r="M32" s="41">
        <f t="shared" si="9"/>
        <v>2096213.9817908478</v>
      </c>
      <c r="N32" s="41">
        <f t="shared" si="9"/>
        <v>21476.301197847515</v>
      </c>
      <c r="O32" s="41">
        <f t="shared" si="9"/>
        <v>1390322.2729142632</v>
      </c>
      <c r="P32" s="41">
        <f t="shared" si="9"/>
        <v>472169.47569113475</v>
      </c>
      <c r="Q32" s="41">
        <f t="shared" si="9"/>
        <v>2491171.1424305127</v>
      </c>
      <c r="R32" s="41">
        <f t="shared" si="9"/>
        <v>95534.83093949541</v>
      </c>
      <c r="S32" s="41">
        <f t="shared" si="9"/>
        <v>27244.246300662813</v>
      </c>
      <c r="T32" s="2"/>
      <c r="U32" s="41">
        <f t="shared" si="7"/>
        <v>77681871.27</v>
      </c>
      <c r="V32" s="2"/>
    </row>
    <row r="33" ht="12.75">
      <c r="U33" s="7">
        <f t="shared" si="7"/>
        <v>0</v>
      </c>
    </row>
    <row r="34" spans="1:23" ht="12.75">
      <c r="A34" t="s">
        <v>561</v>
      </c>
      <c r="F34" s="18">
        <f aca="true" t="shared" si="10" ref="F34:S34">(F22)</f>
        <v>1542274.846427278</v>
      </c>
      <c r="G34" s="18">
        <f t="shared" si="10"/>
        <v>1204.8487137133607</v>
      </c>
      <c r="H34" s="18">
        <f t="shared" si="10"/>
        <v>210362.24387679133</v>
      </c>
      <c r="I34" s="18">
        <f t="shared" si="10"/>
        <v>1.3993597139528</v>
      </c>
      <c r="J34" s="18">
        <f t="shared" si="10"/>
        <v>161213.825561838</v>
      </c>
      <c r="K34" s="18">
        <f t="shared" si="10"/>
        <v>26888.794190882323</v>
      </c>
      <c r="L34" s="18">
        <f t="shared" si="10"/>
        <v>33651.118651477016</v>
      </c>
      <c r="M34" s="18">
        <f t="shared" si="10"/>
        <v>38767.274052962224</v>
      </c>
      <c r="N34" s="18">
        <f t="shared" si="10"/>
        <v>1026.0359715536001</v>
      </c>
      <c r="O34" s="18">
        <f t="shared" si="10"/>
        <v>41903.704205402784</v>
      </c>
      <c r="P34" s="18">
        <f t="shared" si="10"/>
        <v>11124.225640707578</v>
      </c>
      <c r="Q34" s="18">
        <f t="shared" si="10"/>
        <v>192015.86633964855</v>
      </c>
      <c r="R34" s="18">
        <f t="shared" si="10"/>
        <v>8572.354912914549</v>
      </c>
      <c r="S34" s="18">
        <f t="shared" si="10"/>
        <v>2331.3620951167723</v>
      </c>
      <c r="T34" s="4"/>
      <c r="U34" s="18">
        <f t="shared" si="7"/>
        <v>2271337.8999999994</v>
      </c>
      <c r="W34" s="148">
        <v>5014079</v>
      </c>
    </row>
    <row r="36" spans="1:21" ht="12.75">
      <c r="A36" t="s">
        <v>562</v>
      </c>
      <c r="F36" s="7">
        <f>(F32-F34-F35)</f>
        <v>50725783.52461775</v>
      </c>
      <c r="G36" s="7">
        <f aca="true" t="shared" si="11" ref="G36:U36">(G32-G34-G35)</f>
        <v>391144.9164282616</v>
      </c>
      <c r="H36" s="7">
        <f t="shared" si="11"/>
        <v>6135550.947978519</v>
      </c>
      <c r="I36" s="7">
        <f t="shared" si="11"/>
        <v>453.877520928863</v>
      </c>
      <c r="J36" s="7">
        <f t="shared" si="11"/>
        <v>8185760.051303564</v>
      </c>
      <c r="K36" s="7">
        <f t="shared" si="11"/>
        <v>1685920.4836176208</v>
      </c>
      <c r="L36" s="7">
        <f t="shared" si="11"/>
        <v>1987528.1404869054</v>
      </c>
      <c r="M36" s="7">
        <f t="shared" si="11"/>
        <v>2057446.7077378856</v>
      </c>
      <c r="N36" s="7">
        <f t="shared" si="11"/>
        <v>20450.265226293915</v>
      </c>
      <c r="O36" s="7">
        <f t="shared" si="11"/>
        <v>1348418.5687088603</v>
      </c>
      <c r="P36" s="7">
        <f t="shared" si="11"/>
        <v>461045.25005042716</v>
      </c>
      <c r="Q36" s="7">
        <f t="shared" si="11"/>
        <v>2299155.276090864</v>
      </c>
      <c r="R36" s="7">
        <f t="shared" si="11"/>
        <v>86962.47602658086</v>
      </c>
      <c r="S36" s="7">
        <f t="shared" si="11"/>
        <v>24912.88420554604</v>
      </c>
      <c r="U36" s="7">
        <f t="shared" si="11"/>
        <v>75410533.36999999</v>
      </c>
    </row>
    <row r="38" spans="1:21" ht="12.75">
      <c r="A38" t="s">
        <v>579</v>
      </c>
      <c r="F38" s="7">
        <f>(F6)</f>
        <v>46846925</v>
      </c>
      <c r="G38" s="7">
        <f aca="true" t="shared" si="12" ref="G38:S38">(G6)</f>
        <v>421319</v>
      </c>
      <c r="H38" s="7">
        <f t="shared" si="12"/>
        <v>4249966</v>
      </c>
      <c r="I38" s="7">
        <f t="shared" si="12"/>
        <v>533</v>
      </c>
      <c r="J38" s="7">
        <f t="shared" si="12"/>
        <v>8665601</v>
      </c>
      <c r="K38" s="7">
        <f t="shared" si="12"/>
        <v>1850764</v>
      </c>
      <c r="L38" s="7">
        <f t="shared" si="12"/>
        <v>2069359</v>
      </c>
      <c r="M38" s="7">
        <f t="shared" si="12"/>
        <v>1952450</v>
      </c>
      <c r="N38" s="7">
        <f t="shared" si="12"/>
        <v>44320</v>
      </c>
      <c r="O38" s="7">
        <f t="shared" si="12"/>
        <v>1250199</v>
      </c>
      <c r="P38" s="7">
        <f t="shared" si="12"/>
        <v>480361</v>
      </c>
      <c r="Q38" s="7">
        <f t="shared" si="12"/>
        <v>1643394</v>
      </c>
      <c r="R38" s="7">
        <f t="shared" si="12"/>
        <v>38839</v>
      </c>
      <c r="S38" s="7">
        <f t="shared" si="12"/>
        <v>33061</v>
      </c>
      <c r="U38" s="7">
        <f>(V6)</f>
        <v>69547480</v>
      </c>
    </row>
    <row r="39" spans="6:21" ht="12.7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7"/>
    </row>
    <row r="40" spans="1:21" ht="13.5" thickBot="1">
      <c r="A40" t="s">
        <v>580</v>
      </c>
      <c r="F40" s="44">
        <f>(F36-F38)</f>
        <v>3878858.5246177465</v>
      </c>
      <c r="G40" s="44">
        <f aca="true" t="shared" si="13" ref="G40:U40">(G36-G38)</f>
        <v>-30174.08357173839</v>
      </c>
      <c r="H40" s="44">
        <f t="shared" si="13"/>
        <v>1885584.947978519</v>
      </c>
      <c r="I40" s="44">
        <f t="shared" si="13"/>
        <v>-79.12247907113698</v>
      </c>
      <c r="J40" s="44">
        <f t="shared" si="13"/>
        <v>-479840.94869643636</v>
      </c>
      <c r="K40" s="44">
        <f t="shared" si="13"/>
        <v>-164843.51638237922</v>
      </c>
      <c r="L40" s="44">
        <f t="shared" si="13"/>
        <v>-81830.85951309465</v>
      </c>
      <c r="M40" s="44">
        <f t="shared" si="13"/>
        <v>104996.70773788565</v>
      </c>
      <c r="N40" s="44">
        <f t="shared" si="13"/>
        <v>-23869.734773706085</v>
      </c>
      <c r="O40" s="44">
        <f t="shared" si="13"/>
        <v>98219.56870886032</v>
      </c>
      <c r="P40" s="44">
        <f t="shared" si="13"/>
        <v>-19315.74994957284</v>
      </c>
      <c r="Q40" s="44">
        <f t="shared" si="13"/>
        <v>655761.2760908641</v>
      </c>
      <c r="R40" s="44">
        <f t="shared" si="13"/>
        <v>48123.47602658086</v>
      </c>
      <c r="S40" s="44">
        <f t="shared" si="13"/>
        <v>-8148.115794453959</v>
      </c>
      <c r="T40" s="44">
        <f t="shared" si="13"/>
        <v>0</v>
      </c>
      <c r="U40" s="44">
        <f t="shared" si="13"/>
        <v>5863053.36999999</v>
      </c>
    </row>
    <row r="41" ht="13.5" thickTop="1"/>
    <row r="42" spans="1:22" s="164" customFormat="1" ht="12.75">
      <c r="A42" s="164" t="s">
        <v>581</v>
      </c>
      <c r="F42" s="175">
        <f>((U42-V42)/(F38+G38))*(F38)</f>
        <v>4092844.989050826</v>
      </c>
      <c r="G42" s="175">
        <f>((U42-V42)/(F38+G38))*(G38)</f>
        <v>36809.10450241729</v>
      </c>
      <c r="H42" s="175">
        <f>(H38*H44)</f>
        <v>849993.2000000001</v>
      </c>
      <c r="I42" s="175">
        <f>(I38*I44)</f>
        <v>106.60000000000001</v>
      </c>
      <c r="J42" s="175">
        <v>0</v>
      </c>
      <c r="K42" s="175">
        <v>0</v>
      </c>
      <c r="L42" s="175">
        <v>0</v>
      </c>
      <c r="M42" s="175">
        <f>(M36-M38)</f>
        <v>104996.70773788565</v>
      </c>
      <c r="N42" s="175">
        <v>0</v>
      </c>
      <c r="O42" s="175">
        <f>(O36-O38)</f>
        <v>98219.56870886032</v>
      </c>
      <c r="P42" s="175">
        <v>0</v>
      </c>
      <c r="Q42" s="175">
        <f>(Q38*Q44)</f>
        <v>657357.6000000001</v>
      </c>
      <c r="R42" s="175">
        <f>(R38*R44)</f>
        <v>19419.5</v>
      </c>
      <c r="S42" s="175">
        <f>(S38*S44)</f>
        <v>3306.1000000000004</v>
      </c>
      <c r="U42" s="231">
        <f>(U36-U38)</f>
        <v>5863053.36999999</v>
      </c>
      <c r="V42" s="175">
        <f>SUM(H42:S42)</f>
        <v>1733399.2764467462</v>
      </c>
    </row>
    <row r="43" spans="13:22" ht="12.75">
      <c r="M43" s="149"/>
      <c r="N43" s="149"/>
      <c r="O43" s="149"/>
      <c r="V43" s="7">
        <f>SUM(F42:S42)</f>
        <v>5863053.369999988</v>
      </c>
    </row>
    <row r="44" spans="1:21" ht="12.75">
      <c r="A44" t="s">
        <v>582</v>
      </c>
      <c r="F44" s="10">
        <f>(F42/F38)</f>
        <v>0.08736635305414019</v>
      </c>
      <c r="G44" s="149">
        <f>(F44)</f>
        <v>0.08736635305414019</v>
      </c>
      <c r="H44" s="134">
        <v>0.2</v>
      </c>
      <c r="I44" s="134">
        <f>(H44)</f>
        <v>0.2</v>
      </c>
      <c r="M44" s="10">
        <f>(M42/M38)</f>
        <v>0.05377689965831937</v>
      </c>
      <c r="N44" s="149"/>
      <c r="O44" s="10">
        <f>(O42/O38)</f>
        <v>0.07856314771397219</v>
      </c>
      <c r="Q44" s="10">
        <v>0.4</v>
      </c>
      <c r="R44" s="10">
        <v>0.5</v>
      </c>
      <c r="S44" s="151">
        <v>0.1</v>
      </c>
      <c r="U44" s="10">
        <f>(U42/U38)</f>
        <v>0.0843028873224449</v>
      </c>
    </row>
    <row r="47" ht="12.75">
      <c r="F47" s="7" t="s">
        <v>24</v>
      </c>
    </row>
    <row r="51" spans="6:22" s="150" customFormat="1" ht="12.75">
      <c r="F51" s="150">
        <v>4096121.620582611</v>
      </c>
      <c r="G51" s="150">
        <v>36838.57297063244</v>
      </c>
      <c r="H51" s="150">
        <v>849993.2</v>
      </c>
      <c r="I51" s="150">
        <v>106.6</v>
      </c>
      <c r="J51" s="150">
        <v>0</v>
      </c>
      <c r="K51" s="150">
        <v>0</v>
      </c>
      <c r="L51" s="150">
        <v>0</v>
      </c>
      <c r="M51" s="150">
        <v>104996.70773788565</v>
      </c>
      <c r="N51" s="150">
        <v>0</v>
      </c>
      <c r="O51" s="150">
        <v>98219.56870886032</v>
      </c>
      <c r="P51" s="150">
        <v>0</v>
      </c>
      <c r="Q51" s="150">
        <v>657357.6</v>
      </c>
      <c r="R51" s="150">
        <v>19419.5</v>
      </c>
      <c r="S51" s="150">
        <v>0</v>
      </c>
      <c r="U51" s="150">
        <v>5863053.36999999</v>
      </c>
      <c r="V51" s="150">
        <v>1730093.176446746</v>
      </c>
    </row>
  </sheetData>
  <printOptions horizontalCentered="1" verticalCentered="1"/>
  <pageMargins left="0.75" right="0.75" top="1" bottom="1" header="0.5" footer="0.5"/>
  <pageSetup horizontalDpi="300" verticalDpi="300" orientation="portrait" scale="84" r:id="rId1"/>
  <headerFooter alignWithMargins="0">
    <oddHeader xml:space="preserve">&amp;C&amp;"Arial,Bold"&amp;11SOUTH KENTUCKY RECC
SOMERSET, KY
Case No. 2005-00450
Statement of Operations
Based on Expenses Category for each Rate Class&amp;RExhibit R
Schedule 1
Page &amp;P of &amp;N </oddHead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T149"/>
  <sheetViews>
    <sheetView workbookViewId="0" topLeftCell="A1">
      <pane xSplit="3" ySplit="7" topLeftCell="D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4" sqref="C24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2.8515625" style="0" customWidth="1"/>
    <col min="5" max="6" width="13.57421875" style="6" customWidth="1"/>
    <col min="7" max="7" width="12.7109375" style="6" customWidth="1"/>
    <col min="8" max="8" width="13.57421875" style="6" customWidth="1"/>
    <col min="9" max="12" width="14.7109375" style="6" customWidth="1"/>
    <col min="13" max="13" width="12.140625" style="6" customWidth="1"/>
    <col min="14" max="14" width="13.57421875" style="6" customWidth="1"/>
    <col min="15" max="15" width="12.8515625" style="0" customWidth="1"/>
    <col min="16" max="16" width="12.00390625" style="0" customWidth="1"/>
    <col min="17" max="17" width="13.57421875" style="0" customWidth="1"/>
    <col min="18" max="18" width="13.7109375" style="0" customWidth="1"/>
    <col min="19" max="19" width="1.8515625" style="0" customWidth="1"/>
    <col min="20" max="20" width="13.00390625" style="0" customWidth="1"/>
  </cols>
  <sheetData>
    <row r="4" spans="5:20" s="224" customFormat="1" ht="12.75">
      <c r="E4" s="181" t="str">
        <f>('RevReq-Rate Class'!G2)</f>
        <v>Schedule A</v>
      </c>
      <c r="F4" s="181" t="str">
        <f>('RevReq-Rate Class'!K2)</f>
        <v>Schedule A</v>
      </c>
      <c r="G4" s="181" t="str">
        <f>('RevReq-Rate Class'!M2)</f>
        <v>Schedule B</v>
      </c>
      <c r="H4" s="181" t="str">
        <f>('RevReq-Rate Class'!M2)</f>
        <v>Schedule B</v>
      </c>
      <c r="I4" s="181" t="str">
        <f>('RevReq-Rate Class'!S2)</f>
        <v>Schedule LP</v>
      </c>
      <c r="J4" s="181" t="s">
        <v>418</v>
      </c>
      <c r="K4" s="181" t="s">
        <v>420</v>
      </c>
      <c r="L4" s="181" t="s">
        <v>421</v>
      </c>
      <c r="M4" s="181" t="s">
        <v>547</v>
      </c>
      <c r="N4" s="181" t="s">
        <v>426</v>
      </c>
      <c r="O4" s="181" t="s">
        <v>428</v>
      </c>
      <c r="P4" s="181" t="s">
        <v>431</v>
      </c>
      <c r="Q4" s="181" t="s">
        <v>432</v>
      </c>
      <c r="R4" s="181" t="s">
        <v>434</v>
      </c>
      <c r="T4" s="181" t="s">
        <v>24</v>
      </c>
    </row>
    <row r="5" spans="5:20" ht="15">
      <c r="E5" s="210" t="s">
        <v>271</v>
      </c>
      <c r="F5" s="210" t="s">
        <v>352</v>
      </c>
      <c r="G5" s="210" t="s">
        <v>353</v>
      </c>
      <c r="H5" s="210" t="s">
        <v>352</v>
      </c>
      <c r="I5" s="210" t="s">
        <v>165</v>
      </c>
      <c r="J5" s="210" t="s">
        <v>572</v>
      </c>
      <c r="K5" s="210" t="s">
        <v>571</v>
      </c>
      <c r="L5" s="210" t="s">
        <v>572</v>
      </c>
      <c r="M5" s="210" t="s">
        <v>548</v>
      </c>
      <c r="N5" s="210" t="s">
        <v>573</v>
      </c>
      <c r="O5" s="211" t="s">
        <v>574</v>
      </c>
      <c r="P5" s="211" t="s">
        <v>575</v>
      </c>
      <c r="Q5" s="211" t="s">
        <v>576</v>
      </c>
      <c r="R5" s="211" t="s">
        <v>577</v>
      </c>
      <c r="S5" s="179"/>
      <c r="T5" s="180" t="s">
        <v>114</v>
      </c>
    </row>
    <row r="6" spans="5:20" ht="12.75"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2"/>
      <c r="R6" s="2"/>
      <c r="S6" s="2"/>
      <c r="T6" s="2"/>
    </row>
    <row r="7" spans="1:20" ht="12.75">
      <c r="A7" t="s">
        <v>233</v>
      </c>
      <c r="E7" s="16">
        <v>46846925</v>
      </c>
      <c r="F7" s="16">
        <v>421319</v>
      </c>
      <c r="G7" s="16">
        <v>4249966</v>
      </c>
      <c r="H7" s="16">
        <v>533</v>
      </c>
      <c r="I7" s="16">
        <v>8665601</v>
      </c>
      <c r="J7" s="16">
        <v>1850764</v>
      </c>
      <c r="K7" s="16">
        <v>2069359</v>
      </c>
      <c r="L7" s="16">
        <v>1952450</v>
      </c>
      <c r="M7" s="16">
        <v>44320</v>
      </c>
      <c r="N7" s="16">
        <v>1250199</v>
      </c>
      <c r="O7" s="68">
        <v>480361</v>
      </c>
      <c r="P7" s="68">
        <v>1643394</v>
      </c>
      <c r="Q7" s="68">
        <v>38839</v>
      </c>
      <c r="R7" s="68">
        <v>33061</v>
      </c>
      <c r="T7" s="7">
        <f>SUM(E7:R7)</f>
        <v>69547091</v>
      </c>
    </row>
    <row r="8" spans="1:14" ht="12.75">
      <c r="A8" t="s">
        <v>320</v>
      </c>
      <c r="N8" s="9">
        <f>SUM(E8:L8)</f>
        <v>0</v>
      </c>
    </row>
    <row r="9" spans="2:20" ht="12.75">
      <c r="B9" t="s">
        <v>44</v>
      </c>
      <c r="E9" s="6">
        <f>('RevReq-Rate Class'!G7)</f>
        <v>5985955.829044118</v>
      </c>
      <c r="F9" s="6">
        <f>('RevReq-Rate Class'!J7)</f>
        <v>0</v>
      </c>
      <c r="G9" s="6">
        <f>('RevReq-Rate Class'!M7)</f>
        <v>1350830.7612968343</v>
      </c>
      <c r="H9" s="6">
        <f>('RevReq-Rate Class'!P7)</f>
        <v>0</v>
      </c>
      <c r="I9" s="6">
        <f>('RevReq-Rate Class'!S7)</f>
        <v>1310831.0436254414</v>
      </c>
      <c r="J9" s="6">
        <f>('RevReq-Rate Class'!V7)</f>
        <v>260308.01159504653</v>
      </c>
      <c r="K9" s="6">
        <f>('RevReq-Rate Class'!Y7)</f>
        <v>333925.34067950887</v>
      </c>
      <c r="L9" s="6">
        <f>('RevReq-Rate Class'!AB7)</f>
        <v>295882.4977254445</v>
      </c>
      <c r="M9" s="6">
        <f>('RevReq-Rate Class'!AE7)</f>
        <v>1559.3731069863823</v>
      </c>
      <c r="N9" s="6">
        <f>('RevReq-Rate Class'!AH7)</f>
        <v>270375.5571474704</v>
      </c>
      <c r="O9" s="6">
        <f>('RevReq-Rate Class'!AK7)</f>
        <v>57120.76588625195</v>
      </c>
      <c r="P9" s="6">
        <f>('RevReq-Rate Class'!AN7)</f>
        <v>83158.27613315365</v>
      </c>
      <c r="Q9" s="6">
        <f>('RevReq-Rate Class'!AQ7)</f>
        <v>3117.880171984511</v>
      </c>
      <c r="R9" s="6">
        <f>('RevReq-Rate Class'!AT7)</f>
        <v>1197.1035877583693</v>
      </c>
      <c r="S9" s="8" t="s">
        <v>24</v>
      </c>
      <c r="T9" s="7">
        <f aca="true" t="shared" si="0" ref="T9:T14">SUM(E9:R9)</f>
        <v>9954262.44</v>
      </c>
    </row>
    <row r="10" spans="2:20" ht="12.75">
      <c r="B10" t="s">
        <v>255</v>
      </c>
      <c r="E10" s="6">
        <f>('RevReq-Rate Class'!G9)</f>
        <v>2572214.531936991</v>
      </c>
      <c r="F10" s="6">
        <f>('RevReq-Rate Class'!J9)</f>
        <v>0</v>
      </c>
      <c r="G10" s="6">
        <f>('RevReq-Rate Class'!M9)</f>
        <v>580463.1062488278</v>
      </c>
      <c r="H10" s="6">
        <f>('RevReq-Rate Class'!P9)</f>
        <v>0</v>
      </c>
      <c r="I10" s="6">
        <f>('RevReq-Rate Class'!S9)</f>
        <v>563274.8980484736</v>
      </c>
      <c r="J10" s="6">
        <f>('RevReq-Rate Class'!V9)</f>
        <v>111856.49304614734</v>
      </c>
      <c r="K10" s="6">
        <f>('RevReq-Rate Class'!Y9)</f>
        <v>143490.4646951736</v>
      </c>
      <c r="L10" s="6">
        <f>('RevReq-Rate Class'!AB9)</f>
        <v>127143.14225867909</v>
      </c>
      <c r="M10" s="6">
        <f>('RevReq-Rate Class'!AE9)</f>
        <v>670.0754701597292</v>
      </c>
      <c r="N10" s="6">
        <f>('RevReq-Rate Class'!AH9)</f>
        <v>116182.60425525738</v>
      </c>
      <c r="O10" s="6">
        <f>('RevReq-Rate Class'!AK9)</f>
        <v>24545.263661167108</v>
      </c>
      <c r="P10" s="6">
        <f>('RevReq-Rate Class'!AN9)</f>
        <v>35733.796310803074</v>
      </c>
      <c r="Q10" s="6">
        <f>('RevReq-Rate Class'!AQ9)</f>
        <v>1339.7787949426674</v>
      </c>
      <c r="R10" s="6">
        <f>('RevReq-Rate Class'!AT9)</f>
        <v>514.4052733776515</v>
      </c>
      <c r="T10" s="7">
        <f t="shared" si="0"/>
        <v>4277428.56</v>
      </c>
    </row>
    <row r="11" spans="2:20" ht="12.75">
      <c r="B11" t="s">
        <v>318</v>
      </c>
      <c r="E11" s="16">
        <f>('RevReq-Rate Class'!G10)</f>
        <v>721851.9613586464</v>
      </c>
      <c r="F11" s="16">
        <f>('RevReq-Rate Class'!J10)</f>
        <v>0</v>
      </c>
      <c r="G11" s="16">
        <f>('RevReq-Rate Class'!M10)</f>
        <v>162897.93348866468</v>
      </c>
      <c r="H11" s="16">
        <f>('RevReq-Rate Class'!P10)</f>
        <v>0</v>
      </c>
      <c r="I11" s="16">
        <f>('RevReq-Rate Class'!S10)</f>
        <v>158074.33046192836</v>
      </c>
      <c r="J11" s="16">
        <f>('RevReq-Rate Class'!V10)</f>
        <v>31930.41936336226</v>
      </c>
      <c r="K11" s="16">
        <f>('RevReq-Rate Class'!Y10)</f>
        <v>36294.12777870992</v>
      </c>
      <c r="L11" s="16">
        <f>('RevReq-Rate Class'!AB10)</f>
        <v>40960.614691097064</v>
      </c>
      <c r="M11" s="16">
        <f>('RevReq-Rate Class'!AE10)</f>
        <v>188.04624823765138</v>
      </c>
      <c r="N11" s="16">
        <f>('RevReq-Rate Class'!AH10)</f>
        <v>32604.839027271057</v>
      </c>
      <c r="O11" s="16">
        <f>('RevReq-Rate Class'!AK10)</f>
        <v>6888.246099183692</v>
      </c>
      <c r="P11" s="16">
        <f>('RevReq-Rate Class'!AN10)</f>
        <v>10028.133592076068</v>
      </c>
      <c r="Q11" s="16">
        <f>('RevReq-Rate Class'!AQ10)</f>
        <v>375.9880596692698</v>
      </c>
      <c r="R11" s="16">
        <f>('RevReq-Rate Class'!AT10)</f>
        <v>144.35983115345545</v>
      </c>
      <c r="S11" s="4"/>
      <c r="T11" s="18">
        <f t="shared" si="0"/>
        <v>1202239</v>
      </c>
    </row>
    <row r="12" spans="3:20" ht="12.75">
      <c r="C12" t="s">
        <v>319</v>
      </c>
      <c r="E12" s="6">
        <f aca="true" t="shared" si="1" ref="E12:L12">SUM(E9:E11)</f>
        <v>9280022.322339755</v>
      </c>
      <c r="F12" s="6">
        <f t="shared" si="1"/>
        <v>0</v>
      </c>
      <c r="G12" s="6">
        <f t="shared" si="1"/>
        <v>2094191.8010343267</v>
      </c>
      <c r="H12" s="6">
        <f t="shared" si="1"/>
        <v>0</v>
      </c>
      <c r="I12" s="6">
        <f t="shared" si="1"/>
        <v>2032180.2721358433</v>
      </c>
      <c r="J12" s="6">
        <f t="shared" si="1"/>
        <v>404094.92400455615</v>
      </c>
      <c r="K12" s="6">
        <f t="shared" si="1"/>
        <v>513709.9331533924</v>
      </c>
      <c r="L12" s="6">
        <f t="shared" si="1"/>
        <v>463986.25467522064</v>
      </c>
      <c r="M12" s="6">
        <f aca="true" t="shared" si="2" ref="M12:R12">SUM(M9:M11)</f>
        <v>2417.494825383763</v>
      </c>
      <c r="N12" s="6">
        <f t="shared" si="2"/>
        <v>419163.0004299989</v>
      </c>
      <c r="O12" s="6">
        <f t="shared" si="2"/>
        <v>88554.27564660276</v>
      </c>
      <c r="P12" s="6">
        <f t="shared" si="2"/>
        <v>128920.20603603279</v>
      </c>
      <c r="Q12" s="6">
        <f t="shared" si="2"/>
        <v>4833.647026596448</v>
      </c>
      <c r="R12" s="6">
        <f t="shared" si="2"/>
        <v>1855.868692289476</v>
      </c>
      <c r="T12" s="7">
        <f t="shared" si="0"/>
        <v>15433930</v>
      </c>
    </row>
    <row r="13" spans="1:20" ht="12.75">
      <c r="A13" t="s">
        <v>322</v>
      </c>
      <c r="E13" s="16">
        <f>('RevReq-Rate Class'!H12)</f>
        <v>23639923.73503255</v>
      </c>
      <c r="F13" s="16">
        <f>('RevReq-Rate Class'!K12)</f>
        <v>331459.36169574474</v>
      </c>
      <c r="G13" s="16">
        <f>('RevReq-Rate Class'!N12)</f>
        <v>1991196.680026013</v>
      </c>
      <c r="H13" s="16">
        <f>('RevReq-Rate Class'!Q12)</f>
        <v>384.5563191489362</v>
      </c>
      <c r="I13" s="16">
        <f>('RevReq-Rate Class'!T12)</f>
        <v>4784242.044410074</v>
      </c>
      <c r="J13" s="16">
        <f>('RevReq-Rate Class'!W12)</f>
        <v>1061311.404113625</v>
      </c>
      <c r="K13" s="6">
        <f>('RevReq-Rate Class'!Z12)</f>
        <v>1198412.6228565508</v>
      </c>
      <c r="L13" s="6">
        <f>('RevReq-Rate Class'!AC12)</f>
        <v>1275439.431929824</v>
      </c>
      <c r="M13" s="6">
        <f>('RevReq-Rate Class'!AF12)</f>
        <v>9635.71425504116</v>
      </c>
      <c r="N13" s="6">
        <f>('RevReq-Rate Class'!AI12)</f>
        <v>560529.7874542382</v>
      </c>
      <c r="O13" s="6">
        <f>('RevReq-Rate Class'!AL12)</f>
        <v>280079.8799780804</v>
      </c>
      <c r="P13" s="6">
        <f>('RevReq-Rate Class'!AO12)</f>
        <v>613046.2380961576</v>
      </c>
      <c r="Q13" s="6">
        <f>('RevReq-Rate Class'!AR12)</f>
        <v>23333.360841041682</v>
      </c>
      <c r="R13" s="6">
        <f>('RevReq-Rate Class'!AU12)</f>
        <v>6938.1829919116735</v>
      </c>
      <c r="T13" s="18">
        <f t="shared" si="0"/>
        <v>35775933.00000001</v>
      </c>
    </row>
    <row r="14" spans="1:20" ht="12.75">
      <c r="A14" t="s">
        <v>323</v>
      </c>
      <c r="E14" s="67">
        <f aca="true" t="shared" si="3" ref="E14:L14">(E12+E13)</f>
        <v>32919946.057372306</v>
      </c>
      <c r="F14" s="67">
        <f t="shared" si="3"/>
        <v>331459.36169574474</v>
      </c>
      <c r="G14" s="67">
        <f t="shared" si="3"/>
        <v>4085388.4810603396</v>
      </c>
      <c r="H14" s="67">
        <f t="shared" si="3"/>
        <v>384.5563191489362</v>
      </c>
      <c r="I14" s="67">
        <f t="shared" si="3"/>
        <v>6816422.316545918</v>
      </c>
      <c r="J14" s="67">
        <f t="shared" si="3"/>
        <v>1465406.328118181</v>
      </c>
      <c r="K14" s="67">
        <f t="shared" si="3"/>
        <v>1712122.5560099431</v>
      </c>
      <c r="L14" s="67">
        <f t="shared" si="3"/>
        <v>1739425.6866050446</v>
      </c>
      <c r="M14" s="67">
        <f aca="true" t="shared" si="4" ref="M14:R14">(M12+M13)</f>
        <v>12053.209080424924</v>
      </c>
      <c r="N14" s="67">
        <f t="shared" si="4"/>
        <v>979692.787884237</v>
      </c>
      <c r="O14" s="67">
        <f t="shared" si="4"/>
        <v>368634.15562468313</v>
      </c>
      <c r="P14" s="67">
        <f t="shared" si="4"/>
        <v>741966.4441321903</v>
      </c>
      <c r="Q14" s="67">
        <f t="shared" si="4"/>
        <v>28167.00786763813</v>
      </c>
      <c r="R14" s="67">
        <f t="shared" si="4"/>
        <v>8794.05168420115</v>
      </c>
      <c r="T14" s="18">
        <f t="shared" si="0"/>
        <v>51209863</v>
      </c>
    </row>
    <row r="15" spans="14:20" ht="12.75">
      <c r="N15"/>
      <c r="T15" s="7" t="s">
        <v>24</v>
      </c>
    </row>
    <row r="16" spans="1:20" ht="12.75">
      <c r="A16" t="s">
        <v>327</v>
      </c>
      <c r="E16" s="6">
        <f aca="true" t="shared" si="5" ref="E16:R16">(E7-E14)</f>
        <v>13926978.942627694</v>
      </c>
      <c r="F16" s="6">
        <f t="shared" si="5"/>
        <v>89859.63830425526</v>
      </c>
      <c r="G16" s="6">
        <f t="shared" si="5"/>
        <v>164577.5189396604</v>
      </c>
      <c r="H16" s="6">
        <f t="shared" si="5"/>
        <v>148.4436808510638</v>
      </c>
      <c r="I16" s="6">
        <f t="shared" si="5"/>
        <v>1849178.6834540823</v>
      </c>
      <c r="J16" s="6">
        <f t="shared" si="5"/>
        <v>385357.6718818189</v>
      </c>
      <c r="K16" s="6">
        <f t="shared" si="5"/>
        <v>357236.44399005687</v>
      </c>
      <c r="L16" s="6">
        <f t="shared" si="5"/>
        <v>213024.31339495536</v>
      </c>
      <c r="M16" s="6">
        <f t="shared" si="5"/>
        <v>32266.790919575076</v>
      </c>
      <c r="N16" s="6">
        <f t="shared" si="5"/>
        <v>270506.212115763</v>
      </c>
      <c r="O16" s="6">
        <f t="shared" si="5"/>
        <v>111726.84437531687</v>
      </c>
      <c r="P16" s="6">
        <f t="shared" si="5"/>
        <v>901427.5558678097</v>
      </c>
      <c r="Q16" s="6">
        <f t="shared" si="5"/>
        <v>10671.99213236187</v>
      </c>
      <c r="R16" s="6">
        <f t="shared" si="5"/>
        <v>24266.94831579885</v>
      </c>
      <c r="T16" s="7">
        <f>SUM(E16:R16)</f>
        <v>18337228.000000004</v>
      </c>
    </row>
    <row r="17" spans="1:20" ht="12.75">
      <c r="A17" t="s">
        <v>321</v>
      </c>
      <c r="M17" s="141"/>
      <c r="N17"/>
      <c r="T17" s="7">
        <f>SUM(E17:R17)</f>
        <v>0</v>
      </c>
    </row>
    <row r="18" spans="2:20" ht="12.75">
      <c r="B18" t="s">
        <v>25</v>
      </c>
      <c r="E18" s="6">
        <f>('RevReq-Rate Class'!G24)</f>
        <v>4324351.335218375</v>
      </c>
      <c r="F18" s="6">
        <f>('RevReq-Rate Class'!J24)</f>
        <v>0</v>
      </c>
      <c r="G18" s="6">
        <f>('RevReq-Rate Class'!M24)</f>
        <v>963820.8807436713</v>
      </c>
      <c r="H18" s="6">
        <f>('RevReq-Rate Class'!P24)</f>
        <v>0</v>
      </c>
      <c r="I18" s="6">
        <f>('RevReq-Rate Class'!S24)</f>
        <v>965619.1951774547</v>
      </c>
      <c r="J18" s="6">
        <f>('RevReq-Rate Class'!V24)</f>
        <v>170512.91038844787</v>
      </c>
      <c r="K18" s="6">
        <f>('RevReq-Rate Class'!Y24)</f>
        <v>212698.22483113263</v>
      </c>
      <c r="L18" s="6">
        <f>('RevReq-Rate Class'!AB24)</f>
        <v>244750.5030887771</v>
      </c>
      <c r="M18" s="6">
        <f>('RevReq-Rate Class'!AE24)</f>
        <v>5824.429526588849</v>
      </c>
      <c r="N18" s="6">
        <f>('RevReq-Rate Class'!AH24)</f>
        <v>230364.85265895966</v>
      </c>
      <c r="O18" s="6">
        <f>('RevReq-Rate Class'!AK24)</f>
        <v>67332.57176097426</v>
      </c>
      <c r="P18" s="6">
        <f>('RevReq-Rate Class'!AN24)</f>
        <v>122356.7293632578</v>
      </c>
      <c r="Q18" s="6">
        <f>('RevReq-Rate Class'!AQ24)</f>
        <v>4582.249101847525</v>
      </c>
      <c r="R18" s="6">
        <f>('RevReq-Rate Class'!AT24)</f>
        <v>1783.5864648219138</v>
      </c>
      <c r="T18" s="7">
        <f>SUM(E18:R18)</f>
        <v>7313997.468324308</v>
      </c>
    </row>
    <row r="19" spans="2:20" ht="12.75">
      <c r="B19" t="s">
        <v>153</v>
      </c>
      <c r="E19" s="16">
        <f>('RevReq-Rate Class'!G44)</f>
        <v>712644.6948682211</v>
      </c>
      <c r="F19" s="16">
        <f>('RevReq-Rate Class'!J44)</f>
        <v>0</v>
      </c>
      <c r="G19" s="16">
        <f>('RevReq-Rate Class'!M44)</f>
        <v>158835.80778260424</v>
      </c>
      <c r="H19" s="16">
        <f>('RevReq-Rate Class'!P44)</f>
        <v>0</v>
      </c>
      <c r="I19" s="16">
        <f>('RevReq-Rate Class'!S44)</f>
        <v>159132.16650593543</v>
      </c>
      <c r="J19" s="16">
        <f>('RevReq-Rate Class'!V44)</f>
        <v>28100.1962086717</v>
      </c>
      <c r="K19" s="16">
        <f>('RevReq-Rate Class'!Y44)</f>
        <v>35052.25403387356</v>
      </c>
      <c r="L19" s="16">
        <f>('RevReq-Rate Class'!AB44)</f>
        <v>40334.40719120875</v>
      </c>
      <c r="M19" s="16">
        <f>('RevReq-Rate Class'!AE44)</f>
        <v>959.8546651269629</v>
      </c>
      <c r="N19" s="16">
        <f>('RevReq-Rate Class'!AH44)</f>
        <v>37963.67996154428</v>
      </c>
      <c r="O19" s="16">
        <f>('RevReq-Rate Class'!AK44)</f>
        <v>11096.276952915287</v>
      </c>
      <c r="P19" s="16">
        <f>('RevReq-Rate Class'!AN44)</f>
        <v>20164.151176155305</v>
      </c>
      <c r="Q19" s="16">
        <f>('RevReq-Rate Class'!AQ44)</f>
        <v>755.1457455367477</v>
      </c>
      <c r="R19" s="16">
        <f>('RevReq-Rate Class'!AT44)</f>
        <v>293.9315826728299</v>
      </c>
      <c r="T19" s="18">
        <f>SUM(E19:R19)</f>
        <v>1205332.566674466</v>
      </c>
    </row>
    <row r="20" spans="3:20" ht="12.75">
      <c r="C20" t="s">
        <v>324</v>
      </c>
      <c r="E20" s="6">
        <f aca="true" t="shared" si="6" ref="E20:L20">(E18+E19)</f>
        <v>5036996.030086596</v>
      </c>
      <c r="F20" s="6">
        <f t="shared" si="6"/>
        <v>0</v>
      </c>
      <c r="G20" s="6">
        <f t="shared" si="6"/>
        <v>1122656.6885262756</v>
      </c>
      <c r="H20" s="6">
        <f t="shared" si="6"/>
        <v>0</v>
      </c>
      <c r="I20" s="6">
        <f t="shared" si="6"/>
        <v>1124751.36168339</v>
      </c>
      <c r="J20" s="6">
        <f t="shared" si="6"/>
        <v>198613.10659711956</v>
      </c>
      <c r="K20" s="6">
        <f t="shared" si="6"/>
        <v>247750.47886500618</v>
      </c>
      <c r="L20" s="6">
        <f t="shared" si="6"/>
        <v>285084.91027998587</v>
      </c>
      <c r="M20" s="6">
        <f aca="true" t="shared" si="7" ref="M20:R20">(M18+M19)</f>
        <v>6784.284191715811</v>
      </c>
      <c r="N20" s="6">
        <f t="shared" si="7"/>
        <v>268328.5326205039</v>
      </c>
      <c r="O20" s="6">
        <f t="shared" si="7"/>
        <v>78428.84871388954</v>
      </c>
      <c r="P20" s="6">
        <f t="shared" si="7"/>
        <v>142520.8805394131</v>
      </c>
      <c r="Q20" s="6">
        <f t="shared" si="7"/>
        <v>5337.394847384272</v>
      </c>
      <c r="R20" s="6">
        <f t="shared" si="7"/>
        <v>2077.5180474947438</v>
      </c>
      <c r="T20" s="7">
        <f>SUM(E20:R20)</f>
        <v>8519330.034998773</v>
      </c>
    </row>
    <row r="21" spans="1:18" ht="12.75">
      <c r="A21" t="s">
        <v>578</v>
      </c>
      <c r="O21" s="6"/>
      <c r="P21" s="6"/>
      <c r="Q21" s="6"/>
      <c r="R21" s="6"/>
    </row>
    <row r="22" spans="2:20" ht="12.75">
      <c r="B22" t="s">
        <v>25</v>
      </c>
      <c r="E22" s="6">
        <f>('RevReq-Rate Class'!I24)</f>
        <v>3395428.766463538</v>
      </c>
      <c r="F22" s="6">
        <f>('RevReq-Rate Class'!L24)</f>
        <v>0</v>
      </c>
      <c r="G22" s="6">
        <f>('RevReq-Rate Class'!O24)</f>
        <v>219881.92000987256</v>
      </c>
      <c r="H22" s="6">
        <f>('RevReq-Rate Class'!R24)</f>
        <v>0</v>
      </c>
      <c r="I22" s="6">
        <f>('RevReq-Rate Class'!U24)</f>
        <v>15104.985289703616</v>
      </c>
      <c r="J22" s="6">
        <f>('RevReq-Rate Class'!X24)</f>
        <v>122.80475845287492</v>
      </c>
      <c r="K22" s="6">
        <f>('RevReq-Rate Class'!AA24)</f>
        <v>61.40237922643746</v>
      </c>
      <c r="L22" s="6">
        <f>('RevReq-Rate Class'!AD24)</f>
        <v>307.0118961321873</v>
      </c>
      <c r="M22" s="6">
        <f>('RevReq-Rate Class'!AG24)</f>
        <v>61.40237922643746</v>
      </c>
      <c r="N22" s="6">
        <f>('RevReq-Rate Class'!AJ24)</f>
        <v>9210.356883965618</v>
      </c>
      <c r="O22" s="6">
        <f>('RevReq-Rate Class'!AM24)</f>
        <v>614.0237922643746</v>
      </c>
      <c r="P22" s="6">
        <f>('RevReq-Rate Class'!AP24)</f>
        <v>0</v>
      </c>
      <c r="Q22" s="6">
        <f>('RevReq-Rate Class'!AS24)</f>
        <v>1228.0475845287492</v>
      </c>
      <c r="R22" s="6">
        <f>('RevReq-Rate Class'!AV24)</f>
        <v>307.0118961321873</v>
      </c>
      <c r="T22" s="41">
        <f aca="true" t="shared" si="8" ref="T22:T27">SUM(E22:R22)</f>
        <v>3642327.7333330424</v>
      </c>
    </row>
    <row r="23" spans="2:20" ht="12.75">
      <c r="B23" t="s">
        <v>153</v>
      </c>
      <c r="E23" s="6">
        <f>('RevReq-Rate Class'!I44)</f>
        <v>413981.4371046827</v>
      </c>
      <c r="F23" s="6">
        <f>('RevReq-Rate Class'!L44)</f>
        <v>0</v>
      </c>
      <c r="G23" s="6">
        <f>('RevReq-Rate Class'!O44)</f>
        <v>40713.797221226814</v>
      </c>
      <c r="H23" s="6">
        <f>('RevReq-Rate Class'!R44)</f>
        <v>0</v>
      </c>
      <c r="I23" s="6">
        <f>('RevReq-Rate Class'!U44)</f>
        <v>10460.169701579503</v>
      </c>
      <c r="J23" s="6">
        <f>('RevReq-Rate Class'!X44)</f>
        <v>370.10828632308875</v>
      </c>
      <c r="K23" s="6">
        <f>('RevReq-Rate Class'!AA44)</f>
        <v>1030.8808900517429</v>
      </c>
      <c r="L23" s="6">
        <f>('RevReq-Rate Class'!AD44)</f>
        <v>925.2707158077218</v>
      </c>
      <c r="M23" s="6">
        <f>('RevReq-Rate Class'!AG44)</f>
        <v>370.10828632308875</v>
      </c>
      <c r="N23" s="6">
        <f>('RevReq-Rate Class'!AJ44)</f>
        <v>6378.152257060674</v>
      </c>
      <c r="O23" s="6">
        <f>('RevReq-Rate Class'!AM44)</f>
        <v>1176.2013957761174</v>
      </c>
      <c r="P23" s="6">
        <f>('RevReq-Rate Class'!AP44)</f>
        <v>0</v>
      </c>
      <c r="Q23" s="6">
        <f>('RevReq-Rate Class'!AS44)</f>
        <v>803.7923802462808</v>
      </c>
      <c r="R23" s="6">
        <f>('RevReq-Rate Class'!AV44)</f>
        <v>149.72745383365861</v>
      </c>
      <c r="T23" s="41">
        <f t="shared" si="8"/>
        <v>476359.64569291135</v>
      </c>
    </row>
    <row r="24" spans="2:20" ht="12.75">
      <c r="B24" t="s">
        <v>13</v>
      </c>
      <c r="E24" s="6">
        <f>('RevReq-Rate Class'!I61)</f>
        <v>1689206.636560619</v>
      </c>
      <c r="F24" s="6">
        <f>('RevReq-Rate Class'!L61)</f>
        <v>0</v>
      </c>
      <c r="G24" s="6">
        <f>('RevReq-Rate Class'!O61)</f>
        <v>109390.01348192658</v>
      </c>
      <c r="H24" s="6">
        <f>('RevReq-Rate Class'!R61)</f>
        <v>0</v>
      </c>
      <c r="I24" s="6">
        <f>('RevReq-Rate Class'!U61)</f>
        <v>25361.490178844022</v>
      </c>
      <c r="J24" s="6">
        <f>('RevReq-Rate Class'!X61)</f>
        <v>0</v>
      </c>
      <c r="K24" s="6">
        <f>('RevReq-Rate Class'!AA61)</f>
        <v>0</v>
      </c>
      <c r="L24" s="6">
        <f>('RevReq-Rate Class'!AD61)</f>
        <v>515.4774426594314</v>
      </c>
      <c r="M24" s="6">
        <f>('RevReq-Rate Class'!AG61)</f>
        <v>103.09548853188628</v>
      </c>
      <c r="N24" s="6">
        <f>('RevReq-Rate Class'!AJ61)</f>
        <v>15464.32327978294</v>
      </c>
      <c r="O24" s="6">
        <f>('RevReq-Rate Class'!AM61)</f>
        <v>1030.9548853188628</v>
      </c>
      <c r="P24" s="6">
        <f>('RevReq-Rate Class'!AP61)</f>
        <v>0</v>
      </c>
      <c r="Q24" s="6">
        <f>('RevReq-Rate Class'!AS61)</f>
        <v>0</v>
      </c>
      <c r="R24" s="6">
        <f>('RevReq-Rate Class'!AV61)</f>
        <v>0</v>
      </c>
      <c r="T24" s="41">
        <f t="shared" si="8"/>
        <v>1841071.991317683</v>
      </c>
    </row>
    <row r="25" spans="2:20" ht="12.75">
      <c r="B25" t="s">
        <v>14</v>
      </c>
      <c r="E25" s="6">
        <f>('RevReq-Rate Class'!I75)</f>
        <v>1371233.1608596167</v>
      </c>
      <c r="F25" s="6">
        <f>('RevReq-Rate Class'!L75)</f>
        <v>0</v>
      </c>
      <c r="G25" s="6">
        <f>('RevReq-Rate Class'!O75)</f>
        <v>88798.61747329538</v>
      </c>
      <c r="H25" s="6">
        <f>('RevReq-Rate Class'!R75)</f>
        <v>0</v>
      </c>
      <c r="I25" s="6">
        <f>('RevReq-Rate Class'!U75)</f>
        <v>38932.28707111143</v>
      </c>
      <c r="J25" s="6">
        <f>('RevReq-Rate Class'!X75)</f>
        <v>0</v>
      </c>
      <c r="K25" s="6">
        <f>('RevReq-Rate Class'!AA75)</f>
        <v>0</v>
      </c>
      <c r="L25" s="6">
        <f>('RevReq-Rate Class'!AD75)</f>
        <v>0</v>
      </c>
      <c r="M25" s="6">
        <f>('RevReq-Rate Class'!AG75)</f>
        <v>158.26132955736352</v>
      </c>
      <c r="N25" s="6">
        <f>('RevReq-Rate Class'!AJ75)</f>
        <v>23739.199433604525</v>
      </c>
      <c r="O25" s="6">
        <f>('RevReq-Rate Class'!AM75)</f>
        <v>1582.6132955736355</v>
      </c>
      <c r="P25" s="6">
        <f>('RevReq-Rate Class'!AP75)</f>
        <v>0</v>
      </c>
      <c r="Q25" s="6">
        <f>('RevReq-Rate Class'!AS75)</f>
        <v>0</v>
      </c>
      <c r="R25" s="6">
        <f>('RevReq-Rate Class'!AV75)</f>
        <v>0</v>
      </c>
      <c r="T25" s="41">
        <f t="shared" si="8"/>
        <v>1524444.139462759</v>
      </c>
    </row>
    <row r="26" spans="2:20" ht="12.75">
      <c r="B26" t="s">
        <v>317</v>
      </c>
      <c r="E26" s="6">
        <f>('RevReq-Rate Class'!I111)</f>
        <v>4688574.498400098</v>
      </c>
      <c r="F26" s="6">
        <f>('RevReq-Rate Class'!L111)</f>
        <v>58739.958495952626</v>
      </c>
      <c r="G26" s="6">
        <f>('RevReq-Rate Class'!O111)</f>
        <v>303623.73465171887</v>
      </c>
      <c r="H26" s="6">
        <f>('RevReq-Rate Class'!R111)</f>
        <v>68.22294831121097</v>
      </c>
      <c r="I26" s="6">
        <f>('RevReq-Rate Class'!U111)</f>
        <v>28202.687145416</v>
      </c>
      <c r="J26" s="6">
        <f>('RevReq-Rate Class'!X111)</f>
        <v>305.11910261313534</v>
      </c>
      <c r="K26" s="6">
        <f>('RevReq-Rate Class'!AA111)</f>
        <v>152.55955130656767</v>
      </c>
      <c r="L26" s="6">
        <f>('RevReq-Rate Class'!AD111)</f>
        <v>762.7977565328383</v>
      </c>
      <c r="M26" s="6">
        <f>('RevReq-Rate Class'!AG111)</f>
        <v>114.64506969681298</v>
      </c>
      <c r="N26" s="6">
        <f>('RevReq-Rate Class'!AJ111)</f>
        <v>12718.112314369682</v>
      </c>
      <c r="O26" s="6">
        <f>('RevReq-Rate Class'!AM111)</f>
        <v>847.8741542913122</v>
      </c>
      <c r="P26" s="6">
        <f>('RevReq-Rate Class'!AP111)</f>
        <v>0</v>
      </c>
      <c r="Q26" s="6">
        <f>('RevReq-Rate Class'!AS111)</f>
        <v>843.366029953567</v>
      </c>
      <c r="R26" s="6">
        <f>('RevReq-Rate Class'!AV111)</f>
        <v>210.84150748839176</v>
      </c>
      <c r="T26" s="41">
        <f t="shared" si="8"/>
        <v>5095164.417127748</v>
      </c>
    </row>
    <row r="27" spans="2:20" ht="12.75">
      <c r="B27" t="s">
        <v>17</v>
      </c>
      <c r="E27" s="16"/>
      <c r="F27" s="16"/>
      <c r="G27" s="16"/>
      <c r="H27" s="16"/>
      <c r="I27" s="19" t="s">
        <v>24</v>
      </c>
      <c r="J27" s="16">
        <f>('RevReq-Rate Class'!X94)</f>
        <v>0</v>
      </c>
      <c r="K27" s="16"/>
      <c r="L27" s="16">
        <f>('RevReq-Rate Class'!AD94)</f>
        <v>0</v>
      </c>
      <c r="M27" s="16">
        <f>('RevReq-Rate Class'!AG94)</f>
        <v>0</v>
      </c>
      <c r="N27" s="16">
        <f>('RevReq-Rate Class'!AJ94)</f>
        <v>0</v>
      </c>
      <c r="O27" s="16">
        <f>('RevReq-Rate Class'!AM94)</f>
        <v>0</v>
      </c>
      <c r="P27" s="16">
        <f>('RevReq-Rate Class'!AP94)</f>
        <v>1263968.964480226</v>
      </c>
      <c r="Q27" s="16">
        <f>('RevReq-Rate Class'!AS94)</f>
        <v>43855.06286147829</v>
      </c>
      <c r="R27" s="16">
        <f>('RevReq-Rate Class'!AV94)</f>
        <v>11544.020725375207</v>
      </c>
      <c r="T27" s="18">
        <f t="shared" si="8"/>
        <v>1319368.0480670794</v>
      </c>
    </row>
    <row r="28" spans="3:20" ht="12.75">
      <c r="C28" t="s">
        <v>325</v>
      </c>
      <c r="E28" s="67">
        <f>SUM(E22:E26)</f>
        <v>11558424.499388553</v>
      </c>
      <c r="F28" s="67">
        <f>SUM(F22:F26)</f>
        <v>58739.958495952626</v>
      </c>
      <c r="G28" s="67">
        <f>SUM(G22:G26)</f>
        <v>762408.0828380402</v>
      </c>
      <c r="H28" s="67">
        <f>SUM(H22:H26)</f>
        <v>68.22294831121097</v>
      </c>
      <c r="I28" s="67">
        <f>SUM(I22:I27)</f>
        <v>118061.61938665457</v>
      </c>
      <c r="J28" s="67">
        <f>SUM(J22:J27)</f>
        <v>798.032147389099</v>
      </c>
      <c r="K28" s="67">
        <f>SUM(K22:K27)</f>
        <v>1244.842820584748</v>
      </c>
      <c r="L28" s="67">
        <f>SUM(L22:L27)</f>
        <v>2510.557811132179</v>
      </c>
      <c r="M28" s="67">
        <f aca="true" t="shared" si="9" ref="M28:R28">SUM(M22:M27)</f>
        <v>807.512553335589</v>
      </c>
      <c r="N28" s="67">
        <f t="shared" si="9"/>
        <v>67510.14416878344</v>
      </c>
      <c r="O28" s="67">
        <f t="shared" si="9"/>
        <v>5251.667523224302</v>
      </c>
      <c r="P28" s="67">
        <f t="shared" si="9"/>
        <v>1263968.964480226</v>
      </c>
      <c r="Q28" s="67">
        <f t="shared" si="9"/>
        <v>46730.26885620689</v>
      </c>
      <c r="R28" s="67">
        <f t="shared" si="9"/>
        <v>12211.601582829444</v>
      </c>
      <c r="S28" s="142" t="s">
        <v>24</v>
      </c>
      <c r="T28" s="67">
        <f>SUM(T22:T27)</f>
        <v>13898735.975001223</v>
      </c>
    </row>
    <row r="29" spans="15:18" ht="12.75">
      <c r="O29" s="6"/>
      <c r="P29" s="6"/>
      <c r="Q29" s="6"/>
      <c r="R29" s="6"/>
    </row>
    <row r="30" spans="1:20" ht="12.75">
      <c r="A30" t="s">
        <v>326</v>
      </c>
      <c r="E30" s="16">
        <f aca="true" t="shared" si="10" ref="E30:L30">(E20+E28)</f>
        <v>16595420.529475149</v>
      </c>
      <c r="F30" s="16">
        <f t="shared" si="10"/>
        <v>58739.958495952626</v>
      </c>
      <c r="G30" s="16">
        <f t="shared" si="10"/>
        <v>1885064.7713643159</v>
      </c>
      <c r="H30" s="16">
        <f t="shared" si="10"/>
        <v>68.22294831121097</v>
      </c>
      <c r="I30" s="16">
        <f t="shared" si="10"/>
        <v>1242812.9810700447</v>
      </c>
      <c r="J30" s="16">
        <f t="shared" si="10"/>
        <v>199411.13874450867</v>
      </c>
      <c r="K30" s="16">
        <f t="shared" si="10"/>
        <v>248995.32168559093</v>
      </c>
      <c r="L30" s="16">
        <f t="shared" si="10"/>
        <v>287595.46809111803</v>
      </c>
      <c r="M30" s="16">
        <f aca="true" t="shared" si="11" ref="M30:T30">(M20+M28)</f>
        <v>7591.796745051401</v>
      </c>
      <c r="N30" s="16">
        <f t="shared" si="11"/>
        <v>335838.67678928736</v>
      </c>
      <c r="O30" s="16">
        <f t="shared" si="11"/>
        <v>83680.51623711384</v>
      </c>
      <c r="P30" s="16">
        <f t="shared" si="11"/>
        <v>1406489.845019639</v>
      </c>
      <c r="Q30" s="16">
        <f t="shared" si="11"/>
        <v>52067.663703591155</v>
      </c>
      <c r="R30" s="16">
        <f t="shared" si="11"/>
        <v>14289.119630324189</v>
      </c>
      <c r="S30" s="19" t="s">
        <v>24</v>
      </c>
      <c r="T30" s="16">
        <f t="shared" si="11"/>
        <v>22418066.009999998</v>
      </c>
    </row>
    <row r="31" spans="15:18" ht="12.75">
      <c r="O31" s="6"/>
      <c r="P31" s="6"/>
      <c r="Q31" s="6"/>
      <c r="R31" s="6"/>
    </row>
    <row r="32" spans="1:20" s="164" customFormat="1" ht="12.75">
      <c r="A32" s="164" t="s">
        <v>328</v>
      </c>
      <c r="E32" s="141">
        <f aca="true" t="shared" si="12" ref="E32:L32">(E16-E30)</f>
        <v>-2668441.5868474543</v>
      </c>
      <c r="F32" s="141">
        <f t="shared" si="12"/>
        <v>31119.679808302637</v>
      </c>
      <c r="G32" s="141">
        <f t="shared" si="12"/>
        <v>-1720487.2524246555</v>
      </c>
      <c r="H32" s="141">
        <f t="shared" si="12"/>
        <v>80.22073253985282</v>
      </c>
      <c r="I32" s="141">
        <f t="shared" si="12"/>
        <v>606365.7023840377</v>
      </c>
      <c r="J32" s="141">
        <f t="shared" si="12"/>
        <v>185946.53313731024</v>
      </c>
      <c r="K32" s="141">
        <f t="shared" si="12"/>
        <v>108241.12230446594</v>
      </c>
      <c r="L32" s="141">
        <f t="shared" si="12"/>
        <v>-74571.15469616267</v>
      </c>
      <c r="M32" s="141">
        <f aca="true" t="shared" si="13" ref="M32:T32">(M16-M30)</f>
        <v>24674.994174523676</v>
      </c>
      <c r="N32" s="141">
        <f t="shared" si="13"/>
        <v>-65332.46467352437</v>
      </c>
      <c r="O32" s="141">
        <f t="shared" si="13"/>
        <v>28046.328138203025</v>
      </c>
      <c r="P32" s="141">
        <f t="shared" si="13"/>
        <v>-505062.2891518293</v>
      </c>
      <c r="Q32" s="141">
        <f t="shared" si="13"/>
        <v>-41395.671571229286</v>
      </c>
      <c r="R32" s="141">
        <f t="shared" si="13"/>
        <v>9977.828685474662</v>
      </c>
      <c r="S32" s="230" t="s">
        <v>24</v>
      </c>
      <c r="T32" s="141">
        <f t="shared" si="13"/>
        <v>-4080838.009999994</v>
      </c>
    </row>
    <row r="33" spans="15:20" ht="12.75">
      <c r="O33" s="6"/>
      <c r="P33" s="6"/>
      <c r="Q33" s="6"/>
      <c r="R33" s="6"/>
      <c r="T33" s="6">
        <f>(T17-T31)</f>
        <v>0</v>
      </c>
    </row>
    <row r="34" spans="1:20" ht="12.75">
      <c r="A34" t="s">
        <v>329</v>
      </c>
      <c r="E34" s="16">
        <f>('RevReq-Rate Class'!G144+'RevReq-Rate Class'!I144)</f>
        <v>1542274.846427278</v>
      </c>
      <c r="F34" s="16">
        <f>('RevReq-Rate Class'!J144+'RevReq-Rate Class'!L144)</f>
        <v>1204.8487137133607</v>
      </c>
      <c r="G34" s="16">
        <f>('RevReq-Rate Class'!M144+'RevReq-Rate Class'!O144)</f>
        <v>210362.24387679133</v>
      </c>
      <c r="H34" s="16">
        <f>('RevReq-Rate Class'!P144+'RevReq-Rate Class'!R144)</f>
        <v>1.3993597139528</v>
      </c>
      <c r="I34" s="16">
        <f>('RevReq-Rate Class'!S144+'RevReq-Rate Class'!U144)</f>
        <v>161213.825561838</v>
      </c>
      <c r="J34" s="16">
        <f>('RevReq-Rate Class'!V144+'RevReq-Rate Class'!X144)</f>
        <v>26888.794190882323</v>
      </c>
      <c r="K34" s="16">
        <f>('RevReq-Rate Class'!Y144+'RevReq-Rate Class'!AA144)</f>
        <v>33651.118651477016</v>
      </c>
      <c r="L34" s="16">
        <f>('RevReq-Rate Class'!AB144+'RevReq-Rate Class'!AD144)</f>
        <v>38767.274052962224</v>
      </c>
      <c r="M34" s="16">
        <f>('RevReq-Rate Class'!AE144+'RevReq-Rate Class'!AG144)</f>
        <v>1026.0359715536001</v>
      </c>
      <c r="N34" s="16">
        <f>('RevReq-Rate Class'!AH144+'RevReq-Rate Class'!AJ144)</f>
        <v>41903.704205402784</v>
      </c>
      <c r="O34" s="16">
        <f>('RevReq-Rate Class'!AM144+'RevReq-Rate Class'!AK144)</f>
        <v>11124.225640707578</v>
      </c>
      <c r="P34" s="16">
        <f>('RevReq-Rate Class'!AP144+'RevReq-Rate Class'!AN144)</f>
        <v>192015.86633964855</v>
      </c>
      <c r="Q34" s="16">
        <f>('RevReq-Rate Class'!AS144+'RevReq-Rate Class'!AQ144)</f>
        <v>8572.354912914549</v>
      </c>
      <c r="R34" s="16">
        <f>('RevReq-Rate Class'!AV144+'RevReq-Rate Class'!AT144)</f>
        <v>2331.3620951167723</v>
      </c>
      <c r="T34" s="18">
        <f>SUM(E34:R34)</f>
        <v>2271337.8999999994</v>
      </c>
    </row>
    <row r="35" spans="15:18" ht="12.75">
      <c r="O35" s="6"/>
      <c r="P35" s="6"/>
      <c r="Q35" s="6"/>
      <c r="R35" s="6"/>
    </row>
    <row r="36" spans="1:20" ht="13.5" thickBot="1">
      <c r="A36" t="s">
        <v>330</v>
      </c>
      <c r="E36" s="30">
        <f aca="true" t="shared" si="14" ref="E36:L36">(E32+E34)</f>
        <v>-1126166.7404201764</v>
      </c>
      <c r="F36" s="30">
        <f t="shared" si="14"/>
        <v>32324.528522015997</v>
      </c>
      <c r="G36" s="30">
        <f t="shared" si="14"/>
        <v>-1510125.0085478642</v>
      </c>
      <c r="H36" s="30">
        <f t="shared" si="14"/>
        <v>81.62009225380562</v>
      </c>
      <c r="I36" s="30">
        <f t="shared" si="14"/>
        <v>767579.5279458757</v>
      </c>
      <c r="J36" s="30">
        <f t="shared" si="14"/>
        <v>212835.32732819256</v>
      </c>
      <c r="K36" s="30">
        <f t="shared" si="14"/>
        <v>141892.24095594295</v>
      </c>
      <c r="L36" s="30">
        <f t="shared" si="14"/>
        <v>-35803.88064320045</v>
      </c>
      <c r="M36" s="30">
        <f aca="true" t="shared" si="15" ref="M36:T36">(M32+M34)</f>
        <v>25701.030146077275</v>
      </c>
      <c r="N36" s="30">
        <f t="shared" si="15"/>
        <v>-23428.76046812159</v>
      </c>
      <c r="O36" s="30">
        <f t="shared" si="15"/>
        <v>39170.5537789106</v>
      </c>
      <c r="P36" s="30">
        <f t="shared" si="15"/>
        <v>-313046.42281218077</v>
      </c>
      <c r="Q36" s="30">
        <f t="shared" si="15"/>
        <v>-32823.31665831474</v>
      </c>
      <c r="R36" s="30">
        <f t="shared" si="15"/>
        <v>12309.190780591434</v>
      </c>
      <c r="S36" s="143" t="s">
        <v>24</v>
      </c>
      <c r="T36" s="30">
        <f t="shared" si="15"/>
        <v>-1809500.1099999947</v>
      </c>
    </row>
    <row r="37" spans="5:20" ht="13.5" thickTop="1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6"/>
      <c r="T37" s="9"/>
    </row>
    <row r="38" spans="5:20" ht="12.7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6"/>
      <c r="T38" s="9"/>
    </row>
    <row r="39" spans="15:18" ht="12.75">
      <c r="O39" s="6"/>
      <c r="P39" s="6"/>
      <c r="Q39" s="6"/>
      <c r="R39" s="6"/>
    </row>
    <row r="40" spans="15:18" ht="12.75">
      <c r="O40" s="6"/>
      <c r="P40" s="6"/>
      <c r="Q40" s="6"/>
      <c r="R40" s="6"/>
    </row>
    <row r="41" spans="5:20" ht="12.75">
      <c r="E41" s="6">
        <f>SUM(E30,E14)</f>
        <v>49515366.586847454</v>
      </c>
      <c r="F41" s="6">
        <f aca="true" t="shared" si="16" ref="F41:L41">SUM(F30,F14)</f>
        <v>390199.32019169733</v>
      </c>
      <c r="G41" s="6">
        <f t="shared" si="16"/>
        <v>5970453.2524246555</v>
      </c>
      <c r="H41" s="6">
        <f t="shared" si="16"/>
        <v>452.7792674601472</v>
      </c>
      <c r="I41" s="6">
        <f t="shared" si="16"/>
        <v>8059235.297615962</v>
      </c>
      <c r="J41" s="6">
        <f t="shared" si="16"/>
        <v>1664817.4668626897</v>
      </c>
      <c r="K41" s="6">
        <f t="shared" si="16"/>
        <v>1961117.8776955341</v>
      </c>
      <c r="L41" s="144">
        <f t="shared" si="16"/>
        <v>2027021.1546961628</v>
      </c>
      <c r="M41" s="144">
        <f aca="true" t="shared" si="17" ref="M41:S41">SUM(M30,M14)</f>
        <v>19645.005825476324</v>
      </c>
      <c r="N41" s="144">
        <f t="shared" si="17"/>
        <v>1315531.4646735243</v>
      </c>
      <c r="O41" s="144">
        <f t="shared" si="17"/>
        <v>452314.671861797</v>
      </c>
      <c r="P41" s="144">
        <f t="shared" si="17"/>
        <v>2148456.289151829</v>
      </c>
      <c r="Q41" s="144">
        <f t="shared" si="17"/>
        <v>80234.6715712293</v>
      </c>
      <c r="R41" s="6">
        <f>SUM(R30,R14)</f>
        <v>23083.171314525338</v>
      </c>
      <c r="S41" s="6">
        <f t="shared" si="17"/>
        <v>0</v>
      </c>
      <c r="T41" s="6">
        <f>SUM(T30,T14)</f>
        <v>73627929.00999999</v>
      </c>
    </row>
    <row r="42" spans="5:20" ht="12.75">
      <c r="E42" s="6">
        <f>('StmtOper-O'!F18)</f>
        <v>49515366.586847454</v>
      </c>
      <c r="F42" s="6">
        <f>('StmtOper-O'!G18)</f>
        <v>390199.32019169733</v>
      </c>
      <c r="G42" s="6">
        <f>('StmtOper-O'!H18)</f>
        <v>5970453.2524246555</v>
      </c>
      <c r="H42" s="6">
        <f>('StmtOper-O'!I18)</f>
        <v>452.7792674601472</v>
      </c>
      <c r="I42" s="6">
        <f>('StmtOper-O'!J18)</f>
        <v>8059235.297615963</v>
      </c>
      <c r="J42" s="6">
        <f>('StmtOper-O'!K18)</f>
        <v>1664817.4668626897</v>
      </c>
      <c r="K42" s="6">
        <f>('StmtOper-O'!L18)</f>
        <v>1961117.8776955344</v>
      </c>
      <c r="L42" s="6">
        <f>('StmtOper-O'!M18)</f>
        <v>2027021.1546961628</v>
      </c>
      <c r="M42" s="6">
        <f>('StmtOper-O'!N18)</f>
        <v>19645.005825476324</v>
      </c>
      <c r="N42" s="6">
        <f>('StmtOper-O'!O18)</f>
        <v>1315531.4646735245</v>
      </c>
      <c r="O42" s="6">
        <f>('StmtOper-O'!P18)</f>
        <v>452314.671861797</v>
      </c>
      <c r="P42" s="6">
        <f>('StmtOper-O'!Q18)</f>
        <v>2148456.289151829</v>
      </c>
      <c r="Q42" s="6">
        <f>('StmtOper-O'!R18)</f>
        <v>80234.6715712293</v>
      </c>
      <c r="R42" s="6">
        <f>('StmtOper-O'!S18)</f>
        <v>23083.171314525338</v>
      </c>
      <c r="S42" s="6">
        <f>('StmtOper-O'!T18)</f>
        <v>0</v>
      </c>
      <c r="T42" s="6">
        <f>('StmtOper-O'!U18)</f>
        <v>73627929.00999999</v>
      </c>
    </row>
    <row r="43" ht="12.75">
      <c r="N43"/>
    </row>
    <row r="44" spans="5:14" ht="12.75">
      <c r="E44" s="10">
        <f>(F41/N41)</f>
        <v>0.29660964459602124</v>
      </c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</sheetData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&amp;C&amp;"Arial,Bold"SOUTH KENTUCKY RECC
Case No. 2005-00450
Statement of Operations by Functional Classification
 &amp;RExhibit R
Schedule 2
Page 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37"/>
  <sheetViews>
    <sheetView workbookViewId="0" topLeftCell="A1">
      <selection activeCell="E37" sqref="E37:F37"/>
    </sheetView>
  </sheetViews>
  <sheetFormatPr defaultColWidth="9.140625" defaultRowHeight="12.75"/>
  <sheetData>
    <row r="4" spans="1:10" s="70" customFormat="1" ht="30">
      <c r="A4" s="239" t="s">
        <v>536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s="71" customFormat="1" ht="26.25">
      <c r="A5" s="241" t="s">
        <v>537</v>
      </c>
      <c r="B5" s="241"/>
      <c r="C5" s="241"/>
      <c r="D5" s="241"/>
      <c r="E5" s="241"/>
      <c r="F5" s="241"/>
      <c r="G5" s="241"/>
      <c r="H5" s="241"/>
      <c r="I5" s="241"/>
      <c r="J5" s="241"/>
    </row>
    <row r="8" spans="1:10" s="70" customFormat="1" ht="30">
      <c r="A8" s="239" t="s">
        <v>538</v>
      </c>
      <c r="B8" s="239"/>
      <c r="C8" s="239"/>
      <c r="D8" s="239"/>
      <c r="E8" s="239"/>
      <c r="F8" s="239"/>
      <c r="G8" s="239"/>
      <c r="H8" s="239"/>
      <c r="I8" s="239"/>
      <c r="J8" s="239"/>
    </row>
    <row r="9" spans="1:10" s="70" customFormat="1" ht="30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s="70" customFormat="1" ht="30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2" spans="1:10" ht="12.75">
      <c r="A12" s="239" t="s">
        <v>350</v>
      </c>
      <c r="B12" s="239"/>
      <c r="C12" s="239"/>
      <c r="D12" s="239"/>
      <c r="E12" s="239"/>
      <c r="F12" s="239"/>
      <c r="G12" s="239"/>
      <c r="H12" s="239"/>
      <c r="I12" s="239"/>
      <c r="J12" s="239"/>
    </row>
    <row r="13" spans="1:10" s="70" customFormat="1" ht="30">
      <c r="A13" s="239"/>
      <c r="B13" s="239"/>
      <c r="C13" s="239"/>
      <c r="D13" s="239"/>
      <c r="E13" s="239"/>
      <c r="F13" s="239"/>
      <c r="G13" s="239"/>
      <c r="H13" s="239"/>
      <c r="I13" s="239"/>
      <c r="J13" s="239"/>
    </row>
    <row r="15" spans="1:10" ht="30">
      <c r="A15" s="239" t="s">
        <v>568</v>
      </c>
      <c r="B15" s="239"/>
      <c r="C15" s="239"/>
      <c r="D15" s="239"/>
      <c r="E15" s="239"/>
      <c r="F15" s="239"/>
      <c r="G15" s="239"/>
      <c r="H15" s="239"/>
      <c r="I15" s="239"/>
      <c r="J15" s="239"/>
    </row>
    <row r="29" spans="1:10" ht="15.75">
      <c r="A29" s="240" t="s">
        <v>569</v>
      </c>
      <c r="B29" s="240"/>
      <c r="C29" s="240"/>
      <c r="D29" s="240"/>
      <c r="E29" s="240"/>
      <c r="F29" s="240"/>
      <c r="G29" s="240"/>
      <c r="H29" s="240"/>
      <c r="I29" s="240"/>
      <c r="J29" s="240"/>
    </row>
    <row r="33" spans="7:10" s="73" customFormat="1" ht="15.75">
      <c r="G33"/>
      <c r="H33"/>
      <c r="I33"/>
      <c r="J33"/>
    </row>
    <row r="34" spans="7:9" s="73" customFormat="1" ht="15.75">
      <c r="G34" s="73" t="s">
        <v>24</v>
      </c>
      <c r="I34" s="74" t="s">
        <v>24</v>
      </c>
    </row>
    <row r="37" spans="5:6" ht="12.75">
      <c r="E37" s="238" t="s">
        <v>365</v>
      </c>
      <c r="F37" s="238"/>
    </row>
  </sheetData>
  <mergeCells count="7">
    <mergeCell ref="E37:F37"/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  <headerFooter alignWithMargins="0">
    <oddHeader>&amp;R&amp;"Arial,Bold"&amp;14Exhibit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247"/>
  <sheetViews>
    <sheetView view="pageBreakPreview" zoomScale="60" workbookViewId="0" topLeftCell="A1">
      <pane xSplit="6" ySplit="4" topLeftCell="AL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Z20" sqref="Z20"/>
    </sheetView>
  </sheetViews>
  <sheetFormatPr defaultColWidth="9.140625" defaultRowHeight="12.75"/>
  <cols>
    <col min="1" max="1" width="4.57421875" style="192" customWidth="1"/>
    <col min="2" max="2" width="22.8515625" style="164" customWidth="1"/>
    <col min="3" max="3" width="15.28125" style="164" customWidth="1"/>
    <col min="4" max="4" width="0.13671875" style="192" customWidth="1"/>
    <col min="5" max="5" width="0.71875" style="192" customWidth="1"/>
    <col min="6" max="6" width="13.421875" style="141" customWidth="1"/>
    <col min="7" max="7" width="13.00390625" style="164" customWidth="1"/>
    <col min="8" max="8" width="13.421875" style="164" customWidth="1"/>
    <col min="9" max="9" width="12.7109375" style="164" customWidth="1"/>
    <col min="10" max="10" width="10.00390625" style="164" customWidth="1"/>
    <col min="11" max="11" width="10.421875" style="164" customWidth="1"/>
    <col min="12" max="12" width="10.28125" style="164" customWidth="1"/>
    <col min="13" max="13" width="11.57421875" style="164" customWidth="1"/>
    <col min="14" max="14" width="12.7109375" style="164" customWidth="1"/>
    <col min="15" max="15" width="14.00390625" style="164" customWidth="1"/>
    <col min="16" max="16" width="11.00390625" style="164" customWidth="1"/>
    <col min="17" max="17" width="11.7109375" style="164" customWidth="1"/>
    <col min="18" max="18" width="8.140625" style="164" customWidth="1"/>
    <col min="19" max="19" width="12.00390625" style="164" customWidth="1"/>
    <col min="20" max="20" width="12.140625" style="164" customWidth="1"/>
    <col min="21" max="22" width="10.28125" style="164" customWidth="1"/>
    <col min="23" max="23" width="13.421875" style="164" customWidth="1"/>
    <col min="24" max="25" width="10.28125" style="164" customWidth="1"/>
    <col min="26" max="26" width="12.421875" style="164" customWidth="1"/>
    <col min="27" max="28" width="10.28125" style="164" customWidth="1"/>
    <col min="29" max="29" width="12.421875" style="164" customWidth="1"/>
    <col min="30" max="31" width="10.28125" style="164" customWidth="1"/>
    <col min="32" max="32" width="12.140625" style="164" customWidth="1"/>
    <col min="33" max="34" width="10.28125" style="164" customWidth="1"/>
    <col min="35" max="35" width="11.421875" style="164" customWidth="1"/>
    <col min="36" max="36" width="10.28125" style="164" customWidth="1"/>
    <col min="37" max="37" width="12.140625" style="164" customWidth="1"/>
    <col min="38" max="40" width="10.28125" style="164" customWidth="1"/>
    <col min="41" max="41" width="11.7109375" style="164" customWidth="1"/>
    <col min="42" max="42" width="11.421875" style="164" customWidth="1"/>
    <col min="43" max="46" width="10.28125" style="164" customWidth="1"/>
    <col min="47" max="47" width="12.00390625" style="164" customWidth="1"/>
    <col min="48" max="48" width="10.28125" style="164" customWidth="1"/>
    <col min="49" max="49" width="13.8515625" style="164" customWidth="1"/>
    <col min="50" max="50" width="13.140625" style="164" customWidth="1"/>
    <col min="51" max="51" width="15.00390625" style="164" customWidth="1"/>
    <col min="52" max="16384" width="9.140625" style="164" customWidth="1"/>
  </cols>
  <sheetData>
    <row r="1" spans="1:49" ht="12.75">
      <c r="A1" s="50"/>
      <c r="B1" s="42"/>
      <c r="C1" s="42"/>
      <c r="D1" s="50"/>
      <c r="E1" s="50"/>
      <c r="F1" s="165"/>
      <c r="G1" s="42"/>
      <c r="H1" s="42"/>
      <c r="I1" s="42"/>
      <c r="J1" s="42"/>
      <c r="K1" s="42"/>
      <c r="L1" s="42"/>
      <c r="M1" s="42"/>
      <c r="N1" s="42"/>
      <c r="O1" s="42"/>
      <c r="P1" s="42"/>
      <c r="Q1" s="193" t="s">
        <v>24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2.75">
      <c r="A2" s="50"/>
      <c r="B2" s="42"/>
      <c r="C2" s="42"/>
      <c r="D2" s="50"/>
      <c r="E2" s="50"/>
      <c r="F2" s="166"/>
      <c r="G2" s="242" t="s">
        <v>415</v>
      </c>
      <c r="H2" s="242"/>
      <c r="I2" s="242"/>
      <c r="J2" s="42"/>
      <c r="K2" s="42" t="s">
        <v>415</v>
      </c>
      <c r="L2" s="42"/>
      <c r="M2" s="242" t="s">
        <v>416</v>
      </c>
      <c r="N2" s="242"/>
      <c r="O2" s="242"/>
      <c r="P2" s="242" t="s">
        <v>416</v>
      </c>
      <c r="Q2" s="242"/>
      <c r="R2" s="242"/>
      <c r="S2" s="242" t="s">
        <v>417</v>
      </c>
      <c r="T2" s="242"/>
      <c r="U2" s="242"/>
      <c r="V2" s="242" t="s">
        <v>418</v>
      </c>
      <c r="W2" s="242"/>
      <c r="X2" s="242"/>
      <c r="Y2" s="242" t="s">
        <v>420</v>
      </c>
      <c r="Z2" s="242"/>
      <c r="AA2" s="242"/>
      <c r="AB2" s="242" t="s">
        <v>421</v>
      </c>
      <c r="AC2" s="242"/>
      <c r="AD2" s="242"/>
      <c r="AE2" s="242" t="s">
        <v>448</v>
      </c>
      <c r="AF2" s="242"/>
      <c r="AG2" s="242"/>
      <c r="AH2" s="242" t="s">
        <v>426</v>
      </c>
      <c r="AI2" s="242"/>
      <c r="AJ2" s="242"/>
      <c r="AK2" s="242" t="s">
        <v>428</v>
      </c>
      <c r="AL2" s="242"/>
      <c r="AM2" s="242"/>
      <c r="AN2" s="242" t="s">
        <v>431</v>
      </c>
      <c r="AO2" s="242"/>
      <c r="AP2" s="242"/>
      <c r="AQ2" s="242" t="s">
        <v>432</v>
      </c>
      <c r="AR2" s="242"/>
      <c r="AS2" s="242"/>
      <c r="AT2" s="242" t="s">
        <v>499</v>
      </c>
      <c r="AU2" s="242"/>
      <c r="AV2" s="242"/>
      <c r="AW2" s="42"/>
    </row>
    <row r="3" spans="1:49" ht="12.75">
      <c r="A3" s="50"/>
      <c r="B3" s="42"/>
      <c r="C3" s="50" t="s">
        <v>24</v>
      </c>
      <c r="D3" s="202">
        <f>SUM(W8,Z8,AC8)</f>
        <v>3535163.4589</v>
      </c>
      <c r="E3" s="202">
        <f>SUM(H8,K8,N8,Q8,T8,AF8,AI8,AL8,AO8,AR8,AU8)</f>
        <v>32240769.541100007</v>
      </c>
      <c r="F3" s="166" t="s">
        <v>114</v>
      </c>
      <c r="G3" s="244" t="s">
        <v>495</v>
      </c>
      <c r="H3" s="244"/>
      <c r="I3" s="244"/>
      <c r="J3" s="243" t="s">
        <v>352</v>
      </c>
      <c r="K3" s="243"/>
      <c r="L3" s="243"/>
      <c r="M3" s="169"/>
      <c r="N3" s="203" t="s">
        <v>235</v>
      </c>
      <c r="O3" s="169"/>
      <c r="P3" s="243" t="s">
        <v>352</v>
      </c>
      <c r="Q3" s="243"/>
      <c r="R3" s="243"/>
      <c r="S3" s="243" t="s">
        <v>496</v>
      </c>
      <c r="T3" s="243"/>
      <c r="U3" s="243"/>
      <c r="V3" s="243" t="s">
        <v>570</v>
      </c>
      <c r="W3" s="243"/>
      <c r="X3" s="243"/>
      <c r="Y3" s="243" t="s">
        <v>497</v>
      </c>
      <c r="Z3" s="243"/>
      <c r="AA3" s="243"/>
      <c r="AB3" s="243" t="s">
        <v>570</v>
      </c>
      <c r="AC3" s="243"/>
      <c r="AD3" s="243"/>
      <c r="AE3" s="243" t="s">
        <v>164</v>
      </c>
      <c r="AF3" s="243"/>
      <c r="AG3" s="243"/>
      <c r="AH3" s="243" t="s">
        <v>238</v>
      </c>
      <c r="AI3" s="243"/>
      <c r="AJ3" s="243"/>
      <c r="AK3" s="243" t="s">
        <v>239</v>
      </c>
      <c r="AL3" s="243"/>
      <c r="AM3" s="243"/>
      <c r="AN3" s="243" t="s">
        <v>498</v>
      </c>
      <c r="AO3" s="243"/>
      <c r="AP3" s="243"/>
      <c r="AQ3" s="243" t="s">
        <v>241</v>
      </c>
      <c r="AR3" s="243"/>
      <c r="AS3" s="243"/>
      <c r="AT3" s="243" t="s">
        <v>500</v>
      </c>
      <c r="AU3" s="243"/>
      <c r="AV3" s="243"/>
      <c r="AW3" s="42"/>
    </row>
    <row r="4" spans="1:49" ht="12.75">
      <c r="A4" s="50"/>
      <c r="B4" s="42"/>
      <c r="C4" s="50" t="s">
        <v>24</v>
      </c>
      <c r="D4" s="50" t="s">
        <v>544</v>
      </c>
      <c r="E4" s="50" t="s">
        <v>545</v>
      </c>
      <c r="F4" s="166" t="s">
        <v>144</v>
      </c>
      <c r="G4" s="51" t="s">
        <v>10</v>
      </c>
      <c r="H4" s="51" t="s">
        <v>47</v>
      </c>
      <c r="I4" s="51" t="s">
        <v>11</v>
      </c>
      <c r="J4" s="51" t="s">
        <v>10</v>
      </c>
      <c r="K4" s="51" t="s">
        <v>47</v>
      </c>
      <c r="L4" s="51" t="s">
        <v>11</v>
      </c>
      <c r="M4" s="51" t="s">
        <v>10</v>
      </c>
      <c r="N4" s="51" t="s">
        <v>47</v>
      </c>
      <c r="O4" s="51" t="s">
        <v>11</v>
      </c>
      <c r="P4" s="51" t="s">
        <v>10</v>
      </c>
      <c r="Q4" s="51" t="s">
        <v>47</v>
      </c>
      <c r="R4" s="51" t="s">
        <v>11</v>
      </c>
      <c r="S4" s="51" t="s">
        <v>10</v>
      </c>
      <c r="T4" s="51" t="s">
        <v>47</v>
      </c>
      <c r="U4" s="51" t="s">
        <v>11</v>
      </c>
      <c r="V4" s="51" t="s">
        <v>10</v>
      </c>
      <c r="W4" s="51" t="s">
        <v>47</v>
      </c>
      <c r="X4" s="51" t="s">
        <v>11</v>
      </c>
      <c r="Y4" s="51" t="s">
        <v>10</v>
      </c>
      <c r="Z4" s="51" t="s">
        <v>47</v>
      </c>
      <c r="AA4" s="51" t="s">
        <v>11</v>
      </c>
      <c r="AB4" s="51" t="s">
        <v>10</v>
      </c>
      <c r="AC4" s="51" t="s">
        <v>47</v>
      </c>
      <c r="AD4" s="51" t="s">
        <v>11</v>
      </c>
      <c r="AE4" s="51" t="s">
        <v>10</v>
      </c>
      <c r="AF4" s="51" t="s">
        <v>47</v>
      </c>
      <c r="AG4" s="51" t="s">
        <v>11</v>
      </c>
      <c r="AH4" s="51" t="s">
        <v>10</v>
      </c>
      <c r="AI4" s="51" t="s">
        <v>47</v>
      </c>
      <c r="AJ4" s="51" t="s">
        <v>11</v>
      </c>
      <c r="AK4" s="51" t="s">
        <v>10</v>
      </c>
      <c r="AL4" s="51" t="s">
        <v>47</v>
      </c>
      <c r="AM4" s="51" t="s">
        <v>11</v>
      </c>
      <c r="AN4" s="51" t="s">
        <v>10</v>
      </c>
      <c r="AO4" s="51" t="s">
        <v>47</v>
      </c>
      <c r="AP4" s="51" t="s">
        <v>11</v>
      </c>
      <c r="AQ4" s="51" t="s">
        <v>10</v>
      </c>
      <c r="AR4" s="51" t="s">
        <v>47</v>
      </c>
      <c r="AS4" s="51" t="s">
        <v>11</v>
      </c>
      <c r="AT4" s="51" t="s">
        <v>10</v>
      </c>
      <c r="AU4" s="51" t="s">
        <v>47</v>
      </c>
      <c r="AV4" s="51" t="s">
        <v>11</v>
      </c>
      <c r="AW4" s="42"/>
    </row>
    <row r="5" spans="1:49" ht="12.75">
      <c r="A5" s="50"/>
      <c r="B5" s="42"/>
      <c r="C5" s="42"/>
      <c r="D5" s="50"/>
      <c r="E5" s="50"/>
      <c r="F5" s="165"/>
      <c r="G5" s="42"/>
      <c r="H5" s="42"/>
      <c r="I5" s="42"/>
      <c r="J5" s="42"/>
      <c r="L5" s="42"/>
      <c r="M5" s="42"/>
      <c r="N5" s="42"/>
      <c r="O5" s="42"/>
      <c r="P5" s="42"/>
      <c r="R5" s="42"/>
      <c r="S5" s="42"/>
      <c r="T5" s="42"/>
      <c r="U5" s="42"/>
      <c r="V5" s="42"/>
      <c r="W5" s="175">
        <f>SUM(W8,Z8,AC8)</f>
        <v>3535163.4589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ht="14.25">
      <c r="A6" s="50">
        <v>1</v>
      </c>
      <c r="B6" s="204" t="s">
        <v>57</v>
      </c>
      <c r="C6" s="168" t="s">
        <v>24</v>
      </c>
      <c r="D6" s="205">
        <v>1272605.95</v>
      </c>
      <c r="E6" s="166">
        <v>12550357.26</v>
      </c>
      <c r="F6" s="165"/>
      <c r="G6" s="42"/>
      <c r="H6" s="42"/>
      <c r="I6" s="42"/>
      <c r="J6" s="16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50" ht="12.75">
      <c r="A7" s="50">
        <v>2</v>
      </c>
      <c r="B7" s="42" t="s">
        <v>342</v>
      </c>
      <c r="C7" s="167" t="s">
        <v>24</v>
      </c>
      <c r="D7" s="206">
        <f>(D6-D9)</f>
        <v>890115.8499999999</v>
      </c>
      <c r="E7" s="207">
        <f>(F7-D7)</f>
        <v>9064146.59</v>
      </c>
      <c r="F7" s="166">
        <v>9954262.44</v>
      </c>
      <c r="G7" s="165">
        <f>($E$7*' Energy &amp; Demand Allocations'!C58)</f>
        <v>5985955.829044118</v>
      </c>
      <c r="H7" s="68" t="s">
        <v>24</v>
      </c>
      <c r="I7" s="42"/>
      <c r="J7" s="165">
        <f>($E$7*' Energy &amp; Demand Allocations'!D58)</f>
        <v>0</v>
      </c>
      <c r="K7" s="42" t="s">
        <v>24</v>
      </c>
      <c r="L7" s="42"/>
      <c r="M7" s="165">
        <f>($E$7*' Energy &amp; Demand Allocations'!E58)</f>
        <v>1350830.7612968343</v>
      </c>
      <c r="N7" s="42"/>
      <c r="O7" s="42"/>
      <c r="P7" s="165">
        <f>($E$7*' Energy &amp; Demand Allocations'!F58)</f>
        <v>0</v>
      </c>
      <c r="Q7" s="42"/>
      <c r="R7" s="42"/>
      <c r="S7" s="165">
        <f>($E$7*' Energy &amp; Demand Allocations'!G58)</f>
        <v>1310831.0436254414</v>
      </c>
      <c r="T7" s="42"/>
      <c r="U7" s="42"/>
      <c r="V7" s="165">
        <f>($D$7*' Energy &amp; Demand Allocations'!H60)</f>
        <v>260308.01159504653</v>
      </c>
      <c r="W7" s="42"/>
      <c r="X7" s="68" t="s">
        <v>24</v>
      </c>
      <c r="Y7" s="165">
        <f>($D$7*' Energy &amp; Demand Allocations'!I60)</f>
        <v>333925.34067950887</v>
      </c>
      <c r="Z7" s="42"/>
      <c r="AA7" s="42"/>
      <c r="AB7" s="165">
        <f>($D$7*' Energy &amp; Demand Allocations'!J60)</f>
        <v>295882.4977254445</v>
      </c>
      <c r="AC7" s="68" t="s">
        <v>24</v>
      </c>
      <c r="AD7" s="42"/>
      <c r="AE7" s="165">
        <f>($E$7*' Energy &amp; Demand Allocations'!L58)</f>
        <v>1559.3731069863823</v>
      </c>
      <c r="AF7" s="42"/>
      <c r="AG7" s="42"/>
      <c r="AH7" s="165">
        <f>($E$7*' Energy &amp; Demand Allocations'!M58)</f>
        <v>270375.5571474704</v>
      </c>
      <c r="AI7" s="42"/>
      <c r="AJ7" s="42"/>
      <c r="AK7" s="165">
        <f>($E$7*' Energy &amp; Demand Allocations'!N58)</f>
        <v>57120.76588625195</v>
      </c>
      <c r="AL7" s="42"/>
      <c r="AM7" s="42"/>
      <c r="AN7" s="165">
        <f>($E$7*' Energy &amp; Demand Allocations'!O58)</f>
        <v>83158.27613315365</v>
      </c>
      <c r="AO7" s="42"/>
      <c r="AP7" s="42"/>
      <c r="AQ7" s="165">
        <f>($E$7*' Energy &amp; Demand Allocations'!P58)</f>
        <v>3117.880171984511</v>
      </c>
      <c r="AR7" s="42"/>
      <c r="AS7" s="42"/>
      <c r="AT7" s="165">
        <f>($E$7*' Energy &amp; Demand Allocations'!Q58)</f>
        <v>1197.1035877583693</v>
      </c>
      <c r="AU7" s="42"/>
      <c r="AV7" s="42"/>
      <c r="AW7" s="168">
        <f aca="true" t="shared" si="0" ref="AW7:AW12">SUM(G7:AV7)</f>
        <v>9954262.44</v>
      </c>
      <c r="AX7" s="175">
        <f>(AW7-F7)</f>
        <v>0</v>
      </c>
    </row>
    <row r="8" spans="1:50" ht="12.75">
      <c r="A8" s="50">
        <v>3</v>
      </c>
      <c r="B8" s="42" t="s">
        <v>197</v>
      </c>
      <c r="C8" s="168" t="s">
        <v>24</v>
      </c>
      <c r="D8" s="166">
        <f>(3099230.4601+'[2]power'!$F$73)</f>
        <v>3535163.4588999995</v>
      </c>
      <c r="E8" s="208">
        <f>(F8-D8-K8-Q8)</f>
        <v>31908925.623085108</v>
      </c>
      <c r="F8" s="165">
        <f>('Costs&amp;Margins'!I13)</f>
        <v>35775933</v>
      </c>
      <c r="G8" s="42"/>
      <c r="H8" s="68">
        <f>(($E$8)*' Energy &amp; Demand Allocations'!C29)</f>
        <v>23639923.73503255</v>
      </c>
      <c r="I8" s="42"/>
      <c r="J8" s="42"/>
      <c r="K8" s="68">
        <f>(' Energy &amp; Demand Allocations'!D24/0.94)*('[5]power'!$F$41)</f>
        <v>331459.36169574474</v>
      </c>
      <c r="L8" s="42"/>
      <c r="M8" s="42"/>
      <c r="N8" s="68">
        <f>(($E$8)*' Energy &amp; Demand Allocations'!E29)</f>
        <v>1991196.680026013</v>
      </c>
      <c r="O8" s="42"/>
      <c r="P8" s="42"/>
      <c r="Q8" s="68">
        <f>(' Energy &amp; Demand Allocations'!F24/0.94)*('[5]power'!$F$41)</f>
        <v>384.5563191489362</v>
      </c>
      <c r="R8" s="42"/>
      <c r="S8" s="42"/>
      <c r="T8" s="68">
        <f>(($E$8)*' Energy &amp; Demand Allocations'!G29)</f>
        <v>4784242.044410074</v>
      </c>
      <c r="U8" s="42"/>
      <c r="V8" s="42"/>
      <c r="W8" s="68">
        <f>(($D$8)*' Energy &amp; Demand Allocations'!H31)</f>
        <v>1061311.404113625</v>
      </c>
      <c r="X8" s="42"/>
      <c r="Y8" s="42"/>
      <c r="Z8" s="68">
        <f>(($D$8)*' Energy &amp; Demand Allocations'!I31)</f>
        <v>1198412.6228565508</v>
      </c>
      <c r="AA8" s="42"/>
      <c r="AB8" s="42"/>
      <c r="AC8" s="68">
        <f>(($D$8)*' Energy &amp; Demand Allocations'!J31)</f>
        <v>1275439.431929824</v>
      </c>
      <c r="AD8" s="42"/>
      <c r="AE8" s="42"/>
      <c r="AF8" s="68">
        <f>(($E$8)*' Energy &amp; Demand Allocations'!L29)</f>
        <v>9635.71425504116</v>
      </c>
      <c r="AG8" s="42"/>
      <c r="AH8" s="42"/>
      <c r="AI8" s="68">
        <f>(($E$8)*' Energy &amp; Demand Allocations'!M29)</f>
        <v>560529.7874542382</v>
      </c>
      <c r="AJ8" s="42"/>
      <c r="AK8" s="42"/>
      <c r="AL8" s="68">
        <f>(($E$8)*' Energy &amp; Demand Allocations'!N29)</f>
        <v>280079.8799780804</v>
      </c>
      <c r="AM8" s="42"/>
      <c r="AN8" s="42"/>
      <c r="AO8" s="68">
        <f>(($E$8)*' Energy &amp; Demand Allocations'!O29)</f>
        <v>613046.2380961576</v>
      </c>
      <c r="AP8" s="42"/>
      <c r="AQ8" s="42"/>
      <c r="AR8" s="68">
        <f>(($E$8)*' Energy &amp; Demand Allocations'!P29)</f>
        <v>23333.360841041682</v>
      </c>
      <c r="AS8" s="42"/>
      <c r="AT8" s="42"/>
      <c r="AU8" s="68">
        <f>(($E$8)*' Energy &amp; Demand Allocations'!Q29)</f>
        <v>6938.1829919116735</v>
      </c>
      <c r="AV8" s="42"/>
      <c r="AW8" s="168">
        <f>SUM(G8:AV8)</f>
        <v>35775933.00000001</v>
      </c>
      <c r="AX8" s="175">
        <f>(AW8-F8)</f>
        <v>7.450580596923828E-09</v>
      </c>
    </row>
    <row r="9" spans="1:50" ht="12.75">
      <c r="A9" s="50">
        <v>4</v>
      </c>
      <c r="B9" s="42" t="s">
        <v>198</v>
      </c>
      <c r="C9" s="168" t="s">
        <v>24</v>
      </c>
      <c r="D9" s="166">
        <f>(1.62*'[2]power'!$C$23)</f>
        <v>382490.10000000003</v>
      </c>
      <c r="E9" s="202">
        <f>(F9-D9)</f>
        <v>3894938.4600000004</v>
      </c>
      <c r="F9" s="165">
        <f>('Costs&amp;Margins'!J13)</f>
        <v>4277428.5600000005</v>
      </c>
      <c r="G9" s="165">
        <f>($E$9*' Energy &amp; Demand Allocations'!C58)</f>
        <v>2572214.531936991</v>
      </c>
      <c r="H9" s="42"/>
      <c r="I9" s="42"/>
      <c r="J9" s="165">
        <f>($E$9*' Energy &amp; Demand Allocations'!D58)</f>
        <v>0</v>
      </c>
      <c r="K9" s="42"/>
      <c r="L9" s="42"/>
      <c r="M9" s="165">
        <f>($E$9*' Energy &amp; Demand Allocations'!E58)</f>
        <v>580463.1062488278</v>
      </c>
      <c r="N9" s="42"/>
      <c r="O9" s="42"/>
      <c r="P9" s="165">
        <f>($E$9*' Energy &amp; Demand Allocations'!F58)</f>
        <v>0</v>
      </c>
      <c r="Q9" s="42"/>
      <c r="R9" s="42"/>
      <c r="S9" s="165">
        <f>($E$9*' Energy &amp; Demand Allocations'!G58)</f>
        <v>563274.8980484736</v>
      </c>
      <c r="T9" s="42"/>
      <c r="U9" s="42"/>
      <c r="V9" s="165">
        <f>($D$9*' Energy &amp; Demand Allocations'!H60)</f>
        <v>111856.49304614734</v>
      </c>
      <c r="W9" s="42"/>
      <c r="X9" s="42"/>
      <c r="Y9" s="165">
        <f>($D$9*' Energy &amp; Demand Allocations'!I60)</f>
        <v>143490.4646951736</v>
      </c>
      <c r="Z9" s="42"/>
      <c r="AA9" s="42"/>
      <c r="AB9" s="165">
        <f>($D$9*' Energy &amp; Demand Allocations'!J60)</f>
        <v>127143.14225867909</v>
      </c>
      <c r="AC9" s="42"/>
      <c r="AD9" s="42"/>
      <c r="AE9" s="165">
        <f>($E$9*' Energy &amp; Demand Allocations'!L58)</f>
        <v>670.0754701597292</v>
      </c>
      <c r="AF9" s="42"/>
      <c r="AG9" s="42"/>
      <c r="AH9" s="165">
        <f>($E$9*' Energy &amp; Demand Allocations'!M58)</f>
        <v>116182.60425525738</v>
      </c>
      <c r="AI9" s="42"/>
      <c r="AJ9" s="42"/>
      <c r="AK9" s="165">
        <f>($E$9*' Energy &amp; Demand Allocations'!N58)</f>
        <v>24545.263661167108</v>
      </c>
      <c r="AL9" s="42"/>
      <c r="AM9" s="42"/>
      <c r="AN9" s="165">
        <f>($E$9*' Energy &amp; Demand Allocations'!O58)</f>
        <v>35733.796310803074</v>
      </c>
      <c r="AO9" s="68">
        <f>(($F$8)*' Energy &amp; Demand Allocations'!AH27)</f>
        <v>0</v>
      </c>
      <c r="AP9" s="42"/>
      <c r="AQ9" s="165">
        <f>($E$9*' Energy &amp; Demand Allocations'!P58)</f>
        <v>1339.7787949426674</v>
      </c>
      <c r="AR9" s="42"/>
      <c r="AS9" s="42"/>
      <c r="AT9" s="165">
        <f>($E$9*' Energy &amp; Demand Allocations'!Q58)</f>
        <v>514.4052733776515</v>
      </c>
      <c r="AU9" s="42"/>
      <c r="AV9" s="42"/>
      <c r="AW9" s="168">
        <f t="shared" si="0"/>
        <v>4277428.56</v>
      </c>
      <c r="AX9" s="175">
        <f>(AW9-F9)</f>
        <v>-9.313225746154785E-10</v>
      </c>
    </row>
    <row r="10" spans="1:50" ht="12.75">
      <c r="A10" s="50">
        <v>5</v>
      </c>
      <c r="B10" s="42" t="s">
        <v>199</v>
      </c>
      <c r="C10" s="42" t="s">
        <v>24</v>
      </c>
      <c r="D10" s="50"/>
      <c r="E10" s="50"/>
      <c r="F10" s="170">
        <f>('Costs&amp;Margins'!K13)</f>
        <v>1202239</v>
      </c>
      <c r="G10" s="170">
        <f>($F$10*' Energy &amp; Demand Allocations'!C57)</f>
        <v>721851.9613586464</v>
      </c>
      <c r="H10" s="169"/>
      <c r="I10" s="169"/>
      <c r="J10" s="170">
        <f>($F$10*' Energy &amp; Demand Allocations'!D57)</f>
        <v>0</v>
      </c>
      <c r="K10" s="169"/>
      <c r="L10" s="169"/>
      <c r="M10" s="170">
        <f>($F$10*' Energy &amp; Demand Allocations'!E57)</f>
        <v>162897.93348866468</v>
      </c>
      <c r="N10" s="169"/>
      <c r="O10" s="169"/>
      <c r="P10" s="170">
        <f>($F$10*' Energy &amp; Demand Allocations'!F57)</f>
        <v>0</v>
      </c>
      <c r="Q10" s="169"/>
      <c r="R10" s="169"/>
      <c r="S10" s="170">
        <f>($F$10*' Energy &amp; Demand Allocations'!G57)</f>
        <v>158074.33046192836</v>
      </c>
      <c r="T10" s="169"/>
      <c r="U10" s="169"/>
      <c r="V10" s="170">
        <f>($F$10*' Energy &amp; Demand Allocations'!H57)</f>
        <v>31930.41936336226</v>
      </c>
      <c r="W10" s="169"/>
      <c r="X10" s="169"/>
      <c r="Y10" s="170">
        <f>($F$10*' Energy &amp; Demand Allocations'!I57)</f>
        <v>36294.12777870992</v>
      </c>
      <c r="Z10" s="169"/>
      <c r="AA10" s="169"/>
      <c r="AB10" s="170">
        <f>($F$10*' Energy &amp; Demand Allocations'!J57)</f>
        <v>40960.614691097064</v>
      </c>
      <c r="AC10" s="169"/>
      <c r="AD10" s="169"/>
      <c r="AE10" s="170">
        <f>($F$10*' Energy &amp; Demand Allocations'!L57)</f>
        <v>188.04624823765138</v>
      </c>
      <c r="AF10" s="169"/>
      <c r="AG10" s="169"/>
      <c r="AH10" s="170">
        <f>($F$10*' Energy &amp; Demand Allocations'!M57)</f>
        <v>32604.839027271057</v>
      </c>
      <c r="AI10" s="169"/>
      <c r="AJ10" s="169"/>
      <c r="AK10" s="170">
        <f>($F$10*' Energy &amp; Demand Allocations'!N57)</f>
        <v>6888.246099183692</v>
      </c>
      <c r="AL10" s="169"/>
      <c r="AM10" s="169"/>
      <c r="AN10" s="170">
        <f>($F$10*' Energy &amp; Demand Allocations'!O57)</f>
        <v>10028.133592076068</v>
      </c>
      <c r="AO10" s="169"/>
      <c r="AP10" s="169"/>
      <c r="AQ10" s="170">
        <f>($F$10*' Energy &amp; Demand Allocations'!P57)</f>
        <v>375.9880596692698</v>
      </c>
      <c r="AR10" s="169"/>
      <c r="AS10" s="169"/>
      <c r="AT10" s="170">
        <f>($F$10*' Energy &amp; Demand Allocations'!Q57)</f>
        <v>144.35983115345545</v>
      </c>
      <c r="AU10" s="169"/>
      <c r="AV10" s="169"/>
      <c r="AW10" s="168">
        <f t="shared" si="0"/>
        <v>1202239</v>
      </c>
      <c r="AX10" s="175">
        <f>(AW10-F10)</f>
        <v>0</v>
      </c>
    </row>
    <row r="11" spans="1:49" ht="12.75">
      <c r="A11" s="50">
        <v>6</v>
      </c>
      <c r="B11" s="42" t="s">
        <v>24</v>
      </c>
      <c r="C11" s="42" t="s">
        <v>24</v>
      </c>
      <c r="D11" s="50"/>
      <c r="E11" s="50"/>
      <c r="F11" s="165"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168">
        <f t="shared" si="0"/>
        <v>0</v>
      </c>
    </row>
    <row r="12" spans="1:51" ht="12.75">
      <c r="A12" s="50">
        <v>7</v>
      </c>
      <c r="B12" s="173" t="s">
        <v>60</v>
      </c>
      <c r="C12" s="42"/>
      <c r="E12" s="166">
        <v>9954262.44</v>
      </c>
      <c r="F12" s="170">
        <f>SUM(F7:F11)</f>
        <v>51209863</v>
      </c>
      <c r="G12" s="170">
        <f aca="true" t="shared" si="1" ref="G12:AB12">SUM(G7:G11)</f>
        <v>9280022.322339755</v>
      </c>
      <c r="H12" s="170">
        <f t="shared" si="1"/>
        <v>23639923.73503255</v>
      </c>
      <c r="I12" s="170">
        <f t="shared" si="1"/>
        <v>0</v>
      </c>
      <c r="J12" s="170">
        <f t="shared" si="1"/>
        <v>0</v>
      </c>
      <c r="K12" s="170">
        <f t="shared" si="1"/>
        <v>331459.36169574474</v>
      </c>
      <c r="L12" s="170">
        <f t="shared" si="1"/>
        <v>0</v>
      </c>
      <c r="M12" s="170">
        <f t="shared" si="1"/>
        <v>2094191.8010343267</v>
      </c>
      <c r="N12" s="170">
        <f t="shared" si="1"/>
        <v>1991196.680026013</v>
      </c>
      <c r="O12" s="170">
        <f t="shared" si="1"/>
        <v>0</v>
      </c>
      <c r="P12" s="170">
        <f t="shared" si="1"/>
        <v>0</v>
      </c>
      <c r="Q12" s="170">
        <f t="shared" si="1"/>
        <v>384.5563191489362</v>
      </c>
      <c r="R12" s="170">
        <f t="shared" si="1"/>
        <v>0</v>
      </c>
      <c r="S12" s="170">
        <f t="shared" si="1"/>
        <v>2032180.2721358433</v>
      </c>
      <c r="T12" s="170">
        <f t="shared" si="1"/>
        <v>4784242.044410074</v>
      </c>
      <c r="U12" s="169"/>
      <c r="V12" s="170">
        <f t="shared" si="1"/>
        <v>404094.92400455615</v>
      </c>
      <c r="W12" s="170">
        <f t="shared" si="1"/>
        <v>1061311.404113625</v>
      </c>
      <c r="X12" s="169"/>
      <c r="Y12" s="170">
        <f t="shared" si="1"/>
        <v>513709.9331533924</v>
      </c>
      <c r="Z12" s="170">
        <f t="shared" si="1"/>
        <v>1198412.6228565508</v>
      </c>
      <c r="AA12" s="169"/>
      <c r="AB12" s="170">
        <f t="shared" si="1"/>
        <v>463986.25467522064</v>
      </c>
      <c r="AC12" s="170">
        <f>SUM(AC7:AC11)</f>
        <v>1275439.431929824</v>
      </c>
      <c r="AD12" s="170">
        <f aca="true" t="shared" si="2" ref="AD12:AV12">SUM(AD7:AD11)</f>
        <v>0</v>
      </c>
      <c r="AE12" s="170">
        <f t="shared" si="2"/>
        <v>2417.494825383763</v>
      </c>
      <c r="AF12" s="170">
        <f t="shared" si="2"/>
        <v>9635.71425504116</v>
      </c>
      <c r="AG12" s="170">
        <f t="shared" si="2"/>
        <v>0</v>
      </c>
      <c r="AH12" s="170">
        <f t="shared" si="2"/>
        <v>419163.0004299989</v>
      </c>
      <c r="AI12" s="170">
        <f t="shared" si="2"/>
        <v>560529.7874542382</v>
      </c>
      <c r="AJ12" s="170">
        <f t="shared" si="2"/>
        <v>0</v>
      </c>
      <c r="AK12" s="170">
        <f t="shared" si="2"/>
        <v>88554.27564660276</v>
      </c>
      <c r="AL12" s="170">
        <f t="shared" si="2"/>
        <v>280079.8799780804</v>
      </c>
      <c r="AM12" s="170">
        <f t="shared" si="2"/>
        <v>0</v>
      </c>
      <c r="AN12" s="170">
        <f t="shared" si="2"/>
        <v>128920.20603603279</v>
      </c>
      <c r="AO12" s="170">
        <f t="shared" si="2"/>
        <v>613046.2380961576</v>
      </c>
      <c r="AP12" s="170">
        <f t="shared" si="2"/>
        <v>0</v>
      </c>
      <c r="AQ12" s="170">
        <f t="shared" si="2"/>
        <v>4833.647026596448</v>
      </c>
      <c r="AR12" s="170">
        <f t="shared" si="2"/>
        <v>23333.360841041682</v>
      </c>
      <c r="AS12" s="170">
        <f t="shared" si="2"/>
        <v>0</v>
      </c>
      <c r="AT12" s="170">
        <f t="shared" si="2"/>
        <v>1855.868692289476</v>
      </c>
      <c r="AU12" s="170">
        <f t="shared" si="2"/>
        <v>6938.1829919116735</v>
      </c>
      <c r="AV12" s="170">
        <f t="shared" si="2"/>
        <v>0</v>
      </c>
      <c r="AW12" s="168">
        <f t="shared" si="0"/>
        <v>51209863</v>
      </c>
      <c r="AX12" s="175">
        <f>(AW12-F12)</f>
        <v>0</v>
      </c>
      <c r="AY12" s="164" t="s">
        <v>245</v>
      </c>
    </row>
    <row r="13" spans="1:49" ht="12.75">
      <c r="A13" s="50">
        <v>8</v>
      </c>
      <c r="B13" s="42"/>
      <c r="C13" s="42"/>
      <c r="D13" s="50"/>
      <c r="E13" s="50"/>
      <c r="F13" s="165"/>
      <c r="G13" s="42"/>
      <c r="H13" s="42" t="s">
        <v>24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ht="12.75">
      <c r="A14" s="50">
        <v>9</v>
      </c>
      <c r="B14" s="204" t="s">
        <v>25</v>
      </c>
      <c r="C14" s="42"/>
      <c r="D14" s="50"/>
      <c r="E14" s="50"/>
      <c r="F14" s="165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51" ht="12.75">
      <c r="A15" s="50">
        <v>10</v>
      </c>
      <c r="B15" s="42" t="s">
        <v>200</v>
      </c>
      <c r="C15" s="42"/>
      <c r="D15" s="50"/>
      <c r="E15" s="50"/>
      <c r="F15" s="165">
        <f>('Costs&amp;Margins'!M25+'Costs&amp;Margins'!M37)</f>
        <v>3356525.933687496</v>
      </c>
      <c r="G15" s="165">
        <f>($F$15*' Energy &amp; Demand Allocations'!C91)</f>
        <v>1984523.1647806508</v>
      </c>
      <c r="H15" s="42"/>
      <c r="I15" s="42"/>
      <c r="J15" s="165">
        <f>($F$15*' Energy &amp; Demand Allocations'!D91)</f>
        <v>0</v>
      </c>
      <c r="K15" s="42"/>
      <c r="L15" s="42"/>
      <c r="M15" s="165">
        <f>($F$15*' Energy &amp; Demand Allocations'!E91)</f>
        <v>442314.86210602144</v>
      </c>
      <c r="N15" s="42"/>
      <c r="O15" s="42"/>
      <c r="P15" s="165">
        <f>($F$15*' Energy &amp; Demand Allocations'!F91)</f>
        <v>0</v>
      </c>
      <c r="Q15" s="42"/>
      <c r="R15" s="42"/>
      <c r="S15" s="165">
        <f>($F$15*' Energy &amp; Demand Allocations'!G91)</f>
        <v>443140.14117674297</v>
      </c>
      <c r="T15" s="42"/>
      <c r="U15" s="42"/>
      <c r="V15" s="165">
        <f>($F$15*' Energy &amp; Demand Allocations'!H91)</f>
        <v>78251.46347479973</v>
      </c>
      <c r="W15" s="42"/>
      <c r="X15" s="42"/>
      <c r="Y15" s="165">
        <f>($F$15*' Energy &amp; Demand Allocations'!I91)</f>
        <v>97611.06847341532</v>
      </c>
      <c r="Z15" s="42"/>
      <c r="AA15" s="42"/>
      <c r="AB15" s="165">
        <f>($F$15*' Energy &amp; Demand Allocations'!J91)</f>
        <v>112320.43960342748</v>
      </c>
      <c r="AC15" s="42"/>
      <c r="AD15" s="42"/>
      <c r="AE15" s="165">
        <f>($F$15*' Energy &amp; Demand Allocations'!L91)</f>
        <v>2672.9362212111446</v>
      </c>
      <c r="AF15" s="42"/>
      <c r="AG15" s="42"/>
      <c r="AH15" s="165">
        <f>($F$15*' Energy &amp; Demand Allocations'!M91)</f>
        <v>105718.6040203879</v>
      </c>
      <c r="AI15" s="42"/>
      <c r="AJ15" s="42"/>
      <c r="AK15" s="165">
        <f>($F$15*' Energy &amp; Demand Allocations'!N91)</f>
        <v>30900.13693282882</v>
      </c>
      <c r="AL15" s="42"/>
      <c r="AM15" s="42"/>
      <c r="AN15" s="165">
        <f>($F$15*' Energy &amp; Demand Allocations'!O91)</f>
        <v>56151.71963725742</v>
      </c>
      <c r="AO15" s="42"/>
      <c r="AP15" s="42"/>
      <c r="AQ15" s="165">
        <f>($F$15*' Energy &amp; Demand Allocations'!P91)</f>
        <v>2102.8771217897656</v>
      </c>
      <c r="AR15" s="42"/>
      <c r="AS15" s="42"/>
      <c r="AT15" s="165">
        <f>($F$15*' Energy &amp; Demand Allocations'!Q91)</f>
        <v>818.5201389631246</v>
      </c>
      <c r="AU15" s="42"/>
      <c r="AV15" s="42"/>
      <c r="AW15" s="168">
        <f aca="true" t="shared" si="3" ref="AW15:AW23">SUM(G15:AV15)</f>
        <v>3356525.9336874965</v>
      </c>
      <c r="AX15" s="175">
        <f aca="true" t="shared" si="4" ref="AX15:AX22">(AW15-F15)</f>
        <v>4.656612873077393E-10</v>
      </c>
      <c r="AY15" s="164" t="s">
        <v>24</v>
      </c>
    </row>
    <row r="16" spans="1:50" ht="12.75">
      <c r="A16" s="50">
        <v>11</v>
      </c>
      <c r="B16" s="42" t="s">
        <v>207</v>
      </c>
      <c r="C16" s="42"/>
      <c r="D16" s="50"/>
      <c r="E16" s="50"/>
      <c r="F16" s="165">
        <f>('Costs&amp;Margins'!N25+'Costs&amp;Margins'!N37)</f>
        <v>1671530.1787932566</v>
      </c>
      <c r="G16" s="42"/>
      <c r="H16" s="42"/>
      <c r="I16" s="165">
        <f>($F$16*'Consumer Allocations'!$G$14)</f>
        <v>1558223.7702407239</v>
      </c>
      <c r="J16" s="42"/>
      <c r="K16" s="42"/>
      <c r="L16" s="165">
        <f>($F$16*'Consumer Allocations'!$G$15)</f>
        <v>0</v>
      </c>
      <c r="M16" s="42"/>
      <c r="N16" s="42"/>
      <c r="O16" s="165">
        <f>($F$16*'Consumer Allocations'!$G$16)</f>
        <v>100907.79632594367</v>
      </c>
      <c r="P16" s="42"/>
      <c r="Q16" s="42"/>
      <c r="R16" s="165">
        <f>($F$16*'Consumer Allocations'!$G$17)</f>
        <v>0</v>
      </c>
      <c r="S16" s="42"/>
      <c r="T16" s="42"/>
      <c r="U16" s="165">
        <f>($F$16*'Consumer Allocations'!$G$18)</f>
        <v>6931.951381229304</v>
      </c>
      <c r="V16" s="42"/>
      <c r="W16" s="42"/>
      <c r="X16" s="165">
        <f>($F$16*'Consumer Allocations'!$G$19)</f>
        <v>56.35732830267728</v>
      </c>
      <c r="Y16" s="42"/>
      <c r="Z16" s="42"/>
      <c r="AA16" s="165">
        <f>($F$16*'Consumer Allocations'!$G$20)</f>
        <v>28.17866415133864</v>
      </c>
      <c r="AB16" s="42"/>
      <c r="AC16" s="42"/>
      <c r="AD16" s="165">
        <f>($F$16*'Consumer Allocations'!$G$21)</f>
        <v>140.89332075669319</v>
      </c>
      <c r="AE16" s="165"/>
      <c r="AF16" s="165"/>
      <c r="AG16" s="165">
        <f>($F$16*'Consumer Allocations'!$G$22)</f>
        <v>28.17866415133864</v>
      </c>
      <c r="AH16" s="165"/>
      <c r="AI16" s="165"/>
      <c r="AJ16" s="165">
        <f>($F$16*'Consumer Allocations'!$G$23)</f>
        <v>4226.799622700795</v>
      </c>
      <c r="AK16" s="165"/>
      <c r="AL16" s="165"/>
      <c r="AM16" s="165">
        <f>($F$16*'Consumer Allocations'!$G$24)</f>
        <v>281.78664151338637</v>
      </c>
      <c r="AN16" s="165"/>
      <c r="AP16" s="165">
        <f>($F$16*'Consumer Allocations'!$G$25)</f>
        <v>0</v>
      </c>
      <c r="AQ16" s="165"/>
      <c r="AS16" s="165">
        <f>($F$16*'Consumer Allocations'!$G$26)</f>
        <v>563.5732830267727</v>
      </c>
      <c r="AT16" s="165"/>
      <c r="AU16" s="165"/>
      <c r="AV16" s="165">
        <f>($F$16*'Consumer Allocations'!$G$27)</f>
        <v>140.89332075669319</v>
      </c>
      <c r="AW16" s="168">
        <f t="shared" si="3"/>
        <v>1671530.1787932566</v>
      </c>
      <c r="AX16" s="175">
        <f t="shared" si="4"/>
        <v>0</v>
      </c>
    </row>
    <row r="17" spans="1:51" ht="12.75">
      <c r="A17" s="50">
        <v>12</v>
      </c>
      <c r="B17" s="42" t="s">
        <v>201</v>
      </c>
      <c r="C17" s="42"/>
      <c r="D17" s="50"/>
      <c r="E17" s="50"/>
      <c r="F17" s="165">
        <f>('Costs&amp;Margins'!M68+'Costs&amp;Margins'!M52)</f>
        <v>687607.0696009785</v>
      </c>
      <c r="G17" s="165">
        <f>($F$17*' Energy &amp; Demand Allocations'!C91)</f>
        <v>406543.01049625955</v>
      </c>
      <c r="H17" s="42"/>
      <c r="I17" s="42"/>
      <c r="J17" s="165">
        <f>($F$17*' Energy &amp; Demand Allocations'!D91)</f>
        <v>0</v>
      </c>
      <c r="K17" s="42"/>
      <c r="L17" s="42"/>
      <c r="M17" s="165">
        <f>($F$17*' Energy &amp; Demand Allocations'!E91)</f>
        <v>90611.19508156276</v>
      </c>
      <c r="N17" s="42"/>
      <c r="O17" s="42"/>
      <c r="P17" s="165">
        <f>($F$17*' Energy &amp; Demand Allocations'!F91)</f>
        <v>0</v>
      </c>
      <c r="Q17" s="42"/>
      <c r="R17" s="42"/>
      <c r="S17" s="165">
        <f>($F$17*' Energy &amp; Demand Allocations'!G91)</f>
        <v>90780.25908840583</v>
      </c>
      <c r="T17" s="42"/>
      <c r="U17" s="42"/>
      <c r="V17" s="165">
        <f>($F$17*' Energy &amp; Demand Allocations'!H91)</f>
        <v>16030.342251157055</v>
      </c>
      <c r="W17" s="42"/>
      <c r="X17" s="42"/>
      <c r="Y17" s="165">
        <f>($F$17*' Energy &amp; Demand Allocations'!I91)</f>
        <v>19996.2884481245</v>
      </c>
      <c r="Z17" s="42"/>
      <c r="AA17" s="42"/>
      <c r="AB17" s="165">
        <f>($F$17*' Energy &amp; Demand Allocations'!J91)</f>
        <v>23009.60274338135</v>
      </c>
      <c r="AC17" s="42"/>
      <c r="AD17" s="42"/>
      <c r="AE17" s="165">
        <f>($F$17*' Energy &amp; Demand Allocations'!L91)</f>
        <v>547.5690873861801</v>
      </c>
      <c r="AF17" s="42"/>
      <c r="AG17" s="42"/>
      <c r="AH17" s="165">
        <f>($F$17*' Energy &amp; Demand Allocations'!M91)</f>
        <v>21657.172013238225</v>
      </c>
      <c r="AI17" s="42"/>
      <c r="AJ17" s="42"/>
      <c r="AK17" s="165">
        <f>($F$17*' Energy &amp; Demand Allocations'!N91)</f>
        <v>6330.102321988964</v>
      </c>
      <c r="AL17" s="42"/>
      <c r="AM17" s="42"/>
      <c r="AN17" s="165">
        <f>($F$17*' Energy &amp; Demand Allocations'!O91)</f>
        <v>11503.0600554344</v>
      </c>
      <c r="AP17" s="42"/>
      <c r="AQ17" s="165">
        <f>($F$17*' Energy &amp; Demand Allocations'!P91)</f>
        <v>430.7886201422163</v>
      </c>
      <c r="AS17" s="42"/>
      <c r="AT17" s="165">
        <f>($F$17*' Energy &amp; Demand Allocations'!Q91)</f>
        <v>167.67939389745837</v>
      </c>
      <c r="AU17" s="42"/>
      <c r="AV17" s="42"/>
      <c r="AW17" s="168">
        <f t="shared" si="3"/>
        <v>687607.0696009785</v>
      </c>
      <c r="AX17" s="175">
        <f t="shared" si="4"/>
        <v>0</v>
      </c>
      <c r="AY17" s="164" t="s">
        <v>24</v>
      </c>
    </row>
    <row r="18" spans="1:50" ht="12.75">
      <c r="A18" s="50">
        <v>13</v>
      </c>
      <c r="B18" s="42" t="s">
        <v>208</v>
      </c>
      <c r="C18" s="42"/>
      <c r="D18" s="50"/>
      <c r="E18" s="50"/>
      <c r="F18" s="165">
        <f>('Costs&amp;Margins'!N68+'Costs&amp;Margins'!N52)</f>
        <v>342424.27757051244</v>
      </c>
      <c r="G18" s="42"/>
      <c r="H18" s="42"/>
      <c r="I18" s="165">
        <f>($F$18*'Consumer Allocations'!$G$14)</f>
        <v>319212.6924104283</v>
      </c>
      <c r="J18" s="42"/>
      <c r="K18" s="42"/>
      <c r="L18" s="165">
        <f>($F$18*'Consumer Allocations'!$G$15)</f>
        <v>0</v>
      </c>
      <c r="M18" s="42"/>
      <c r="N18" s="42"/>
      <c r="O18" s="165">
        <f>($F$18*'Consumer Allocations'!$G$16)</f>
        <v>20671.645475817277</v>
      </c>
      <c r="P18" s="42"/>
      <c r="Q18" s="42"/>
      <c r="R18" s="165">
        <f>($F$18*'Consumer Allocations'!$G$17)</f>
        <v>0</v>
      </c>
      <c r="S18" s="42"/>
      <c r="T18" s="42"/>
      <c r="U18" s="165">
        <f>($F$18*'Consumer Allocations'!$G$18)</f>
        <v>1420.0571871128316</v>
      </c>
      <c r="V18" s="42"/>
      <c r="W18" s="42"/>
      <c r="X18" s="165">
        <f>($F$18*'Consumer Allocations'!$G$19)</f>
        <v>11.545180383031152</v>
      </c>
      <c r="Y18" s="42"/>
      <c r="Z18" s="42"/>
      <c r="AA18" s="165">
        <f>($F$18*'Consumer Allocations'!$G$20)</f>
        <v>5.772590191515576</v>
      </c>
      <c r="AB18" s="42"/>
      <c r="AC18" s="42"/>
      <c r="AD18" s="165">
        <f>($F$18*'Consumer Allocations'!$G$21)</f>
        <v>28.86295095757788</v>
      </c>
      <c r="AE18" s="42"/>
      <c r="AF18" s="165"/>
      <c r="AG18" s="165">
        <f>($F$18*'Consumer Allocations'!$G$22)</f>
        <v>5.772590191515576</v>
      </c>
      <c r="AH18" s="42"/>
      <c r="AI18" s="165"/>
      <c r="AJ18" s="165">
        <f>($F$18*'Consumer Allocations'!$G$23)</f>
        <v>865.8885287273363</v>
      </c>
      <c r="AK18" s="42"/>
      <c r="AL18" s="165"/>
      <c r="AM18" s="165">
        <f>($F$18*'Consumer Allocations'!$G$24)</f>
        <v>57.72590191515576</v>
      </c>
      <c r="AN18" s="42"/>
      <c r="AP18" s="165">
        <f>($F$18*'Consumer Allocations'!$G$25)</f>
        <v>0</v>
      </c>
      <c r="AQ18" s="42"/>
      <c r="AS18" s="165">
        <f>($F$18*'Consumer Allocations'!$G$26)</f>
        <v>115.45180383031152</v>
      </c>
      <c r="AT18" s="42"/>
      <c r="AU18" s="165"/>
      <c r="AV18" s="165">
        <f>($F$18*'Consumer Allocations'!$G$27)</f>
        <v>28.86295095757788</v>
      </c>
      <c r="AW18" s="168">
        <f t="shared" si="3"/>
        <v>342424.2775705124</v>
      </c>
      <c r="AX18" s="175">
        <f t="shared" si="4"/>
        <v>-5.820766091346741E-11</v>
      </c>
    </row>
    <row r="19" spans="1:51" ht="12.75">
      <c r="A19" s="50">
        <v>14</v>
      </c>
      <c r="B19" s="42" t="s">
        <v>202</v>
      </c>
      <c r="C19" s="42"/>
      <c r="D19" s="50"/>
      <c r="E19" s="50"/>
      <c r="F19" s="165">
        <f>('Costs&amp;Margins'!M73+'Costs&amp;Margins'!M78)</f>
        <v>1680959.2306542038</v>
      </c>
      <c r="G19" s="165">
        <f>($F$19*' Energy &amp; Demand Allocations'!C91)</f>
        <v>993855.7300584564</v>
      </c>
      <c r="H19" s="42"/>
      <c r="I19" s="42"/>
      <c r="J19" s="165">
        <f>($F$19*' Energy &amp; Demand Allocations'!D91)</f>
        <v>0</v>
      </c>
      <c r="K19" s="42"/>
      <c r="L19" s="42"/>
      <c r="M19" s="165">
        <f>($F$19*' Energy &amp; Demand Allocations'!E91)</f>
        <v>221512.73817087142</v>
      </c>
      <c r="N19" s="42"/>
      <c r="O19" s="42"/>
      <c r="P19" s="165">
        <f>($F$19*' Energy &amp; Demand Allocations'!F91)</f>
        <v>0</v>
      </c>
      <c r="Q19" s="42"/>
      <c r="R19" s="42"/>
      <c r="S19" s="165">
        <f>($F$19*' Energy &amp; Demand Allocations'!G91)</f>
        <v>221926.04064467983</v>
      </c>
      <c r="T19" s="42"/>
      <c r="U19" s="42"/>
      <c r="V19" s="165">
        <f>($F$19*' Energy &amp; Demand Allocations'!H91)</f>
        <v>39188.59035766696</v>
      </c>
      <c r="W19" s="42"/>
      <c r="X19" s="42"/>
      <c r="Y19" s="165">
        <f>($F$19*' Energy &amp; Demand Allocations'!I91)</f>
        <v>48883.944234611554</v>
      </c>
      <c r="Z19" s="42"/>
      <c r="AA19" s="42"/>
      <c r="AB19" s="165">
        <f>($F$19*' Energy &amp; Demand Allocations'!J91)</f>
        <v>56250.44569076102</v>
      </c>
      <c r="AC19" s="42"/>
      <c r="AD19" s="42"/>
      <c r="AE19" s="165">
        <f>($F$19*' Energy &amp; Demand Allocations'!L91)</f>
        <v>1338.6152536169152</v>
      </c>
      <c r="AF19" s="42"/>
      <c r="AG19" s="42"/>
      <c r="AH19" s="165">
        <f>($F$19*' Energy &amp; Demand Allocations'!M91)</f>
        <v>52944.224710552444</v>
      </c>
      <c r="AI19" s="42"/>
      <c r="AJ19" s="42"/>
      <c r="AK19" s="165">
        <f>($F$19*' Energy &amp; Demand Allocations'!N91)</f>
        <v>15474.890238269032</v>
      </c>
      <c r="AL19" s="42"/>
      <c r="AM19" s="42"/>
      <c r="AN19" s="165">
        <f>($F$19*' Energy &amp; Demand Allocations'!O91)</f>
        <v>28120.965935055006</v>
      </c>
      <c r="AP19" s="42"/>
      <c r="AQ19" s="165">
        <f>($F$19*' Energy &amp; Demand Allocations'!P91)</f>
        <v>1053.1277811164255</v>
      </c>
      <c r="AS19" s="42"/>
      <c r="AT19" s="165">
        <f>($F$19*' Energy &amp; Demand Allocations'!Q91)</f>
        <v>409.91757854671374</v>
      </c>
      <c r="AU19" s="42"/>
      <c r="AV19" s="42"/>
      <c r="AW19" s="168">
        <f t="shared" si="3"/>
        <v>1680959.2306542038</v>
      </c>
      <c r="AX19" s="175">
        <f t="shared" si="4"/>
        <v>0</v>
      </c>
      <c r="AY19" s="164" t="s">
        <v>24</v>
      </c>
    </row>
    <row r="20" spans="1:50" ht="12.75">
      <c r="A20" s="50">
        <v>15</v>
      </c>
      <c r="B20" s="42" t="s">
        <v>209</v>
      </c>
      <c r="C20" s="42"/>
      <c r="D20" s="50"/>
      <c r="E20" s="50"/>
      <c r="F20" s="165">
        <f>('Costs&amp;Margins'!N73+'Costs&amp;Margins'!N78)</f>
        <v>837107.8129203559</v>
      </c>
      <c r="G20" s="42"/>
      <c r="H20" s="42"/>
      <c r="I20" s="165">
        <f>($F$20*'Consumer Allocations'!$G$14)</f>
        <v>780363.5907360178</v>
      </c>
      <c r="J20" s="42"/>
      <c r="K20" s="42"/>
      <c r="L20" s="165">
        <f>($F$20*'Consumer Allocations'!$G$15)</f>
        <v>0</v>
      </c>
      <c r="M20" s="42"/>
      <c r="N20" s="42"/>
      <c r="O20" s="165">
        <f>($F$20*'Consumer Allocations'!$G$16)</f>
        <v>50534.95638948389</v>
      </c>
      <c r="P20" s="42"/>
      <c r="Q20" s="42"/>
      <c r="R20" s="165">
        <f>($F$20*'Consumer Allocations'!$G$17)</f>
        <v>0</v>
      </c>
      <c r="S20" s="42"/>
      <c r="T20" s="42"/>
      <c r="U20" s="165">
        <f>($F$20*'Consumer Allocations'!$G$18)</f>
        <v>3471.5440580321238</v>
      </c>
      <c r="V20" s="42"/>
      <c r="W20" s="42"/>
      <c r="X20" s="165">
        <f>($F$20*'Consumer Allocations'!$G$19)</f>
        <v>28.223935431155482</v>
      </c>
      <c r="Y20" s="42"/>
      <c r="Z20" s="42"/>
      <c r="AA20" s="165">
        <f>($F$20*'Consumer Allocations'!$G$20)</f>
        <v>14.111967715577741</v>
      </c>
      <c r="AB20" s="42"/>
      <c r="AC20" s="42"/>
      <c r="AD20" s="165">
        <f>($F$20*'Consumer Allocations'!$G$21)</f>
        <v>70.5598385778887</v>
      </c>
      <c r="AE20" s="42"/>
      <c r="AF20" s="165"/>
      <c r="AG20" s="165">
        <f>($F$20*'Consumer Allocations'!$G$22)</f>
        <v>14.111967715577741</v>
      </c>
      <c r="AH20" s="42"/>
      <c r="AI20" s="165"/>
      <c r="AJ20" s="165">
        <f>($F$20*'Consumer Allocations'!$G$23)</f>
        <v>2116.795157336661</v>
      </c>
      <c r="AK20" s="42"/>
      <c r="AL20" s="165"/>
      <c r="AM20" s="165">
        <f>($F$20*'Consumer Allocations'!$G$24)</f>
        <v>141.1196771557774</v>
      </c>
      <c r="AN20" s="42"/>
      <c r="AP20" s="165">
        <f>($F$20*'Consumer Allocations'!$G$25)</f>
        <v>0</v>
      </c>
      <c r="AQ20" s="42"/>
      <c r="AS20" s="165">
        <f>($F$20*'Consumer Allocations'!$G$26)</f>
        <v>282.2393543115548</v>
      </c>
      <c r="AT20" s="42"/>
      <c r="AU20" s="165"/>
      <c r="AV20" s="165">
        <f>($F$20*'Consumer Allocations'!$G$27)</f>
        <v>70.5598385778887</v>
      </c>
      <c r="AW20" s="168">
        <f t="shared" si="3"/>
        <v>837107.8129203557</v>
      </c>
      <c r="AX20" s="175">
        <f t="shared" si="4"/>
        <v>-2.3283064365386963E-10</v>
      </c>
    </row>
    <row r="21" spans="1:51" ht="12.75">
      <c r="A21" s="50">
        <v>16</v>
      </c>
      <c r="B21" s="42" t="s">
        <v>203</v>
      </c>
      <c r="C21" s="42"/>
      <c r="D21" s="50"/>
      <c r="E21" s="50"/>
      <c r="F21" s="165">
        <f>('Costs&amp;Margins'!M84+'Costs&amp;Margins'!M89)</f>
        <v>1588905.2343816299</v>
      </c>
      <c r="G21" s="165">
        <f>($F$21*' Energy &amp; Demand Allocations'!C91)</f>
        <v>939429.4298830075</v>
      </c>
      <c r="H21" s="42"/>
      <c r="I21" s="42"/>
      <c r="J21" s="165">
        <f>($F$21*' Energy &amp; Demand Allocations'!D91)</f>
        <v>0</v>
      </c>
      <c r="K21" s="42"/>
      <c r="L21" s="42"/>
      <c r="M21" s="165">
        <f>($F$21*' Energy &amp; Demand Allocations'!E91)</f>
        <v>209382.08538521573</v>
      </c>
      <c r="N21" s="42"/>
      <c r="O21" s="42"/>
      <c r="P21" s="165">
        <f>($F$21*' Energy &amp; Demand Allocations'!F91)</f>
        <v>0</v>
      </c>
      <c r="Q21" s="42"/>
      <c r="R21" s="42"/>
      <c r="S21" s="165">
        <f>($F$21*' Energy &amp; Demand Allocations'!G91)</f>
        <v>209772.7542676261</v>
      </c>
      <c r="T21" s="42"/>
      <c r="U21" s="42"/>
      <c r="V21" s="165">
        <f>($F$21*' Energy &amp; Demand Allocations'!H91)</f>
        <v>37042.51430482412</v>
      </c>
      <c r="W21" s="42"/>
      <c r="X21" s="42"/>
      <c r="Y21" s="165">
        <f>($F$21*' Energy &amp; Demand Allocations'!I91)</f>
        <v>46206.92367498125</v>
      </c>
      <c r="Z21" s="42"/>
      <c r="AA21" s="42"/>
      <c r="AB21" s="165">
        <f>($F$21*' Energy &amp; Demand Allocations'!J91)</f>
        <v>53170.01505120725</v>
      </c>
      <c r="AC21" s="42"/>
      <c r="AD21" s="42"/>
      <c r="AE21" s="165">
        <f>($F$21*' Energy &amp; Demand Allocations'!L91)</f>
        <v>1265.3089643746086</v>
      </c>
      <c r="AF21" s="42"/>
      <c r="AG21" s="42"/>
      <c r="AH21" s="165">
        <f>($F$21*' Energy &amp; Demand Allocations'!M91)</f>
        <v>50044.85191478111</v>
      </c>
      <c r="AI21" s="42"/>
      <c r="AJ21" s="42"/>
      <c r="AK21" s="165">
        <f>($F$21*' Energy &amp; Demand Allocations'!N91)</f>
        <v>14627.44226788744</v>
      </c>
      <c r="AL21" s="42"/>
      <c r="AM21" s="42"/>
      <c r="AN21" s="165">
        <f>($F$21*' Energy &amp; Demand Allocations'!O91)</f>
        <v>26580.983735510956</v>
      </c>
      <c r="AP21" s="42"/>
      <c r="AQ21" s="165">
        <f>($F$21*' Energy &amp; Demand Allocations'!P91)</f>
        <v>995.4555787991175</v>
      </c>
      <c r="AS21" s="42"/>
      <c r="AT21" s="165">
        <f>($F$21*' Energy &amp; Demand Allocations'!Q91)</f>
        <v>387.469353414617</v>
      </c>
      <c r="AU21" s="42"/>
      <c r="AV21" s="42"/>
      <c r="AW21" s="168">
        <f t="shared" si="3"/>
        <v>1588905.23438163</v>
      </c>
      <c r="AX21" s="175">
        <f t="shared" si="4"/>
        <v>2.3283064365386963E-10</v>
      </c>
      <c r="AY21" s="164" t="s">
        <v>24</v>
      </c>
    </row>
    <row r="22" spans="1:50" ht="12.75">
      <c r="A22" s="50">
        <v>17</v>
      </c>
      <c r="B22" s="42" t="s">
        <v>204</v>
      </c>
      <c r="C22" s="42"/>
      <c r="D22" s="50"/>
      <c r="E22" s="50"/>
      <c r="F22" s="170">
        <f>('Costs&amp;Margins'!N84+'Costs&amp;Margins'!N89)</f>
        <v>791265.4640489187</v>
      </c>
      <c r="G22" s="169"/>
      <c r="H22" s="169"/>
      <c r="I22" s="170">
        <f>($F$22*'Consumer Allocations'!$G$14)</f>
        <v>737628.7130763686</v>
      </c>
      <c r="J22" s="169"/>
      <c r="K22" s="169"/>
      <c r="L22" s="170">
        <f>($F$22*'Consumer Allocations'!$G$15)</f>
        <v>0</v>
      </c>
      <c r="M22" s="169"/>
      <c r="N22" s="169"/>
      <c r="O22" s="170">
        <f>($F$22*'Consumer Allocations'!$G$16)</f>
        <v>47767.52181862772</v>
      </c>
      <c r="P22" s="169"/>
      <c r="Q22" s="169"/>
      <c r="R22" s="170">
        <f>($F$22*'Consumer Allocations'!$G$17)</f>
        <v>0</v>
      </c>
      <c r="S22" s="169"/>
      <c r="T22" s="169"/>
      <c r="U22" s="170">
        <f>($F$22*'Consumer Allocations'!$G$18)</f>
        <v>3281.432663329355</v>
      </c>
      <c r="V22" s="169"/>
      <c r="W22" s="169"/>
      <c r="X22" s="170">
        <f>($F$22*'Consumer Allocations'!$G$19)</f>
        <v>26.678314336011017</v>
      </c>
      <c r="Y22" s="169"/>
      <c r="Z22" s="169"/>
      <c r="AA22" s="170">
        <f>($F$22*'Consumer Allocations'!$G$20)</f>
        <v>13.339157168005508</v>
      </c>
      <c r="AB22" s="169"/>
      <c r="AC22" s="169"/>
      <c r="AD22" s="170">
        <f>($F$22*'Consumer Allocations'!$G$21)</f>
        <v>66.69578584002754</v>
      </c>
      <c r="AE22" s="169"/>
      <c r="AF22" s="170"/>
      <c r="AG22" s="170">
        <f>($F$22*'Consumer Allocations'!$G$22)</f>
        <v>13.339157168005508</v>
      </c>
      <c r="AH22" s="169"/>
      <c r="AI22" s="170"/>
      <c r="AJ22" s="170">
        <f>($F$22*'Consumer Allocations'!$G$23)</f>
        <v>2000.8735752008258</v>
      </c>
      <c r="AK22" s="169"/>
      <c r="AL22" s="170"/>
      <c r="AM22" s="170">
        <f>($F$22*'Consumer Allocations'!$G$24)</f>
        <v>133.39157168005508</v>
      </c>
      <c r="AN22" s="169"/>
      <c r="AO22" s="169"/>
      <c r="AP22" s="170">
        <f>($F$22*'Consumer Allocations'!$G$25)</f>
        <v>0</v>
      </c>
      <c r="AQ22" s="169"/>
      <c r="AR22" s="169"/>
      <c r="AS22" s="170">
        <f>($F$22*'Consumer Allocations'!$G$26)</f>
        <v>266.78314336011016</v>
      </c>
      <c r="AT22" s="169"/>
      <c r="AU22" s="170"/>
      <c r="AV22" s="170">
        <f>($F$22*'Consumer Allocations'!$G$27)</f>
        <v>66.69578584002754</v>
      </c>
      <c r="AW22" s="168">
        <f t="shared" si="3"/>
        <v>791265.4640489189</v>
      </c>
      <c r="AX22" s="175">
        <f t="shared" si="4"/>
        <v>2.3283064365386963E-10</v>
      </c>
    </row>
    <row r="23" spans="1:49" ht="12.75">
      <c r="A23" s="50">
        <v>18</v>
      </c>
      <c r="B23" s="42" t="s">
        <v>24</v>
      </c>
      <c r="C23" s="42"/>
      <c r="D23" s="50"/>
      <c r="E23" s="50"/>
      <c r="F23" s="16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P23" s="42"/>
      <c r="AQ23" s="42"/>
      <c r="AS23" s="42"/>
      <c r="AT23" s="42"/>
      <c r="AU23" s="42"/>
      <c r="AV23" s="42"/>
      <c r="AW23" s="168">
        <f t="shared" si="3"/>
        <v>0</v>
      </c>
    </row>
    <row r="24" spans="1:51" ht="12.75">
      <c r="A24" s="50">
        <v>19</v>
      </c>
      <c r="B24" s="42" t="s">
        <v>250</v>
      </c>
      <c r="C24" s="42"/>
      <c r="D24" s="50"/>
      <c r="E24" s="50"/>
      <c r="F24" s="165">
        <f aca="true" t="shared" si="5" ref="F24:V24">SUM(F15:F22)</f>
        <v>10956325.201657351</v>
      </c>
      <c r="G24" s="165">
        <f t="shared" si="5"/>
        <v>4324351.335218375</v>
      </c>
      <c r="H24" s="165">
        <f t="shared" si="5"/>
        <v>0</v>
      </c>
      <c r="I24" s="165">
        <f t="shared" si="5"/>
        <v>3395428.766463538</v>
      </c>
      <c r="J24" s="165">
        <f t="shared" si="5"/>
        <v>0</v>
      </c>
      <c r="K24" s="165">
        <f t="shared" si="5"/>
        <v>0</v>
      </c>
      <c r="L24" s="165">
        <f t="shared" si="5"/>
        <v>0</v>
      </c>
      <c r="M24" s="165">
        <f t="shared" si="5"/>
        <v>963820.8807436713</v>
      </c>
      <c r="N24" s="165">
        <f t="shared" si="5"/>
        <v>0</v>
      </c>
      <c r="O24" s="165">
        <f t="shared" si="5"/>
        <v>219881.92000987256</v>
      </c>
      <c r="P24" s="165">
        <f t="shared" si="5"/>
        <v>0</v>
      </c>
      <c r="Q24" s="165">
        <f t="shared" si="5"/>
        <v>0</v>
      </c>
      <c r="R24" s="165">
        <f t="shared" si="5"/>
        <v>0</v>
      </c>
      <c r="S24" s="165">
        <f t="shared" si="5"/>
        <v>965619.1951774547</v>
      </c>
      <c r="T24" s="165">
        <f t="shared" si="5"/>
        <v>0</v>
      </c>
      <c r="U24" s="165">
        <f t="shared" si="5"/>
        <v>15104.985289703616</v>
      </c>
      <c r="V24" s="165">
        <f t="shared" si="5"/>
        <v>170512.91038844787</v>
      </c>
      <c r="W24" s="165"/>
      <c r="X24" s="165">
        <f>SUM(X15:X22)</f>
        <v>122.80475845287492</v>
      </c>
      <c r="Y24" s="165">
        <f>SUM(Y15:Y22)</f>
        <v>212698.22483113263</v>
      </c>
      <c r="Z24" s="165"/>
      <c r="AA24" s="165">
        <f>SUM(AA15:AA22)</f>
        <v>61.40237922643746</v>
      </c>
      <c r="AB24" s="165">
        <f>SUM(AB15:AB22)</f>
        <v>244750.5030887771</v>
      </c>
      <c r="AC24" s="165"/>
      <c r="AD24" s="165">
        <f>SUM(AD15:AD22)</f>
        <v>307.0118961321873</v>
      </c>
      <c r="AE24" s="165">
        <f>SUM(AE15:AE22)</f>
        <v>5824.429526588849</v>
      </c>
      <c r="AF24" s="165"/>
      <c r="AG24" s="165">
        <f>SUM(AG15:AG22)</f>
        <v>61.40237922643746</v>
      </c>
      <c r="AH24" s="165">
        <f>SUM(AH15:AH22)</f>
        <v>230364.85265895966</v>
      </c>
      <c r="AI24" s="165"/>
      <c r="AJ24" s="165">
        <f>SUM(AJ15:AJ22)</f>
        <v>9210.356883965618</v>
      </c>
      <c r="AK24" s="165">
        <f>SUM(AK15:AK22)</f>
        <v>67332.57176097426</v>
      </c>
      <c r="AL24" s="165"/>
      <c r="AM24" s="165">
        <f aca="true" t="shared" si="6" ref="AM24:AT24">SUM(AM15:AM22)</f>
        <v>614.0237922643746</v>
      </c>
      <c r="AN24" s="165">
        <f t="shared" si="6"/>
        <v>122356.7293632578</v>
      </c>
      <c r="AO24" s="165">
        <f t="shared" si="6"/>
        <v>0</v>
      </c>
      <c r="AP24" s="165">
        <f t="shared" si="6"/>
        <v>0</v>
      </c>
      <c r="AQ24" s="165">
        <f t="shared" si="6"/>
        <v>4582.249101847525</v>
      </c>
      <c r="AR24" s="165">
        <f t="shared" si="6"/>
        <v>0</v>
      </c>
      <c r="AS24" s="165">
        <f t="shared" si="6"/>
        <v>1228.0475845287492</v>
      </c>
      <c r="AT24" s="165">
        <f t="shared" si="6"/>
        <v>1783.5864648219138</v>
      </c>
      <c r="AU24" s="165"/>
      <c r="AV24" s="165">
        <f>SUM(AV15:AV22)</f>
        <v>307.0118961321873</v>
      </c>
      <c r="AW24" s="168">
        <f>SUM(G24:AV24)</f>
        <v>10956325.201657347</v>
      </c>
      <c r="AX24" s="175">
        <f>(AW24-F24)</f>
        <v>-3.725290298461914E-09</v>
      </c>
      <c r="AY24" s="164" t="s">
        <v>245</v>
      </c>
    </row>
    <row r="25" spans="1:49" ht="12.75">
      <c r="A25" s="50">
        <v>20</v>
      </c>
      <c r="B25" s="42" t="s">
        <v>24</v>
      </c>
      <c r="C25" s="42"/>
      <c r="D25" s="50"/>
      <c r="E25" s="50"/>
      <c r="F25" s="16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1:51" ht="12.75">
      <c r="A26" s="50">
        <v>21</v>
      </c>
      <c r="B26" s="42" t="s">
        <v>205</v>
      </c>
      <c r="C26" s="42"/>
      <c r="D26" s="50"/>
      <c r="E26" s="50"/>
      <c r="F26" s="165">
        <f>('Costs&amp;Margins'!M93)</f>
        <v>1575515.1777747753</v>
      </c>
      <c r="G26" s="165">
        <f>(F26*' Energy &amp; Demand Allocations'!C91)</f>
        <v>931512.6498434641</v>
      </c>
      <c r="H26" s="42"/>
      <c r="I26" s="42"/>
      <c r="J26" s="165">
        <f>($F$26*' Energy &amp; Demand Allocations'!D91)</f>
        <v>0</v>
      </c>
      <c r="K26" s="42"/>
      <c r="L26" s="42"/>
      <c r="M26" s="165">
        <f>($F$26*' Energy &amp; Demand Allocations'!E91)</f>
        <v>207617.5761400433</v>
      </c>
      <c r="N26" s="42"/>
      <c r="O26" s="42"/>
      <c r="P26" s="165">
        <f>($F$26*' Energy &amp; Demand Allocations'!F91)</f>
        <v>0</v>
      </c>
      <c r="Q26" s="42"/>
      <c r="R26" s="42"/>
      <c r="S26" s="165">
        <f>($F$26*' Energy &amp; Demand Allocations'!G91)</f>
        <v>208004.9527691859</v>
      </c>
      <c r="T26" s="42"/>
      <c r="U26" s="42"/>
      <c r="V26" s="165">
        <f>($F$26*' Energy &amp; Demand Allocations'!H91)</f>
        <v>36730.34882593397</v>
      </c>
      <c r="W26" s="42"/>
      <c r="X26" s="42"/>
      <c r="Y26" s="165">
        <f>($F$26*' Energy &amp; Demand Allocations'!I91)</f>
        <v>45817.527686945876</v>
      </c>
      <c r="Z26" s="42"/>
      <c r="AA26" s="42"/>
      <c r="AB26" s="165">
        <f>($F$26*' Energy &amp; Demand Allocations'!J91)</f>
        <v>52721.939548705646</v>
      </c>
      <c r="AC26" s="42"/>
      <c r="AD26" s="42"/>
      <c r="AE26" s="165">
        <f>($F$26*' Energy &amp; Demand Allocations'!L91)</f>
        <v>1254.6459252634497</v>
      </c>
      <c r="AF26" s="42"/>
      <c r="AG26" s="42"/>
      <c r="AH26" s="165">
        <f>($F$26*' Energy &amp; Demand Allocations'!M91)</f>
        <v>49623.1128547538</v>
      </c>
      <c r="AI26" s="42"/>
      <c r="AJ26" s="42"/>
      <c r="AK26" s="165">
        <f>($F$26*' Energy &amp; Demand Allocations'!N91)</f>
        <v>14504.173569577226</v>
      </c>
      <c r="AL26" s="42"/>
      <c r="AM26" s="165">
        <f>($F$26*' Energy &amp; Demand Allocations'!U91)</f>
        <v>0</v>
      </c>
      <c r="AN26" s="165">
        <f>($F$26*' Energy &amp; Demand Allocations'!O91)</f>
        <v>26356.97989363118</v>
      </c>
      <c r="AO26" s="42"/>
      <c r="AP26" s="165">
        <f>($F$26*' Energy &amp; Demand Allocations'!X91)</f>
        <v>0</v>
      </c>
      <c r="AQ26" s="165">
        <f>($F$26*' Energy &amp; Demand Allocations'!P91)</f>
        <v>987.0666539839023</v>
      </c>
      <c r="AR26" s="42"/>
      <c r="AS26" s="42"/>
      <c r="AT26" s="165">
        <f>($F$26*' Energy &amp; Demand Allocations'!Q91)</f>
        <v>384.2040632869385</v>
      </c>
      <c r="AU26" s="42"/>
      <c r="AV26" s="42"/>
      <c r="AW26" s="168">
        <f>SUM(G26:AV26)</f>
        <v>1575515.1777747753</v>
      </c>
      <c r="AX26" s="175">
        <f>(AW26-F26)</f>
        <v>0</v>
      </c>
      <c r="AY26" s="164" t="s">
        <v>24</v>
      </c>
    </row>
    <row r="27" spans="1:50" ht="12.75">
      <c r="A27" s="50">
        <v>22</v>
      </c>
      <c r="B27" s="42" t="s">
        <v>206</v>
      </c>
      <c r="C27" s="42"/>
      <c r="D27" s="50"/>
      <c r="E27" s="50"/>
      <c r="F27" s="165">
        <f>('Costs&amp;Margins'!N93)</f>
        <v>784597.2945914825</v>
      </c>
      <c r="G27" s="42"/>
      <c r="H27" s="42"/>
      <c r="I27" s="165">
        <f>($F$27*'Consumer Allocations'!$G$14)</f>
        <v>731412.5524084998</v>
      </c>
      <c r="J27" s="42"/>
      <c r="K27" s="42"/>
      <c r="L27" s="165">
        <f>($F$27*'Consumer Allocations'!$G$15)</f>
        <v>0</v>
      </c>
      <c r="M27" s="42"/>
      <c r="N27" s="42"/>
      <c r="O27" s="165">
        <f>($F$27*'Consumer Allocations'!$G$16)</f>
        <v>47364.974324113675</v>
      </c>
      <c r="P27" s="42"/>
      <c r="Q27" s="42"/>
      <c r="R27" s="165">
        <f>($F$27*'Consumer Allocations'!$G$17)</f>
        <v>0</v>
      </c>
      <c r="S27" s="42"/>
      <c r="T27" s="42"/>
      <c r="U27" s="165">
        <f>($F$27*'Consumer Allocations'!$G$18)</f>
        <v>3253.7793029131426</v>
      </c>
      <c r="V27" s="165"/>
      <c r="W27" s="165"/>
      <c r="X27" s="165">
        <f>($F$27*'Consumer Allocations'!$G$19)</f>
        <v>26.453490267586524</v>
      </c>
      <c r="Y27" s="165"/>
      <c r="Z27" s="165"/>
      <c r="AA27" s="165">
        <f>($F$27*'Consumer Allocations'!$G$20)</f>
        <v>13.226745133793262</v>
      </c>
      <c r="AB27" s="165"/>
      <c r="AC27" s="165"/>
      <c r="AD27" s="165">
        <f>($F$27*'Consumer Allocations'!$G$21)</f>
        <v>66.1337256689663</v>
      </c>
      <c r="AE27" s="165"/>
      <c r="AF27" s="165"/>
      <c r="AG27" s="165">
        <f>($F$27*'Consumer Allocations'!$G$22)</f>
        <v>13.226745133793262</v>
      </c>
      <c r="AH27" s="165"/>
      <c r="AI27" s="165"/>
      <c r="AJ27" s="165">
        <f>($F$27*'Consumer Allocations'!$G$23)</f>
        <v>1984.011770068989</v>
      </c>
      <c r="AK27" s="165"/>
      <c r="AL27" s="165"/>
      <c r="AM27" s="165">
        <f>($F$27*'Consumer Allocations'!$G$24)</f>
        <v>132.2674513379326</v>
      </c>
      <c r="AN27" s="165"/>
      <c r="AO27" s="165"/>
      <c r="AP27" s="165">
        <f>($F$27*'Consumer Allocations'!$G$25)</f>
        <v>0</v>
      </c>
      <c r="AQ27" s="165"/>
      <c r="AR27" s="165"/>
      <c r="AS27" s="165">
        <f>($F$27*'Consumer Allocations'!$G$26)</f>
        <v>264.5349026758652</v>
      </c>
      <c r="AT27" s="165"/>
      <c r="AU27" s="165"/>
      <c r="AV27" s="165">
        <f>($F$27*'Consumer Allocations'!$G$27)</f>
        <v>66.1337256689663</v>
      </c>
      <c r="AW27" s="168">
        <f>SUM(G27:AV27)</f>
        <v>784597.2945914825</v>
      </c>
      <c r="AX27" s="175">
        <f aca="true" t="shared" si="7" ref="AX27:AX53">(AW27-F27)</f>
        <v>0</v>
      </c>
    </row>
    <row r="28" spans="1:50" ht="12.75">
      <c r="A28" s="50">
        <v>23</v>
      </c>
      <c r="B28" s="42"/>
      <c r="C28" s="42"/>
      <c r="D28" s="50"/>
      <c r="E28" s="50"/>
      <c r="F28" s="16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168" t="s">
        <v>24</v>
      </c>
      <c r="AX28" s="175" t="s">
        <v>24</v>
      </c>
    </row>
    <row r="29" spans="1:51" ht="12.75">
      <c r="A29" s="50">
        <v>24</v>
      </c>
      <c r="B29" s="42" t="s">
        <v>210</v>
      </c>
      <c r="C29" s="42"/>
      <c r="D29" s="50"/>
      <c r="E29" s="50"/>
      <c r="F29" s="165">
        <f>('Costs&amp;Margins'!M107+'Costs&amp;Margins'!M114)</f>
        <v>882727.7513580286</v>
      </c>
      <c r="G29" s="165">
        <f>($F$29*' Energy &amp; Demand Allocations'!C91)</f>
        <v>521906.788558673</v>
      </c>
      <c r="H29" s="68" t="s">
        <v>24</v>
      </c>
      <c r="I29" s="68" t="s">
        <v>24</v>
      </c>
      <c r="J29" s="165">
        <f>($F$29*' Energy &amp; Demand Allocations'!D91)</f>
        <v>0</v>
      </c>
      <c r="K29" s="68" t="s">
        <v>24</v>
      </c>
      <c r="L29" s="68" t="s">
        <v>24</v>
      </c>
      <c r="M29" s="165">
        <f>($F$29*' Energy &amp; Demand Allocations'!E91)</f>
        <v>116323.72617784052</v>
      </c>
      <c r="N29" s="68" t="s">
        <v>24</v>
      </c>
      <c r="O29" s="68" t="s">
        <v>24</v>
      </c>
      <c r="P29" s="165">
        <f>($F$29*' Energy &amp; Demand Allocations'!F91)</f>
        <v>0</v>
      </c>
      <c r="Q29" s="165">
        <f>('Costs&amp;Margins'!X107+'Costs&amp;Margins'!X114)</f>
        <v>0</v>
      </c>
      <c r="R29" s="165">
        <f>('Costs&amp;Margins'!Y107+'Costs&amp;Margins'!Y114)</f>
        <v>0</v>
      </c>
      <c r="S29" s="165">
        <f>($F$29*' Energy &amp; Demand Allocations'!G91)</f>
        <v>116540.7650903153</v>
      </c>
      <c r="T29" s="165">
        <f>('Costs&amp;Margins'!AA107+'Costs&amp;Margins'!AA114)</f>
        <v>0</v>
      </c>
      <c r="U29" s="165">
        <f>('Costs&amp;Margins'!AB107+'Costs&amp;Margins'!AB114)</f>
        <v>0</v>
      </c>
      <c r="V29" s="165">
        <f>($F$29*' Energy &amp; Demand Allocations'!H91)</f>
        <v>20579.23572117288</v>
      </c>
      <c r="W29" s="165">
        <f>('Costs&amp;Margins'!AD107+'Costs&amp;Margins'!AD114)</f>
        <v>0</v>
      </c>
      <c r="X29" s="165">
        <f>('Costs&amp;Margins'!AE107+'Costs&amp;Margins'!AE114)</f>
        <v>0</v>
      </c>
      <c r="Y29" s="165">
        <f>($F$29*' Energy &amp; Demand Allocations'!I91)</f>
        <v>25670.58937826596</v>
      </c>
      <c r="Z29" s="165">
        <f>('Costs&amp;Margins'!AG107+'Costs&amp;Margins'!AG114)</f>
        <v>0</v>
      </c>
      <c r="AA29" s="165">
        <f>('Costs&amp;Margins'!AH107+'Costs&amp;Margins'!AH114)</f>
        <v>0</v>
      </c>
      <c r="AB29" s="165">
        <f>($F$29*' Energy &amp; Demand Allocations'!J91)</f>
        <v>29538.9849628702</v>
      </c>
      <c r="AC29" s="165">
        <f>('Costs&amp;Margins'!AJ107+'Costs&amp;Margins'!AJ114)</f>
        <v>0</v>
      </c>
      <c r="AD29" s="165">
        <f>('Costs&amp;Margins'!AK107+'Costs&amp;Margins'!AK114)</f>
        <v>0</v>
      </c>
      <c r="AE29" s="165">
        <f>($F$29*' Energy &amp; Demand Allocations'!L91)</f>
        <v>702.951511976256</v>
      </c>
      <c r="AF29" s="165">
        <f>('Costs&amp;Margins'!AM107+'Costs&amp;Margins'!AM114)</f>
        <v>0</v>
      </c>
      <c r="AG29" s="165">
        <f>('Costs&amp;Margins'!AN107+'Costs&amp;Margins'!AN114)</f>
        <v>0</v>
      </c>
      <c r="AH29" s="165">
        <f>($F$29*' Energy &amp; Demand Allocations'!M91)</f>
        <v>27802.77806496916</v>
      </c>
      <c r="AI29" s="165">
        <f>('Costs&amp;Margins'!AP107+'Costs&amp;Margins'!AP114)</f>
        <v>0</v>
      </c>
      <c r="AJ29" s="165">
        <f>('Costs&amp;Margins'!AQ107+'Costs&amp;Margins'!AQ114)</f>
        <v>0</v>
      </c>
      <c r="AK29" s="165">
        <f>($F$29*' Energy &amp; Demand Allocations'!N91)</f>
        <v>8126.380945731337</v>
      </c>
      <c r="AL29" s="165">
        <f>('Costs&amp;Margins'!AS107+'Costs&amp;Margins'!AS114)</f>
        <v>0</v>
      </c>
      <c r="AM29" s="165">
        <f>('Costs&amp;Margins'!AT107+'Costs&amp;Margins'!AT114)</f>
        <v>0</v>
      </c>
      <c r="AN29" s="165">
        <f>($F$29*' Energy &amp; Demand Allocations'!O91)</f>
        <v>14767.257035856861</v>
      </c>
      <c r="AO29" s="165">
        <f>('Costs&amp;Margins'!AV107+'Costs&amp;Margins'!AV114)</f>
        <v>0</v>
      </c>
      <c r="AP29" s="165">
        <f>('Costs&amp;Margins'!AW107+'Costs&amp;Margins'!AW114)</f>
        <v>0</v>
      </c>
      <c r="AQ29" s="165">
        <f>($F$29*' Energy &amp; Demand Allocations'!P91)</f>
        <v>553.0325192692367</v>
      </c>
      <c r="AR29" s="165">
        <f>('Costs&amp;Margins'!AY107+'Costs&amp;Margins'!AY114)</f>
        <v>0</v>
      </c>
      <c r="AS29" s="165">
        <f>('Costs&amp;Margins'!AZ107+'Costs&amp;Margins'!AZ114)</f>
        <v>0</v>
      </c>
      <c r="AT29" s="165">
        <f>($F$29*' Energy &amp; Demand Allocations'!Q91)</f>
        <v>215.2613910878992</v>
      </c>
      <c r="AU29" s="165">
        <f>('Costs&amp;Margins'!BB107+'Costs&amp;Margins'!BB114)</f>
        <v>0</v>
      </c>
      <c r="AV29" s="165">
        <f>('Costs&amp;Margins'!BC107+'Costs&amp;Margins'!BC114)</f>
        <v>0</v>
      </c>
      <c r="AW29" s="168">
        <f>SUM(G29:AV29)</f>
        <v>882727.7513580286</v>
      </c>
      <c r="AX29" s="175">
        <f t="shared" si="7"/>
        <v>0</v>
      </c>
      <c r="AY29" s="164" t="s">
        <v>24</v>
      </c>
    </row>
    <row r="30" spans="1:50" ht="12.75">
      <c r="A30" s="50">
        <v>25</v>
      </c>
      <c r="B30" s="42" t="s">
        <v>211</v>
      </c>
      <c r="C30" s="42"/>
      <c r="D30" s="50"/>
      <c r="E30" s="50"/>
      <c r="F30" s="170">
        <f>('Costs&amp;Margins'!N107+'Costs&amp;Margins'!N114)</f>
        <v>439593.2297869233</v>
      </c>
      <c r="G30" s="178" t="s">
        <v>24</v>
      </c>
      <c r="H30" s="178" t="s">
        <v>24</v>
      </c>
      <c r="I30" s="170">
        <f>($F$30*'Consumer Allocations'!$G$14)</f>
        <v>409794.94632002024</v>
      </c>
      <c r="J30" s="178" t="s">
        <v>24</v>
      </c>
      <c r="K30" s="178" t="s">
        <v>24</v>
      </c>
      <c r="L30" s="170">
        <f>($F$30*'Consumer Allocations'!$G$15)</f>
        <v>0</v>
      </c>
      <c r="M30" s="178" t="s">
        <v>24</v>
      </c>
      <c r="N30" s="178" t="s">
        <v>24</v>
      </c>
      <c r="O30" s="170">
        <f>($F$30*'Consumer Allocations'!$G$16)</f>
        <v>26537.590921407515</v>
      </c>
      <c r="P30" s="170">
        <f>('Costs&amp;Margins'!X107+'Costs&amp;Margins'!X114)</f>
        <v>0</v>
      </c>
      <c r="Q30" s="170">
        <f>('Costs&amp;Margins'!Y107+'Costs&amp;Margins'!Y114)</f>
        <v>0</v>
      </c>
      <c r="R30" s="170">
        <f>($F$30*'Consumer Allocations'!$G$17)</f>
        <v>0</v>
      </c>
      <c r="S30" s="170">
        <f>('Costs&amp;Margins'!AA107+'Costs&amp;Margins'!AA114)</f>
        <v>0</v>
      </c>
      <c r="T30" s="170">
        <f>('Costs&amp;Margins'!AB107+'Costs&amp;Margins'!AB114)</f>
        <v>0</v>
      </c>
      <c r="U30" s="170">
        <f>($F$30*'Consumer Allocations'!$G$18)</f>
        <v>1823.0235595270171</v>
      </c>
      <c r="V30" s="170">
        <f>('Costs&amp;Margins'!AD107+'Costs&amp;Margins'!AD114)</f>
        <v>0</v>
      </c>
      <c r="W30" s="170">
        <f>('Costs&amp;Margins'!AE107+'Costs&amp;Margins'!AE114)</f>
        <v>0</v>
      </c>
      <c r="X30" s="170">
        <f>($F$30*'Consumer Allocations'!$G$19)</f>
        <v>14.821329752252172</v>
      </c>
      <c r="Y30" s="170">
        <f>('Costs&amp;Margins'!AG107+'Costs&amp;Margins'!AG114)</f>
        <v>0</v>
      </c>
      <c r="Z30" s="170">
        <f>('Costs&amp;Margins'!AH107+'Costs&amp;Margins'!AH114)</f>
        <v>0</v>
      </c>
      <c r="AA30" s="170">
        <f>($F$30*'Consumer Allocations'!$G$20)</f>
        <v>7.410664876126086</v>
      </c>
      <c r="AB30" s="170">
        <f>('Costs&amp;Margins'!AJ107+'Costs&amp;Margins'!AJ114)</f>
        <v>0</v>
      </c>
      <c r="AC30" s="170">
        <f>('Costs&amp;Margins'!AK107+'Costs&amp;Margins'!AK114)</f>
        <v>0</v>
      </c>
      <c r="AD30" s="170">
        <f>($F$30*'Consumer Allocations'!$G$21)</f>
        <v>37.05332438063043</v>
      </c>
      <c r="AE30" s="170">
        <f>('Costs&amp;Margins'!AM107+'Costs&amp;Margins'!AM114)</f>
        <v>0</v>
      </c>
      <c r="AF30" s="170">
        <f>('Costs&amp;Margins'!AN107+'Costs&amp;Margins'!AN114)</f>
        <v>0</v>
      </c>
      <c r="AG30" s="170">
        <f>($F$30*'Consumer Allocations'!$G$22)</f>
        <v>7.410664876126086</v>
      </c>
      <c r="AH30" s="170">
        <f>('Costs&amp;Margins'!AP107+'Costs&amp;Margins'!AP114)</f>
        <v>0</v>
      </c>
      <c r="AI30" s="170">
        <f>('Costs&amp;Margins'!AQ107+'Costs&amp;Margins'!AQ114)</f>
        <v>0</v>
      </c>
      <c r="AJ30" s="170">
        <f>($F$30*'Consumer Allocations'!$G$23)</f>
        <v>1111.5997314189128</v>
      </c>
      <c r="AK30" s="170">
        <f>('Costs&amp;Margins'!AS107+'Costs&amp;Margins'!AS114)</f>
        <v>0</v>
      </c>
      <c r="AL30" s="170">
        <f>('Costs&amp;Margins'!AT107+'Costs&amp;Margins'!AT114)</f>
        <v>0</v>
      </c>
      <c r="AM30" s="170">
        <f>($F$30*'Consumer Allocations'!$G$24)</f>
        <v>74.10664876126086</v>
      </c>
      <c r="AN30" s="170">
        <f>('Costs&amp;Margins'!AV107+'Costs&amp;Margins'!AV114)</f>
        <v>0</v>
      </c>
      <c r="AO30" s="170">
        <f>('Costs&amp;Margins'!AW107+'Costs&amp;Margins'!AW114)</f>
        <v>0</v>
      </c>
      <c r="AP30" s="170">
        <f>($F$30*'Consumer Allocations'!$G$25)</f>
        <v>0</v>
      </c>
      <c r="AQ30" s="170">
        <f>('Costs&amp;Margins'!AY107+'Costs&amp;Margins'!AY114)</f>
        <v>0</v>
      </c>
      <c r="AR30" s="170">
        <f>('Costs&amp;Margins'!AZ107+'Costs&amp;Margins'!AZ114)</f>
        <v>0</v>
      </c>
      <c r="AS30" s="170">
        <f>($F$30*'Consumer Allocations'!$G$26)</f>
        <v>148.2132975225217</v>
      </c>
      <c r="AT30" s="170">
        <f>('Costs&amp;Margins'!BB107+'Costs&amp;Margins'!BB114)</f>
        <v>0</v>
      </c>
      <c r="AU30" s="170">
        <f>('Costs&amp;Margins'!BC107+'Costs&amp;Margins'!BC114)</f>
        <v>0</v>
      </c>
      <c r="AV30" s="170">
        <f>($F$30*'Consumer Allocations'!$G$27)</f>
        <v>37.05332438063043</v>
      </c>
      <c r="AW30" s="168">
        <f>SUM(G30:AV30)</f>
        <v>439593.2297869232</v>
      </c>
      <c r="AX30" s="175">
        <f t="shared" si="7"/>
        <v>-5.820766091346741E-11</v>
      </c>
    </row>
    <row r="31" spans="1:50" ht="12.75">
      <c r="A31" s="50">
        <v>26</v>
      </c>
      <c r="B31" s="42"/>
      <c r="C31" s="42"/>
      <c r="D31" s="50"/>
      <c r="E31" s="50"/>
      <c r="F31" s="165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168">
        <f>SUM(G31:AV31)</f>
        <v>0</v>
      </c>
      <c r="AX31" s="175">
        <f t="shared" si="7"/>
        <v>0</v>
      </c>
    </row>
    <row r="32" spans="1:51" ht="13.5" thickBot="1">
      <c r="A32" s="50">
        <v>27</v>
      </c>
      <c r="B32" s="173" t="s">
        <v>306</v>
      </c>
      <c r="C32" s="42"/>
      <c r="D32" s="50"/>
      <c r="E32" s="50"/>
      <c r="F32" s="198">
        <f>SUM(F24,F26,F27)-SUM(F29,F30)</f>
        <v>11994116.692878658</v>
      </c>
      <c r="G32" s="198">
        <f>SUM(G24,G26,G27)-SUM(G29,G30)</f>
        <v>4733957.196503166</v>
      </c>
      <c r="H32" s="198">
        <f aca="true" t="shared" si="8" ref="H32:W32">SUM(H24,H26,H27)-SUM(H29,H30)</f>
        <v>0</v>
      </c>
      <c r="I32" s="198">
        <f t="shared" si="8"/>
        <v>3717046.3725520177</v>
      </c>
      <c r="J32" s="198">
        <f t="shared" si="8"/>
        <v>0</v>
      </c>
      <c r="K32" s="198">
        <f t="shared" si="8"/>
        <v>0</v>
      </c>
      <c r="L32" s="198">
        <f t="shared" si="8"/>
        <v>0</v>
      </c>
      <c r="M32" s="198">
        <f t="shared" si="8"/>
        <v>1055114.730705874</v>
      </c>
      <c r="N32" s="198">
        <f t="shared" si="8"/>
        <v>0</v>
      </c>
      <c r="O32" s="198">
        <f t="shared" si="8"/>
        <v>240709.3034125787</v>
      </c>
      <c r="P32" s="198">
        <f t="shared" si="8"/>
        <v>0</v>
      </c>
      <c r="Q32" s="198">
        <f t="shared" si="8"/>
        <v>0</v>
      </c>
      <c r="R32" s="198">
        <f t="shared" si="8"/>
        <v>0</v>
      </c>
      <c r="S32" s="198">
        <f t="shared" si="8"/>
        <v>1057083.3828563252</v>
      </c>
      <c r="T32" s="198">
        <f t="shared" si="8"/>
        <v>0</v>
      </c>
      <c r="U32" s="198">
        <f t="shared" si="8"/>
        <v>16535.741033089744</v>
      </c>
      <c r="V32" s="198">
        <f t="shared" si="8"/>
        <v>186664.02349320895</v>
      </c>
      <c r="W32" s="198">
        <f t="shared" si="8"/>
        <v>0</v>
      </c>
      <c r="X32" s="198">
        <f>SUM(X24,X26,X27)-SUM(X29,X30)</f>
        <v>134.43691896820926</v>
      </c>
      <c r="Y32" s="198">
        <f aca="true" t="shared" si="9" ref="Y32:AJ32">SUM(Y24,Y26,Y27)-SUM(Y29,Y30)</f>
        <v>232845.16313981253</v>
      </c>
      <c r="Z32" s="198">
        <f t="shared" si="9"/>
        <v>0</v>
      </c>
      <c r="AA32" s="198">
        <f t="shared" si="9"/>
        <v>67.21845948410463</v>
      </c>
      <c r="AB32" s="198">
        <f t="shared" si="9"/>
        <v>267933.4576746126</v>
      </c>
      <c r="AC32" s="198">
        <f t="shared" si="9"/>
        <v>0</v>
      </c>
      <c r="AD32" s="198">
        <f t="shared" si="9"/>
        <v>336.09229742052315</v>
      </c>
      <c r="AE32" s="198">
        <f t="shared" si="9"/>
        <v>6376.123939876042</v>
      </c>
      <c r="AF32" s="198"/>
      <c r="AG32" s="198">
        <f t="shared" si="9"/>
        <v>67.21845948410463</v>
      </c>
      <c r="AH32" s="198">
        <f t="shared" si="9"/>
        <v>252185.1874487443</v>
      </c>
      <c r="AI32" s="198"/>
      <c r="AJ32" s="198">
        <f t="shared" si="9"/>
        <v>10082.768922615694</v>
      </c>
      <c r="AK32" s="198">
        <f>SUM(AK24,AK26,AK27)-SUM(AK29,AK30)</f>
        <v>73710.36438482015</v>
      </c>
      <c r="AL32" s="198"/>
      <c r="AM32" s="198">
        <f>SUM(AM24,AM26,AM27)-SUM(AM29,AM30)</f>
        <v>672.1845948410463</v>
      </c>
      <c r="AN32" s="198">
        <f>SUM(AN24,AN26,AN27)-SUM(AN29,AN30)</f>
        <v>133946.45222103212</v>
      </c>
      <c r="AO32" s="198">
        <f>SUM(AO24,AO26,AO27)-SUM(AO29,AO30)</f>
        <v>0</v>
      </c>
      <c r="AP32" s="198">
        <f>SUM(AP24,AP26,AP27)-SUM(AP29,AP30)</f>
        <v>0</v>
      </c>
      <c r="AQ32" s="198">
        <f>SUM(AQ24,AQ26,AQ27)-SUM(AQ29,AQ30)</f>
        <v>5016.283236562191</v>
      </c>
      <c r="AR32" s="198"/>
      <c r="AS32" s="198">
        <f>SUM(AS24,AS26,AS27)-SUM(AS29,AS30)</f>
        <v>1344.3691896820926</v>
      </c>
      <c r="AT32" s="198">
        <f>SUM(AT24,AT26,AT27)-SUM(AT29,AT30)</f>
        <v>1952.5291370209532</v>
      </c>
      <c r="AU32" s="198"/>
      <c r="AV32" s="198"/>
      <c r="AW32" s="168">
        <f>SUM(G32:AV32)</f>
        <v>11993780.600581238</v>
      </c>
      <c r="AX32" s="175">
        <f t="shared" si="7"/>
        <v>-336.09229741990566</v>
      </c>
      <c r="AY32" s="164" t="s">
        <v>245</v>
      </c>
    </row>
    <row r="33" spans="1:50" ht="13.5" thickTop="1">
      <c r="A33" s="50">
        <v>28</v>
      </c>
      <c r="B33" s="42" t="s">
        <v>24</v>
      </c>
      <c r="C33" s="42"/>
      <c r="D33" s="50"/>
      <c r="E33" s="50"/>
      <c r="F33" s="16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175">
        <f t="shared" si="7"/>
        <v>0</v>
      </c>
    </row>
    <row r="34" spans="1:50" ht="12.75">
      <c r="A34" s="50">
        <v>29</v>
      </c>
      <c r="B34" s="204" t="s">
        <v>153</v>
      </c>
      <c r="C34" s="42"/>
      <c r="D34" s="50"/>
      <c r="E34" s="50"/>
      <c r="F34" s="165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175">
        <f t="shared" si="7"/>
        <v>0</v>
      </c>
    </row>
    <row r="35" spans="1:51" ht="12.75">
      <c r="A35" s="50">
        <v>30</v>
      </c>
      <c r="B35" s="42" t="s">
        <v>200</v>
      </c>
      <c r="C35" s="42"/>
      <c r="D35" s="50"/>
      <c r="E35" s="50"/>
      <c r="F35" s="165">
        <f>('Costs&amp;Margins'!O25+'Costs&amp;Margins'!O37)</f>
        <v>11752.95866022889</v>
      </c>
      <c r="G35" s="165">
        <f>($F$35*' Energy &amp; Demand Allocations'!C91)</f>
        <v>6948.856995813439</v>
      </c>
      <c r="H35" s="42"/>
      <c r="I35" s="42"/>
      <c r="J35" s="165">
        <f>($F$35*' Energy &amp; Demand Allocations'!D91)</f>
        <v>0</v>
      </c>
      <c r="K35" s="42"/>
      <c r="L35" s="42"/>
      <c r="M35" s="165">
        <f>($F$35*' Energy &amp; Demand Allocations'!E91)</f>
        <v>1548.7764408320256</v>
      </c>
      <c r="N35" s="42"/>
      <c r="O35" s="42"/>
      <c r="P35" s="209">
        <f>($F$35*' Energy &amp; Demand Allocations'!F91)</f>
        <v>0</v>
      </c>
      <c r="Q35" s="42"/>
      <c r="R35" s="42"/>
      <c r="S35" s="165">
        <f>($F$35*' Energy &amp; Demand Allocations'!G91)</f>
        <v>1551.666175931044</v>
      </c>
      <c r="T35" s="42"/>
      <c r="U35" s="42"/>
      <c r="V35" s="165">
        <f>($F$35*' Energy &amp; Demand Allocations'!H91)</f>
        <v>273.99943676626395</v>
      </c>
      <c r="W35" s="42"/>
      <c r="X35" s="42"/>
      <c r="Y35" s="165">
        <f>($F$35*' Energy &amp; Demand Allocations'!I91)</f>
        <v>341.7875729887424</v>
      </c>
      <c r="Z35" s="42"/>
      <c r="AA35" s="42"/>
      <c r="AB35" s="165">
        <f>($F$35*' Energy &amp; Demand Allocations'!J91)</f>
        <v>393.29280018627867</v>
      </c>
      <c r="AC35" s="42"/>
      <c r="AD35" s="42"/>
      <c r="AE35" s="165">
        <f>($F$35*' Energy &amp; Demand Allocations'!L91)</f>
        <v>9.359352357158889</v>
      </c>
      <c r="AF35" s="42"/>
      <c r="AG35" s="42"/>
      <c r="AH35" s="165">
        <f>($F$35*' Energy &amp; Demand Allocations'!M91)</f>
        <v>370.1763094389987</v>
      </c>
      <c r="AI35" s="42"/>
      <c r="AJ35" s="42"/>
      <c r="AK35" s="165">
        <f>($F$35*' Energy &amp; Demand Allocations'!N91)</f>
        <v>108.19759451939369</v>
      </c>
      <c r="AL35" s="42"/>
      <c r="AM35" s="42"/>
      <c r="AN35" s="165">
        <f>($F$35*' Energy &amp; Demand Allocations'!O91)</f>
        <v>196.616636556842</v>
      </c>
      <c r="AO35" s="42"/>
      <c r="AP35" s="42"/>
      <c r="AQ35" s="165">
        <f>($F$35*' Energy &amp; Demand Allocations'!P91)</f>
        <v>7.363276306578145</v>
      </c>
      <c r="AR35" s="42"/>
      <c r="AS35" s="42"/>
      <c r="AT35" s="165">
        <f>($F$35*' Energy &amp; Demand Allocations'!Q91)</f>
        <v>2.8660685321235677</v>
      </c>
      <c r="AU35" s="42"/>
      <c r="AV35" s="42"/>
      <c r="AW35" s="168">
        <f aca="true" t="shared" si="10" ref="AW35:AW43">SUM(G35:AV35)</f>
        <v>11752.958660228887</v>
      </c>
      <c r="AX35" s="175">
        <f t="shared" si="7"/>
        <v>-1.8189894035458565E-12</v>
      </c>
      <c r="AY35" s="164" t="s">
        <v>24</v>
      </c>
    </row>
    <row r="36" spans="1:50" ht="12.75">
      <c r="A36" s="50">
        <v>31</v>
      </c>
      <c r="B36" s="42" t="s">
        <v>207</v>
      </c>
      <c r="C36" s="42"/>
      <c r="D36" s="50"/>
      <c r="E36" s="50"/>
      <c r="F36" s="165">
        <f>('Costs&amp;Margins'!P25+'Costs&amp;Margins'!P37)</f>
        <v>4644.8883719095065</v>
      </c>
      <c r="G36" s="42"/>
      <c r="H36" s="42"/>
      <c r="I36" s="165">
        <f>(F36*'Consumer Allocations'!$H$40)</f>
        <v>4036.6508388780217</v>
      </c>
      <c r="J36" s="42"/>
      <c r="K36" s="42"/>
      <c r="L36" s="165">
        <f>(F36*'Consumer Allocations'!$H$41)</f>
        <v>0</v>
      </c>
      <c r="M36" s="42"/>
      <c r="N36" s="42"/>
      <c r="O36" s="165">
        <f>(F36*'Consumer Allocations'!$H$42)</f>
        <v>396.992157079296</v>
      </c>
      <c r="P36" s="42"/>
      <c r="Q36" s="42"/>
      <c r="R36" s="165">
        <f>(F36*'Consumer Allocations'!$H$43)</f>
        <v>0</v>
      </c>
      <c r="S36" s="42"/>
      <c r="T36" s="42"/>
      <c r="U36" s="165">
        <f>(F36*'Consumer Allocations'!$H$44)</f>
        <v>101.99503894666238</v>
      </c>
      <c r="V36" s="42"/>
      <c r="W36" s="165"/>
      <c r="X36" s="165">
        <f>(F36*'Consumer Allocations'!$H$45)</f>
        <v>3.608852452203114</v>
      </c>
      <c r="Y36" s="42"/>
      <c r="Z36" s="165"/>
      <c r="AA36" s="165">
        <f>(F36*'Consumer Allocations'!$H$46)</f>
        <v>10.051914981295232</v>
      </c>
      <c r="AB36" s="42"/>
      <c r="AC36" s="165"/>
      <c r="AD36" s="165">
        <f>(F36*'Consumer Allocations'!$H$47)</f>
        <v>9.022131130507784</v>
      </c>
      <c r="AE36" s="42"/>
      <c r="AF36" s="165"/>
      <c r="AG36" s="165">
        <f>($F$36*'Consumer Allocations'!$H$48)</f>
        <v>3.608852452203114</v>
      </c>
      <c r="AH36" s="42"/>
      <c r="AI36" s="165"/>
      <c r="AJ36" s="165">
        <f>(F36*'Consumer Allocations'!$H$49)</f>
        <v>62.19209691869658</v>
      </c>
      <c r="AK36" s="42"/>
      <c r="AL36" s="165"/>
      <c r="AM36" s="165">
        <f>(F36*'Consumer Allocations'!$H$50)</f>
        <v>11.468906393859802</v>
      </c>
      <c r="AN36" s="42"/>
      <c r="AO36" s="165"/>
      <c r="AP36" s="165">
        <f>(F36*'Consumer Allocations'!$H$51)</f>
        <v>0</v>
      </c>
      <c r="AQ36" s="42"/>
      <c r="AR36" s="165"/>
      <c r="AS36" s="165">
        <f>(F36*'Consumer Allocations'!$H$52)</f>
        <v>7.837619987739808</v>
      </c>
      <c r="AT36" s="42"/>
      <c r="AU36" s="165"/>
      <c r="AV36" s="165">
        <f>(F36*'Consumer Allocations'!$H$53)</f>
        <v>1.4599626890223956</v>
      </c>
      <c r="AW36" s="168">
        <f>SUM(G36:AV36)</f>
        <v>4644.888371909507</v>
      </c>
      <c r="AX36" s="175">
        <f t="shared" si="7"/>
        <v>9.094947017729282E-13</v>
      </c>
    </row>
    <row r="37" spans="1:51" ht="12.75">
      <c r="A37" s="50">
        <v>32</v>
      </c>
      <c r="B37" s="42" t="s">
        <v>201</v>
      </c>
      <c r="C37" s="42"/>
      <c r="D37" s="50"/>
      <c r="E37" s="50"/>
      <c r="F37" s="165">
        <f>('Costs&amp;Margins'!O68+'Costs&amp;Margins'!O52)</f>
        <v>207383.36824890733</v>
      </c>
      <c r="G37" s="165">
        <f>($F$37*' Energy &amp; Demand Allocations'!C91)</f>
        <v>122614.00817721496</v>
      </c>
      <c r="H37" s="42"/>
      <c r="I37" s="68" t="s">
        <v>24</v>
      </c>
      <c r="J37" s="165">
        <f>($F$37*' Energy &amp; Demand Allocations'!D91)</f>
        <v>0</v>
      </c>
      <c r="K37" s="42"/>
      <c r="L37" s="68" t="s">
        <v>24</v>
      </c>
      <c r="M37" s="165">
        <f>($F$37*' Energy &amp; Demand Allocations'!E91)</f>
        <v>27328.47823681912</v>
      </c>
      <c r="N37" s="42"/>
      <c r="O37" s="42"/>
      <c r="P37" s="165">
        <f>($F$37*' Energy &amp; Demand Allocations'!F91)</f>
        <v>0</v>
      </c>
      <c r="Q37" s="42"/>
      <c r="R37" s="42"/>
      <c r="S37" s="165">
        <f>($F$37*' Energy &amp; Demand Allocations'!G91)</f>
        <v>27379.468205856403</v>
      </c>
      <c r="T37" s="42"/>
      <c r="U37" s="42"/>
      <c r="V37" s="165">
        <f>($F$37*' Energy &amp; Demand Allocations'!H91)</f>
        <v>4834.776309319945</v>
      </c>
      <c r="W37" s="42"/>
      <c r="X37" s="42"/>
      <c r="Y37" s="165">
        <f>($F$37*' Energy &amp; Demand Allocations'!I91)</f>
        <v>6030.911888755358</v>
      </c>
      <c r="Z37" s="42"/>
      <c r="AA37" s="42"/>
      <c r="AB37" s="165">
        <f>($F$37*' Energy &amp; Demand Allocations'!J91)</f>
        <v>6939.732195832171</v>
      </c>
      <c r="AC37" s="42"/>
      <c r="AD37" s="42"/>
      <c r="AE37" s="165">
        <f>($F$37*' Energy &amp; Demand Allocations'!L91)</f>
        <v>165.1476936632193</v>
      </c>
      <c r="AF37" s="42"/>
      <c r="AG37" s="42"/>
      <c r="AH37" s="165">
        <f>($F$37*' Energy &amp; Demand Allocations'!M91)</f>
        <v>6531.836971160951</v>
      </c>
      <c r="AI37" s="42"/>
      <c r="AJ37" s="42"/>
      <c r="AK37" s="165">
        <f>($F$37*' Energy &amp; Demand Allocations'!N91)</f>
        <v>1909.1687664818512</v>
      </c>
      <c r="AL37" s="42"/>
      <c r="AM37" s="42"/>
      <c r="AN37" s="165">
        <f>($F$37*' Energy &amp; Demand Allocations'!O91)</f>
        <v>3469.340914208154</v>
      </c>
      <c r="AO37" s="42"/>
      <c r="AP37" s="42"/>
      <c r="AQ37" s="165">
        <f>($F$37*' Energy &amp; Demand Allocations'!P91)</f>
        <v>129.92652198912873</v>
      </c>
      <c r="AR37" s="42"/>
      <c r="AS37" s="42"/>
      <c r="AT37" s="165">
        <f>($F$37*' Energy &amp; Demand Allocations'!Q91)</f>
        <v>50.572367606065555</v>
      </c>
      <c r="AU37" s="42"/>
      <c r="AV37" s="42"/>
      <c r="AW37" s="168">
        <f>SUM(G37:AV37)</f>
        <v>207383.36824890735</v>
      </c>
      <c r="AX37" s="175">
        <f t="shared" si="7"/>
        <v>2.9103830456733704E-11</v>
      </c>
      <c r="AY37" s="164" t="s">
        <v>24</v>
      </c>
    </row>
    <row r="38" spans="1:50" ht="12.75">
      <c r="A38" s="50">
        <v>33</v>
      </c>
      <c r="B38" s="42" t="s">
        <v>208</v>
      </c>
      <c r="C38" s="42"/>
      <c r="D38" s="50"/>
      <c r="E38" s="50"/>
      <c r="F38" s="165">
        <f>('Costs&amp;Margins'!P68+'Costs&amp;Margins'!P52)</f>
        <v>81960.00884155383</v>
      </c>
      <c r="G38" s="42"/>
      <c r="H38" s="42"/>
      <c r="I38" s="165">
        <f>(F38*'Consumer Allocations'!$H$40)</f>
        <v>71227.53271004852</v>
      </c>
      <c r="J38" s="42"/>
      <c r="K38" s="42"/>
      <c r="L38" s="165">
        <f>(F38*'Consumer Allocations'!$H$41)</f>
        <v>0</v>
      </c>
      <c r="M38" s="42"/>
      <c r="N38" s="42"/>
      <c r="O38" s="165">
        <f>(F38*'Consumer Allocations'!$H$42)</f>
        <v>7005.008107626604</v>
      </c>
      <c r="P38" s="42"/>
      <c r="Q38" s="42"/>
      <c r="R38" s="165">
        <f>(F38*'Consumer Allocations'!$H$43)</f>
        <v>0</v>
      </c>
      <c r="S38" s="42"/>
      <c r="T38" s="42"/>
      <c r="U38" s="165">
        <f>(F38*'Consumer Allocations'!$H$44)</f>
        <v>1799.723400118331</v>
      </c>
      <c r="V38" s="42"/>
      <c r="W38" s="165"/>
      <c r="X38" s="165">
        <f>(F38*'Consumer Allocations'!$H$45)</f>
        <v>63.67894235719493</v>
      </c>
      <c r="Y38" s="42"/>
      <c r="Z38" s="165"/>
      <c r="AA38" s="165">
        <f>(F38*'Consumer Allocations'!$H$46)</f>
        <v>177.36810333782446</v>
      </c>
      <c r="AB38" s="42"/>
      <c r="AC38" s="165"/>
      <c r="AD38" s="165">
        <f>(F38*'Consumer Allocations'!$H$47)</f>
        <v>159.1973558929873</v>
      </c>
      <c r="AE38" s="42"/>
      <c r="AF38" s="165"/>
      <c r="AG38" s="165">
        <f>(F38*'Consumer Allocations'!$H$48)</f>
        <v>63.67894235719493</v>
      </c>
      <c r="AH38" s="42"/>
      <c r="AI38" s="165"/>
      <c r="AJ38" s="165">
        <f>(F38*'Consumer Allocations'!$H$49)</f>
        <v>1097.392317145324</v>
      </c>
      <c r="AK38" s="42"/>
      <c r="AL38" s="165"/>
      <c r="AM38" s="165">
        <f>(F38*'Consumer Allocations'!$H$50)</f>
        <v>202.37120769756487</v>
      </c>
      <c r="AN38" s="42"/>
      <c r="AO38" s="165"/>
      <c r="AP38" s="165">
        <f>(F38*'Consumer Allocations'!$H$51)</f>
        <v>0</v>
      </c>
      <c r="AQ38" s="42"/>
      <c r="AR38" s="165"/>
      <c r="AS38" s="165">
        <f>(F38*'Consumer Allocations'!$H$52)</f>
        <v>138.29641361818472</v>
      </c>
      <c r="AT38" s="42"/>
      <c r="AU38" s="165"/>
      <c r="AV38" s="165">
        <f>(F38*'Consumer Allocations'!$H$53)</f>
        <v>25.761341354135233</v>
      </c>
      <c r="AW38" s="168">
        <f>SUM(G38:AV38)</f>
        <v>81960.00884155385</v>
      </c>
      <c r="AX38" s="175">
        <f>(AW38-F38)</f>
        <v>1.4551915228366852E-11</v>
      </c>
    </row>
    <row r="39" spans="1:51" ht="12.75">
      <c r="A39" s="50">
        <v>34</v>
      </c>
      <c r="B39" s="42" t="s">
        <v>202</v>
      </c>
      <c r="C39" s="42"/>
      <c r="D39" s="50"/>
      <c r="E39" s="50"/>
      <c r="F39" s="165">
        <f>('Costs&amp;Margins'!O73+'Costs&amp;Margins'!O78)</f>
        <v>506979.9345496208</v>
      </c>
      <c r="G39" s="165">
        <f>($F$39*' Energy &amp; Demand Allocations'!C91)</f>
        <v>299748.4435007417</v>
      </c>
      <c r="H39" s="42"/>
      <c r="I39" s="68" t="s">
        <v>24</v>
      </c>
      <c r="J39" s="165">
        <f>($F$39*' Energy &amp; Demand Allocations'!D91)</f>
        <v>0</v>
      </c>
      <c r="K39" s="42"/>
      <c r="L39" s="68" t="s">
        <v>24</v>
      </c>
      <c r="M39" s="165">
        <f>($F$39*' Energy &amp; Demand Allocations'!E91)</f>
        <v>66808.58848436749</v>
      </c>
      <c r="N39" s="42"/>
      <c r="O39" s="42"/>
      <c r="P39" s="165">
        <f>($F$39*' Energy &amp; Demand Allocations'!F91)</f>
        <v>0</v>
      </c>
      <c r="Q39" s="42"/>
      <c r="R39" s="42"/>
      <c r="S39" s="165">
        <f>($F$39*' Energy &amp; Demand Allocations'!G91)</f>
        <v>66933.24115725774</v>
      </c>
      <c r="T39" s="42"/>
      <c r="U39" s="42"/>
      <c r="V39" s="165">
        <f>($F$39*' Energy &amp; Demand Allocations'!H91)</f>
        <v>11819.340179291343</v>
      </c>
      <c r="W39" s="42"/>
      <c r="X39" s="42"/>
      <c r="Y39" s="165">
        <f>($F$39*' Energy &amp; Demand Allocations'!I91)</f>
        <v>14743.474081132497</v>
      </c>
      <c r="Z39" s="42"/>
      <c r="AA39" s="42"/>
      <c r="AB39" s="165">
        <f>($F$39*' Energy &amp; Demand Allocations'!J91)</f>
        <v>16965.222448369736</v>
      </c>
      <c r="AC39" s="42"/>
      <c r="AD39" s="42"/>
      <c r="AE39" s="165">
        <f>($F$39*' Energy &amp; Demand Allocations'!L91)</f>
        <v>403.72845533065487</v>
      </c>
      <c r="AF39" s="42"/>
      <c r="AG39" s="42"/>
      <c r="AH39" s="165">
        <f>($F$39*' Energy &amp; Demand Allocations'!M91)</f>
        <v>15968.06102673289</v>
      </c>
      <c r="AI39" s="42"/>
      <c r="AJ39" s="42"/>
      <c r="AK39" s="165">
        <f>($F$39*' Energy &amp; Demand Allocations'!N91)</f>
        <v>4667.251112989139</v>
      </c>
      <c r="AL39" s="42"/>
      <c r="AM39" s="42"/>
      <c r="AN39" s="165">
        <f>($F$39*' Energy &amp; Demand Allocations'!O91)</f>
        <v>8481.327333368927</v>
      </c>
      <c r="AO39" s="42"/>
      <c r="AP39" s="42"/>
      <c r="AQ39" s="165">
        <f>($F$39*' Energy &amp; Demand Allocations'!P91)</f>
        <v>317.62498685646364</v>
      </c>
      <c r="AR39" s="42"/>
      <c r="AS39" s="42"/>
      <c r="AT39" s="165">
        <f>($F$39*' Energy &amp; Demand Allocations'!Q91)</f>
        <v>123.63178318219627</v>
      </c>
      <c r="AU39" s="42"/>
      <c r="AV39" s="42"/>
      <c r="AW39" s="168">
        <f t="shared" si="10"/>
        <v>506979.9345496208</v>
      </c>
      <c r="AX39" s="175">
        <f t="shared" si="7"/>
        <v>0</v>
      </c>
      <c r="AY39" s="164" t="s">
        <v>24</v>
      </c>
    </row>
    <row r="40" spans="1:50" ht="12.75">
      <c r="A40" s="50">
        <v>35</v>
      </c>
      <c r="B40" s="42" t="s">
        <v>209</v>
      </c>
      <c r="C40" s="42"/>
      <c r="D40" s="50"/>
      <c r="E40" s="50"/>
      <c r="F40" s="165">
        <f>('Costs&amp;Margins'!P73+'Costs&amp;Margins'!P78)</f>
        <v>200363.60808020696</v>
      </c>
      <c r="G40" s="42"/>
      <c r="H40" s="42"/>
      <c r="I40" s="165">
        <f>(F40*'Consumer Allocations'!$H$40)</f>
        <v>174126.4508161041</v>
      </c>
      <c r="J40" s="42"/>
      <c r="K40" s="42"/>
      <c r="L40" s="165">
        <f>(F40*'Consumer Allocations'!$H$41)</f>
        <v>0</v>
      </c>
      <c r="M40" s="42"/>
      <c r="N40" s="42"/>
      <c r="O40" s="165">
        <f>(F40*'Consumer Allocations'!$H$42)</f>
        <v>17124.7992638523</v>
      </c>
      <c r="P40" s="42"/>
      <c r="Q40" s="42"/>
      <c r="R40" s="165">
        <f>(F40*'Consumer Allocations'!$H$43)</f>
        <v>0</v>
      </c>
      <c r="S40" s="42"/>
      <c r="T40" s="42"/>
      <c r="U40" s="165">
        <f>(F40*'Consumer Allocations'!$H$44)</f>
        <v>4399.695401341423</v>
      </c>
      <c r="V40" s="42"/>
      <c r="W40" s="165"/>
      <c r="X40" s="165">
        <f>(F40*'Consumer Allocations'!$H$45)</f>
        <v>155.67278273584438</v>
      </c>
      <c r="Y40" s="42"/>
      <c r="Z40" s="165"/>
      <c r="AA40" s="165">
        <f>(F40*'Consumer Allocations'!$H$46)</f>
        <v>433.6030906464671</v>
      </c>
      <c r="AB40" s="42"/>
      <c r="AC40" s="165"/>
      <c r="AD40" s="165">
        <f>(F40*'Consumer Allocations'!$H$47)</f>
        <v>389.1819568396109</v>
      </c>
      <c r="AE40" s="42"/>
      <c r="AF40" s="165"/>
      <c r="AG40" s="165">
        <f>(F40*'Consumer Allocations'!$H$48)</f>
        <v>155.67278273584438</v>
      </c>
      <c r="AH40" s="42"/>
      <c r="AI40" s="165"/>
      <c r="AJ40" s="165">
        <f>(F40*'Consumer Allocations'!$H$49)</f>
        <v>2682.741098378917</v>
      </c>
      <c r="AK40" s="42"/>
      <c r="AL40" s="165"/>
      <c r="AM40" s="165">
        <f>(F40*'Consumer Allocations'!$H$50)</f>
        <v>494.7269518262332</v>
      </c>
      <c r="AN40" s="42"/>
      <c r="AO40" s="165"/>
      <c r="AP40" s="165">
        <f>(F40*'Consumer Allocations'!$H$51)</f>
        <v>0</v>
      </c>
      <c r="AQ40" s="42"/>
      <c r="AR40" s="165"/>
      <c r="AS40" s="165">
        <f>(F40*'Consumer Allocations'!$H$52)</f>
        <v>338.08644982775274</v>
      </c>
      <c r="AT40" s="42"/>
      <c r="AU40" s="165"/>
      <c r="AV40" s="165">
        <f>(F40*'Consumer Allocations'!$H$53)</f>
        <v>62.97748591851572</v>
      </c>
      <c r="AW40" s="168">
        <f t="shared" si="10"/>
        <v>200363.60808020705</v>
      </c>
      <c r="AX40" s="175">
        <f t="shared" si="7"/>
        <v>8.731149137020111E-11</v>
      </c>
    </row>
    <row r="41" spans="1:51" ht="12.75">
      <c r="A41" s="50">
        <v>36</v>
      </c>
      <c r="B41" s="42" t="s">
        <v>203</v>
      </c>
      <c r="C41" s="42"/>
      <c r="D41" s="50"/>
      <c r="E41" s="50"/>
      <c r="F41" s="165">
        <f>('Costs&amp;Margins'!O84+'Costs&amp;Margins'!O89)</f>
        <v>479216.30521570926</v>
      </c>
      <c r="G41" s="165">
        <f>($F$41*' Energy &amp; Demand Allocations'!C91)</f>
        <v>283333.386194451</v>
      </c>
      <c r="H41" s="42"/>
      <c r="I41" s="68" t="s">
        <v>24</v>
      </c>
      <c r="J41" s="165">
        <f>($F$41*' Energy &amp; Demand Allocations'!D91)</f>
        <v>0</v>
      </c>
      <c r="K41" s="42"/>
      <c r="L41" s="68" t="s">
        <v>24</v>
      </c>
      <c r="M41" s="165">
        <f>($F$41*' Energy &amp; Demand Allocations'!E91)</f>
        <v>63149.964620585626</v>
      </c>
      <c r="N41" s="42"/>
      <c r="O41" s="42"/>
      <c r="P41" s="165">
        <f>($F$41*' Energy &amp; Demand Allocations'!F91)</f>
        <v>0</v>
      </c>
      <c r="Q41" s="42"/>
      <c r="R41" s="42"/>
      <c r="S41" s="165">
        <f>($F$41*' Energy &amp; Demand Allocations'!G91)</f>
        <v>63267.79096689023</v>
      </c>
      <c r="T41" s="42"/>
      <c r="U41" s="42"/>
      <c r="V41" s="165">
        <f>($F$41*' Energy &amp; Demand Allocations'!H91)</f>
        <v>11172.080283294148</v>
      </c>
      <c r="W41" s="42"/>
      <c r="X41" s="42"/>
      <c r="Y41" s="165">
        <f>($F$41*' Energy &amp; Demand Allocations'!I91)</f>
        <v>13936.080490996968</v>
      </c>
      <c r="Z41" s="42"/>
      <c r="AA41" s="42"/>
      <c r="AB41" s="165">
        <f>($F$41*' Energy &amp; Demand Allocations'!J91)</f>
        <v>16036.159746820565</v>
      </c>
      <c r="AC41" s="42"/>
      <c r="AD41" s="42"/>
      <c r="AE41" s="165">
        <f>($F$41*' Energy &amp; Demand Allocations'!L91)</f>
        <v>381.6191637759299</v>
      </c>
      <c r="AF41" s="42"/>
      <c r="AG41" s="42"/>
      <c r="AH41" s="165">
        <f>($F$41*' Energy &amp; Demand Allocations'!M91)</f>
        <v>15093.605654211437</v>
      </c>
      <c r="AI41" s="42"/>
      <c r="AJ41" s="42"/>
      <c r="AK41" s="165">
        <f>($F$41*' Energy &amp; Demand Allocations'!N91)</f>
        <v>4411.659478924904</v>
      </c>
      <c r="AL41" s="42"/>
      <c r="AM41" s="42"/>
      <c r="AN41" s="165">
        <f>($F$41*' Energy &amp; Demand Allocations'!O91)</f>
        <v>8016.866292021383</v>
      </c>
      <c r="AO41" s="42"/>
      <c r="AP41" s="165">
        <f>(F41*'Consumer Allocations'!$H$51)</f>
        <v>0</v>
      </c>
      <c r="AQ41" s="165">
        <f>($F$41*' Energy &amp; Demand Allocations'!P91)</f>
        <v>300.23096038457714</v>
      </c>
      <c r="AR41" s="42"/>
      <c r="AS41" s="42"/>
      <c r="AT41" s="165">
        <f>($F$41*' Energy &amp; Demand Allocations'!Q91)</f>
        <v>116.86136335244449</v>
      </c>
      <c r="AU41" s="42"/>
      <c r="AV41" s="42"/>
      <c r="AW41" s="168">
        <f t="shared" si="10"/>
        <v>479216.3052157092</v>
      </c>
      <c r="AX41" s="175">
        <f t="shared" si="7"/>
        <v>-5.820766091346741E-11</v>
      </c>
      <c r="AY41" s="164" t="s">
        <v>24</v>
      </c>
    </row>
    <row r="42" spans="1:50" ht="12.75">
      <c r="A42" s="50">
        <v>37</v>
      </c>
      <c r="B42" s="42" t="s">
        <v>204</v>
      </c>
      <c r="C42" s="42"/>
      <c r="D42" s="50"/>
      <c r="E42" s="50"/>
      <c r="F42" s="170">
        <f>('Costs&amp;Margins'!P84+'Costs&amp;Margins'!P89)</f>
        <v>189391.14039924092</v>
      </c>
      <c r="G42" s="169"/>
      <c r="H42" s="169"/>
      <c r="I42" s="170">
        <f>(F42*'Consumer Allocations'!$H$40)</f>
        <v>164590.80273965202</v>
      </c>
      <c r="J42" s="169"/>
      <c r="K42" s="169"/>
      <c r="L42" s="170">
        <f>(F42*'Consumer Allocations'!$H$41)</f>
        <v>0</v>
      </c>
      <c r="M42" s="169"/>
      <c r="N42" s="169"/>
      <c r="O42" s="170">
        <f>(F42*'Consumer Allocations'!$H$42)</f>
        <v>16186.997692668614</v>
      </c>
      <c r="P42" s="169"/>
      <c r="Q42" s="169"/>
      <c r="R42" s="170">
        <f>($F$42*'Consumer Allocations'!$H$43)</f>
        <v>0</v>
      </c>
      <c r="S42" s="169"/>
      <c r="T42" s="169"/>
      <c r="U42" s="170">
        <f>(F42*'Consumer Allocations'!$H$44)</f>
        <v>4158.755861173087</v>
      </c>
      <c r="V42" s="170"/>
      <c r="W42" s="170"/>
      <c r="X42" s="170">
        <f>(F42*'Consumer Allocations'!$H$45)</f>
        <v>147.14770877784633</v>
      </c>
      <c r="Y42" s="170"/>
      <c r="Z42" s="170"/>
      <c r="AA42" s="170">
        <f>(F42*'Consumer Allocations'!$H$46)</f>
        <v>409.857781086156</v>
      </c>
      <c r="AB42" s="169"/>
      <c r="AC42" s="170"/>
      <c r="AD42" s="170">
        <f>(F42*'Consumer Allocations'!$H$47)</f>
        <v>367.8692719446158</v>
      </c>
      <c r="AE42" s="169"/>
      <c r="AF42" s="170"/>
      <c r="AG42" s="170">
        <f>(F42*'Consumer Allocations'!$H$48)</f>
        <v>147.14770877784633</v>
      </c>
      <c r="AH42" s="169"/>
      <c r="AI42" s="170"/>
      <c r="AJ42" s="170">
        <f>(F42*'Consumer Allocations'!$H$49)</f>
        <v>2535.8267446177365</v>
      </c>
      <c r="AK42" s="169"/>
      <c r="AL42" s="170"/>
      <c r="AM42" s="170">
        <f>(F42*'Consumer Allocations'!$H$50)</f>
        <v>467.6343298584596</v>
      </c>
      <c r="AN42" s="169"/>
      <c r="AO42" s="170"/>
      <c r="AP42" s="170">
        <f>(F42*'Consumer Allocations'!$H$51)</f>
        <v>0</v>
      </c>
      <c r="AQ42" s="169"/>
      <c r="AR42" s="170"/>
      <c r="AS42" s="170">
        <f>(F42*'Consumer Allocations'!$H$52)</f>
        <v>319.57189681260354</v>
      </c>
      <c r="AT42" s="169"/>
      <c r="AU42" s="170"/>
      <c r="AV42" s="170">
        <f>(F42*'Consumer Allocations'!$H$53)</f>
        <v>59.52866387198525</v>
      </c>
      <c r="AW42" s="168">
        <f t="shared" si="10"/>
        <v>189391.14039924098</v>
      </c>
      <c r="AX42" s="175">
        <f t="shared" si="7"/>
        <v>5.820766091346741E-11</v>
      </c>
    </row>
    <row r="43" spans="1:50" ht="12.75">
      <c r="A43" s="50">
        <v>38</v>
      </c>
      <c r="B43" s="42" t="s">
        <v>24</v>
      </c>
      <c r="C43" s="42"/>
      <c r="D43" s="50"/>
      <c r="E43" s="50"/>
      <c r="F43" s="165"/>
      <c r="G43" s="42"/>
      <c r="H43" s="42"/>
      <c r="I43" s="42"/>
      <c r="J43" s="42"/>
      <c r="K43" s="42"/>
      <c r="L43" s="68" t="s">
        <v>24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168">
        <f t="shared" si="10"/>
        <v>0</v>
      </c>
      <c r="AX43" s="175">
        <f t="shared" si="7"/>
        <v>0</v>
      </c>
    </row>
    <row r="44" spans="1:51" ht="12.75">
      <c r="A44" s="50">
        <v>39</v>
      </c>
      <c r="B44" s="212" t="s">
        <v>251</v>
      </c>
      <c r="C44" s="42"/>
      <c r="D44" s="50"/>
      <c r="E44" s="50"/>
      <c r="F44" s="165">
        <f aca="true" t="shared" si="11" ref="F44:AD44">SUM(F35:F42)</f>
        <v>1681692.2123673772</v>
      </c>
      <c r="G44" s="165">
        <f t="shared" si="11"/>
        <v>712644.6948682211</v>
      </c>
      <c r="H44" s="165">
        <f t="shared" si="11"/>
        <v>0</v>
      </c>
      <c r="I44" s="165">
        <f t="shared" si="11"/>
        <v>413981.4371046827</v>
      </c>
      <c r="J44" s="165">
        <f t="shared" si="11"/>
        <v>0</v>
      </c>
      <c r="K44" s="165">
        <f t="shared" si="11"/>
        <v>0</v>
      </c>
      <c r="L44" s="165">
        <f t="shared" si="11"/>
        <v>0</v>
      </c>
      <c r="M44" s="165">
        <f t="shared" si="11"/>
        <v>158835.80778260424</v>
      </c>
      <c r="N44" s="165">
        <f t="shared" si="11"/>
        <v>0</v>
      </c>
      <c r="O44" s="165">
        <f t="shared" si="11"/>
        <v>40713.797221226814</v>
      </c>
      <c r="P44" s="165">
        <f t="shared" si="11"/>
        <v>0</v>
      </c>
      <c r="Q44" s="165">
        <f t="shared" si="11"/>
        <v>0</v>
      </c>
      <c r="R44" s="165">
        <f t="shared" si="11"/>
        <v>0</v>
      </c>
      <c r="S44" s="165">
        <f t="shared" si="11"/>
        <v>159132.16650593543</v>
      </c>
      <c r="T44" s="165">
        <f t="shared" si="11"/>
        <v>0</v>
      </c>
      <c r="U44" s="165">
        <f t="shared" si="11"/>
        <v>10460.169701579503</v>
      </c>
      <c r="V44" s="165">
        <f t="shared" si="11"/>
        <v>28100.1962086717</v>
      </c>
      <c r="W44" s="165">
        <f t="shared" si="11"/>
        <v>0</v>
      </c>
      <c r="X44" s="165">
        <f t="shared" si="11"/>
        <v>370.10828632308875</v>
      </c>
      <c r="Y44" s="165">
        <f t="shared" si="11"/>
        <v>35052.25403387356</v>
      </c>
      <c r="Z44" s="165">
        <f t="shared" si="11"/>
        <v>0</v>
      </c>
      <c r="AA44" s="165">
        <f t="shared" si="11"/>
        <v>1030.8808900517429</v>
      </c>
      <c r="AB44" s="165">
        <f>SUM(AB35:AB41)</f>
        <v>40334.40719120875</v>
      </c>
      <c r="AC44" s="165">
        <f t="shared" si="11"/>
        <v>0</v>
      </c>
      <c r="AD44" s="165">
        <f t="shared" si="11"/>
        <v>925.2707158077218</v>
      </c>
      <c r="AE44" s="165">
        <f>SUM(AE35:AE41)</f>
        <v>959.8546651269629</v>
      </c>
      <c r="AF44" s="165"/>
      <c r="AG44" s="165">
        <f>SUM(AG35:AG42)</f>
        <v>370.10828632308875</v>
      </c>
      <c r="AH44" s="165">
        <f>SUM(AH35:AH41)</f>
        <v>37963.67996154428</v>
      </c>
      <c r="AI44" s="165"/>
      <c r="AJ44" s="165">
        <f>SUM(AJ35:AJ42)</f>
        <v>6378.152257060674</v>
      </c>
      <c r="AK44" s="165">
        <f>SUM(AK35:AK41)</f>
        <v>11096.276952915287</v>
      </c>
      <c r="AL44" s="165"/>
      <c r="AM44" s="165">
        <f>SUM(AM35:AM42)</f>
        <v>1176.2013957761174</v>
      </c>
      <c r="AN44" s="165">
        <f>SUM(AN35:AN41)</f>
        <v>20164.151176155305</v>
      </c>
      <c r="AO44" s="165"/>
      <c r="AP44" s="165">
        <f>SUM(AP35:AP42)</f>
        <v>0</v>
      </c>
      <c r="AQ44" s="165">
        <f>SUM(AQ35:AQ41)</f>
        <v>755.1457455367477</v>
      </c>
      <c r="AR44" s="165"/>
      <c r="AS44" s="165">
        <f>SUM(AS35:AS42)</f>
        <v>803.7923802462808</v>
      </c>
      <c r="AT44" s="165">
        <f>SUM(AT35:AT41)</f>
        <v>293.9315826728299</v>
      </c>
      <c r="AU44" s="165"/>
      <c r="AV44" s="165">
        <f>SUM(AV35:AV42)</f>
        <v>149.72745383365861</v>
      </c>
      <c r="AW44" s="168">
        <f>SUM(G44:AV44)</f>
        <v>1681692.2123673777</v>
      </c>
      <c r="AX44" s="175">
        <f t="shared" si="7"/>
        <v>4.656612873077393E-10</v>
      </c>
      <c r="AY44" s="164" t="s">
        <v>245</v>
      </c>
    </row>
    <row r="45" spans="1:49" ht="12.75">
      <c r="A45" s="50">
        <v>40</v>
      </c>
      <c r="B45" s="42" t="s">
        <v>24</v>
      </c>
      <c r="C45" s="42"/>
      <c r="D45" s="50"/>
      <c r="E45" s="50"/>
      <c r="F45" s="165"/>
      <c r="G45" s="42"/>
      <c r="H45" s="42"/>
      <c r="I45" s="42"/>
      <c r="J45" s="42"/>
      <c r="K45" s="42"/>
      <c r="L45" s="68" t="s">
        <v>24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</row>
    <row r="46" spans="1:49" ht="12.75">
      <c r="A46" s="50"/>
      <c r="B46" s="42"/>
      <c r="C46" s="42"/>
      <c r="D46" s="50"/>
      <c r="E46" s="50"/>
      <c r="F46" s="165"/>
      <c r="G46" s="42"/>
      <c r="H46" s="42"/>
      <c r="I46" s="42"/>
      <c r="J46" s="42"/>
      <c r="K46" s="42"/>
      <c r="L46" s="68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1:51" ht="12.75">
      <c r="A47" s="50">
        <v>41</v>
      </c>
      <c r="B47" s="42" t="s">
        <v>205</v>
      </c>
      <c r="C47" s="42"/>
      <c r="D47" s="50"/>
      <c r="E47" s="50"/>
      <c r="F47" s="165">
        <f>('Costs&amp;Margins'!O93)</f>
        <v>475177.84318857436</v>
      </c>
      <c r="G47" s="165">
        <f>($F$47*' Energy &amp; Demand Allocations'!C91)</f>
        <v>280945.67294531444</v>
      </c>
      <c r="H47" s="42"/>
      <c r="I47" s="42"/>
      <c r="J47" s="165">
        <f>($F$47*' Energy &amp; Demand Allocations'!D91)</f>
        <v>0</v>
      </c>
      <c r="K47" s="42"/>
      <c r="L47" s="68" t="s">
        <v>24</v>
      </c>
      <c r="M47" s="165">
        <f>($F$47*' Energy &amp; Demand Allocations'!E91)</f>
        <v>62617.78587090733</v>
      </c>
      <c r="N47" s="42"/>
      <c r="O47" s="42"/>
      <c r="P47" s="165">
        <f>($F$47*' Energy &amp; Demand Allocations'!F91)</f>
        <v>0</v>
      </c>
      <c r="Q47" s="42"/>
      <c r="R47" s="42"/>
      <c r="S47" s="165">
        <f>($F$47*' Energy &amp; Demand Allocations'!G91)</f>
        <v>62734.61926847424</v>
      </c>
      <c r="T47" s="42"/>
      <c r="U47" s="42"/>
      <c r="V47" s="165">
        <f>($F$47*' Energy &amp; Demand Allocations'!H91)</f>
        <v>11077.930686343609</v>
      </c>
      <c r="W47" s="42"/>
      <c r="X47" s="42"/>
      <c r="Y47" s="165">
        <f>($F$47*' Energy &amp; Demand Allocations'!I91)</f>
        <v>13818.638051627853</v>
      </c>
      <c r="Z47" s="42"/>
      <c r="AA47" s="42"/>
      <c r="AB47" s="165">
        <f>($F$47*' Energy &amp; Demand Allocations'!J91)</f>
        <v>15901.019474059076</v>
      </c>
      <c r="AC47" s="42"/>
      <c r="AD47" s="42"/>
      <c r="AE47" s="165">
        <f>($F$47*' Energy &amp; Demand Allocations'!L91)</f>
        <v>378.4031744930895</v>
      </c>
      <c r="AF47" s="42"/>
      <c r="AG47" s="42"/>
      <c r="AH47" s="165">
        <f>($F$47*' Energy &amp; Demand Allocations'!M91)</f>
        <v>14966.408493714896</v>
      </c>
      <c r="AI47" s="42"/>
      <c r="AJ47" s="42"/>
      <c r="AK47" s="165">
        <f>($F$47*' Energy &amp; Demand Allocations'!N91)</f>
        <v>4374.481446607601</v>
      </c>
      <c r="AL47" s="42"/>
      <c r="AM47" s="42"/>
      <c r="AN47" s="165">
        <f>($F$47*' Energy &amp; Demand Allocations'!O91)</f>
        <v>7949.306382760004</v>
      </c>
      <c r="AO47" s="42"/>
      <c r="AP47" s="42"/>
      <c r="AQ47" s="165">
        <f>($F$47*' Energy &amp; Demand Allocations'!P91)</f>
        <v>297.7008475322242</v>
      </c>
      <c r="AR47" s="42"/>
      <c r="AS47" s="42"/>
      <c r="AT47" s="165">
        <f>($F$47*' Energy &amp; Demand Allocations'!Q91)</f>
        <v>115.87654673998465</v>
      </c>
      <c r="AU47" s="42"/>
      <c r="AV47" s="42"/>
      <c r="AW47" s="168">
        <f>SUM(G47:AV47)</f>
        <v>475177.8431885744</v>
      </c>
      <c r="AX47" s="175">
        <f t="shared" si="7"/>
        <v>5.820766091346741E-11</v>
      </c>
      <c r="AY47" s="164" t="s">
        <v>24</v>
      </c>
    </row>
    <row r="48" spans="1:50" ht="12.75">
      <c r="A48" s="50">
        <v>42</v>
      </c>
      <c r="B48" s="42" t="s">
        <v>206</v>
      </c>
      <c r="C48" s="42"/>
      <c r="D48" s="50"/>
      <c r="E48" s="50"/>
      <c r="F48" s="165">
        <f>('Costs&amp;Margins'!P93)</f>
        <v>187795.09927865796</v>
      </c>
      <c r="G48" s="42"/>
      <c r="H48" s="42"/>
      <c r="I48" s="165">
        <f>(F48*'Consumer Allocations'!$H$40)</f>
        <v>163203.75956176905</v>
      </c>
      <c r="J48" s="42"/>
      <c r="K48" s="42"/>
      <c r="L48" s="165">
        <f>(F48*'Consumer Allocations'!$H$41)</f>
        <v>0</v>
      </c>
      <c r="M48" s="42"/>
      <c r="N48" s="42"/>
      <c r="O48" s="165">
        <f>(F48*'Consumer Allocations'!$H$42)</f>
        <v>16050.586275102725</v>
      </c>
      <c r="P48" s="42"/>
      <c r="Q48" s="42"/>
      <c r="R48" s="165">
        <f>($F$48*'Consumer Allocations'!$H$43)</f>
        <v>0</v>
      </c>
      <c r="S48" s="42"/>
      <c r="T48" s="42"/>
      <c r="U48" s="165">
        <f>(F48*'Consumer Allocations'!$H$44)</f>
        <v>4123.709103701193</v>
      </c>
      <c r="V48" s="42"/>
      <c r="W48" s="42"/>
      <c r="X48" s="165">
        <f>(F48*'Consumer Allocations'!$H$45)</f>
        <v>145.90766241921554</v>
      </c>
      <c r="Y48" s="42"/>
      <c r="Z48" s="42"/>
      <c r="AA48" s="165">
        <f>(F48*'Consumer Allocations'!$H$46)</f>
        <v>406.4038187158707</v>
      </c>
      <c r="AB48" s="42"/>
      <c r="AC48" s="42"/>
      <c r="AD48" s="165">
        <f>($F$48*'Consumer Allocations'!$H$47)</f>
        <v>364.76915604803884</v>
      </c>
      <c r="AE48" s="165"/>
      <c r="AF48" s="165"/>
      <c r="AG48" s="165">
        <f>($F$48*'Consumer Allocations'!$H$48)</f>
        <v>145.90766241921554</v>
      </c>
      <c r="AH48" s="165"/>
      <c r="AI48" s="165"/>
      <c r="AJ48" s="165">
        <f>($F$48*'Consumer Allocations'!$H$49)</f>
        <v>2514.4567705495083</v>
      </c>
      <c r="AK48" s="165"/>
      <c r="AL48" s="165"/>
      <c r="AM48" s="165">
        <f>($F$48*'Consumer Allocations'!$H$50)</f>
        <v>463.6934717049208</v>
      </c>
      <c r="AN48" s="165"/>
      <c r="AO48" s="165"/>
      <c r="AP48" s="165">
        <f>($F$48*'Consumer Allocations'!$H$51)</f>
        <v>0</v>
      </c>
      <c r="AQ48" s="165"/>
      <c r="AR48" s="165"/>
      <c r="AS48" s="165">
        <f>($F$48*'Consumer Allocations'!$H$52)</f>
        <v>316.87879360185985</v>
      </c>
      <c r="AT48" s="165"/>
      <c r="AU48" s="165"/>
      <c r="AV48" s="165">
        <f>($F$48*'Consumer Allocations'!$H$53)</f>
        <v>59.02700262641291</v>
      </c>
      <c r="AW48" s="168">
        <f>SUM(G48:AV48)</f>
        <v>187795.09927865802</v>
      </c>
      <c r="AX48" s="175">
        <f t="shared" si="7"/>
        <v>5.820766091346741E-11</v>
      </c>
    </row>
    <row r="49" spans="1:50" ht="12.75">
      <c r="A49" s="50">
        <v>43</v>
      </c>
      <c r="B49" s="42"/>
      <c r="C49" s="42"/>
      <c r="D49" s="50"/>
      <c r="E49" s="50"/>
      <c r="F49" s="16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165">
        <f>($F$50*' Energy &amp; Demand Allocations'!S90)</f>
        <v>0</v>
      </c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168" t="s">
        <v>24</v>
      </c>
      <c r="AX49" s="175" t="s">
        <v>24</v>
      </c>
    </row>
    <row r="50" spans="1:51" ht="12.75">
      <c r="A50" s="50">
        <v>44</v>
      </c>
      <c r="B50" s="42" t="s">
        <v>210</v>
      </c>
      <c r="C50" s="42"/>
      <c r="D50" s="50"/>
      <c r="E50" s="50"/>
      <c r="F50" s="165">
        <f>('Costs&amp;Margins'!O114+'Costs&amp;Margins'!O107)</f>
        <v>266232.0712171332</v>
      </c>
      <c r="G50" s="165">
        <f>($F$50*' Energy &amp; Demand Allocations'!C91)</f>
        <v>157407.90417712988</v>
      </c>
      <c r="H50" s="42"/>
      <c r="I50" s="42"/>
      <c r="J50" s="165">
        <f>($F$50*' Energy &amp; Demand Allocations'!D91)</f>
        <v>0</v>
      </c>
      <c r="K50" s="42"/>
      <c r="L50" s="42"/>
      <c r="M50" s="165">
        <f>($F$50*' Energy &amp; Demand Allocations'!E91)</f>
        <v>35083.41785377978</v>
      </c>
      <c r="N50" s="42"/>
      <c r="O50" s="42"/>
      <c r="P50" s="165">
        <f>($F$50*' Energy &amp; Demand Allocations'!F91)</f>
        <v>0</v>
      </c>
      <c r="Q50" s="42"/>
      <c r="R50" s="42"/>
      <c r="S50" s="165">
        <f>($F$50*' Energy &amp; Demand Allocations'!G91)</f>
        <v>35148.87712943298</v>
      </c>
      <c r="T50" s="42"/>
      <c r="U50" s="42"/>
      <c r="V50" s="165">
        <f>($F$50*' Energy &amp; Demand Allocations'!H91)</f>
        <v>6206.7296985787</v>
      </c>
      <c r="W50" s="42"/>
      <c r="X50" s="42"/>
      <c r="Y50" s="165">
        <f>($F$50*' Energy &amp; Demand Allocations'!I91)</f>
        <v>7742.289929172426</v>
      </c>
      <c r="Z50" s="42"/>
      <c r="AA50" s="42"/>
      <c r="AB50" s="165">
        <f>($F$50*' Energy &amp; Demand Allocations'!J91)</f>
        <v>8909.004091259172</v>
      </c>
      <c r="AC50" s="42"/>
      <c r="AD50" s="42"/>
      <c r="AE50" s="165">
        <f>($F$50*' Energy &amp; Demand Allocations'!L91)</f>
        <v>212.01127608227642</v>
      </c>
      <c r="AF50" s="42"/>
      <c r="AG50" s="42"/>
      <c r="AH50" s="165">
        <f>($F$50*' Energy &amp; Demand Allocations'!M91)</f>
        <v>8385.361373809148</v>
      </c>
      <c r="AI50" s="42"/>
      <c r="AJ50" s="42"/>
      <c r="AK50" s="165">
        <f>($F$50*' Energy &amp; Demand Allocations'!N91)</f>
        <v>2450.929210453696</v>
      </c>
      <c r="AL50" s="42"/>
      <c r="AM50" s="42"/>
      <c r="AN50" s="165">
        <f>($F$50*' Energy &amp; Demand Allocations'!O91)</f>
        <v>4453.827831744872</v>
      </c>
      <c r="AO50" s="42"/>
      <c r="AP50" s="42"/>
      <c r="AQ50" s="165">
        <f>($F$50*' Energy &amp; Demand Allocations'!P91)</f>
        <v>166.7954732690402</v>
      </c>
      <c r="AR50" s="42"/>
      <c r="AS50" s="42"/>
      <c r="AT50" s="165">
        <f>($F$50*' Energy &amp; Demand Allocations'!Q91)</f>
        <v>64.92317242121958</v>
      </c>
      <c r="AU50" s="42"/>
      <c r="AV50" s="42"/>
      <c r="AW50" s="168">
        <f>SUM(G50:AV50)</f>
        <v>266232.0712171332</v>
      </c>
      <c r="AX50" s="175">
        <f t="shared" si="7"/>
        <v>0</v>
      </c>
      <c r="AY50" s="164" t="s">
        <v>24</v>
      </c>
    </row>
    <row r="51" spans="1:50" ht="12.75">
      <c r="A51" s="50">
        <v>45</v>
      </c>
      <c r="B51" s="42" t="s">
        <v>211</v>
      </c>
      <c r="C51" s="42"/>
      <c r="D51" s="50"/>
      <c r="E51" s="50"/>
      <c r="F51" s="170">
        <f>('Costs&amp;Margins'!P114+'Costs&amp;Margins'!P107)</f>
        <v>105217.6126519075</v>
      </c>
      <c r="G51" s="169"/>
      <c r="H51" s="169"/>
      <c r="I51" s="170">
        <f>(F51*'Consumer Allocations'!$H$40)</f>
        <v>91439.60637345965</v>
      </c>
      <c r="J51" s="169"/>
      <c r="K51" s="169"/>
      <c r="L51" s="170">
        <f>(F51*'Consumer Allocations'!$H$41)</f>
        <v>0</v>
      </c>
      <c r="M51" s="169"/>
      <c r="N51" s="169"/>
      <c r="O51" s="170">
        <f>(F51*'Consumer Allocations'!$H$42)</f>
        <v>8992.803198894266</v>
      </c>
      <c r="P51" s="169"/>
      <c r="Q51" s="169"/>
      <c r="R51" s="170">
        <f>($F$51*'Consumer Allocations'!$H$43)</f>
        <v>0</v>
      </c>
      <c r="S51" s="169"/>
      <c r="T51" s="169"/>
      <c r="U51" s="170">
        <f>(F51*'Consumer Allocations'!$H$44)</f>
        <v>2310.426783387771</v>
      </c>
      <c r="V51" s="169"/>
      <c r="W51" s="169"/>
      <c r="X51" s="170">
        <f>(F51*'Consumer Allocations'!$H$45)</f>
        <v>81.74896984180776</v>
      </c>
      <c r="Y51" s="169"/>
      <c r="Z51" s="169"/>
      <c r="AA51" s="170">
        <f>(F51*'Consumer Allocations'!$H$46)</f>
        <v>227.6994433941658</v>
      </c>
      <c r="AB51" s="169"/>
      <c r="AC51" s="169"/>
      <c r="AD51" s="170">
        <f>($F$51*'Consumer Allocations'!$H$47)</f>
        <v>204.37242460451938</v>
      </c>
      <c r="AE51" s="170"/>
      <c r="AF51" s="170"/>
      <c r="AG51" s="170">
        <f>($F$51*'Consumer Allocations'!$H$48)</f>
        <v>81.74896984180776</v>
      </c>
      <c r="AH51" s="170"/>
      <c r="AI51" s="170"/>
      <c r="AJ51" s="170">
        <f>($F$51*'Consumer Allocations'!$H$49)</f>
        <v>1408.796819138885</v>
      </c>
      <c r="AK51" s="170"/>
      <c r="AL51" s="170"/>
      <c r="AM51" s="170">
        <f>($F$51*'Consumer Allocations'!$H$50)</f>
        <v>259.7976213568381</v>
      </c>
      <c r="AN51" s="170"/>
      <c r="AO51" s="170"/>
      <c r="AP51" s="170">
        <f>($F$51*'Consumer Allocations'!$H$51)</f>
        <v>0</v>
      </c>
      <c r="AQ51" s="170"/>
      <c r="AR51" s="170"/>
      <c r="AS51" s="170">
        <f>($F$51*'Consumer Allocations'!$H$52)</f>
        <v>177.5404698571562</v>
      </c>
      <c r="AT51" s="170"/>
      <c r="AU51" s="170"/>
      <c r="AV51" s="170">
        <f>($F$51*'Consumer Allocations'!$H$53)</f>
        <v>33.07157813065921</v>
      </c>
      <c r="AW51" s="168">
        <f>SUM(G51:AV51)</f>
        <v>105217.61265190752</v>
      </c>
      <c r="AX51" s="175">
        <f t="shared" si="7"/>
        <v>1.4551915228366852E-11</v>
      </c>
    </row>
    <row r="52" spans="1:50" ht="12.75">
      <c r="A52" s="50">
        <v>46</v>
      </c>
      <c r="B52" s="42"/>
      <c r="C52" s="42"/>
      <c r="D52" s="50"/>
      <c r="E52" s="50"/>
      <c r="F52" s="16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168">
        <f>SUM(G52:AV52)</f>
        <v>0</v>
      </c>
      <c r="AX52" s="175">
        <f t="shared" si="7"/>
        <v>0</v>
      </c>
    </row>
    <row r="53" spans="1:51" ht="13.5" thickBot="1">
      <c r="A53" s="50">
        <v>47</v>
      </c>
      <c r="B53" s="173" t="s">
        <v>307</v>
      </c>
      <c r="C53" s="42"/>
      <c r="D53" s="50"/>
      <c r="E53" s="50"/>
      <c r="F53" s="186">
        <f>SUM(F44,F47,F48)-SUM(F50,F51)</f>
        <v>1973215.4709655694</v>
      </c>
      <c r="G53" s="186">
        <f>SUM(G44,G47,G48)-SUM(G50,G51)</f>
        <v>836182.4636364056</v>
      </c>
      <c r="H53" s="186">
        <f aca="true" t="shared" si="12" ref="H53:AC53">SUM(H44,H47,H48)-SUM(H50,H51)</f>
        <v>0</v>
      </c>
      <c r="I53" s="186">
        <f t="shared" si="12"/>
        <v>485745.59029299207</v>
      </c>
      <c r="J53" s="186">
        <f t="shared" si="12"/>
        <v>0</v>
      </c>
      <c r="K53" s="186">
        <f t="shared" si="12"/>
        <v>0</v>
      </c>
      <c r="L53" s="186">
        <f t="shared" si="12"/>
        <v>0</v>
      </c>
      <c r="M53" s="186">
        <f t="shared" si="12"/>
        <v>186370.1757997318</v>
      </c>
      <c r="N53" s="186">
        <f t="shared" si="12"/>
        <v>0</v>
      </c>
      <c r="O53" s="186">
        <f t="shared" si="12"/>
        <v>47771.58029743527</v>
      </c>
      <c r="P53" s="186">
        <f t="shared" si="12"/>
        <v>0</v>
      </c>
      <c r="Q53" s="186">
        <f t="shared" si="12"/>
        <v>0</v>
      </c>
      <c r="R53" s="186">
        <f t="shared" si="12"/>
        <v>0</v>
      </c>
      <c r="S53" s="186">
        <f t="shared" si="12"/>
        <v>186717.90864497668</v>
      </c>
      <c r="T53" s="186">
        <f t="shared" si="12"/>
        <v>0</v>
      </c>
      <c r="U53" s="186">
        <f t="shared" si="12"/>
        <v>12273.452021892925</v>
      </c>
      <c r="V53" s="186">
        <f t="shared" si="12"/>
        <v>32971.39719643661</v>
      </c>
      <c r="W53" s="186">
        <f t="shared" si="12"/>
        <v>0</v>
      </c>
      <c r="X53" s="186">
        <f t="shared" si="12"/>
        <v>434.26697890049655</v>
      </c>
      <c r="Y53" s="186">
        <f t="shared" si="12"/>
        <v>41128.60215632899</v>
      </c>
      <c r="Z53" s="186">
        <f t="shared" si="12"/>
        <v>0</v>
      </c>
      <c r="AA53" s="186">
        <f>SUM(AA44,AA47,AA48)-SUM(AA50,AA51)</f>
        <v>1209.5852653734478</v>
      </c>
      <c r="AB53" s="186">
        <f>SUM(AB44,AB47,AB48)-SUM(AB50,AB51)</f>
        <v>47326.422574008655</v>
      </c>
      <c r="AC53" s="186">
        <f t="shared" si="12"/>
        <v>0</v>
      </c>
      <c r="AD53" s="186">
        <f>SUM(AD44,AD47,AD48)-SUM(AD50,AD51)</f>
        <v>1085.6674472512411</v>
      </c>
      <c r="AE53" s="186">
        <f>SUM(AE44,AE47,AE48)-SUM(AE50,AE51)</f>
        <v>1126.246563537776</v>
      </c>
      <c r="AF53" s="186"/>
      <c r="AG53" s="186">
        <f>SUM(AG44,AG47,AG48)-SUM(AG50,AG51)</f>
        <v>434.26697890049655</v>
      </c>
      <c r="AH53" s="186">
        <f>SUM(AH44,AH47,AH48)-SUM(AH50,AH51)</f>
        <v>44544.72708145002</v>
      </c>
      <c r="AI53" s="186"/>
      <c r="AJ53" s="186">
        <f>SUM(AJ44,AJ47,AJ48)-SUM(AJ50,AJ51)</f>
        <v>7483.812208471298</v>
      </c>
      <c r="AK53" s="186">
        <f>SUM(AK44,AK47,AK48)-SUM(AK50,AK51)</f>
        <v>13019.829189069193</v>
      </c>
      <c r="AL53" s="186"/>
      <c r="AM53" s="186">
        <f>SUM(AM44,AM47,AM48)-SUM(AM50,AM51)</f>
        <v>1380.0972461242</v>
      </c>
      <c r="AN53" s="186">
        <f>SUM(AN44,AN47,AN48)-SUM(AN50,AN51)</f>
        <v>23659.62972717044</v>
      </c>
      <c r="AO53" s="186"/>
      <c r="AP53" s="186">
        <f>SUM(AP44,AP47,AP48)-SUM(AP50,AP51)</f>
        <v>0</v>
      </c>
      <c r="AQ53" s="186">
        <f>SUM(AQ44,AQ47,AQ48)-SUM(AQ50,AQ51)</f>
        <v>886.0511197999315</v>
      </c>
      <c r="AR53" s="186"/>
      <c r="AS53" s="186">
        <f>SUM(AS44,AS47,AS48)-SUM(AS50,AS51)</f>
        <v>943.1307039909843</v>
      </c>
      <c r="AT53" s="186">
        <f>SUM(AT44,AT47,AT48)-SUM(AT50,AT51)</f>
        <v>344.88495699159495</v>
      </c>
      <c r="AU53" s="186"/>
      <c r="AV53" s="186">
        <f>SUM(AV44,AV47,AV48)-SUM(AV50,AV51)</f>
        <v>175.68287832941232</v>
      </c>
      <c r="AW53" s="168">
        <f>SUM(G53:AV53)</f>
        <v>1973215.4709655687</v>
      </c>
      <c r="AX53" s="175">
        <f t="shared" si="7"/>
        <v>-6.984919309616089E-10</v>
      </c>
      <c r="AY53" s="164" t="s">
        <v>245</v>
      </c>
    </row>
    <row r="54" spans="1:49" ht="12.75">
      <c r="A54" s="50">
        <v>48</v>
      </c>
      <c r="B54" s="212"/>
      <c r="C54" s="42"/>
      <c r="D54" s="50"/>
      <c r="E54" s="50"/>
      <c r="F54" s="165"/>
      <c r="G54" s="165"/>
      <c r="H54" s="165"/>
      <c r="I54" s="165"/>
      <c r="J54" s="165"/>
      <c r="K54" s="165"/>
      <c r="L54" s="68" t="s">
        <v>24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8"/>
    </row>
    <row r="55" spans="1:49" ht="12.75">
      <c r="A55" s="50">
        <v>49</v>
      </c>
      <c r="B55" s="204" t="s">
        <v>13</v>
      </c>
      <c r="C55" s="42"/>
      <c r="D55" s="50"/>
      <c r="E55" s="50"/>
      <c r="F55" s="16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</row>
    <row r="56" spans="1:50" ht="12.75">
      <c r="A56" s="50">
        <v>50</v>
      </c>
      <c r="B56" s="42" t="s">
        <v>207</v>
      </c>
      <c r="C56" s="42"/>
      <c r="D56" s="50"/>
      <c r="E56" s="50"/>
      <c r="F56" s="165">
        <f>('Costs&amp;Margins'!Q25+'Costs&amp;Margins'!Q37)</f>
        <v>844901.288441282</v>
      </c>
      <c r="G56" s="42"/>
      <c r="H56" s="42"/>
      <c r="I56" s="165">
        <f>($F$56*'Consumer Allocations'!$H$64)</f>
        <v>775207.5260523375</v>
      </c>
      <c r="J56" s="42"/>
      <c r="K56" s="42"/>
      <c r="L56" s="165">
        <f>(F56*'Consumer Allocations'!$H$65)</f>
        <v>0</v>
      </c>
      <c r="M56" s="42"/>
      <c r="N56" s="42"/>
      <c r="O56" s="165">
        <f>(F56*'Consumer Allocations'!$H$66)</f>
        <v>50201.05882298492</v>
      </c>
      <c r="P56" s="42"/>
      <c r="Q56" s="42"/>
      <c r="R56" s="165">
        <f>($F$56*'Consumer Allocations'!$H$67)</f>
        <v>0</v>
      </c>
      <c r="S56" s="42"/>
      <c r="T56" s="42"/>
      <c r="U56" s="165">
        <f>(F56*'Consumer Allocations'!$H$68)</f>
        <v>11638.847274820539</v>
      </c>
      <c r="V56" s="165"/>
      <c r="W56" s="165"/>
      <c r="X56" s="165">
        <f>($F$56*'Consumer Allocations'!$H$69)</f>
        <v>0</v>
      </c>
      <c r="Y56" s="165"/>
      <c r="Z56" s="165"/>
      <c r="AA56" s="165">
        <f>($F$56*'Consumer Allocations'!$H$70)</f>
        <v>0</v>
      </c>
      <c r="AB56" s="165"/>
      <c r="AC56" s="165"/>
      <c r="AD56" s="165">
        <f>($F$56*'Consumer Allocations'!$H$71)</f>
        <v>236.56193648009227</v>
      </c>
      <c r="AE56" s="165"/>
      <c r="AF56" s="165"/>
      <c r="AG56" s="165">
        <f>($F$56*'Consumer Allocations'!$H$72)</f>
        <v>47.31238729601845</v>
      </c>
      <c r="AH56" s="165"/>
      <c r="AI56" s="165"/>
      <c r="AJ56" s="165">
        <f>($F$56*'Consumer Allocations'!$H$73)</f>
        <v>7096.858094402768</v>
      </c>
      <c r="AK56" s="165"/>
      <c r="AL56" s="165"/>
      <c r="AM56" s="165">
        <f>($F$56*'Consumer Allocations'!$H$74)</f>
        <v>473.12387296018454</v>
      </c>
      <c r="AN56" s="165"/>
      <c r="AO56" s="165"/>
      <c r="AP56" s="165">
        <f>($F$56*'Consumer Allocations'!$H$75)</f>
        <v>0</v>
      </c>
      <c r="AQ56" s="165"/>
      <c r="AR56" s="165"/>
      <c r="AS56" s="165">
        <f>($F$56*'Consumer Allocations'!$H$76)</f>
        <v>0</v>
      </c>
      <c r="AT56" s="165"/>
      <c r="AU56" s="165"/>
      <c r="AV56" s="165">
        <f>($F$56*'Consumer Allocations'!$H$77)</f>
        <v>0</v>
      </c>
      <c r="AW56" s="168">
        <f>SUM(G56:AV56)</f>
        <v>844901.2884412821</v>
      </c>
      <c r="AX56" s="175">
        <f aca="true" t="shared" si="13" ref="AX56:AX120">(AW56-F56)</f>
        <v>1.1641532182693481E-10</v>
      </c>
    </row>
    <row r="57" spans="1:50" ht="12.75">
      <c r="A57" s="50">
        <v>51</v>
      </c>
      <c r="B57" s="42" t="s">
        <v>208</v>
      </c>
      <c r="C57" s="42"/>
      <c r="D57" s="50"/>
      <c r="E57" s="50"/>
      <c r="F57" s="165">
        <f>('Costs&amp;Margins'!Q68+'Costs&amp;Margins'!Q52)</f>
        <v>173083.75103449755</v>
      </c>
      <c r="G57" s="42"/>
      <c r="H57" s="42"/>
      <c r="I57" s="165">
        <f>(F57*'Consumer Allocations'!$H$64)</f>
        <v>158806.5118078422</v>
      </c>
      <c r="J57" s="42"/>
      <c r="K57" s="42"/>
      <c r="L57" s="165">
        <f>(F57*'Consumer Allocations'!$H$65)</f>
        <v>0</v>
      </c>
      <c r="M57" s="42"/>
      <c r="N57" s="42"/>
      <c r="O57" s="165">
        <f>(F57*'Consumer Allocations'!$H$66)</f>
        <v>10284.026886756898</v>
      </c>
      <c r="P57" s="42"/>
      <c r="Q57" s="42"/>
      <c r="R57" s="165">
        <f>($F$57*'Consumer Allocations'!$H$67)</f>
        <v>0</v>
      </c>
      <c r="S57" s="42"/>
      <c r="T57" s="42"/>
      <c r="U57" s="165">
        <f>(F57*'Consumer Allocations'!$H$68)</f>
        <v>2384.296688385959</v>
      </c>
      <c r="V57" s="165"/>
      <c r="W57" s="165"/>
      <c r="X57" s="165">
        <f>($F$57*'Consumer Allocations'!$H$69)</f>
        <v>0</v>
      </c>
      <c r="Y57" s="165"/>
      <c r="Z57" s="165"/>
      <c r="AA57" s="165">
        <f>($F$57*'Consumer Allocations'!$H$70)</f>
        <v>0</v>
      </c>
      <c r="AB57" s="165"/>
      <c r="AC57" s="165"/>
      <c r="AD57" s="165">
        <f>($F$57*'Consumer Allocations'!$H$71)</f>
        <v>48.46131480459266</v>
      </c>
      <c r="AE57" s="165"/>
      <c r="AF57" s="165"/>
      <c r="AG57" s="165">
        <f>($F$57*'Consumer Allocations'!$H$72)</f>
        <v>9.692262960918532</v>
      </c>
      <c r="AH57" s="165"/>
      <c r="AI57" s="165"/>
      <c r="AJ57" s="165">
        <f>($F$57*'Consumer Allocations'!$H$73)</f>
        <v>1453.8394441377798</v>
      </c>
      <c r="AK57" s="165"/>
      <c r="AL57" s="165"/>
      <c r="AM57" s="165">
        <f>($F$57*'Consumer Allocations'!$H$74)</f>
        <v>96.92262960918532</v>
      </c>
      <c r="AN57" s="165"/>
      <c r="AO57" s="165"/>
      <c r="AP57" s="165">
        <f>($F$57*'Consumer Allocations'!$H$75)</f>
        <v>0</v>
      </c>
      <c r="AQ57" s="165"/>
      <c r="AR57" s="165"/>
      <c r="AS57" s="165">
        <f>($F$57*'Consumer Allocations'!$H$76)</f>
        <v>0</v>
      </c>
      <c r="AT57" s="165"/>
      <c r="AU57" s="165"/>
      <c r="AV57" s="165">
        <f>($F$57*'Consumer Allocations'!$H$77)</f>
        <v>0</v>
      </c>
      <c r="AW57" s="168">
        <f>SUM(G57:AV57)</f>
        <v>173083.75103449755</v>
      </c>
      <c r="AX57" s="175">
        <f t="shared" si="13"/>
        <v>0</v>
      </c>
    </row>
    <row r="58" spans="1:50" ht="12.75">
      <c r="A58" s="50">
        <v>52</v>
      </c>
      <c r="B58" s="42" t="s">
        <v>209</v>
      </c>
      <c r="C58" s="42"/>
      <c r="D58" s="50"/>
      <c r="E58" s="50"/>
      <c r="F58" s="165">
        <f>('Costs&amp;Margins'!Q73+'Costs&amp;Margins'!Q78)</f>
        <v>423129.3450000891</v>
      </c>
      <c r="G58" s="42"/>
      <c r="H58" s="42"/>
      <c r="I58" s="165">
        <f>(F58*'Consumer Allocations'!$H$64)</f>
        <v>388226.4795012926</v>
      </c>
      <c r="J58" s="42"/>
      <c r="K58" s="42"/>
      <c r="L58" s="165">
        <f>(F58*'Consumer Allocations'!$H$65)</f>
        <v>0</v>
      </c>
      <c r="M58" s="42"/>
      <c r="N58" s="42"/>
      <c r="O58" s="165">
        <f>(F58*'Consumer Allocations'!$H$66)</f>
        <v>25140.855421428056</v>
      </c>
      <c r="P58" s="42"/>
      <c r="Q58" s="42"/>
      <c r="R58" s="165">
        <f>($F$58*'Consumer Allocations'!$H$67)</f>
        <v>0</v>
      </c>
      <c r="S58" s="42"/>
      <c r="T58" s="42"/>
      <c r="U58" s="165">
        <f>(F58*'Consumer Allocations'!$H$68)</f>
        <v>5828.773007360777</v>
      </c>
      <c r="V58" s="165"/>
      <c r="W58" s="165"/>
      <c r="X58" s="165">
        <f>($F$58*'Consumer Allocations'!$H$69)</f>
        <v>0</v>
      </c>
      <c r="Y58" s="165"/>
      <c r="Z58" s="165"/>
      <c r="AA58" s="165">
        <f>($F$58*'Consumer Allocations'!$H$70)</f>
        <v>0</v>
      </c>
      <c r="AB58" s="165"/>
      <c r="AC58" s="165"/>
      <c r="AD58" s="165">
        <f>($F$58*'Consumer Allocations'!$H$71)</f>
        <v>118.47099608456865</v>
      </c>
      <c r="AE58" s="165"/>
      <c r="AF58" s="165"/>
      <c r="AG58" s="165">
        <f>($F$58*'Consumer Allocations'!$H$72)</f>
        <v>23.694199216913727</v>
      </c>
      <c r="AH58" s="165"/>
      <c r="AI58" s="165"/>
      <c r="AJ58" s="165">
        <f>($F$58*'Consumer Allocations'!$H$73)</f>
        <v>3554.1298825370595</v>
      </c>
      <c r="AK58" s="165"/>
      <c r="AL58" s="165"/>
      <c r="AM58" s="165">
        <f>($F$58*'Consumer Allocations'!$H$74)</f>
        <v>236.9419921691373</v>
      </c>
      <c r="AN58" s="165"/>
      <c r="AO58" s="165"/>
      <c r="AP58" s="165">
        <f>($F$58*'Consumer Allocations'!$H$75)</f>
        <v>0</v>
      </c>
      <c r="AQ58" s="165"/>
      <c r="AR58" s="165"/>
      <c r="AS58" s="165">
        <f>($F$58*'Consumer Allocations'!$H$76)</f>
        <v>0</v>
      </c>
      <c r="AT58" s="165"/>
      <c r="AU58" s="165"/>
      <c r="AV58" s="165">
        <f>($F$58*'Consumer Allocations'!$H$77)</f>
        <v>0</v>
      </c>
      <c r="AW58" s="168">
        <f>SUM(G58:AV58)</f>
        <v>423129.34500008903</v>
      </c>
      <c r="AX58" s="175">
        <f t="shared" si="13"/>
        <v>-5.820766091346741E-11</v>
      </c>
    </row>
    <row r="59" spans="1:50" ht="12.75">
      <c r="A59" s="50">
        <v>53</v>
      </c>
      <c r="B59" s="42" t="s">
        <v>204</v>
      </c>
      <c r="C59" s="42"/>
      <c r="D59" s="50"/>
      <c r="E59" s="50"/>
      <c r="F59" s="170">
        <f>('Costs&amp;Margins'!Q84+'Costs&amp;Margins'!Q89)</f>
        <v>399957.606841814</v>
      </c>
      <c r="G59" s="169"/>
      <c r="H59" s="169"/>
      <c r="I59" s="170">
        <f>(F59*'Consumer Allocations'!$H$64)</f>
        <v>366966.1191991467</v>
      </c>
      <c r="J59" s="169"/>
      <c r="K59" s="169"/>
      <c r="L59" s="170">
        <f>(F59*'Consumer Allocations'!$H$65)</f>
        <v>0</v>
      </c>
      <c r="M59" s="169"/>
      <c r="N59" s="169"/>
      <c r="O59" s="170">
        <f>(F59*'Consumer Allocations'!$H$66)</f>
        <v>23764.0723507567</v>
      </c>
      <c r="P59" s="169"/>
      <c r="Q59" s="169"/>
      <c r="R59" s="170">
        <f>($F$59*'Consumer Allocations'!$H$67)</f>
        <v>0</v>
      </c>
      <c r="S59" s="169"/>
      <c r="T59" s="169"/>
      <c r="U59" s="170">
        <f>(F59*'Consumer Allocations'!$H$68)</f>
        <v>5509.573208276747</v>
      </c>
      <c r="V59" s="170"/>
      <c r="W59" s="170"/>
      <c r="X59" s="170">
        <f>($F$59*'Consumer Allocations'!$H$69)</f>
        <v>0</v>
      </c>
      <c r="Y59" s="170"/>
      <c r="Z59" s="170"/>
      <c r="AA59" s="170">
        <f>($F$59*'Consumer Allocations'!$H$70)</f>
        <v>0</v>
      </c>
      <c r="AB59" s="170"/>
      <c r="AC59" s="170"/>
      <c r="AD59" s="170">
        <f>($F$59*'Consumer Allocations'!$H$71)</f>
        <v>111.9831952901778</v>
      </c>
      <c r="AE59" s="170"/>
      <c r="AF59" s="170"/>
      <c r="AG59" s="170">
        <f>($F$59*'Consumer Allocations'!$H$72)</f>
        <v>22.396639058035557</v>
      </c>
      <c r="AH59" s="170"/>
      <c r="AI59" s="170"/>
      <c r="AJ59" s="170">
        <f>($F$59*'Consumer Allocations'!$H$73)</f>
        <v>3359.495858705334</v>
      </c>
      <c r="AK59" s="170"/>
      <c r="AL59" s="170"/>
      <c r="AM59" s="170">
        <f>($F$59*'Consumer Allocations'!$H$74)</f>
        <v>223.9663905803556</v>
      </c>
      <c r="AN59" s="170"/>
      <c r="AO59" s="170"/>
      <c r="AP59" s="170">
        <f>($F$59*'Consumer Allocations'!$H$75)</f>
        <v>0</v>
      </c>
      <c r="AQ59" s="170"/>
      <c r="AR59" s="170"/>
      <c r="AS59" s="170">
        <f>($F$59*'Consumer Allocations'!$H$76)</f>
        <v>0</v>
      </c>
      <c r="AT59" s="170"/>
      <c r="AU59" s="170"/>
      <c r="AV59" s="170">
        <f>($F$59*'Consumer Allocations'!$H$77)</f>
        <v>0</v>
      </c>
      <c r="AW59" s="168">
        <f>SUM(G59:AV59)</f>
        <v>399957.606841814</v>
      </c>
      <c r="AX59" s="175">
        <f t="shared" si="13"/>
        <v>0</v>
      </c>
    </row>
    <row r="60" spans="1:50" ht="12.75">
      <c r="A60" s="50">
        <v>54</v>
      </c>
      <c r="B60" s="42" t="s">
        <v>24</v>
      </c>
      <c r="C60" s="42"/>
      <c r="D60" s="50"/>
      <c r="E60" s="50"/>
      <c r="F60" s="16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175">
        <f t="shared" si="13"/>
        <v>0</v>
      </c>
    </row>
    <row r="61" spans="1:51" ht="12.75">
      <c r="A61" s="50">
        <v>55</v>
      </c>
      <c r="B61" s="212" t="s">
        <v>252</v>
      </c>
      <c r="C61" s="42"/>
      <c r="D61" s="50"/>
      <c r="E61" s="50"/>
      <c r="F61" s="165">
        <f>SUM(F56:F59)</f>
        <v>1841071.9913176827</v>
      </c>
      <c r="G61" s="165">
        <f aca="true" t="shared" si="14" ref="G61:U61">SUM(G56:G59)</f>
        <v>0</v>
      </c>
      <c r="H61" s="165">
        <f t="shared" si="14"/>
        <v>0</v>
      </c>
      <c r="I61" s="165">
        <f t="shared" si="14"/>
        <v>1689206.636560619</v>
      </c>
      <c r="J61" s="165">
        <f t="shared" si="14"/>
        <v>0</v>
      </c>
      <c r="K61" s="165">
        <f t="shared" si="14"/>
        <v>0</v>
      </c>
      <c r="L61" s="165">
        <f t="shared" si="14"/>
        <v>0</v>
      </c>
      <c r="M61" s="165">
        <f t="shared" si="14"/>
        <v>0</v>
      </c>
      <c r="N61" s="165">
        <f t="shared" si="14"/>
        <v>0</v>
      </c>
      <c r="O61" s="165">
        <f t="shared" si="14"/>
        <v>109390.01348192658</v>
      </c>
      <c r="P61" s="165">
        <f t="shared" si="14"/>
        <v>0</v>
      </c>
      <c r="Q61" s="165">
        <f t="shared" si="14"/>
        <v>0</v>
      </c>
      <c r="R61" s="165">
        <f t="shared" si="14"/>
        <v>0</v>
      </c>
      <c r="S61" s="165">
        <f t="shared" si="14"/>
        <v>0</v>
      </c>
      <c r="T61" s="165">
        <f t="shared" si="14"/>
        <v>0</v>
      </c>
      <c r="U61" s="165">
        <f t="shared" si="14"/>
        <v>25361.490178844022</v>
      </c>
      <c r="V61" s="165"/>
      <c r="W61" s="165"/>
      <c r="X61" s="165">
        <f>SUM(X56:X59)</f>
        <v>0</v>
      </c>
      <c r="Y61" s="165"/>
      <c r="Z61" s="165"/>
      <c r="AA61" s="165">
        <f>SUM(AA56:AA59)</f>
        <v>0</v>
      </c>
      <c r="AB61" s="165"/>
      <c r="AC61" s="165"/>
      <c r="AD61" s="165">
        <f>SUM(AD56:AD59)</f>
        <v>515.4774426594314</v>
      </c>
      <c r="AE61" s="165"/>
      <c r="AF61" s="165"/>
      <c r="AG61" s="165">
        <f>SUM(AG56:AG59)</f>
        <v>103.09548853188628</v>
      </c>
      <c r="AH61" s="165"/>
      <c r="AI61" s="165"/>
      <c r="AJ61" s="165">
        <f>SUM(AJ56:AJ59)</f>
        <v>15464.32327978294</v>
      </c>
      <c r="AK61" s="165"/>
      <c r="AL61" s="165"/>
      <c r="AM61" s="165">
        <f>SUM(AM56:AM59)</f>
        <v>1030.9548853188628</v>
      </c>
      <c r="AN61" s="165"/>
      <c r="AO61" s="165"/>
      <c r="AP61" s="165">
        <f>SUM(AP56:AP59)</f>
        <v>0</v>
      </c>
      <c r="AQ61" s="165"/>
      <c r="AR61" s="165"/>
      <c r="AS61" s="165">
        <f>SUM(AS56:AS59)</f>
        <v>0</v>
      </c>
      <c r="AT61" s="165"/>
      <c r="AU61" s="165"/>
      <c r="AV61" s="165">
        <f>SUM(AV56:AV59)</f>
        <v>0</v>
      </c>
      <c r="AW61" s="168">
        <f>SUM(G61:AV61)</f>
        <v>1841071.991317683</v>
      </c>
      <c r="AX61" s="175">
        <f t="shared" si="13"/>
        <v>2.3283064365386963E-10</v>
      </c>
      <c r="AY61" s="164" t="s">
        <v>245</v>
      </c>
    </row>
    <row r="62" spans="1:50" ht="12.75">
      <c r="A62" s="50">
        <v>56</v>
      </c>
      <c r="B62" s="42" t="s">
        <v>24</v>
      </c>
      <c r="C62" s="42"/>
      <c r="D62" s="50"/>
      <c r="E62" s="50"/>
      <c r="F62" s="165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175">
        <f t="shared" si="13"/>
        <v>0</v>
      </c>
    </row>
    <row r="63" spans="1:50" ht="12.75">
      <c r="A63" s="50">
        <v>57</v>
      </c>
      <c r="B63" s="42" t="s">
        <v>206</v>
      </c>
      <c r="C63" s="42"/>
      <c r="D63" s="50"/>
      <c r="E63" s="50"/>
      <c r="F63" s="165">
        <f>('Costs&amp;Margins'!Q93)</f>
        <v>396587.0754343583</v>
      </c>
      <c r="G63" s="68">
        <v>0</v>
      </c>
      <c r="H63" s="68">
        <v>0</v>
      </c>
      <c r="I63" s="165">
        <f>(F63*'Consumer Allocations'!$H$64)</f>
        <v>363873.61437094864</v>
      </c>
      <c r="J63" s="42"/>
      <c r="K63" s="42"/>
      <c r="L63" s="165">
        <f>(F63*'Consumer Allocations'!$H$65)</f>
        <v>0</v>
      </c>
      <c r="M63" s="42"/>
      <c r="N63" s="42"/>
      <c r="O63" s="165">
        <f>(F63*'Consumer Allocations'!$H$66)</f>
        <v>23563.807245512802</v>
      </c>
      <c r="P63" s="42"/>
      <c r="Q63" s="42"/>
      <c r="R63" s="165">
        <f>($F$63*'Consumer Allocations'!$H$67)</f>
        <v>0</v>
      </c>
      <c r="S63" s="42"/>
      <c r="T63" s="42"/>
      <c r="U63" s="165">
        <f>(F63*'Consumer Allocations'!$H$68)</f>
        <v>5463.142813598649</v>
      </c>
      <c r="V63" s="165"/>
      <c r="W63" s="165"/>
      <c r="X63" s="165">
        <f>($F$63*'Consumer Allocations'!$H$69)</f>
        <v>0</v>
      </c>
      <c r="Y63" s="165"/>
      <c r="Z63" s="165"/>
      <c r="AA63" s="165">
        <f>($F$63*'Consumer Allocations'!$H$70)</f>
        <v>0</v>
      </c>
      <c r="AB63" s="165"/>
      <c r="AC63" s="165"/>
      <c r="AD63" s="165">
        <f>($F$63*'Consumer Allocations'!$H$71)</f>
        <v>111.03948808127336</v>
      </c>
      <c r="AE63" s="165"/>
      <c r="AF63" s="165"/>
      <c r="AG63" s="165">
        <f>($F$63*'Consumer Allocations'!$H$72)</f>
        <v>22.20789761625467</v>
      </c>
      <c r="AH63" s="165"/>
      <c r="AI63" s="165"/>
      <c r="AJ63" s="165">
        <f>($F$63*'Consumer Allocations'!$H$73)</f>
        <v>3331.1846424382006</v>
      </c>
      <c r="AK63" s="165"/>
      <c r="AL63" s="165"/>
      <c r="AM63" s="165">
        <f>($F$63*'Consumer Allocations'!$H$74)</f>
        <v>222.07897616254672</v>
      </c>
      <c r="AN63" s="165"/>
      <c r="AO63" s="165"/>
      <c r="AP63" s="165">
        <f>($F$63*'Consumer Allocations'!$H$75)</f>
        <v>0</v>
      </c>
      <c r="AQ63" s="165"/>
      <c r="AR63" s="165"/>
      <c r="AS63" s="165">
        <f>($F$63*'Consumer Allocations'!$H$76)</f>
        <v>0</v>
      </c>
      <c r="AT63" s="165"/>
      <c r="AU63" s="165"/>
      <c r="AV63" s="165">
        <f>($F$63*'Consumer Allocations'!$H$77)</f>
        <v>0</v>
      </c>
      <c r="AW63" s="168">
        <f>SUM(G63:AV63)</f>
        <v>396587.0754343583</v>
      </c>
      <c r="AX63" s="175">
        <f t="shared" si="13"/>
        <v>0</v>
      </c>
    </row>
    <row r="64" spans="1:50" ht="12.75">
      <c r="A64" s="50">
        <v>58</v>
      </c>
      <c r="B64" s="42"/>
      <c r="C64" s="42"/>
      <c r="D64" s="50"/>
      <c r="E64" s="50"/>
      <c r="F64" s="165"/>
      <c r="G64" s="42"/>
      <c r="H64" s="42"/>
      <c r="I64" s="42"/>
      <c r="J64" s="42"/>
      <c r="K64" s="42"/>
      <c r="L64" s="42"/>
      <c r="M64" s="42"/>
      <c r="N64" s="42"/>
      <c r="O64" s="68" t="s">
        <v>24</v>
      </c>
      <c r="P64" s="42"/>
      <c r="Q64" s="42"/>
      <c r="R64" s="165">
        <f>(F64*'Consumer Allocations'!$H$67)</f>
        <v>0</v>
      </c>
      <c r="S64" s="42"/>
      <c r="T64" s="42"/>
      <c r="U64" s="42"/>
      <c r="V64" s="42"/>
      <c r="W64" s="42"/>
      <c r="X64" s="68" t="s">
        <v>24</v>
      </c>
      <c r="Y64" s="42"/>
      <c r="Z64" s="42"/>
      <c r="AA64" s="68" t="s">
        <v>24</v>
      </c>
      <c r="AB64" s="42"/>
      <c r="AC64" s="42"/>
      <c r="AD64" s="68" t="s">
        <v>24</v>
      </c>
      <c r="AE64" s="68"/>
      <c r="AF64" s="68"/>
      <c r="AG64" s="68" t="s">
        <v>24</v>
      </c>
      <c r="AH64" s="68"/>
      <c r="AI64" s="68"/>
      <c r="AJ64" s="68" t="s">
        <v>24</v>
      </c>
      <c r="AK64" s="68"/>
      <c r="AL64" s="68"/>
      <c r="AM64" s="68" t="s">
        <v>24</v>
      </c>
      <c r="AN64" s="68"/>
      <c r="AO64" s="68"/>
      <c r="AP64" s="68" t="s">
        <v>24</v>
      </c>
      <c r="AQ64" s="68"/>
      <c r="AR64" s="68"/>
      <c r="AS64" s="68" t="s">
        <v>24</v>
      </c>
      <c r="AT64" s="68"/>
      <c r="AU64" s="68"/>
      <c r="AV64" s="68" t="s">
        <v>24</v>
      </c>
      <c r="AW64" s="42"/>
      <c r="AX64" s="175">
        <f t="shared" si="13"/>
        <v>0</v>
      </c>
    </row>
    <row r="65" spans="1:50" ht="12.75">
      <c r="A65" s="50">
        <v>59</v>
      </c>
      <c r="B65" s="42" t="s">
        <v>211</v>
      </c>
      <c r="C65" s="42"/>
      <c r="D65" s="50"/>
      <c r="E65" s="50"/>
      <c r="F65" s="170">
        <f>('Costs&amp;Margins'!Q107+'Costs&amp;Margins'!Q114)</f>
        <v>222199.3302598782</v>
      </c>
      <c r="G65" s="169">
        <v>0</v>
      </c>
      <c r="H65" s="169"/>
      <c r="I65" s="170">
        <f>(F65*'Consumer Allocations'!$H$64)</f>
        <v>203870.67158936796</v>
      </c>
      <c r="J65" s="169"/>
      <c r="K65" s="169"/>
      <c r="L65" s="170">
        <f>(F65*'Consumer Allocations'!$H$65)</f>
        <v>0</v>
      </c>
      <c r="M65" s="169"/>
      <c r="N65" s="169"/>
      <c r="O65" s="170">
        <f>(F65*'Consumer Allocations'!$H$66)</f>
        <v>13202.30161961602</v>
      </c>
      <c r="P65" s="169"/>
      <c r="Q65" s="169"/>
      <c r="R65" s="170">
        <f>($F$65*'Consumer Allocations'!$H$67)</f>
        <v>0</v>
      </c>
      <c r="S65" s="169"/>
      <c r="T65" s="169"/>
      <c r="U65" s="170">
        <f>(F65*'Consumer Allocations'!$H$68)</f>
        <v>3060.8830934950824</v>
      </c>
      <c r="V65" s="170"/>
      <c r="W65" s="170"/>
      <c r="X65" s="170">
        <f>($F$65*'Consumer Allocations'!$H$69)</f>
        <v>0</v>
      </c>
      <c r="Y65" s="170"/>
      <c r="Z65" s="170"/>
      <c r="AA65" s="170">
        <f>($F$65*'Consumer Allocations'!$H$70)</f>
        <v>0</v>
      </c>
      <c r="AB65" s="170"/>
      <c r="AC65" s="170"/>
      <c r="AD65" s="170">
        <f>($F$65*'Consumer Allocations'!$H$71)</f>
        <v>62.21307100599762</v>
      </c>
      <c r="AE65" s="170"/>
      <c r="AF65" s="170"/>
      <c r="AG65" s="170">
        <f>($F$65*'Consumer Allocations'!$H$72)</f>
        <v>12.442614201199522</v>
      </c>
      <c r="AH65" s="170"/>
      <c r="AI65" s="170"/>
      <c r="AJ65" s="170">
        <f>($F$65*'Consumer Allocations'!$H$73)</f>
        <v>1866.3921301799285</v>
      </c>
      <c r="AK65" s="170"/>
      <c r="AL65" s="170"/>
      <c r="AM65" s="170">
        <f>($F$65*'Consumer Allocations'!$H$74)</f>
        <v>124.42614201199524</v>
      </c>
      <c r="AN65" s="170"/>
      <c r="AO65" s="170"/>
      <c r="AP65" s="170">
        <f>($F$65*'Consumer Allocations'!$H$75)</f>
        <v>0</v>
      </c>
      <c r="AQ65" s="170"/>
      <c r="AR65" s="170"/>
      <c r="AS65" s="170">
        <f>($F$65*'Consumer Allocations'!$H$76)</f>
        <v>0</v>
      </c>
      <c r="AT65" s="170"/>
      <c r="AU65" s="170"/>
      <c r="AV65" s="170">
        <f>($F$65*'Consumer Allocations'!$H$77)</f>
        <v>0</v>
      </c>
      <c r="AW65" s="168">
        <f>SUM(G65:AV65)</f>
        <v>222199.33025987822</v>
      </c>
      <c r="AX65" s="175">
        <f t="shared" si="13"/>
        <v>2.9103830456733704E-11</v>
      </c>
    </row>
    <row r="66" spans="1:50" ht="12.75">
      <c r="A66" s="50">
        <v>60</v>
      </c>
      <c r="B66" s="42"/>
      <c r="C66" s="42"/>
      <c r="D66" s="50"/>
      <c r="E66" s="50"/>
      <c r="F66" s="165"/>
      <c r="G66" s="42"/>
      <c r="H66" s="42"/>
      <c r="I66" s="42"/>
      <c r="J66" s="42"/>
      <c r="K66" s="42"/>
      <c r="L66" s="42"/>
      <c r="M66" s="42"/>
      <c r="N66" s="42"/>
      <c r="O66" s="68" t="s">
        <v>24</v>
      </c>
      <c r="P66" s="42"/>
      <c r="Q66" s="42"/>
      <c r="R66" s="165">
        <f>(F66*'Consumer Allocations'!$H$67)</f>
        <v>0</v>
      </c>
      <c r="S66" s="42"/>
      <c r="T66" s="42"/>
      <c r="U66" s="42"/>
      <c r="V66" s="42"/>
      <c r="W66" s="42"/>
      <c r="X66" s="165">
        <f>(L66*'Consumer Allocations'!$H$67)</f>
        <v>0</v>
      </c>
      <c r="Y66" s="42"/>
      <c r="Z66" s="42"/>
      <c r="AA66" s="68" t="s">
        <v>24</v>
      </c>
      <c r="AB66" s="42"/>
      <c r="AC66" s="42"/>
      <c r="AD66" s="68" t="s">
        <v>24</v>
      </c>
      <c r="AE66" s="68"/>
      <c r="AF66" s="68"/>
      <c r="AG66" s="68" t="s">
        <v>24</v>
      </c>
      <c r="AH66" s="68"/>
      <c r="AI66" s="68"/>
      <c r="AJ66" s="68" t="s">
        <v>24</v>
      </c>
      <c r="AK66" s="68"/>
      <c r="AL66" s="68"/>
      <c r="AM66" s="68" t="s">
        <v>24</v>
      </c>
      <c r="AN66" s="68"/>
      <c r="AO66" s="68"/>
      <c r="AP66" s="68" t="s">
        <v>24</v>
      </c>
      <c r="AQ66" s="68"/>
      <c r="AR66" s="68"/>
      <c r="AS66" s="68" t="s">
        <v>24</v>
      </c>
      <c r="AT66" s="68"/>
      <c r="AU66" s="68"/>
      <c r="AV66" s="68" t="s">
        <v>24</v>
      </c>
      <c r="AW66" s="168">
        <f>SUM(G66:AV66)</f>
        <v>0</v>
      </c>
      <c r="AX66" s="175">
        <f t="shared" si="13"/>
        <v>0</v>
      </c>
    </row>
    <row r="67" spans="1:51" ht="13.5" thickBot="1">
      <c r="A67" s="50">
        <v>61</v>
      </c>
      <c r="B67" s="173" t="s">
        <v>308</v>
      </c>
      <c r="C67" s="42"/>
      <c r="D67" s="50"/>
      <c r="E67" s="50"/>
      <c r="F67" s="186">
        <f>(F61+F63-F65)</f>
        <v>2015459.7364921626</v>
      </c>
      <c r="G67" s="186">
        <f>(G61+G63-G65)</f>
        <v>0</v>
      </c>
      <c r="H67" s="186">
        <f>(H61+H63-H65)</f>
        <v>0</v>
      </c>
      <c r="I67" s="186">
        <f aca="true" t="shared" si="15" ref="I67:U67">(I61+I63-I65)</f>
        <v>1849209.5793421997</v>
      </c>
      <c r="J67" s="186">
        <f t="shared" si="15"/>
        <v>0</v>
      </c>
      <c r="K67" s="186">
        <f t="shared" si="15"/>
        <v>0</v>
      </c>
      <c r="L67" s="186">
        <f t="shared" si="15"/>
        <v>0</v>
      </c>
      <c r="M67" s="186">
        <f t="shared" si="15"/>
        <v>0</v>
      </c>
      <c r="N67" s="186">
        <f t="shared" si="15"/>
        <v>0</v>
      </c>
      <c r="O67" s="186">
        <f t="shared" si="15"/>
        <v>119751.51910782338</v>
      </c>
      <c r="P67" s="186">
        <f t="shared" si="15"/>
        <v>0</v>
      </c>
      <c r="Q67" s="186">
        <f t="shared" si="15"/>
        <v>0</v>
      </c>
      <c r="R67" s="186">
        <f t="shared" si="15"/>
        <v>0</v>
      </c>
      <c r="S67" s="186">
        <f t="shared" si="15"/>
        <v>0</v>
      </c>
      <c r="T67" s="186">
        <f t="shared" si="15"/>
        <v>0</v>
      </c>
      <c r="U67" s="186">
        <f t="shared" si="15"/>
        <v>27763.74989894759</v>
      </c>
      <c r="V67" s="186"/>
      <c r="W67" s="186"/>
      <c r="X67" s="186">
        <f>(X61+X63-X65)</f>
        <v>0</v>
      </c>
      <c r="Y67" s="186"/>
      <c r="Z67" s="186"/>
      <c r="AA67" s="186">
        <f>(AA61+AA63-AA65)</f>
        <v>0</v>
      </c>
      <c r="AB67" s="186"/>
      <c r="AC67" s="186"/>
      <c r="AD67" s="186">
        <f>(AD61+AD63-AD65)</f>
        <v>564.3038597347072</v>
      </c>
      <c r="AE67" s="186"/>
      <c r="AF67" s="186"/>
      <c r="AG67" s="186">
        <f>(AG61+AG63-AG65)</f>
        <v>112.86077194694143</v>
      </c>
      <c r="AH67" s="186"/>
      <c r="AI67" s="186"/>
      <c r="AJ67" s="186">
        <f>(AJ61+AJ63-AJ65)</f>
        <v>16929.115792041215</v>
      </c>
      <c r="AK67" s="186"/>
      <c r="AL67" s="186"/>
      <c r="AM67" s="186">
        <f>(AM61+AM63-AM65)</f>
        <v>1128.6077194694144</v>
      </c>
      <c r="AN67" s="186"/>
      <c r="AO67" s="186"/>
      <c r="AP67" s="186">
        <f>(AP61+AP63-AP65)</f>
        <v>0</v>
      </c>
      <c r="AQ67" s="186"/>
      <c r="AR67" s="186"/>
      <c r="AS67" s="186">
        <f>(AS61+AS63-AS65)</f>
        <v>0</v>
      </c>
      <c r="AT67" s="186"/>
      <c r="AU67" s="186"/>
      <c r="AV67" s="186">
        <f>(AV61+AV63-AV65)</f>
        <v>0</v>
      </c>
      <c r="AW67" s="168">
        <f>SUM(G67:AV67)</f>
        <v>2015459.7364921628</v>
      </c>
      <c r="AX67" s="175">
        <f t="shared" si="13"/>
        <v>2.3283064365386963E-10</v>
      </c>
      <c r="AY67" s="164" t="s">
        <v>245</v>
      </c>
    </row>
    <row r="68" spans="1:50" ht="12.75">
      <c r="A68" s="50"/>
      <c r="B68" s="169" t="s">
        <v>24</v>
      </c>
      <c r="C68" s="169"/>
      <c r="D68" s="203"/>
      <c r="E68" s="203"/>
      <c r="F68" s="170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42"/>
      <c r="W68" s="42"/>
      <c r="X68" s="42"/>
      <c r="Y68" s="42"/>
      <c r="Z68" s="42"/>
      <c r="AA68" s="42"/>
      <c r="AB68" s="42"/>
      <c r="AC68" s="42"/>
      <c r="AW68" s="168" t="s">
        <v>24</v>
      </c>
      <c r="AX68" s="175" t="s">
        <v>24</v>
      </c>
    </row>
    <row r="69" spans="1:50" ht="12.75">
      <c r="A69" s="50">
        <v>62</v>
      </c>
      <c r="B69" s="204" t="s">
        <v>14</v>
      </c>
      <c r="C69" s="42"/>
      <c r="D69" s="50"/>
      <c r="E69" s="50"/>
      <c r="F69" s="165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168" t="s">
        <v>24</v>
      </c>
      <c r="AX69" s="175" t="s">
        <v>24</v>
      </c>
    </row>
    <row r="70" spans="1:50" ht="12.75">
      <c r="A70" s="50">
        <v>63</v>
      </c>
      <c r="B70" s="42" t="s">
        <v>207</v>
      </c>
      <c r="C70" s="42"/>
      <c r="D70" s="50"/>
      <c r="E70" s="50"/>
      <c r="F70" s="165">
        <f>('Costs&amp;Margins'!R25+'Costs&amp;Margins'!R37)</f>
        <v>1216997.208565584</v>
      </c>
      <c r="G70" s="42"/>
      <c r="H70" s="42"/>
      <c r="I70" s="165">
        <f>('Consumer Allocations'!$H$91*$F$70)</f>
        <v>1094685.5223221402</v>
      </c>
      <c r="J70" s="42"/>
      <c r="K70" s="42"/>
      <c r="L70" s="165">
        <f>('Consumer Allocations'!$H$92*F70)</f>
        <v>0</v>
      </c>
      <c r="M70" s="42"/>
      <c r="N70" s="42"/>
      <c r="O70" s="165">
        <f>('Consumer Allocations'!$H$93*F70)</f>
        <v>70889.88490425664</v>
      </c>
      <c r="P70" s="42"/>
      <c r="Q70" s="42"/>
      <c r="R70" s="165">
        <f>('Consumer Allocations'!$H$94*F70)</f>
        <v>0</v>
      </c>
      <c r="S70" s="42"/>
      <c r="T70" s="42"/>
      <c r="U70" s="165">
        <f>('Consumer Allocations'!$H$95*$F$70)</f>
        <v>31080.49908953325</v>
      </c>
      <c r="V70" s="165"/>
      <c r="W70" s="165"/>
      <c r="X70" s="165">
        <f>('Consumer Allocations'!$H$96*$F$70)</f>
        <v>0</v>
      </c>
      <c r="Y70" s="165"/>
      <c r="Z70" s="165"/>
      <c r="AA70" s="165">
        <f>('Consumer Allocations'!$H$97*$F$70)</f>
        <v>0</v>
      </c>
      <c r="AB70" s="165"/>
      <c r="AC70" s="165"/>
      <c r="AD70" s="165">
        <f>('Consumer Allocations'!$H$98*$F$70)</f>
        <v>0</v>
      </c>
      <c r="AE70" s="165"/>
      <c r="AF70" s="165"/>
      <c r="AG70" s="165">
        <f>('Consumer Allocations'!$H$99*F70)</f>
        <v>126.34349223387498</v>
      </c>
      <c r="AH70" s="165"/>
      <c r="AI70" s="165"/>
      <c r="AJ70" s="165">
        <f>('Consumer Allocations'!$H$100*F70)</f>
        <v>18951.523835081247</v>
      </c>
      <c r="AK70" s="165"/>
      <c r="AL70" s="165"/>
      <c r="AM70" s="165">
        <f>('Consumer Allocations'!$H$101*F70)</f>
        <v>1263.43492233875</v>
      </c>
      <c r="AN70" s="165"/>
      <c r="AO70" s="165"/>
      <c r="AP70" s="165">
        <f>('Consumer Allocations'!$H$98*$F$70)</f>
        <v>0</v>
      </c>
      <c r="AQ70" s="165"/>
      <c r="AR70" s="165"/>
      <c r="AS70" s="165">
        <f>('Consumer Allocations'!$H$98*$F$70)</f>
        <v>0</v>
      </c>
      <c r="AT70" s="165"/>
      <c r="AU70" s="165"/>
      <c r="AV70" s="165">
        <f>('Consumer Allocations'!$H$98*$F$70)</f>
        <v>0</v>
      </c>
      <c r="AW70" s="168">
        <f>SUM(G70:AV70)</f>
        <v>1216997.2085655837</v>
      </c>
      <c r="AX70" s="175">
        <f t="shared" si="13"/>
        <v>-2.3283064365386963E-10</v>
      </c>
    </row>
    <row r="71" spans="1:50" ht="12.75">
      <c r="A71" s="50">
        <v>64</v>
      </c>
      <c r="B71" s="42" t="s">
        <v>208</v>
      </c>
      <c r="C71" s="42"/>
      <c r="D71" s="50"/>
      <c r="E71" s="50"/>
      <c r="F71" s="165">
        <f>('Costs&amp;Margins'!R45+'Costs&amp;Margins'!R68+'Costs&amp;Margins'!R52)</f>
        <v>53418.62382629169</v>
      </c>
      <c r="G71" s="42"/>
      <c r="H71" s="42"/>
      <c r="I71" s="165">
        <f>('Consumer Allocations'!$H$91*F71)</f>
        <v>48049.899961510666</v>
      </c>
      <c r="J71" s="42"/>
      <c r="K71" s="42"/>
      <c r="L71" s="165">
        <f>('Consumer Allocations'!$H$92*F71)</f>
        <v>0</v>
      </c>
      <c r="M71" s="42"/>
      <c r="N71" s="42"/>
      <c r="O71" s="165">
        <f>('Consumer Allocations'!$H$93*F71)</f>
        <v>3111.6259496214993</v>
      </c>
      <c r="P71" s="42"/>
      <c r="Q71" s="42"/>
      <c r="R71" s="165">
        <f>('Consumer Allocations'!$H$94*F71)</f>
        <v>0</v>
      </c>
      <c r="S71" s="42"/>
      <c r="T71" s="42"/>
      <c r="U71" s="165">
        <f>('Consumer Allocations'!$H$95*$F$71)</f>
        <v>1364.2410003175496</v>
      </c>
      <c r="V71" s="165"/>
      <c r="W71" s="165"/>
      <c r="X71" s="165">
        <f>('Consumer Allocations'!$H$96*$F$71)</f>
        <v>0</v>
      </c>
      <c r="Y71" s="165"/>
      <c r="Z71" s="165"/>
      <c r="AA71" s="165">
        <f>('Consumer Allocations'!$H$97*$F$71)</f>
        <v>0</v>
      </c>
      <c r="AB71" s="165"/>
      <c r="AC71" s="165"/>
      <c r="AD71" s="165">
        <f>('Consumer Allocations'!$H$98*$F$71)</f>
        <v>0</v>
      </c>
      <c r="AE71" s="165"/>
      <c r="AF71" s="165"/>
      <c r="AG71" s="165">
        <f>('Consumer Allocations'!$H$99*F71)</f>
        <v>5.545695123242072</v>
      </c>
      <c r="AH71" s="165"/>
      <c r="AI71" s="165"/>
      <c r="AJ71" s="165">
        <f>('Consumer Allocations'!$H$100*F71)</f>
        <v>831.8542684863107</v>
      </c>
      <c r="AK71" s="165"/>
      <c r="AL71" s="165"/>
      <c r="AM71" s="165">
        <f>('Consumer Allocations'!$H$101*F71)</f>
        <v>55.45695123242073</v>
      </c>
      <c r="AN71" s="165"/>
      <c r="AO71" s="165"/>
      <c r="AP71" s="165">
        <f>('Consumer Allocations'!$H$98*$F$71)</f>
        <v>0</v>
      </c>
      <c r="AQ71" s="165"/>
      <c r="AR71" s="165"/>
      <c r="AS71" s="165">
        <f>('Consumer Allocations'!$H$98*$F$71)</f>
        <v>0</v>
      </c>
      <c r="AT71" s="165"/>
      <c r="AU71" s="165"/>
      <c r="AV71" s="165">
        <f>('Consumer Allocations'!$H$98*$F$71)</f>
        <v>0</v>
      </c>
      <c r="AW71" s="168">
        <f>SUM(G71:AV71)</f>
        <v>53418.62382629169</v>
      </c>
      <c r="AX71" s="175">
        <f t="shared" si="13"/>
        <v>0</v>
      </c>
    </row>
    <row r="72" spans="1:50" ht="12.75">
      <c r="A72" s="50">
        <v>65</v>
      </c>
      <c r="B72" s="42" t="s">
        <v>209</v>
      </c>
      <c r="C72" s="42"/>
      <c r="D72" s="50"/>
      <c r="E72" s="50"/>
      <c r="F72" s="165">
        <f>('Costs&amp;Margins'!R73+'Costs&amp;Margins'!R78)</f>
        <v>130589.88596751595</v>
      </c>
      <c r="G72" s="42"/>
      <c r="H72" s="42"/>
      <c r="I72" s="165">
        <f>('Consumer Allocations'!$H$91*F72)</f>
        <v>117465.23042467199</v>
      </c>
      <c r="J72" s="42"/>
      <c r="K72" s="42"/>
      <c r="L72" s="165">
        <f>('Consumer Allocations'!$H$92*F72)</f>
        <v>0</v>
      </c>
      <c r="M72" s="42"/>
      <c r="N72" s="42"/>
      <c r="O72" s="165">
        <f>('Consumer Allocations'!$H$93*F72)</f>
        <v>7606.839128915158</v>
      </c>
      <c r="P72" s="42"/>
      <c r="Q72" s="42"/>
      <c r="R72" s="165">
        <f>('Consumer Allocations'!$H$94*F72)</f>
        <v>0</v>
      </c>
      <c r="S72" s="42"/>
      <c r="T72" s="42"/>
      <c r="U72" s="165">
        <f>('Consumer Allocations'!$H$95*$F$72)</f>
        <v>3335.092967632638</v>
      </c>
      <c r="V72" s="165"/>
      <c r="W72" s="165"/>
      <c r="X72" s="165">
        <f>('Consumer Allocations'!$H$96*$F$72)</f>
        <v>0</v>
      </c>
      <c r="Y72" s="165"/>
      <c r="Z72" s="165"/>
      <c r="AA72" s="165">
        <f>('Consumer Allocations'!$H$97*$F$72)</f>
        <v>0</v>
      </c>
      <c r="AB72" s="165"/>
      <c r="AC72" s="165"/>
      <c r="AD72" s="165">
        <f>('Consumer Allocations'!$G760*$F$72)</f>
        <v>0</v>
      </c>
      <c r="AE72" s="165"/>
      <c r="AF72" s="165"/>
      <c r="AG72" s="165">
        <f>('Consumer Allocations'!$H$99*F72)</f>
        <v>13.557288486311537</v>
      </c>
      <c r="AH72" s="165"/>
      <c r="AI72" s="165"/>
      <c r="AJ72" s="165">
        <f>('Consumer Allocations'!$H$100*F72)</f>
        <v>2033.5932729467306</v>
      </c>
      <c r="AK72" s="165"/>
      <c r="AL72" s="165"/>
      <c r="AM72" s="165">
        <f>('Consumer Allocations'!$H$101*F72)</f>
        <v>135.5728848631154</v>
      </c>
      <c r="AN72" s="165"/>
      <c r="AO72" s="165"/>
      <c r="AP72" s="165">
        <f>('Consumer Allocations'!$G760*$F$72)</f>
        <v>0</v>
      </c>
      <c r="AQ72" s="165"/>
      <c r="AR72" s="165"/>
      <c r="AS72" s="165">
        <f>('Consumer Allocations'!$G760*$F$72)</f>
        <v>0</v>
      </c>
      <c r="AT72" s="165"/>
      <c r="AU72" s="165"/>
      <c r="AV72" s="165">
        <f>('Consumer Allocations'!$G760*$F$72)</f>
        <v>0</v>
      </c>
      <c r="AW72" s="168">
        <f>SUM(G72:AV72)</f>
        <v>130589.88596751593</v>
      </c>
      <c r="AX72" s="175">
        <f t="shared" si="13"/>
        <v>-1.4551915228366852E-11</v>
      </c>
    </row>
    <row r="73" spans="1:50" ht="12.75">
      <c r="A73" s="50">
        <v>66</v>
      </c>
      <c r="B73" s="42" t="s">
        <v>204</v>
      </c>
      <c r="C73" s="42"/>
      <c r="D73" s="50"/>
      <c r="E73" s="50"/>
      <c r="F73" s="170">
        <f>('Costs&amp;Margins'!R84+'Costs&amp;Margins'!R89)</f>
        <v>123438.42110336751</v>
      </c>
      <c r="G73" s="169"/>
      <c r="H73" s="169"/>
      <c r="I73" s="170">
        <f>('Consumer Allocations'!$H$91*F73)</f>
        <v>111032.50815129392</v>
      </c>
      <c r="J73" s="169"/>
      <c r="K73" s="169"/>
      <c r="L73" s="170">
        <f>('Consumer Allocations'!$H$92*F73)</f>
        <v>0</v>
      </c>
      <c r="M73" s="169"/>
      <c r="N73" s="169"/>
      <c r="O73" s="170">
        <f>('Consumer Allocations'!$H$93*F73)</f>
        <v>7190.26749050207</v>
      </c>
      <c r="P73" s="169"/>
      <c r="Q73" s="169"/>
      <c r="R73" s="170">
        <f>('Consumer Allocations'!$H$94*F73)</f>
        <v>0</v>
      </c>
      <c r="S73" s="169"/>
      <c r="T73" s="169"/>
      <c r="U73" s="170">
        <f>('Consumer Allocations'!$H$95*$F$73)</f>
        <v>3152.45401362799</v>
      </c>
      <c r="V73" s="170"/>
      <c r="W73" s="170"/>
      <c r="X73" s="170">
        <f>('Consumer Allocations'!$H$96*$F$73)</f>
        <v>0</v>
      </c>
      <c r="Y73" s="170"/>
      <c r="Z73" s="170"/>
      <c r="AA73" s="170">
        <f>('Consumer Allocations'!$H$97*$F$73)</f>
        <v>0</v>
      </c>
      <c r="AB73" s="170"/>
      <c r="AC73" s="170"/>
      <c r="AD73" s="170">
        <f>('Consumer Allocations'!$H$98*$F$73)</f>
        <v>0</v>
      </c>
      <c r="AE73" s="170"/>
      <c r="AF73" s="170"/>
      <c r="AG73" s="170">
        <f>('Consumer Allocations'!$H$99*F73)</f>
        <v>12.81485371393492</v>
      </c>
      <c r="AH73" s="170"/>
      <c r="AI73" s="170"/>
      <c r="AJ73" s="170">
        <f>('Consumer Allocations'!$H$100*F73)</f>
        <v>1922.228057090238</v>
      </c>
      <c r="AK73" s="170"/>
      <c r="AL73" s="170"/>
      <c r="AM73" s="170">
        <f>('Consumer Allocations'!$H$101*F73)</f>
        <v>128.14853713934923</v>
      </c>
      <c r="AN73" s="170"/>
      <c r="AO73" s="170"/>
      <c r="AP73" s="170">
        <f>('Consumer Allocations'!$H$98*$F$73)</f>
        <v>0</v>
      </c>
      <c r="AQ73" s="170"/>
      <c r="AR73" s="170"/>
      <c r="AS73" s="170">
        <f>('Consumer Allocations'!$H$98*$F$73)</f>
        <v>0</v>
      </c>
      <c r="AT73" s="170"/>
      <c r="AU73" s="170"/>
      <c r="AV73" s="170">
        <f>('Consumer Allocations'!$H$98*$F$73)</f>
        <v>0</v>
      </c>
      <c r="AW73" s="168">
        <f>SUM(G73:AV73)</f>
        <v>123438.42110336751</v>
      </c>
      <c r="AX73" s="175">
        <f t="shared" si="13"/>
        <v>0</v>
      </c>
    </row>
    <row r="74" spans="1:50" ht="12.75">
      <c r="A74" s="50">
        <v>67</v>
      </c>
      <c r="B74" s="42" t="s">
        <v>24</v>
      </c>
      <c r="C74" s="42"/>
      <c r="D74" s="50"/>
      <c r="E74" s="50"/>
      <c r="F74" s="165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168" t="s">
        <v>24</v>
      </c>
      <c r="AX74" s="175" t="s">
        <v>24</v>
      </c>
    </row>
    <row r="75" spans="1:51" ht="12.75">
      <c r="A75" s="50">
        <v>68</v>
      </c>
      <c r="B75" s="212" t="s">
        <v>252</v>
      </c>
      <c r="C75" s="42"/>
      <c r="D75" s="50"/>
      <c r="E75" s="50"/>
      <c r="F75" s="165">
        <f>SUM(F70:F73)</f>
        <v>1524444.139462759</v>
      </c>
      <c r="G75" s="165">
        <f aca="true" t="shared" si="16" ref="G75:U75">SUM(G70:G73)</f>
        <v>0</v>
      </c>
      <c r="H75" s="165">
        <f t="shared" si="16"/>
        <v>0</v>
      </c>
      <c r="I75" s="165">
        <f t="shared" si="16"/>
        <v>1371233.1608596167</v>
      </c>
      <c r="J75" s="165">
        <f t="shared" si="16"/>
        <v>0</v>
      </c>
      <c r="K75" s="165">
        <f t="shared" si="16"/>
        <v>0</v>
      </c>
      <c r="L75" s="165">
        <f t="shared" si="16"/>
        <v>0</v>
      </c>
      <c r="M75" s="165">
        <f t="shared" si="16"/>
        <v>0</v>
      </c>
      <c r="N75" s="165">
        <f t="shared" si="16"/>
        <v>0</v>
      </c>
      <c r="O75" s="165">
        <f t="shared" si="16"/>
        <v>88798.61747329538</v>
      </c>
      <c r="P75" s="165">
        <f t="shared" si="16"/>
        <v>0</v>
      </c>
      <c r="Q75" s="165">
        <f t="shared" si="16"/>
        <v>0</v>
      </c>
      <c r="R75" s="165">
        <f t="shared" si="16"/>
        <v>0</v>
      </c>
      <c r="S75" s="165">
        <f t="shared" si="16"/>
        <v>0</v>
      </c>
      <c r="T75" s="165">
        <f t="shared" si="16"/>
        <v>0</v>
      </c>
      <c r="U75" s="165">
        <f t="shared" si="16"/>
        <v>38932.28707111143</v>
      </c>
      <c r="V75" s="165"/>
      <c r="W75" s="165"/>
      <c r="X75" s="165">
        <f>SUM(X70:X73)</f>
        <v>0</v>
      </c>
      <c r="Y75" s="165"/>
      <c r="Z75" s="165"/>
      <c r="AA75" s="165">
        <f>SUM(AA70:AA73)</f>
        <v>0</v>
      </c>
      <c r="AB75" s="165"/>
      <c r="AC75" s="165"/>
      <c r="AD75" s="165">
        <f>SUM(AD70:AD73)</f>
        <v>0</v>
      </c>
      <c r="AE75" s="165"/>
      <c r="AF75" s="165"/>
      <c r="AG75" s="165">
        <f>SUM(AG70:AG73)</f>
        <v>158.26132955736352</v>
      </c>
      <c r="AH75" s="165"/>
      <c r="AI75" s="165"/>
      <c r="AJ75" s="165">
        <f>SUM(AJ70:AJ73)</f>
        <v>23739.199433604525</v>
      </c>
      <c r="AK75" s="165"/>
      <c r="AL75" s="165"/>
      <c r="AM75" s="165">
        <f>SUM(AM70:AM73)</f>
        <v>1582.6132955736355</v>
      </c>
      <c r="AN75" s="165"/>
      <c r="AO75" s="165"/>
      <c r="AP75" s="165">
        <f>SUM(AP70:AP73)</f>
        <v>0</v>
      </c>
      <c r="AQ75" s="165"/>
      <c r="AR75" s="165"/>
      <c r="AS75" s="165">
        <f>SUM(AS70:AS73)</f>
        <v>0</v>
      </c>
      <c r="AT75" s="165"/>
      <c r="AU75" s="165"/>
      <c r="AV75" s="165">
        <f>SUM(AV70:AV73)</f>
        <v>0</v>
      </c>
      <c r="AW75" s="168">
        <f>SUM(G75:AV75)</f>
        <v>1524444.139462759</v>
      </c>
      <c r="AX75" s="175">
        <f t="shared" si="13"/>
        <v>0</v>
      </c>
      <c r="AY75" s="164" t="s">
        <v>245</v>
      </c>
    </row>
    <row r="76" spans="1:50" ht="12.75">
      <c r="A76" s="50">
        <v>69</v>
      </c>
      <c r="B76" s="42" t="s">
        <v>24</v>
      </c>
      <c r="C76" s="42"/>
      <c r="D76" s="50"/>
      <c r="E76" s="50"/>
      <c r="F76" s="165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165">
        <f>('Consumer Allocations'!$H$101*F76)</f>
        <v>0</v>
      </c>
      <c r="AN76" s="42"/>
      <c r="AO76" s="42"/>
      <c r="AP76" s="42"/>
      <c r="AQ76" s="42"/>
      <c r="AR76" s="42"/>
      <c r="AS76" s="42"/>
      <c r="AT76" s="42"/>
      <c r="AU76" s="42"/>
      <c r="AV76" s="42"/>
      <c r="AW76" s="168" t="s">
        <v>24</v>
      </c>
      <c r="AX76" s="175" t="s">
        <v>24</v>
      </c>
    </row>
    <row r="77" spans="1:50" ht="12.75">
      <c r="A77" s="50">
        <v>70</v>
      </c>
      <c r="B77" s="42" t="s">
        <v>206</v>
      </c>
      <c r="C77" s="42"/>
      <c r="D77" s="50"/>
      <c r="E77" s="50"/>
      <c r="F77" s="165">
        <f>('Costs&amp;Margins'!R93)</f>
        <v>122398.17816737008</v>
      </c>
      <c r="G77" s="42"/>
      <c r="H77" s="42"/>
      <c r="I77" s="165">
        <f>('Consumer Allocations'!$H$91*F77)</f>
        <v>110096.81259363817</v>
      </c>
      <c r="J77" s="42"/>
      <c r="K77" s="42"/>
      <c r="L77" s="165">
        <f>('Consumer Allocations'!$H$92*F77)</f>
        <v>0</v>
      </c>
      <c r="M77" s="42"/>
      <c r="N77" s="42"/>
      <c r="O77" s="165">
        <f>('Consumer Allocations'!$H$93*F77)</f>
        <v>7129.67351256498</v>
      </c>
      <c r="P77" s="42"/>
      <c r="Q77" s="42"/>
      <c r="R77" s="165">
        <f>('Consumer Allocations'!$H$94*F77)</f>
        <v>0</v>
      </c>
      <c r="S77" s="42"/>
      <c r="T77" s="42"/>
      <c r="U77" s="165">
        <f>('Consumer Allocations'!$H$95*$F$77)</f>
        <v>3125.8875848822177</v>
      </c>
      <c r="V77" s="165"/>
      <c r="W77" s="165"/>
      <c r="X77" s="165">
        <f>('Consumer Allocations'!$H$96*$F$77)</f>
        <v>0</v>
      </c>
      <c r="Y77" s="165"/>
      <c r="Z77" s="165"/>
      <c r="AA77" s="165">
        <f>('Consumer Allocations'!$H$97*$F$77)</f>
        <v>0</v>
      </c>
      <c r="AB77" s="165"/>
      <c r="AC77" s="165"/>
      <c r="AD77" s="165">
        <f>('Consumer Allocations'!$H$98*$F$77)</f>
        <v>0</v>
      </c>
      <c r="AE77" s="165"/>
      <c r="AF77" s="165"/>
      <c r="AG77" s="165">
        <f>('Consumer Allocations'!$H$99*F77)</f>
        <v>12.706860101147226</v>
      </c>
      <c r="AH77" s="165"/>
      <c r="AI77" s="165"/>
      <c r="AJ77" s="165">
        <f>('Consumer Allocations'!$H$100*F77)</f>
        <v>1906.029015172084</v>
      </c>
      <c r="AK77" s="165"/>
      <c r="AL77" s="165"/>
      <c r="AM77" s="165">
        <f>('Consumer Allocations'!$H$101*F77)</f>
        <v>127.06860101147228</v>
      </c>
      <c r="AN77" s="165"/>
      <c r="AO77" s="165"/>
      <c r="AP77" s="165">
        <f>('Consumer Allocations'!$H$98*$F$77)</f>
        <v>0</v>
      </c>
      <c r="AQ77" s="165"/>
      <c r="AR77" s="165"/>
      <c r="AS77" s="165">
        <f>('Consumer Allocations'!$H$98*$F$77)</f>
        <v>0</v>
      </c>
      <c r="AT77" s="165"/>
      <c r="AU77" s="165"/>
      <c r="AV77" s="165">
        <f>('Consumer Allocations'!$H$98*$F$77)</f>
        <v>0</v>
      </c>
      <c r="AW77" s="168">
        <f>SUM(G77:AV77)</f>
        <v>122398.17816737008</v>
      </c>
      <c r="AX77" s="175">
        <f t="shared" si="13"/>
        <v>0</v>
      </c>
    </row>
    <row r="78" spans="1:50" ht="12.75">
      <c r="A78" s="50">
        <v>71</v>
      </c>
      <c r="B78" s="42"/>
      <c r="C78" s="42"/>
      <c r="D78" s="50"/>
      <c r="E78" s="50"/>
      <c r="F78" s="165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168" t="s">
        <v>24</v>
      </c>
      <c r="AX78" s="175" t="s">
        <v>24</v>
      </c>
    </row>
    <row r="79" spans="1:50" ht="12.75">
      <c r="A79" s="50">
        <v>72</v>
      </c>
      <c r="B79" s="42" t="s">
        <v>211</v>
      </c>
      <c r="C79" s="42"/>
      <c r="D79" s="50"/>
      <c r="E79" s="50"/>
      <c r="F79" s="170">
        <f>('Costs&amp;Margins'!R107+'Costs&amp;Margins'!R114)</f>
        <v>68577.10424383306</v>
      </c>
      <c r="G79" s="169"/>
      <c r="H79" s="169"/>
      <c r="I79" s="170">
        <f>('Consumer Allocations'!$H$91*F79)</f>
        <v>61684.90991608935</v>
      </c>
      <c r="J79" s="169"/>
      <c r="K79" s="169"/>
      <c r="L79" s="170">
        <f>('Consumer Allocations'!$H$92*F79)</f>
        <v>0</v>
      </c>
      <c r="M79" s="169"/>
      <c r="N79" s="169"/>
      <c r="O79" s="170">
        <f>('Consumer Allocations'!$H$93*F79)</f>
        <v>3994.6049117421235</v>
      </c>
      <c r="P79" s="169"/>
      <c r="Q79" s="169"/>
      <c r="R79" s="170">
        <f>('Consumer Allocations'!$H$94*F79)</f>
        <v>0</v>
      </c>
      <c r="S79" s="169"/>
      <c r="T79" s="169"/>
      <c r="U79" s="170">
        <f>('Consumer Allocations'!$H$95*$F$79)</f>
        <v>1751.3685413670514</v>
      </c>
      <c r="V79" s="170"/>
      <c r="W79" s="170"/>
      <c r="X79" s="170">
        <f>('Consumer Allocations'!$H$96*$F$79)</f>
        <v>0</v>
      </c>
      <c r="Y79" s="170"/>
      <c r="Z79" s="170"/>
      <c r="AA79" s="170">
        <f>('Consumer Allocations'!$H$97*$F$79)</f>
        <v>0</v>
      </c>
      <c r="AB79" s="170"/>
      <c r="AC79" s="170"/>
      <c r="AD79" s="170">
        <f>('Consumer Allocations'!$H$98*$F$79)</f>
        <v>0</v>
      </c>
      <c r="AE79" s="170"/>
      <c r="AF79" s="170"/>
      <c r="AG79" s="170">
        <f>('Consumer Allocations'!$H$99*F79)</f>
        <v>7.119384314500209</v>
      </c>
      <c r="AH79" s="170"/>
      <c r="AI79" s="170"/>
      <c r="AJ79" s="170">
        <f>('Consumer Allocations'!$H$100*F79)</f>
        <v>1067.9076471750313</v>
      </c>
      <c r="AK79" s="170"/>
      <c r="AL79" s="170"/>
      <c r="AM79" s="170">
        <f>('Consumer Allocations'!$H$101*F79)</f>
        <v>71.1938431450021</v>
      </c>
      <c r="AN79" s="170"/>
      <c r="AO79" s="170"/>
      <c r="AP79" s="170">
        <f>('Consumer Allocations'!$H$98*$F$79)</f>
        <v>0</v>
      </c>
      <c r="AQ79" s="170"/>
      <c r="AR79" s="170"/>
      <c r="AS79" s="170">
        <f>('Consumer Allocations'!$H$98*$F$79)</f>
        <v>0</v>
      </c>
      <c r="AT79" s="170"/>
      <c r="AU79" s="170"/>
      <c r="AV79" s="170">
        <f>('Consumer Allocations'!$H$98*$F$79)</f>
        <v>0</v>
      </c>
      <c r="AW79" s="168">
        <f>SUM(G79:AV79)</f>
        <v>68577.10424383305</v>
      </c>
      <c r="AX79" s="175">
        <f t="shared" si="13"/>
        <v>-1.4551915228366852E-11</v>
      </c>
    </row>
    <row r="80" spans="1:50" ht="12.75">
      <c r="A80" s="50">
        <v>73</v>
      </c>
      <c r="B80" s="42"/>
      <c r="C80" s="42"/>
      <c r="D80" s="50"/>
      <c r="E80" s="50"/>
      <c r="F80" s="165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168" t="s">
        <v>24</v>
      </c>
      <c r="AX80" s="175" t="s">
        <v>24</v>
      </c>
    </row>
    <row r="81" spans="1:51" ht="13.5" thickBot="1">
      <c r="A81" s="50">
        <v>74</v>
      </c>
      <c r="B81" s="173" t="s">
        <v>309</v>
      </c>
      <c r="C81" s="42"/>
      <c r="D81" s="50"/>
      <c r="E81" s="50"/>
      <c r="F81" s="186">
        <f>(F75+F77-F79)</f>
        <v>1578265.213386296</v>
      </c>
      <c r="G81" s="186">
        <f aca="true" t="shared" si="17" ref="G81:U81">(G75+G77-G79)</f>
        <v>0</v>
      </c>
      <c r="H81" s="186">
        <f t="shared" si="17"/>
        <v>0</v>
      </c>
      <c r="I81" s="186">
        <f t="shared" si="17"/>
        <v>1419645.0635371655</v>
      </c>
      <c r="J81" s="186">
        <f t="shared" si="17"/>
        <v>0</v>
      </c>
      <c r="K81" s="186">
        <f t="shared" si="17"/>
        <v>0</v>
      </c>
      <c r="L81" s="186">
        <f t="shared" si="17"/>
        <v>0</v>
      </c>
      <c r="M81" s="186">
        <f t="shared" si="17"/>
        <v>0</v>
      </c>
      <c r="N81" s="186">
        <f t="shared" si="17"/>
        <v>0</v>
      </c>
      <c r="O81" s="186">
        <f t="shared" si="17"/>
        <v>91933.68607411825</v>
      </c>
      <c r="P81" s="186">
        <f t="shared" si="17"/>
        <v>0</v>
      </c>
      <c r="Q81" s="186">
        <f t="shared" si="17"/>
        <v>0</v>
      </c>
      <c r="R81" s="186">
        <f t="shared" si="17"/>
        <v>0</v>
      </c>
      <c r="S81" s="186">
        <f t="shared" si="17"/>
        <v>0</v>
      </c>
      <c r="T81" s="186">
        <f t="shared" si="17"/>
        <v>0</v>
      </c>
      <c r="U81" s="186">
        <f t="shared" si="17"/>
        <v>40306.8061146266</v>
      </c>
      <c r="V81" s="186"/>
      <c r="W81" s="186"/>
      <c r="X81" s="186">
        <f>(X75+X77-X79)</f>
        <v>0</v>
      </c>
      <c r="Y81" s="186"/>
      <c r="Z81" s="186"/>
      <c r="AA81" s="186">
        <f>(AA75+AA77-AA79)</f>
        <v>0</v>
      </c>
      <c r="AB81" s="186"/>
      <c r="AC81" s="186"/>
      <c r="AD81" s="186">
        <f>(AD75+AD77-AD79)</f>
        <v>0</v>
      </c>
      <c r="AE81" s="186"/>
      <c r="AF81" s="186"/>
      <c r="AG81" s="186">
        <f>(AG75+AG77-AG79)</f>
        <v>163.84880534401054</v>
      </c>
      <c r="AH81" s="186"/>
      <c r="AI81" s="186"/>
      <c r="AJ81" s="186">
        <f>(AJ75+AJ77-AJ79)</f>
        <v>24577.320801601578</v>
      </c>
      <c r="AK81" s="186"/>
      <c r="AL81" s="186"/>
      <c r="AM81" s="186">
        <f>(AM75+AM77-AM79)</f>
        <v>1638.4880534401057</v>
      </c>
      <c r="AN81" s="186"/>
      <c r="AO81" s="186"/>
      <c r="AP81" s="186">
        <f>(AP75+AP77-AP79)</f>
        <v>0</v>
      </c>
      <c r="AQ81" s="186"/>
      <c r="AR81" s="186"/>
      <c r="AS81" s="186">
        <f>(AS75+AS77-AS79)</f>
        <v>0</v>
      </c>
      <c r="AT81" s="186"/>
      <c r="AU81" s="186"/>
      <c r="AV81" s="186">
        <f>(AV75+AV77-AV79)</f>
        <v>0</v>
      </c>
      <c r="AW81" s="168">
        <f aca="true" t="shared" si="18" ref="AW81:AW102">SUM(G81:AV81)</f>
        <v>1578265.2133862958</v>
      </c>
      <c r="AX81" s="175">
        <f t="shared" si="13"/>
        <v>-2.3283064365386963E-10</v>
      </c>
      <c r="AY81" s="164" t="s">
        <v>245</v>
      </c>
    </row>
    <row r="82" spans="1:50" ht="14.25" customHeight="1">
      <c r="A82" s="50"/>
      <c r="B82" s="42"/>
      <c r="C82" s="42"/>
      <c r="D82" s="50"/>
      <c r="E82" s="50"/>
      <c r="F82" s="165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168"/>
      <c r="AX82" s="175"/>
    </row>
    <row r="83" spans="1:50" ht="12.75">
      <c r="A83" s="50">
        <v>75</v>
      </c>
      <c r="B83" s="204" t="s">
        <v>17</v>
      </c>
      <c r="C83" s="42"/>
      <c r="D83" s="50"/>
      <c r="E83" s="50"/>
      <c r="F83" s="16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168">
        <f>(F83)</f>
        <v>0</v>
      </c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>
        <f t="shared" si="18"/>
        <v>0</v>
      </c>
      <c r="AX83" s="175">
        <f t="shared" si="13"/>
        <v>0</v>
      </c>
    </row>
    <row r="84" spans="1:50" ht="12.75">
      <c r="A84" s="50">
        <v>76</v>
      </c>
      <c r="B84" s="42" t="s">
        <v>212</v>
      </c>
      <c r="C84" s="42"/>
      <c r="D84" s="50"/>
      <c r="E84" s="50"/>
      <c r="F84" s="165">
        <f>('Costs&amp;Margins'!T25)</f>
        <v>489290.2167492549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V84" s="168"/>
      <c r="W84" s="168"/>
      <c r="X84" s="168"/>
      <c r="Y84" s="168"/>
      <c r="Z84" s="168"/>
      <c r="AA84" s="168"/>
      <c r="AB84" s="168"/>
      <c r="AC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>
        <f aca="true" t="shared" si="19" ref="AP84:AP90">(F84)</f>
        <v>489290.2167492549</v>
      </c>
      <c r="AQ84" s="168"/>
      <c r="AR84" s="168"/>
      <c r="AS84" s="168"/>
      <c r="AT84" s="168"/>
      <c r="AU84" s="168"/>
      <c r="AV84" s="168"/>
      <c r="AW84" s="168">
        <f>SUM(G84:AV84)</f>
        <v>489290.2167492549</v>
      </c>
      <c r="AX84" s="175">
        <f t="shared" si="13"/>
        <v>0</v>
      </c>
    </row>
    <row r="85" spans="1:50" ht="12.75">
      <c r="A85" s="50">
        <v>77</v>
      </c>
      <c r="B85" s="42" t="s">
        <v>213</v>
      </c>
      <c r="C85" s="42"/>
      <c r="D85" s="50"/>
      <c r="E85" s="50"/>
      <c r="F85" s="165">
        <f>('Costs&amp;Margins'!U37)</f>
        <v>12870.256730988429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V85" s="168"/>
      <c r="W85" s="168"/>
      <c r="X85" s="168"/>
      <c r="Y85" s="168"/>
      <c r="Z85" s="168"/>
      <c r="AA85" s="168"/>
      <c r="AB85" s="168"/>
      <c r="AC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Q85" s="168"/>
      <c r="AR85" s="168"/>
      <c r="AS85" s="168">
        <f>(F85-AV85)</f>
        <v>10188.361998731743</v>
      </c>
      <c r="AT85" s="168"/>
      <c r="AU85" s="168"/>
      <c r="AV85" s="168">
        <f>((189/(189+718))*(F85))</f>
        <v>2681.894732256685</v>
      </c>
      <c r="AW85" s="168">
        <f t="shared" si="18"/>
        <v>12870.256730988429</v>
      </c>
      <c r="AX85" s="175">
        <f t="shared" si="13"/>
        <v>0</v>
      </c>
    </row>
    <row r="86" spans="1:50" ht="12.75">
      <c r="A86" s="50">
        <v>78</v>
      </c>
      <c r="B86" s="42" t="s">
        <v>214</v>
      </c>
      <c r="C86" s="42"/>
      <c r="D86" s="50"/>
      <c r="E86" s="50"/>
      <c r="F86" s="165">
        <f>('Costs&amp;Margins'!T68+'Costs&amp;Margins'!T52)</f>
        <v>134599.72584700692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V86" s="168"/>
      <c r="W86" s="168"/>
      <c r="X86" s="168"/>
      <c r="Y86" s="168"/>
      <c r="Z86" s="168"/>
      <c r="AA86" s="168"/>
      <c r="AB86" s="168"/>
      <c r="AC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>
        <f t="shared" si="19"/>
        <v>134599.72584700692</v>
      </c>
      <c r="AQ86" s="168"/>
      <c r="AR86" s="168"/>
      <c r="AS86" s="168"/>
      <c r="AT86" s="168"/>
      <c r="AU86" s="168"/>
      <c r="AV86" s="168"/>
      <c r="AW86" s="168">
        <f t="shared" si="18"/>
        <v>134599.72584700692</v>
      </c>
      <c r="AX86" s="175">
        <f t="shared" si="13"/>
        <v>0</v>
      </c>
    </row>
    <row r="87" spans="1:50" ht="12.75">
      <c r="A87" s="50">
        <v>79</v>
      </c>
      <c r="B87" s="42" t="s">
        <v>215</v>
      </c>
      <c r="C87" s="42"/>
      <c r="D87" s="50"/>
      <c r="E87" s="50"/>
      <c r="F87" s="165">
        <f>('Costs&amp;Margins'!U68+'Costs&amp;Margins'!U52)</f>
        <v>7389.34487639025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V87" s="168"/>
      <c r="W87" s="168"/>
      <c r="X87" s="168"/>
      <c r="Y87" s="168"/>
      <c r="Z87" s="168"/>
      <c r="AA87" s="168"/>
      <c r="AB87" s="168"/>
      <c r="AC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Q87" s="168"/>
      <c r="AR87" s="168"/>
      <c r="AS87" s="168">
        <f>(F87-AV87)</f>
        <v>5849.558568079602</v>
      </c>
      <c r="AT87" s="168"/>
      <c r="AU87" s="168"/>
      <c r="AV87" s="168">
        <f>((189/(189+718))*(F87))</f>
        <v>1539.7863083106474</v>
      </c>
      <c r="AW87" s="168">
        <f t="shared" si="18"/>
        <v>7389.34487639025</v>
      </c>
      <c r="AX87" s="175">
        <f t="shared" si="13"/>
        <v>0</v>
      </c>
    </row>
    <row r="88" spans="1:50" ht="12.75">
      <c r="A88" s="50">
        <v>80</v>
      </c>
      <c r="B88" s="42" t="s">
        <v>217</v>
      </c>
      <c r="C88" s="42"/>
      <c r="D88" s="50"/>
      <c r="E88" s="50"/>
      <c r="F88" s="165">
        <f>('Costs&amp;Margins'!T73+'Costs&amp;Margins'!T78)</f>
        <v>329049.3387994821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V88" s="168"/>
      <c r="W88" s="168"/>
      <c r="X88" s="168"/>
      <c r="Y88" s="168"/>
      <c r="Z88" s="168"/>
      <c r="AA88" s="168"/>
      <c r="AB88" s="168"/>
      <c r="AC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>
        <f t="shared" si="19"/>
        <v>329049.3387994821</v>
      </c>
      <c r="AQ88" s="168"/>
      <c r="AR88" s="168"/>
      <c r="AS88" s="168"/>
      <c r="AT88" s="168"/>
      <c r="AU88" s="168"/>
      <c r="AV88" s="168"/>
      <c r="AW88" s="168">
        <f t="shared" si="18"/>
        <v>329049.3387994821</v>
      </c>
      <c r="AX88" s="175">
        <f t="shared" si="13"/>
        <v>0</v>
      </c>
    </row>
    <row r="89" spans="1:50" ht="12.75">
      <c r="A89" s="50">
        <v>81</v>
      </c>
      <c r="B89" s="42" t="s">
        <v>216</v>
      </c>
      <c r="C89" s="42"/>
      <c r="D89" s="50"/>
      <c r="E89" s="50"/>
      <c r="F89" s="165">
        <f>('Costs&amp;Margins'!U73+'Costs&amp;Margins'!U78)</f>
        <v>18064.368485425264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V89" s="168"/>
      <c r="W89" s="168"/>
      <c r="X89" s="168"/>
      <c r="Y89" s="168"/>
      <c r="Z89" s="168"/>
      <c r="AA89" s="168"/>
      <c r="AB89" s="168"/>
      <c r="AC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Q89" s="168"/>
      <c r="AR89" s="168"/>
      <c r="AS89" s="168">
        <f>(F89-AV89)</f>
        <v>14300.128525397287</v>
      </c>
      <c r="AT89" s="168"/>
      <c r="AU89" s="168"/>
      <c r="AV89" s="168">
        <f>((189/(189+718))*(F89))</f>
        <v>3764.239960027977</v>
      </c>
      <c r="AW89" s="168">
        <f t="shared" si="18"/>
        <v>18064.368485425264</v>
      </c>
      <c r="AX89" s="175">
        <f t="shared" si="13"/>
        <v>0</v>
      </c>
    </row>
    <row r="90" spans="1:50" ht="12.75">
      <c r="A90" s="50">
        <v>82</v>
      </c>
      <c r="B90" s="42" t="s">
        <v>219</v>
      </c>
      <c r="C90" s="42"/>
      <c r="D90" s="50"/>
      <c r="E90" s="50"/>
      <c r="F90" s="165">
        <f>('Costs&amp;Margins'!T84+'Costs&amp;Margins'!T89)</f>
        <v>311029.683084482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V90" s="168"/>
      <c r="W90" s="168"/>
      <c r="X90" s="168"/>
      <c r="Y90" s="168"/>
      <c r="Z90" s="168"/>
      <c r="AA90" s="168"/>
      <c r="AB90" s="168"/>
      <c r="AC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>
        <f t="shared" si="19"/>
        <v>311029.683084482</v>
      </c>
      <c r="AQ90" s="168"/>
      <c r="AR90" s="168"/>
      <c r="AS90" s="168"/>
      <c r="AT90" s="168"/>
      <c r="AU90" s="168"/>
      <c r="AV90" s="168"/>
      <c r="AW90" s="168">
        <f t="shared" si="18"/>
        <v>311029.683084482</v>
      </c>
      <c r="AX90" s="175">
        <f t="shared" si="13"/>
        <v>0</v>
      </c>
    </row>
    <row r="91" spans="1:50" ht="12.75">
      <c r="A91" s="50">
        <v>83</v>
      </c>
      <c r="B91" s="42" t="s">
        <v>218</v>
      </c>
      <c r="C91" s="42"/>
      <c r="D91" s="50"/>
      <c r="E91" s="50"/>
      <c r="F91" s="170">
        <f>('Costs&amp;Margins'!U84+'Costs&amp;Margins'!U89)</f>
        <v>17075.11349404956</v>
      </c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72"/>
      <c r="W91" s="172"/>
      <c r="X91" s="172"/>
      <c r="Y91" s="172"/>
      <c r="Z91" s="172"/>
      <c r="AA91" s="172"/>
      <c r="AB91" s="172"/>
      <c r="AC91" s="172"/>
      <c r="AD91" s="169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69"/>
      <c r="AQ91" s="172"/>
      <c r="AR91" s="172"/>
      <c r="AS91" s="172">
        <f>(F91-AV91)</f>
        <v>13517.013769269663</v>
      </c>
      <c r="AT91" s="172"/>
      <c r="AU91" s="172"/>
      <c r="AV91" s="172">
        <f>((189/(189+718))*(F91))</f>
        <v>3558.0997247798978</v>
      </c>
      <c r="AW91" s="168">
        <f t="shared" si="18"/>
        <v>17075.11349404956</v>
      </c>
      <c r="AX91" s="175">
        <f t="shared" si="13"/>
        <v>0</v>
      </c>
    </row>
    <row r="92" spans="1:50" ht="12.75">
      <c r="A92" s="50"/>
      <c r="B92" s="42"/>
      <c r="C92" s="42"/>
      <c r="D92" s="50"/>
      <c r="E92" s="50"/>
      <c r="F92" s="165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168"/>
      <c r="W92" s="168"/>
      <c r="X92" s="168"/>
      <c r="Y92" s="168"/>
      <c r="Z92" s="168"/>
      <c r="AA92" s="168"/>
      <c r="AB92" s="168"/>
      <c r="AC92" s="168"/>
      <c r="AD92" s="42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42"/>
      <c r="AQ92" s="168"/>
      <c r="AR92" s="168"/>
      <c r="AS92" s="168"/>
      <c r="AT92" s="168"/>
      <c r="AU92" s="168"/>
      <c r="AV92" s="168"/>
      <c r="AW92" s="168"/>
      <c r="AX92" s="175"/>
    </row>
    <row r="93" spans="1:50" ht="12.75">
      <c r="A93" s="50">
        <v>84</v>
      </c>
      <c r="B93" s="42" t="s">
        <v>24</v>
      </c>
      <c r="C93" s="42"/>
      <c r="D93" s="50"/>
      <c r="E93" s="50"/>
      <c r="F93" s="165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V93" s="42"/>
      <c r="W93" s="42"/>
      <c r="X93" s="42"/>
      <c r="Y93" s="42"/>
      <c r="Z93" s="42"/>
      <c r="AA93" s="42"/>
      <c r="AB93" s="42"/>
      <c r="AC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168">
        <f t="shared" si="18"/>
        <v>0</v>
      </c>
      <c r="AX93" s="175">
        <f t="shared" si="13"/>
        <v>0</v>
      </c>
    </row>
    <row r="94" spans="1:51" ht="12.75">
      <c r="A94" s="50">
        <v>85</v>
      </c>
      <c r="B94" s="212" t="s">
        <v>253</v>
      </c>
      <c r="C94" s="42"/>
      <c r="D94" s="50"/>
      <c r="E94" s="50"/>
      <c r="F94" s="165">
        <f>SUM(F84:F91)</f>
        <v>1319368.0480670794</v>
      </c>
      <c r="G94" s="165">
        <f aca="true" t="shared" si="20" ref="G94:T94">SUM(G84:G91)</f>
        <v>0</v>
      </c>
      <c r="H94" s="165">
        <f t="shared" si="20"/>
        <v>0</v>
      </c>
      <c r="I94" s="165">
        <f t="shared" si="20"/>
        <v>0</v>
      </c>
      <c r="J94" s="165">
        <f t="shared" si="20"/>
        <v>0</v>
      </c>
      <c r="K94" s="165">
        <f t="shared" si="20"/>
        <v>0</v>
      </c>
      <c r="L94" s="165">
        <f t="shared" si="20"/>
        <v>0</v>
      </c>
      <c r="M94" s="165">
        <f t="shared" si="20"/>
        <v>0</v>
      </c>
      <c r="N94" s="165">
        <f t="shared" si="20"/>
        <v>0</v>
      </c>
      <c r="O94" s="165">
        <f t="shared" si="20"/>
        <v>0</v>
      </c>
      <c r="P94" s="165">
        <f t="shared" si="20"/>
        <v>0</v>
      </c>
      <c r="Q94" s="165">
        <f t="shared" si="20"/>
        <v>0</v>
      </c>
      <c r="R94" s="165">
        <f t="shared" si="20"/>
        <v>0</v>
      </c>
      <c r="S94" s="165">
        <f t="shared" si="20"/>
        <v>0</v>
      </c>
      <c r="T94" s="165">
        <f t="shared" si="20"/>
        <v>0</v>
      </c>
      <c r="V94" s="165"/>
      <c r="W94" s="165"/>
      <c r="X94" s="165"/>
      <c r="Y94" s="165"/>
      <c r="Z94" s="165"/>
      <c r="AA94" s="165"/>
      <c r="AB94" s="165"/>
      <c r="AC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>
        <f>SUM(AP84:AP91)</f>
        <v>1263968.964480226</v>
      </c>
      <c r="AQ94" s="165"/>
      <c r="AR94" s="165"/>
      <c r="AS94" s="165">
        <f>SUM(AS84:AS91)</f>
        <v>43855.06286147829</v>
      </c>
      <c r="AT94" s="165"/>
      <c r="AU94" s="165"/>
      <c r="AV94" s="165">
        <f>SUM(AV84:AV91)</f>
        <v>11544.020725375207</v>
      </c>
      <c r="AW94" s="168">
        <f t="shared" si="18"/>
        <v>1319368.0480670794</v>
      </c>
      <c r="AX94" s="175">
        <f t="shared" si="13"/>
        <v>0</v>
      </c>
      <c r="AY94" s="164" t="s">
        <v>245</v>
      </c>
    </row>
    <row r="95" spans="1:50" ht="12.75">
      <c r="A95" s="50">
        <v>86</v>
      </c>
      <c r="B95" s="42" t="s">
        <v>24</v>
      </c>
      <c r="C95" s="42"/>
      <c r="D95" s="50"/>
      <c r="E95" s="50"/>
      <c r="F95" s="165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V95" s="42"/>
      <c r="W95" s="42"/>
      <c r="X95" s="42"/>
      <c r="Y95" s="42"/>
      <c r="Z95" s="42"/>
      <c r="AA95" s="42"/>
      <c r="AB95" s="42"/>
      <c r="AC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168">
        <f t="shared" si="18"/>
        <v>0</v>
      </c>
      <c r="AX95" s="175">
        <f t="shared" si="13"/>
        <v>0</v>
      </c>
    </row>
    <row r="96" spans="1:50" ht="12.75">
      <c r="A96" s="50">
        <v>87</v>
      </c>
      <c r="B96" s="42" t="s">
        <v>220</v>
      </c>
      <c r="C96" s="42"/>
      <c r="D96" s="50"/>
      <c r="E96" s="50"/>
      <c r="F96" s="165">
        <f>('Costs&amp;Margins'!T93)</f>
        <v>308408.56700229214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V96" s="168"/>
      <c r="W96" s="168"/>
      <c r="X96" s="168"/>
      <c r="Y96" s="168"/>
      <c r="Z96" s="168"/>
      <c r="AA96" s="168"/>
      <c r="AB96" s="168"/>
      <c r="AC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>
        <f>(F96)</f>
        <v>308408.56700229214</v>
      </c>
      <c r="AQ96" s="168"/>
      <c r="AR96" s="168"/>
      <c r="AS96" s="168"/>
      <c r="AT96" s="168"/>
      <c r="AU96" s="168"/>
      <c r="AV96" s="168"/>
      <c r="AW96" s="168">
        <f t="shared" si="18"/>
        <v>308408.56700229214</v>
      </c>
      <c r="AX96" s="175">
        <f t="shared" si="13"/>
        <v>0</v>
      </c>
    </row>
    <row r="97" spans="1:50" ht="12.75">
      <c r="A97" s="50">
        <v>88</v>
      </c>
      <c r="B97" s="42" t="s">
        <v>221</v>
      </c>
      <c r="C97" s="42"/>
      <c r="D97" s="50"/>
      <c r="E97" s="50"/>
      <c r="F97" s="165">
        <f>('Costs&amp;Margins'!U93)</f>
        <v>16931.217727765696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V97" s="168"/>
      <c r="W97" s="168"/>
      <c r="X97" s="168"/>
      <c r="Y97" s="168"/>
      <c r="Z97" s="168"/>
      <c r="AA97" s="168"/>
      <c r="AB97" s="168"/>
      <c r="AC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Q97" s="168"/>
      <c r="AR97" s="168"/>
      <c r="AS97" s="168">
        <f>(F97-AV97)</f>
        <v>13403.102898054873</v>
      </c>
      <c r="AT97" s="168"/>
      <c r="AU97" s="168"/>
      <c r="AV97" s="168">
        <f>((189/(189+718))*(F97))</f>
        <v>3528.1148297108234</v>
      </c>
      <c r="AW97" s="168">
        <f t="shared" si="18"/>
        <v>16931.217727765696</v>
      </c>
      <c r="AX97" s="175">
        <f t="shared" si="13"/>
        <v>0</v>
      </c>
    </row>
    <row r="98" spans="1:50" ht="12.75">
      <c r="A98" s="50">
        <v>89</v>
      </c>
      <c r="B98" s="42" t="s">
        <v>24</v>
      </c>
      <c r="C98" s="42"/>
      <c r="D98" s="50"/>
      <c r="E98" s="50"/>
      <c r="F98" s="165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V98" s="168"/>
      <c r="W98" s="168"/>
      <c r="X98" s="168"/>
      <c r="Y98" s="168"/>
      <c r="Z98" s="168"/>
      <c r="AA98" s="168"/>
      <c r="AB98" s="168"/>
      <c r="AC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 t="s">
        <v>24</v>
      </c>
      <c r="AQ98" s="168"/>
      <c r="AR98" s="168"/>
      <c r="AS98" s="168"/>
      <c r="AT98" s="168"/>
      <c r="AU98" s="168"/>
      <c r="AV98" s="168"/>
      <c r="AW98" s="168">
        <f t="shared" si="18"/>
        <v>0</v>
      </c>
      <c r="AX98" s="175">
        <f t="shared" si="13"/>
        <v>0</v>
      </c>
    </row>
    <row r="99" spans="1:50" ht="12.75">
      <c r="A99" s="50">
        <v>90</v>
      </c>
      <c r="B99" s="42" t="s">
        <v>222</v>
      </c>
      <c r="C99" s="42"/>
      <c r="D99" s="50"/>
      <c r="E99" s="50"/>
      <c r="F99" s="165">
        <f>('Costs&amp;Margins'!T107+'Costs&amp;Margins'!T114)</f>
        <v>172794.7814720468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V99" s="168"/>
      <c r="W99" s="168"/>
      <c r="X99" s="168"/>
      <c r="Y99" s="168"/>
      <c r="Z99" s="168"/>
      <c r="AA99" s="168"/>
      <c r="AB99" s="168"/>
      <c r="AC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>
        <f>(F99)</f>
        <v>172794.7814720468</v>
      </c>
      <c r="AQ99" s="168"/>
      <c r="AR99" s="168"/>
      <c r="AS99" s="168"/>
      <c r="AT99" s="168"/>
      <c r="AU99" s="168"/>
      <c r="AV99" s="168"/>
      <c r="AW99" s="168">
        <f t="shared" si="18"/>
        <v>172794.7814720468</v>
      </c>
      <c r="AX99" s="175">
        <f t="shared" si="13"/>
        <v>0</v>
      </c>
    </row>
    <row r="100" spans="1:50" ht="12.75">
      <c r="A100" s="50">
        <v>91</v>
      </c>
      <c r="B100" s="42" t="s">
        <v>343</v>
      </c>
      <c r="C100" s="42"/>
      <c r="D100" s="50"/>
      <c r="E100" s="50"/>
      <c r="F100" s="170">
        <f>('Costs&amp;Margins'!U107+'Costs&amp;Margins'!U114)</f>
        <v>9486.202331413104</v>
      </c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72"/>
      <c r="W100" s="172"/>
      <c r="X100" s="172"/>
      <c r="Y100" s="172"/>
      <c r="Z100" s="172"/>
      <c r="AA100" s="172"/>
      <c r="AB100" s="172"/>
      <c r="AC100" s="172"/>
      <c r="AD100" s="169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69"/>
      <c r="AQ100" s="172"/>
      <c r="AR100" s="172"/>
      <c r="AS100" s="172">
        <f>(F100-AV100)</f>
        <v>7509.47439245271</v>
      </c>
      <c r="AT100" s="172"/>
      <c r="AU100" s="172"/>
      <c r="AV100" s="172">
        <f>((189/(189+718))*(F100))</f>
        <v>1976.7279389603932</v>
      </c>
      <c r="AW100" s="168">
        <f t="shared" si="18"/>
        <v>9486.202331413104</v>
      </c>
      <c r="AX100" s="175">
        <f t="shared" si="13"/>
        <v>0</v>
      </c>
    </row>
    <row r="101" spans="1:50" ht="12.75">
      <c r="A101" s="50">
        <v>92</v>
      </c>
      <c r="B101" s="42" t="s">
        <v>24</v>
      </c>
      <c r="C101" s="42"/>
      <c r="D101" s="50"/>
      <c r="E101" s="50"/>
      <c r="F101" s="165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V101" s="42"/>
      <c r="W101" s="42"/>
      <c r="X101" s="42"/>
      <c r="Y101" s="42"/>
      <c r="Z101" s="42"/>
      <c r="AA101" s="42"/>
      <c r="AB101" s="42"/>
      <c r="AC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68" t="s">
        <v>24</v>
      </c>
      <c r="AQ101" s="42"/>
      <c r="AR101" s="42"/>
      <c r="AS101" s="42"/>
      <c r="AT101" s="42"/>
      <c r="AU101" s="42"/>
      <c r="AV101" s="42"/>
      <c r="AW101" s="168">
        <f t="shared" si="18"/>
        <v>0</v>
      </c>
      <c r="AX101" s="175">
        <f t="shared" si="13"/>
        <v>0</v>
      </c>
    </row>
    <row r="102" spans="1:51" ht="13.5" thickBot="1">
      <c r="A102" s="50">
        <v>93</v>
      </c>
      <c r="B102" s="173" t="s">
        <v>310</v>
      </c>
      <c r="C102" s="42"/>
      <c r="D102" s="50"/>
      <c r="E102" s="50"/>
      <c r="F102" s="186">
        <f>(F94+F96+F97-F99-F100)</f>
        <v>1462426.8489936774</v>
      </c>
      <c r="G102" s="186">
        <f aca="true" t="shared" si="21" ref="G102:T102">(G94+G96+G97-G99-G100)</f>
        <v>0</v>
      </c>
      <c r="H102" s="186">
        <f t="shared" si="21"/>
        <v>0</v>
      </c>
      <c r="I102" s="186">
        <f t="shared" si="21"/>
        <v>0</v>
      </c>
      <c r="J102" s="186">
        <f t="shared" si="21"/>
        <v>0</v>
      </c>
      <c r="K102" s="186">
        <f t="shared" si="21"/>
        <v>0</v>
      </c>
      <c r="L102" s="186">
        <f t="shared" si="21"/>
        <v>0</v>
      </c>
      <c r="M102" s="186">
        <f t="shared" si="21"/>
        <v>0</v>
      </c>
      <c r="N102" s="186">
        <f t="shared" si="21"/>
        <v>0</v>
      </c>
      <c r="O102" s="186">
        <f t="shared" si="21"/>
        <v>0</v>
      </c>
      <c r="P102" s="186">
        <f t="shared" si="21"/>
        <v>0</v>
      </c>
      <c r="Q102" s="186">
        <f t="shared" si="21"/>
        <v>0</v>
      </c>
      <c r="R102" s="186">
        <f t="shared" si="21"/>
        <v>0</v>
      </c>
      <c r="S102" s="186">
        <f t="shared" si="21"/>
        <v>0</v>
      </c>
      <c r="T102" s="186">
        <f t="shared" si="21"/>
        <v>0</v>
      </c>
      <c r="U102" s="185"/>
      <c r="V102" s="186"/>
      <c r="W102" s="186"/>
      <c r="X102" s="186"/>
      <c r="Y102" s="186"/>
      <c r="Z102" s="186"/>
      <c r="AA102" s="186"/>
      <c r="AB102" s="186"/>
      <c r="AC102" s="186"/>
      <c r="AD102" s="185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>
        <f>(AP94+AP96+AP97-AP99-AP100)</f>
        <v>1399582.7500104713</v>
      </c>
      <c r="AQ102" s="186"/>
      <c r="AR102" s="186"/>
      <c r="AS102" s="186">
        <f>(AS94+AS96+AS97-AS99-AS100)</f>
        <v>49748.69136708045</v>
      </c>
      <c r="AT102" s="186"/>
      <c r="AU102" s="186"/>
      <c r="AV102" s="186">
        <f>(AV94+AV96+AV97-AV99-AV100)</f>
        <v>13095.407616125636</v>
      </c>
      <c r="AW102" s="168">
        <f t="shared" si="18"/>
        <v>1462426.8489936774</v>
      </c>
      <c r="AX102" s="175">
        <f t="shared" si="13"/>
        <v>0</v>
      </c>
      <c r="AY102" s="164" t="s">
        <v>245</v>
      </c>
    </row>
    <row r="103" spans="1:50" ht="12.75">
      <c r="A103" s="50">
        <v>94</v>
      </c>
      <c r="B103" s="212"/>
      <c r="C103" s="42"/>
      <c r="D103" s="50"/>
      <c r="E103" s="50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8"/>
      <c r="AX103" s="175">
        <f t="shared" si="13"/>
        <v>0</v>
      </c>
    </row>
    <row r="104" spans="1:50" ht="12.75">
      <c r="A104" s="50">
        <v>95</v>
      </c>
      <c r="B104" s="204" t="s">
        <v>154</v>
      </c>
      <c r="C104" s="42"/>
      <c r="D104" s="50"/>
      <c r="E104" s="50"/>
      <c r="F104" s="165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168">
        <f aca="true" t="shared" si="22" ref="AW104:AW120">SUM(G104:AV104)</f>
        <v>0</v>
      </c>
      <c r="AX104" s="175">
        <f t="shared" si="13"/>
        <v>0</v>
      </c>
    </row>
    <row r="105" spans="1:51" ht="12.75">
      <c r="A105" s="50">
        <v>96</v>
      </c>
      <c r="B105" s="42" t="s">
        <v>223</v>
      </c>
      <c r="C105" s="42"/>
      <c r="D105" s="50"/>
      <c r="E105" s="50"/>
      <c r="F105" s="165">
        <f>('Costs&amp;Margins'!S45)</f>
        <v>3118535.29</v>
      </c>
      <c r="G105" s="42"/>
      <c r="H105" s="42"/>
      <c r="I105" s="165">
        <f>($F$105*'Consumer Allocations'!$I$118)</f>
        <v>2869678.7455775943</v>
      </c>
      <c r="J105" s="42"/>
      <c r="K105" s="42"/>
      <c r="L105" s="165">
        <f>(F105*'Consumer Allocations'!$I$119)</f>
        <v>35952.25168533962</v>
      </c>
      <c r="M105" s="42"/>
      <c r="N105" s="42"/>
      <c r="O105" s="165">
        <f>(F105*'Consumer Allocations'!$I$120)</f>
        <v>185835.2849635315</v>
      </c>
      <c r="P105" s="42"/>
      <c r="Q105" s="42"/>
      <c r="R105" s="165">
        <f>(F105*'Consumer Allocations'!$I$121)</f>
        <v>41.75638987844324</v>
      </c>
      <c r="S105" s="42"/>
      <c r="T105" s="42"/>
      <c r="U105" s="165">
        <f>($F$105*'Consumer Allocations'!$I$122)</f>
        <v>17261.675568339953</v>
      </c>
      <c r="V105" s="165"/>
      <c r="W105" s="165"/>
      <c r="X105" s="165">
        <f>($F$105*'Consumer Allocations'!$I$123)</f>
        <v>186.75053663696846</v>
      </c>
      <c r="Y105" s="165"/>
      <c r="Z105" s="165"/>
      <c r="AA105" s="165">
        <f>($F$105*'Consumer Allocations'!$I$124)</f>
        <v>93.37526831848423</v>
      </c>
      <c r="AB105" s="165"/>
      <c r="AC105" s="165"/>
      <c r="AD105" s="165">
        <f>($F$105*'Consumer Allocations'!$I$125)</f>
        <v>466.8763415924211</v>
      </c>
      <c r="AE105" s="165"/>
      <c r="AF105" s="165"/>
      <c r="AG105" s="165">
        <f>($F$105*'Consumer Allocations'!$I$126)</f>
        <v>70.16941287943071</v>
      </c>
      <c r="AH105" s="165"/>
      <c r="AI105" s="165"/>
      <c r="AJ105" s="165">
        <f>($F$105*'Consumer Allocations'!$I$127)</f>
        <v>7784.22025817641</v>
      </c>
      <c r="AK105" s="165"/>
      <c r="AL105" s="165"/>
      <c r="AM105" s="165">
        <f>($F$105*'Consumer Allocations'!$I$128)</f>
        <v>518.9480172117607</v>
      </c>
      <c r="AN105" s="165"/>
      <c r="AO105" s="165"/>
      <c r="AP105" s="165">
        <f>(F105*'Consumer Allocations'!$I$129)</f>
        <v>0</v>
      </c>
      <c r="AQ105" s="165"/>
      <c r="AR105" s="165"/>
      <c r="AS105" s="165">
        <f>(F105*'Consumer Allocations'!$I$130)</f>
        <v>516.1887844004099</v>
      </c>
      <c r="AT105" s="165"/>
      <c r="AU105" s="165"/>
      <c r="AV105" s="165">
        <f>(F105*'Consumer Allocations'!$I$131)</f>
        <v>129.04719610010247</v>
      </c>
      <c r="AW105" s="168">
        <f>SUM(G105:AV105)</f>
        <v>3118535.289999999</v>
      </c>
      <c r="AX105" s="175">
        <f t="shared" si="13"/>
        <v>-9.313225746154785E-10</v>
      </c>
      <c r="AY105" s="164" t="s">
        <v>24</v>
      </c>
    </row>
    <row r="106" spans="1:51" ht="12.75">
      <c r="A106" s="50">
        <v>97</v>
      </c>
      <c r="B106" s="42" t="s">
        <v>224</v>
      </c>
      <c r="C106" s="42"/>
      <c r="D106" s="50"/>
      <c r="E106" s="50"/>
      <c r="F106" s="165">
        <f>('Costs&amp;Margins'!S52)</f>
        <v>410732.12999999995</v>
      </c>
      <c r="G106" s="42"/>
      <c r="H106" s="42"/>
      <c r="I106" s="165">
        <f>(F106*'Consumer Allocations'!$I$118)</f>
        <v>377956.04473881493</v>
      </c>
      <c r="J106" s="42"/>
      <c r="K106" s="42"/>
      <c r="L106" s="165">
        <f>(F106*'Consumer Allocations'!$I$119)</f>
        <v>4735.154019377998</v>
      </c>
      <c r="M106" s="42"/>
      <c r="N106" s="42"/>
      <c r="O106" s="165">
        <f>(F106*'Consumer Allocations'!$I$120)</f>
        <v>24475.760356788604</v>
      </c>
      <c r="P106" s="42"/>
      <c r="Q106" s="42"/>
      <c r="R106" s="165">
        <f>(F106*'Consumer Allocations'!$I$121)</f>
        <v>5.499598164202089</v>
      </c>
      <c r="S106" s="42"/>
      <c r="T106" s="42"/>
      <c r="U106" s="165">
        <f>($F$106*'Consumer Allocations'!$I$122)</f>
        <v>2273.479090099772</v>
      </c>
      <c r="V106" s="165"/>
      <c r="W106" s="165"/>
      <c r="X106" s="165">
        <f>($F$106*'Consumer Allocations'!$I$123)</f>
        <v>24.596305174903144</v>
      </c>
      <c r="Y106" s="165"/>
      <c r="Z106" s="165"/>
      <c r="AA106" s="165">
        <f>($F$106*'Consumer Allocations'!$I$124)</f>
        <v>12.298152587451572</v>
      </c>
      <c r="AB106" s="165"/>
      <c r="AC106" s="165"/>
      <c r="AD106" s="165">
        <f>($F$106*'Consumer Allocations'!$I$125)</f>
        <v>61.49076293725786</v>
      </c>
      <c r="AE106" s="165"/>
      <c r="AF106" s="165"/>
      <c r="AG106" s="165">
        <f>($F$106*'Consumer Allocations'!$I$126)</f>
        <v>9.241784919104765</v>
      </c>
      <c r="AH106" s="165"/>
      <c r="AI106" s="165"/>
      <c r="AJ106" s="165">
        <f>($F$106*'Consumer Allocations'!$I$127)</f>
        <v>1025.2343070422482</v>
      </c>
      <c r="AK106" s="165"/>
      <c r="AL106" s="165"/>
      <c r="AM106" s="165">
        <f>($F$106*'Consumer Allocations'!$I$128)</f>
        <v>68.34895380281655</v>
      </c>
      <c r="AN106" s="165"/>
      <c r="AO106" s="165"/>
      <c r="AP106" s="165">
        <f>(F106*'Consumer Allocations'!$I$129)</f>
        <v>0</v>
      </c>
      <c r="AQ106" s="165"/>
      <c r="AR106" s="165"/>
      <c r="AS106" s="165">
        <f>(F106*'Consumer Allocations'!$I$130)</f>
        <v>67.98554423249483</v>
      </c>
      <c r="AT106" s="165"/>
      <c r="AU106" s="165"/>
      <c r="AV106" s="165">
        <f>(F106*'Consumer Allocations'!$I$131)</f>
        <v>16.996386058123708</v>
      </c>
      <c r="AW106" s="168">
        <f>SUM(G106:AV106)</f>
        <v>410732.1299999999</v>
      </c>
      <c r="AX106" s="175">
        <f t="shared" si="13"/>
        <v>-5.820766091346741E-11</v>
      </c>
      <c r="AY106" s="164">
        <f>(AX106/F106)</f>
        <v>-1.4171684331943404E-16</v>
      </c>
    </row>
    <row r="107" spans="1:51" ht="12.75">
      <c r="A107" s="50">
        <v>98</v>
      </c>
      <c r="B107" s="42" t="s">
        <v>225</v>
      </c>
      <c r="C107" s="42"/>
      <c r="D107" s="50"/>
      <c r="E107" s="50"/>
      <c r="F107" s="165">
        <f>('Costs&amp;Margins'!S68)</f>
        <v>1176004.250153861</v>
      </c>
      <c r="G107" s="42"/>
      <c r="H107" s="42"/>
      <c r="I107" s="165">
        <f>(F107*'Consumer Allocations'!$I$118)</f>
        <v>1082160.080790829</v>
      </c>
      <c r="J107" s="42"/>
      <c r="K107" s="42"/>
      <c r="L107" s="165">
        <f>(F107*'Consumer Allocations'!$I$119)</f>
        <v>13557.647053133303</v>
      </c>
      <c r="M107" s="42"/>
      <c r="N107" s="42"/>
      <c r="O107" s="165">
        <f>(F107*'Consumer Allocations'!$I$120)</f>
        <v>70078.75961720059</v>
      </c>
      <c r="P107" s="42"/>
      <c r="Q107" s="42"/>
      <c r="R107" s="165">
        <f>(F107*'Consumer Allocations'!$I$121)</f>
        <v>15.746396112814521</v>
      </c>
      <c r="S107" s="42"/>
      <c r="T107" s="42"/>
      <c r="U107" s="165">
        <f>($F$107*'Consumer Allocations'!$I$122)</f>
        <v>6509.403276031181</v>
      </c>
      <c r="V107" s="165"/>
      <c r="W107" s="165"/>
      <c r="X107" s="165">
        <f>($F$107*'Consumer Allocations'!$I$123)</f>
        <v>70.42390237103561</v>
      </c>
      <c r="Y107" s="165"/>
      <c r="Z107" s="165"/>
      <c r="AA107" s="165">
        <f>($F$107*'Consumer Allocations'!$I$124)</f>
        <v>35.211951185517805</v>
      </c>
      <c r="AB107" s="165"/>
      <c r="AC107" s="165"/>
      <c r="AD107" s="165">
        <f>($F$107*'Consumer Allocations'!$I$125)</f>
        <v>176.05975592758904</v>
      </c>
      <c r="AE107" s="165"/>
      <c r="AF107" s="165"/>
      <c r="AG107" s="165">
        <f>($F$107*'Consumer Allocations'!$I$126)</f>
        <v>26.46098892695602</v>
      </c>
      <c r="AH107" s="165"/>
      <c r="AI107" s="165"/>
      <c r="AJ107" s="165">
        <f>($F$107*'Consumer Allocations'!$I$127)</f>
        <v>2935.440922250793</v>
      </c>
      <c r="AK107" s="165"/>
      <c r="AL107" s="165"/>
      <c r="AM107" s="165">
        <f>($F$107*'Consumer Allocations'!$I$128)</f>
        <v>195.6960614833862</v>
      </c>
      <c r="AN107" s="165"/>
      <c r="AO107" s="165"/>
      <c r="AP107" s="165">
        <f>(F107*'Consumer Allocations'!$I$129)</f>
        <v>0</v>
      </c>
      <c r="AQ107" s="165"/>
      <c r="AR107" s="165"/>
      <c r="AS107" s="165">
        <f>(F107*'Consumer Allocations'!$I$130)</f>
        <v>194.65555072703282</v>
      </c>
      <c r="AT107" s="165"/>
      <c r="AU107" s="165"/>
      <c r="AV107" s="165">
        <f>(F107*'Consumer Allocations'!$I$131)</f>
        <v>48.663887681758204</v>
      </c>
      <c r="AW107" s="168">
        <f t="shared" si="22"/>
        <v>1176004.2501538603</v>
      </c>
      <c r="AX107" s="175">
        <f t="shared" si="13"/>
        <v>-6.984919309616089E-10</v>
      </c>
      <c r="AY107" s="164">
        <f>(AX107/F107)</f>
        <v>-5.939535770131975E-16</v>
      </c>
    </row>
    <row r="108" spans="1:51" ht="12.75">
      <c r="A108" s="50">
        <v>99</v>
      </c>
      <c r="B108" s="42" t="s">
        <v>226</v>
      </c>
      <c r="C108" s="42"/>
      <c r="D108" s="50"/>
      <c r="E108" s="50"/>
      <c r="F108" s="165">
        <f>('Costs&amp;Margins'!S73+'Costs&amp;Margins'!S78)</f>
        <v>201775.6355431001</v>
      </c>
      <c r="G108" s="42"/>
      <c r="H108" s="42"/>
      <c r="I108" s="165">
        <f>(F108*'Consumer Allocations'!$I$118)</f>
        <v>185674.10622229814</v>
      </c>
      <c r="J108" s="42"/>
      <c r="K108" s="42"/>
      <c r="L108" s="165">
        <f>(F108*'Consumer Allocations'!$I$119)</f>
        <v>2326.1844931743244</v>
      </c>
      <c r="M108" s="42"/>
      <c r="N108" s="42"/>
      <c r="O108" s="165">
        <f>(F108*'Consumer Allocations'!$I$120)</f>
        <v>12023.924452639329</v>
      </c>
      <c r="P108" s="42"/>
      <c r="Q108" s="42"/>
      <c r="R108" s="165">
        <f>(F108*'Consumer Allocations'!$I$121)</f>
        <v>2.701724150028251</v>
      </c>
      <c r="S108" s="42"/>
      <c r="T108" s="42"/>
      <c r="U108" s="165">
        <f>($F$108*'Consumer Allocations'!$I$122)</f>
        <v>1116.865847088297</v>
      </c>
      <c r="V108" s="165"/>
      <c r="W108" s="165"/>
      <c r="X108" s="165">
        <f>($F$108*'Consumer Allocations'!$I$123)</f>
        <v>12.083143114901006</v>
      </c>
      <c r="Y108" s="165"/>
      <c r="Z108" s="165"/>
      <c r="AA108" s="165">
        <f>($F$108*'Consumer Allocations'!$I$124)</f>
        <v>6.041571557450503</v>
      </c>
      <c r="AB108" s="165"/>
      <c r="AC108" s="165"/>
      <c r="AD108" s="165">
        <f>($F$108*'Consumer Allocations'!$I$125)</f>
        <v>30.20785778725251</v>
      </c>
      <c r="AE108" s="165"/>
      <c r="AF108" s="165"/>
      <c r="AG108" s="165">
        <f>($F$108*'Consumer Allocations'!$I$126)</f>
        <v>4.540105069464622</v>
      </c>
      <c r="AH108" s="165"/>
      <c r="AI108" s="165"/>
      <c r="AJ108" s="165">
        <f>($F$108*'Consumer Allocations'!$I$127)</f>
        <v>503.6550315263612</v>
      </c>
      <c r="AK108" s="165"/>
      <c r="AL108" s="165"/>
      <c r="AM108" s="165">
        <f>($F$108*'Consumer Allocations'!$I$128)</f>
        <v>33.577002101757415</v>
      </c>
      <c r="AN108" s="165"/>
      <c r="AO108" s="165"/>
      <c r="AP108" s="165">
        <f>(F108*'Consumer Allocations'!$I$129)</f>
        <v>0</v>
      </c>
      <c r="AQ108" s="165"/>
      <c r="AR108" s="165"/>
      <c r="AS108" s="165">
        <f>(F108*'Consumer Allocations'!$I$130)</f>
        <v>33.398474074222506</v>
      </c>
      <c r="AT108" s="165"/>
      <c r="AU108" s="165"/>
      <c r="AV108" s="165">
        <f>(F108*'Consumer Allocations'!$I$131)</f>
        <v>8.349618518555626</v>
      </c>
      <c r="AW108" s="168">
        <f t="shared" si="22"/>
        <v>201775.6355431001</v>
      </c>
      <c r="AX108" s="175">
        <f t="shared" si="13"/>
        <v>0</v>
      </c>
      <c r="AY108" s="164" t="s">
        <v>24</v>
      </c>
    </row>
    <row r="109" spans="1:51" ht="12.75">
      <c r="A109" s="50">
        <v>100</v>
      </c>
      <c r="B109" s="42" t="s">
        <v>227</v>
      </c>
      <c r="C109" s="42"/>
      <c r="D109" s="50"/>
      <c r="E109" s="50"/>
      <c r="F109" s="170">
        <f>('Costs&amp;Margins'!S84+'Costs&amp;Margins'!S89)</f>
        <v>188117.11143078818</v>
      </c>
      <c r="G109" s="169"/>
      <c r="H109" s="169"/>
      <c r="I109" s="170">
        <f>(F109*'Consumer Allocations'!$I$118)</f>
        <v>173105.52107056152</v>
      </c>
      <c r="J109" s="169"/>
      <c r="K109" s="169"/>
      <c r="L109" s="170">
        <f>(F109*'Consumer Allocations'!$I$119)</f>
        <v>2168.7212449273825</v>
      </c>
      <c r="M109" s="169"/>
      <c r="N109" s="169"/>
      <c r="O109" s="170">
        <f>(F109*'Consumer Allocations'!$I$120)</f>
        <v>11210.005261558841</v>
      </c>
      <c r="P109" s="169"/>
      <c r="Q109" s="169"/>
      <c r="R109" s="170">
        <f>(F109*'Consumer Allocations'!$I$121)</f>
        <v>2.5188400057228604</v>
      </c>
      <c r="S109" s="169"/>
      <c r="T109" s="169"/>
      <c r="U109" s="170">
        <f>($F$109*'Consumer Allocations'!$I$122)</f>
        <v>1041.2633638567934</v>
      </c>
      <c r="V109" s="170"/>
      <c r="W109" s="170"/>
      <c r="X109" s="170">
        <f>($F$109*'Consumer Allocations'!$I$123)</f>
        <v>11.265215315327115</v>
      </c>
      <c r="Y109" s="170"/>
      <c r="Z109" s="170"/>
      <c r="AA109" s="170">
        <f>($F$109*'Consumer Allocations'!$I$124)</f>
        <v>5.6326076576635575</v>
      </c>
      <c r="AB109" s="169"/>
      <c r="AC109" s="169"/>
      <c r="AD109" s="170">
        <f>($F$109*'Consumer Allocations'!$I$125)</f>
        <v>28.163038288317786</v>
      </c>
      <c r="AE109" s="170"/>
      <c r="AF109" s="170"/>
      <c r="AG109" s="170">
        <f>($F$109*'Consumer Allocations'!$I$126)</f>
        <v>4.232777901856884</v>
      </c>
      <c r="AH109" s="170"/>
      <c r="AI109" s="170"/>
      <c r="AJ109" s="170">
        <f>($F$109*'Consumer Allocations'!$I$127)</f>
        <v>469.5617953738694</v>
      </c>
      <c r="AK109" s="170"/>
      <c r="AL109" s="170"/>
      <c r="AM109" s="170">
        <f>($F$109*'Consumer Allocations'!$I$128)</f>
        <v>31.304119691591293</v>
      </c>
      <c r="AN109" s="170"/>
      <c r="AO109" s="170"/>
      <c r="AP109" s="170">
        <f>(F109*'Consumer Allocations'!$I$129)</f>
        <v>0</v>
      </c>
      <c r="AQ109" s="170"/>
      <c r="AR109" s="170"/>
      <c r="AS109" s="170">
        <f>(F109*'Consumer Allocations'!$I$130)</f>
        <v>31.137676519406966</v>
      </c>
      <c r="AT109" s="170"/>
      <c r="AU109" s="170"/>
      <c r="AV109" s="170">
        <f>(F109*'Consumer Allocations'!$I$131)</f>
        <v>7.784419129851742</v>
      </c>
      <c r="AW109" s="168">
        <f t="shared" si="22"/>
        <v>188117.11143078818</v>
      </c>
      <c r="AX109" s="175">
        <f t="shared" si="13"/>
        <v>0</v>
      </c>
      <c r="AY109" s="164">
        <f>(AX109/F109)</f>
        <v>0</v>
      </c>
    </row>
    <row r="110" spans="1:50" ht="12.75">
      <c r="A110" s="50">
        <v>101</v>
      </c>
      <c r="B110" s="42"/>
      <c r="C110" s="42"/>
      <c r="D110" s="50"/>
      <c r="E110" s="50"/>
      <c r="F110" s="165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165"/>
      <c r="AC110" s="165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168">
        <f t="shared" si="22"/>
        <v>0</v>
      </c>
      <c r="AX110" s="175">
        <f t="shared" si="13"/>
        <v>0</v>
      </c>
    </row>
    <row r="111" spans="1:51" ht="12.75">
      <c r="A111" s="50">
        <v>102</v>
      </c>
      <c r="B111" s="212" t="s">
        <v>254</v>
      </c>
      <c r="C111" s="42"/>
      <c r="D111" s="50"/>
      <c r="E111" s="50"/>
      <c r="F111" s="165">
        <f>SUM(F105:F109)</f>
        <v>5095164.41712775</v>
      </c>
      <c r="G111" s="42"/>
      <c r="H111" s="42"/>
      <c r="I111" s="165">
        <f>SUM(I105:I109)</f>
        <v>4688574.498400098</v>
      </c>
      <c r="J111" s="165">
        <f aca="true" t="shared" si="23" ref="J111:U111">SUM(J105:J109)</f>
        <v>0</v>
      </c>
      <c r="K111" s="165">
        <f t="shared" si="23"/>
        <v>0</v>
      </c>
      <c r="L111" s="165">
        <f>SUM(L105:L109)</f>
        <v>58739.958495952626</v>
      </c>
      <c r="M111" s="165">
        <f t="shared" si="23"/>
        <v>0</v>
      </c>
      <c r="N111" s="165">
        <f t="shared" si="23"/>
        <v>0</v>
      </c>
      <c r="O111" s="165">
        <f t="shared" si="23"/>
        <v>303623.73465171887</v>
      </c>
      <c r="P111" s="165">
        <f t="shared" si="23"/>
        <v>0</v>
      </c>
      <c r="Q111" s="165">
        <f t="shared" si="23"/>
        <v>0</v>
      </c>
      <c r="R111" s="165">
        <f t="shared" si="23"/>
        <v>68.22294831121097</v>
      </c>
      <c r="S111" s="165">
        <f t="shared" si="23"/>
        <v>0</v>
      </c>
      <c r="T111" s="165">
        <f t="shared" si="23"/>
        <v>0</v>
      </c>
      <c r="U111" s="165">
        <f t="shared" si="23"/>
        <v>28202.687145416</v>
      </c>
      <c r="V111" s="165"/>
      <c r="W111" s="165"/>
      <c r="X111" s="165">
        <f>SUM(X105:X109)</f>
        <v>305.11910261313534</v>
      </c>
      <c r="Y111" s="165"/>
      <c r="Z111" s="165"/>
      <c r="AA111" s="165">
        <f>SUM(AA105:AA109)</f>
        <v>152.55955130656767</v>
      </c>
      <c r="AB111" s="42"/>
      <c r="AC111" s="42"/>
      <c r="AD111" s="165">
        <f>SUM(AD105:AD109)</f>
        <v>762.7977565328383</v>
      </c>
      <c r="AE111" s="165"/>
      <c r="AF111" s="165"/>
      <c r="AG111" s="165">
        <f>SUM(AG105:AG109)</f>
        <v>114.64506969681298</v>
      </c>
      <c r="AH111" s="165"/>
      <c r="AI111" s="165"/>
      <c r="AJ111" s="165">
        <f>SUM(AJ105:AJ109)</f>
        <v>12718.112314369682</v>
      </c>
      <c r="AK111" s="165"/>
      <c r="AL111" s="165"/>
      <c r="AM111" s="165">
        <f>SUM(AM105:AM109)</f>
        <v>847.8741542913122</v>
      </c>
      <c r="AN111" s="165"/>
      <c r="AO111" s="165"/>
      <c r="AP111" s="165">
        <f>SUM(AP105:AP109)</f>
        <v>0</v>
      </c>
      <c r="AQ111" s="165"/>
      <c r="AR111" s="165"/>
      <c r="AS111" s="165">
        <f>SUM(AS105:AS109)</f>
        <v>843.366029953567</v>
      </c>
      <c r="AT111" s="165"/>
      <c r="AU111" s="165"/>
      <c r="AV111" s="165">
        <f>SUM(AV105:AV109)</f>
        <v>210.84150748839176</v>
      </c>
      <c r="AW111" s="168">
        <f t="shared" si="22"/>
        <v>5095164.417127748</v>
      </c>
      <c r="AX111" s="175">
        <f t="shared" si="13"/>
        <v>-1.862645149230957E-09</v>
      </c>
      <c r="AY111" s="164" t="s">
        <v>245</v>
      </c>
    </row>
    <row r="112" spans="1:50" ht="12.75">
      <c r="A112" s="50">
        <v>103</v>
      </c>
      <c r="B112" s="42" t="s">
        <v>24</v>
      </c>
      <c r="C112" s="42"/>
      <c r="D112" s="50"/>
      <c r="E112" s="50"/>
      <c r="F112" s="165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165"/>
      <c r="AC112" s="165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168">
        <f t="shared" si="22"/>
        <v>0</v>
      </c>
      <c r="AX112" s="175">
        <f t="shared" si="13"/>
        <v>0</v>
      </c>
    </row>
    <row r="113" spans="1:50" ht="12.75">
      <c r="A113" s="50">
        <v>104</v>
      </c>
      <c r="B113" s="42" t="s">
        <v>152</v>
      </c>
      <c r="C113" s="42"/>
      <c r="D113" s="50"/>
      <c r="E113" s="50"/>
      <c r="F113" s="165">
        <f>('Costs&amp;Margins'!S93)</f>
        <v>186531.80683472363</v>
      </c>
      <c r="G113" s="42"/>
      <c r="H113" s="42"/>
      <c r="I113" s="165">
        <f>(F113*'Consumer Allocations'!$I$118)</f>
        <v>171646.7224739316</v>
      </c>
      <c r="J113" s="165">
        <f>(G113*'Consumer Allocations'!$I$118)</f>
        <v>0</v>
      </c>
      <c r="K113" s="165">
        <f>(H113*'Consumer Allocations'!$I$118)</f>
        <v>0</v>
      </c>
      <c r="L113" s="165">
        <f>(F113*'Consumer Allocations'!$I$119)</f>
        <v>2150.444950277647</v>
      </c>
      <c r="M113" s="42"/>
      <c r="N113" s="42"/>
      <c r="O113" s="165">
        <f>(F113*'Consumer Allocations'!$I$120)</f>
        <v>11115.536062410016</v>
      </c>
      <c r="P113" s="42"/>
      <c r="Q113" s="42"/>
      <c r="R113" s="165">
        <f>(F113*'Consumer Allocations'!$I$121)</f>
        <v>2.4976131826685797</v>
      </c>
      <c r="S113" s="42"/>
      <c r="T113" s="42"/>
      <c r="U113" s="165">
        <f>($F$113*'Consumer Allocations'!$I$122)</f>
        <v>1032.488406683144</v>
      </c>
      <c r="V113" s="165"/>
      <c r="W113" s="165"/>
      <c r="X113" s="165">
        <f>($F$113*'Consumer Allocations'!$I$123)</f>
        <v>11.170280848817324</v>
      </c>
      <c r="Y113" s="165"/>
      <c r="Z113" s="165"/>
      <c r="AA113" s="165">
        <f>($F$113*'Consumer Allocations'!$I$124)</f>
        <v>5.585140424408662</v>
      </c>
      <c r="AB113" s="42"/>
      <c r="AC113" s="42"/>
      <c r="AD113" s="165">
        <f>($F$113*'Consumer Allocations'!$I$125)</f>
        <v>27.925702122043308</v>
      </c>
      <c r="AE113" s="165"/>
      <c r="AF113" s="165"/>
      <c r="AG113" s="165">
        <f>($F$113*'Consumer Allocations'!$I$126)</f>
        <v>4.197107344240423</v>
      </c>
      <c r="AH113" s="165"/>
      <c r="AI113" s="165"/>
      <c r="AJ113" s="165">
        <f>($F$113*'Consumer Allocations'!$I$127)</f>
        <v>465.60469404119027</v>
      </c>
      <c r="AK113" s="165"/>
      <c r="AL113" s="165"/>
      <c r="AM113" s="165">
        <f>($F$113*'Consumer Allocations'!$I$128)</f>
        <v>31.040312936079353</v>
      </c>
      <c r="AN113" s="165"/>
      <c r="AO113" s="165"/>
      <c r="AP113" s="165">
        <f>(F113*'Consumer Allocations'!$I$129)</f>
        <v>0</v>
      </c>
      <c r="AQ113" s="165"/>
      <c r="AR113" s="165"/>
      <c r="AS113" s="165">
        <f>(F113*'Consumer Allocations'!$I$130)</f>
        <v>30.875272417400815</v>
      </c>
      <c r="AT113" s="165"/>
      <c r="AU113" s="165"/>
      <c r="AV113" s="165">
        <f>(F113*'Consumer Allocations'!$I$131)</f>
        <v>7.718818104350204</v>
      </c>
      <c r="AW113" s="168">
        <f t="shared" si="22"/>
        <v>186531.80683472363</v>
      </c>
      <c r="AX113" s="175">
        <f t="shared" si="13"/>
        <v>0</v>
      </c>
    </row>
    <row r="114" spans="1:50" ht="12.75">
      <c r="A114" s="50">
        <v>105</v>
      </c>
      <c r="B114" s="42" t="s">
        <v>24</v>
      </c>
      <c r="C114" s="42"/>
      <c r="D114" s="50"/>
      <c r="E114" s="50"/>
      <c r="F114" s="165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165"/>
      <c r="AC114" s="165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168">
        <f t="shared" si="22"/>
        <v>0</v>
      </c>
      <c r="AX114" s="175">
        <f t="shared" si="13"/>
        <v>0</v>
      </c>
    </row>
    <row r="115" spans="1:50" ht="12.75">
      <c r="A115" s="50">
        <v>106</v>
      </c>
      <c r="B115" s="42" t="s">
        <v>228</v>
      </c>
      <c r="C115" s="42"/>
      <c r="D115" s="50"/>
      <c r="E115" s="50"/>
      <c r="F115" s="170">
        <f>('Costs&amp;Margins'!S107+'Costs&amp;Margins'!S114)</f>
        <v>104509.81667883616</v>
      </c>
      <c r="G115" s="169"/>
      <c r="H115" s="169"/>
      <c r="I115" s="170">
        <f>(F115*'Consumer Allocations'!$I$118)</f>
        <v>96170.01949253774</v>
      </c>
      <c r="J115" s="170">
        <f>(G115*'Consumer Allocations'!$I$118)</f>
        <v>0</v>
      </c>
      <c r="K115" s="170">
        <f>(H115*'Consumer Allocations'!$I$118)</f>
        <v>0</v>
      </c>
      <c r="L115" s="170">
        <f>(F115*'Consumer Allocations'!$I$119)</f>
        <v>1204.8487137133607</v>
      </c>
      <c r="M115" s="178" t="s">
        <v>155</v>
      </c>
      <c r="N115" s="178" t="s">
        <v>24</v>
      </c>
      <c r="O115" s="170">
        <f>(F115*'Consumer Allocations'!$I$120)</f>
        <v>6227.799193511116</v>
      </c>
      <c r="P115" s="169"/>
      <c r="Q115" s="169"/>
      <c r="R115" s="170">
        <f>(F115*'Consumer Allocations'!$I$121)</f>
        <v>1.3993597139528</v>
      </c>
      <c r="S115" s="169"/>
      <c r="T115" s="169"/>
      <c r="U115" s="170">
        <f>($F$115*'Consumer Allocations'!$I$122)</f>
        <v>578.4813643127808</v>
      </c>
      <c r="V115" s="170"/>
      <c r="W115" s="170"/>
      <c r="X115" s="170">
        <f>($F$115*'Consumer Allocations'!$I$123)</f>
        <v>6.258471536682161</v>
      </c>
      <c r="Y115" s="170"/>
      <c r="Z115" s="170"/>
      <c r="AA115" s="170">
        <f>($F$115*'Consumer Allocations'!$I$124)</f>
        <v>3.1292357683410805</v>
      </c>
      <c r="AB115" s="169"/>
      <c r="AC115" s="169"/>
      <c r="AD115" s="170">
        <f>($F$115*'Consumer Allocations'!$I$125)</f>
        <v>15.646178841705403</v>
      </c>
      <c r="AE115" s="165"/>
      <c r="AF115" s="165"/>
      <c r="AG115" s="170">
        <f>($F$115*'Consumer Allocations'!$I$126)</f>
        <v>2.351550261434068</v>
      </c>
      <c r="AH115" s="165"/>
      <c r="AI115" s="165"/>
      <c r="AJ115" s="170">
        <f>($F$115*'Consumer Allocations'!$I$127)</f>
        <v>260.8684387117195</v>
      </c>
      <c r="AK115" s="165"/>
      <c r="AL115" s="165"/>
      <c r="AM115" s="170">
        <f>($F$115*'Consumer Allocations'!$I$128)</f>
        <v>17.391229247447964</v>
      </c>
      <c r="AN115" s="165"/>
      <c r="AO115" s="165"/>
      <c r="AP115" s="165">
        <f>(F115*'Consumer Allocations'!$I$129)</f>
        <v>0</v>
      </c>
      <c r="AQ115" s="165"/>
      <c r="AR115" s="165"/>
      <c r="AS115" s="165">
        <f>(F115*'Consumer Allocations'!$I$130)</f>
        <v>17.298760543882803</v>
      </c>
      <c r="AT115" s="165"/>
      <c r="AU115" s="165"/>
      <c r="AV115" s="165">
        <f>(F115*'Consumer Allocations'!$I$131)</f>
        <v>4.324690135970701</v>
      </c>
      <c r="AW115" s="168">
        <f t="shared" si="22"/>
        <v>104509.81667883614</v>
      </c>
      <c r="AX115" s="175">
        <f t="shared" si="13"/>
        <v>-1.4551915228366852E-11</v>
      </c>
    </row>
    <row r="116" spans="1:50" ht="12.75">
      <c r="A116" s="50">
        <v>107</v>
      </c>
      <c r="B116" s="42" t="s">
        <v>24</v>
      </c>
      <c r="C116" s="42"/>
      <c r="D116" s="50"/>
      <c r="E116" s="50"/>
      <c r="F116" s="165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168"/>
      <c r="AC116" s="168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168">
        <f t="shared" si="22"/>
        <v>0</v>
      </c>
      <c r="AX116" s="175">
        <f t="shared" si="13"/>
        <v>0</v>
      </c>
    </row>
    <row r="117" spans="1:51" ht="13.5" thickBot="1">
      <c r="A117" s="50">
        <v>108</v>
      </c>
      <c r="B117" s="173" t="s">
        <v>311</v>
      </c>
      <c r="C117" s="42"/>
      <c r="D117" s="50"/>
      <c r="E117" s="50"/>
      <c r="F117" s="197">
        <f>(F111+F113-F115)</f>
        <v>5177186.407283638</v>
      </c>
      <c r="G117" s="185"/>
      <c r="H117" s="185"/>
      <c r="I117" s="197">
        <f>(I111+I113-I115)</f>
        <v>4764051.2013814915</v>
      </c>
      <c r="J117" s="197">
        <f aca="true" t="shared" si="24" ref="J117:U117">(J111+J113-J115)</f>
        <v>0</v>
      </c>
      <c r="K117" s="197">
        <f t="shared" si="24"/>
        <v>0</v>
      </c>
      <c r="L117" s="197">
        <f t="shared" si="24"/>
        <v>59685.55473251691</v>
      </c>
      <c r="M117" s="197" t="s">
        <v>24</v>
      </c>
      <c r="N117" s="197" t="s">
        <v>24</v>
      </c>
      <c r="O117" s="197">
        <f t="shared" si="24"/>
        <v>308511.4715206178</v>
      </c>
      <c r="P117" s="197">
        <f t="shared" si="24"/>
        <v>0</v>
      </c>
      <c r="Q117" s="197">
        <f t="shared" si="24"/>
        <v>0</v>
      </c>
      <c r="R117" s="197">
        <f t="shared" si="24"/>
        <v>69.32120177992674</v>
      </c>
      <c r="S117" s="197">
        <f t="shared" si="24"/>
        <v>0</v>
      </c>
      <c r="T117" s="197">
        <f t="shared" si="24"/>
        <v>0</v>
      </c>
      <c r="U117" s="197">
        <f t="shared" si="24"/>
        <v>28656.69418778636</v>
      </c>
      <c r="V117" s="197"/>
      <c r="W117" s="197"/>
      <c r="X117" s="197">
        <f>(X111+X113-X115)</f>
        <v>310.03091192527046</v>
      </c>
      <c r="Y117" s="197"/>
      <c r="Z117" s="197"/>
      <c r="AA117" s="197">
        <f>(AA111+AA113-AA115)</f>
        <v>155.01545596263523</v>
      </c>
      <c r="AB117" s="185"/>
      <c r="AC117" s="185"/>
      <c r="AD117" s="197">
        <f>(AD111+AD113-AD115)</f>
        <v>775.0772798131762</v>
      </c>
      <c r="AE117" s="197"/>
      <c r="AF117" s="197"/>
      <c r="AG117" s="197">
        <f>(AG111+AG113-AG115)</f>
        <v>116.49062677961933</v>
      </c>
      <c r="AH117" s="197"/>
      <c r="AI117" s="197"/>
      <c r="AJ117" s="197">
        <f>(AJ111+AJ113-AJ115)</f>
        <v>12922.848569699154</v>
      </c>
      <c r="AK117" s="197"/>
      <c r="AL117" s="197"/>
      <c r="AM117" s="197">
        <f>(AM111+AM113-AM115)</f>
        <v>861.5232379799435</v>
      </c>
      <c r="AN117" s="197"/>
      <c r="AO117" s="197"/>
      <c r="AP117" s="197">
        <f>(AP111+AP113-AP115)</f>
        <v>0</v>
      </c>
      <c r="AQ117" s="197"/>
      <c r="AR117" s="197"/>
      <c r="AS117" s="197">
        <f>(AS111+AS113-AS115)</f>
        <v>856.9425418270849</v>
      </c>
      <c r="AT117" s="197"/>
      <c r="AU117" s="197"/>
      <c r="AV117" s="197">
        <f>(AV111+AV113-AV115)</f>
        <v>214.23563545677123</v>
      </c>
      <c r="AW117" s="168">
        <f t="shared" si="22"/>
        <v>5177186.407283638</v>
      </c>
      <c r="AX117" s="175">
        <f t="shared" si="13"/>
        <v>0</v>
      </c>
      <c r="AY117" s="164" t="s">
        <v>245</v>
      </c>
    </row>
    <row r="118" spans="1:50" ht="12.75">
      <c r="A118" s="50">
        <v>109</v>
      </c>
      <c r="B118" s="42" t="s">
        <v>24</v>
      </c>
      <c r="C118" s="42"/>
      <c r="D118" s="50"/>
      <c r="E118" s="50"/>
      <c r="F118" s="165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V118" s="42"/>
      <c r="AW118" s="168">
        <f t="shared" si="22"/>
        <v>0</v>
      </c>
      <c r="AX118" s="175">
        <f t="shared" si="13"/>
        <v>0</v>
      </c>
    </row>
    <row r="119" spans="1:50" ht="12.75">
      <c r="A119" s="50">
        <v>110</v>
      </c>
      <c r="B119" s="42" t="s">
        <v>24</v>
      </c>
      <c r="C119" s="42"/>
      <c r="D119" s="50"/>
      <c r="E119" s="50"/>
      <c r="F119" s="165"/>
      <c r="G119" s="42"/>
      <c r="H119" s="42"/>
      <c r="I119" s="42"/>
      <c r="J119" s="42"/>
      <c r="K119" s="42"/>
      <c r="L119" s="42"/>
      <c r="M119" s="42"/>
      <c r="N119" s="165">
        <f>(SUM(N10,N22,N42,N59,N73,N91,N109,))</f>
        <v>0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168">
        <f t="shared" si="22"/>
        <v>0</v>
      </c>
      <c r="AX119" s="175">
        <f t="shared" si="13"/>
        <v>0</v>
      </c>
    </row>
    <row r="120" spans="1:50" ht="12.75">
      <c r="A120" s="50">
        <v>111</v>
      </c>
      <c r="B120" s="42" t="s">
        <v>24</v>
      </c>
      <c r="C120" s="42"/>
      <c r="D120" s="50"/>
      <c r="E120" s="50"/>
      <c r="F120" s="165"/>
      <c r="G120" s="42"/>
      <c r="H120" s="42"/>
      <c r="I120" s="42"/>
      <c r="J120" s="42"/>
      <c r="K120" s="42"/>
      <c r="L120" s="42"/>
      <c r="M120" s="42"/>
      <c r="N120" s="165">
        <f>(SUM(N11,N23,N43,N60,N74,N93,N110,))</f>
        <v>0</v>
      </c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168">
        <f t="shared" si="22"/>
        <v>0</v>
      </c>
      <c r="AX120" s="175">
        <f t="shared" si="13"/>
        <v>0</v>
      </c>
    </row>
    <row r="121" spans="1:51" ht="13.5" thickBot="1">
      <c r="A121" s="50">
        <v>112</v>
      </c>
      <c r="B121" s="173" t="s">
        <v>229</v>
      </c>
      <c r="C121" s="42"/>
      <c r="D121" s="50"/>
      <c r="E121" s="50"/>
      <c r="F121" s="186">
        <f aca="true" t="shared" si="25" ref="F121:M121">(SUM(F12,F24,F44,F61,F75,F94,F111,))</f>
        <v>73627929.00999999</v>
      </c>
      <c r="G121" s="186">
        <f t="shared" si="25"/>
        <v>14317018.35242635</v>
      </c>
      <c r="H121" s="186">
        <f t="shared" si="25"/>
        <v>23639923.73503255</v>
      </c>
      <c r="I121" s="186">
        <f t="shared" si="25"/>
        <v>11558424.499388553</v>
      </c>
      <c r="J121" s="186">
        <f t="shared" si="25"/>
        <v>0</v>
      </c>
      <c r="K121" s="186">
        <f t="shared" si="25"/>
        <v>331459.36169574474</v>
      </c>
      <c r="L121" s="186">
        <f t="shared" si="25"/>
        <v>58739.958495952626</v>
      </c>
      <c r="M121" s="186">
        <f t="shared" si="25"/>
        <v>3216848.489560602</v>
      </c>
      <c r="N121" s="186">
        <f>(SUM(N12,N24,N44,N61,N75,N94,N111,))</f>
        <v>1991196.680026013</v>
      </c>
      <c r="O121" s="186">
        <f aca="true" t="shared" si="26" ref="O121:AW121">(SUM(O12,O24,O44,O61,O75,O94,O111,))</f>
        <v>762408.0828380402</v>
      </c>
      <c r="P121" s="186">
        <f t="shared" si="26"/>
        <v>0</v>
      </c>
      <c r="Q121" s="186">
        <f t="shared" si="26"/>
        <v>384.5563191489362</v>
      </c>
      <c r="R121" s="186">
        <f t="shared" si="26"/>
        <v>68.22294831121097</v>
      </c>
      <c r="S121" s="186">
        <f t="shared" si="26"/>
        <v>3156931.6338192336</v>
      </c>
      <c r="T121" s="186">
        <f t="shared" si="26"/>
        <v>4784242.044410074</v>
      </c>
      <c r="U121" s="186">
        <f t="shared" si="26"/>
        <v>118061.61938665457</v>
      </c>
      <c r="V121" s="186">
        <f t="shared" si="26"/>
        <v>602708.0306016756</v>
      </c>
      <c r="W121" s="186">
        <f t="shared" si="26"/>
        <v>1061311.404113625</v>
      </c>
      <c r="X121" s="186">
        <f t="shared" si="26"/>
        <v>798.032147389099</v>
      </c>
      <c r="Y121" s="186">
        <f t="shared" si="26"/>
        <v>761460.4120183985</v>
      </c>
      <c r="Z121" s="186">
        <f t="shared" si="26"/>
        <v>1198412.6228565508</v>
      </c>
      <c r="AA121" s="186">
        <f t="shared" si="26"/>
        <v>1244.842820584748</v>
      </c>
      <c r="AB121" s="186">
        <f t="shared" si="26"/>
        <v>749071.1649552066</v>
      </c>
      <c r="AC121" s="186">
        <f t="shared" si="26"/>
        <v>1275439.431929824</v>
      </c>
      <c r="AD121" s="186">
        <f t="shared" si="26"/>
        <v>2510.557811132179</v>
      </c>
      <c r="AE121" s="186">
        <f t="shared" si="26"/>
        <v>9201.779017099574</v>
      </c>
      <c r="AF121" s="186">
        <f t="shared" si="26"/>
        <v>9635.71425504116</v>
      </c>
      <c r="AG121" s="186">
        <f t="shared" si="26"/>
        <v>807.512553335589</v>
      </c>
      <c r="AH121" s="186">
        <f t="shared" si="26"/>
        <v>687491.5330505028</v>
      </c>
      <c r="AI121" s="186">
        <f t="shared" si="26"/>
        <v>560529.7874542382</v>
      </c>
      <c r="AJ121" s="186">
        <f t="shared" si="26"/>
        <v>67510.14416878344</v>
      </c>
      <c r="AK121" s="186">
        <f t="shared" si="26"/>
        <v>166983.12436049234</v>
      </c>
      <c r="AL121" s="186">
        <f t="shared" si="26"/>
        <v>280079.8799780804</v>
      </c>
      <c r="AM121" s="186">
        <f t="shared" si="26"/>
        <v>5251.667523224302</v>
      </c>
      <c r="AN121" s="186">
        <f t="shared" si="26"/>
        <v>271441.0865754459</v>
      </c>
      <c r="AO121" s="186">
        <f t="shared" si="26"/>
        <v>613046.2380961576</v>
      </c>
      <c r="AP121" s="186">
        <f t="shared" si="26"/>
        <v>1263968.964480226</v>
      </c>
      <c r="AQ121" s="186">
        <f t="shared" si="26"/>
        <v>10171.04187398072</v>
      </c>
      <c r="AR121" s="186">
        <f t="shared" si="26"/>
        <v>23333.360841041682</v>
      </c>
      <c r="AS121" s="186">
        <f t="shared" si="26"/>
        <v>46730.26885620689</v>
      </c>
      <c r="AT121" s="186">
        <f t="shared" si="26"/>
        <v>3933.3867397842196</v>
      </c>
      <c r="AU121" s="186">
        <f t="shared" si="26"/>
        <v>6938.1829919116735</v>
      </c>
      <c r="AV121" s="186">
        <f t="shared" si="26"/>
        <v>12211.601582829446</v>
      </c>
      <c r="AW121" s="165">
        <f t="shared" si="26"/>
        <v>73627929.00999999</v>
      </c>
      <c r="AX121" s="175">
        <f>(AW121-F121)</f>
        <v>0</v>
      </c>
      <c r="AY121" s="175">
        <f>SUM(G121:AV121)</f>
        <v>73627929.00999999</v>
      </c>
    </row>
    <row r="122" spans="1:50" ht="12.75">
      <c r="A122" s="50">
        <v>113</v>
      </c>
      <c r="B122" s="42"/>
      <c r="C122" s="42"/>
      <c r="D122" s="50"/>
      <c r="E122" s="50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175">
        <f aca="true" t="shared" si="27" ref="AX122:AX127">(AW122-F122)</f>
        <v>0</v>
      </c>
    </row>
    <row r="123" spans="1:50" ht="12.75">
      <c r="A123" s="50">
        <v>114</v>
      </c>
      <c r="B123" s="173" t="s">
        <v>230</v>
      </c>
      <c r="C123" s="42"/>
      <c r="D123" s="50"/>
      <c r="E123" s="50"/>
      <c r="F123" s="165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168">
        <f>SUM(G123:AV123)</f>
        <v>0</v>
      </c>
      <c r="AX123" s="175">
        <f t="shared" si="27"/>
        <v>0</v>
      </c>
    </row>
    <row r="124" spans="1:51" ht="13.5" thickBot="1">
      <c r="A124" s="50">
        <v>115</v>
      </c>
      <c r="B124" s="173" t="s">
        <v>231</v>
      </c>
      <c r="C124" s="42"/>
      <c r="D124" s="166">
        <v>75410533.37</v>
      </c>
      <c r="E124" s="50"/>
      <c r="F124" s="186">
        <f aca="true" t="shared" si="28" ref="F124:AV124">SUM(F12,F32,F53,F67,F81,F102,F117)</f>
        <v>75410533.36999999</v>
      </c>
      <c r="G124" s="186">
        <f t="shared" si="28"/>
        <v>14850161.982479326</v>
      </c>
      <c r="H124" s="186">
        <f t="shared" si="28"/>
        <v>23639923.73503255</v>
      </c>
      <c r="I124" s="186">
        <f t="shared" si="28"/>
        <v>12235697.807105865</v>
      </c>
      <c r="J124" s="186">
        <f t="shared" si="28"/>
        <v>0</v>
      </c>
      <c r="K124" s="186">
        <f t="shared" si="28"/>
        <v>331459.36169574474</v>
      </c>
      <c r="L124" s="186">
        <f t="shared" si="28"/>
        <v>59685.55473251691</v>
      </c>
      <c r="M124" s="186">
        <f t="shared" si="28"/>
        <v>3335676.7075399323</v>
      </c>
      <c r="N124" s="186">
        <f t="shared" si="28"/>
        <v>1991196.680026013</v>
      </c>
      <c r="O124" s="186">
        <f t="shared" si="28"/>
        <v>808677.5604125734</v>
      </c>
      <c r="P124" s="186">
        <f t="shared" si="28"/>
        <v>0</v>
      </c>
      <c r="Q124" s="186">
        <f t="shared" si="28"/>
        <v>384.5563191489362</v>
      </c>
      <c r="R124" s="186">
        <f t="shared" si="28"/>
        <v>69.32120177992674</v>
      </c>
      <c r="S124" s="186">
        <f t="shared" si="28"/>
        <v>3275981.5636371453</v>
      </c>
      <c r="T124" s="186">
        <f t="shared" si="28"/>
        <v>4784242.044410074</v>
      </c>
      <c r="U124" s="186">
        <f t="shared" si="28"/>
        <v>125536.4432563432</v>
      </c>
      <c r="V124" s="186">
        <f t="shared" si="28"/>
        <v>623730.3446942017</v>
      </c>
      <c r="W124" s="186">
        <f t="shared" si="28"/>
        <v>1061311.404113625</v>
      </c>
      <c r="X124" s="186">
        <f t="shared" si="28"/>
        <v>878.7348097939762</v>
      </c>
      <c r="Y124" s="186">
        <f t="shared" si="28"/>
        <v>787683.6984495339</v>
      </c>
      <c r="Z124" s="186">
        <f t="shared" si="28"/>
        <v>1198412.6228565508</v>
      </c>
      <c r="AA124" s="186">
        <f t="shared" si="28"/>
        <v>1431.8191808201877</v>
      </c>
      <c r="AB124" s="186">
        <f t="shared" si="28"/>
        <v>779246.1349238419</v>
      </c>
      <c r="AC124" s="186">
        <f t="shared" si="28"/>
        <v>1275439.431929824</v>
      </c>
      <c r="AD124" s="186">
        <f t="shared" si="28"/>
        <v>2761.140884219648</v>
      </c>
      <c r="AE124" s="186">
        <f t="shared" si="28"/>
        <v>9919.865328797581</v>
      </c>
      <c r="AF124" s="186">
        <f t="shared" si="28"/>
        <v>9635.71425504116</v>
      </c>
      <c r="AG124" s="186">
        <f t="shared" si="28"/>
        <v>894.6856424551725</v>
      </c>
      <c r="AH124" s="186">
        <f t="shared" si="28"/>
        <v>715892.9149601933</v>
      </c>
      <c r="AI124" s="186">
        <f t="shared" si="28"/>
        <v>560529.7874542382</v>
      </c>
      <c r="AJ124" s="186">
        <f t="shared" si="28"/>
        <v>71995.86629442894</v>
      </c>
      <c r="AK124" s="186">
        <f t="shared" si="28"/>
        <v>175284.4692204921</v>
      </c>
      <c r="AL124" s="186">
        <f t="shared" si="28"/>
        <v>280079.8799780804</v>
      </c>
      <c r="AM124" s="186">
        <f t="shared" si="28"/>
        <v>5680.90085185471</v>
      </c>
      <c r="AN124" s="186">
        <f t="shared" si="28"/>
        <v>286526.2879842353</v>
      </c>
      <c r="AO124" s="186">
        <f t="shared" si="28"/>
        <v>613046.2380961576</v>
      </c>
      <c r="AP124" s="186">
        <f t="shared" si="28"/>
        <v>1399582.7500104713</v>
      </c>
      <c r="AQ124" s="186">
        <f t="shared" si="28"/>
        <v>10735.981382958571</v>
      </c>
      <c r="AR124" s="186">
        <f t="shared" si="28"/>
        <v>23333.360841041682</v>
      </c>
      <c r="AS124" s="186">
        <f t="shared" si="28"/>
        <v>52893.13380258061</v>
      </c>
      <c r="AT124" s="186">
        <f t="shared" si="28"/>
        <v>4153.282786302024</v>
      </c>
      <c r="AU124" s="186">
        <f t="shared" si="28"/>
        <v>6938.1829919116735</v>
      </c>
      <c r="AV124" s="186">
        <f t="shared" si="28"/>
        <v>13485.32612991182</v>
      </c>
      <c r="AW124" s="168">
        <f>SUM(G124:AV124)</f>
        <v>75410197.27770256</v>
      </c>
      <c r="AX124" s="175">
        <f t="shared" si="27"/>
        <v>-336.0922974348068</v>
      </c>
      <c r="AY124" s="175">
        <f>(AW124-F124)</f>
        <v>-336.0922974348068</v>
      </c>
    </row>
    <row r="125" spans="1:51" ht="12.75">
      <c r="A125" s="50">
        <v>116</v>
      </c>
      <c r="B125" s="173"/>
      <c r="C125" s="42"/>
      <c r="D125" s="50"/>
      <c r="E125" s="50"/>
      <c r="F125" s="165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168"/>
      <c r="AX125" s="175">
        <f t="shared" si="27"/>
        <v>0</v>
      </c>
      <c r="AY125" s="175"/>
    </row>
    <row r="126" spans="1:50" ht="12.75">
      <c r="A126" s="50">
        <v>117</v>
      </c>
      <c r="B126" s="173" t="s">
        <v>284</v>
      </c>
      <c r="C126" s="42"/>
      <c r="D126" s="50"/>
      <c r="E126" s="50"/>
      <c r="F126" s="165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168">
        <f>SUM(G126:AV126)</f>
        <v>0</v>
      </c>
      <c r="AX126" s="175">
        <f t="shared" si="27"/>
        <v>0</v>
      </c>
    </row>
    <row r="127" spans="1:50" ht="13.5" thickBot="1">
      <c r="A127" s="50">
        <v>118</v>
      </c>
      <c r="B127" s="173" t="s">
        <v>285</v>
      </c>
      <c r="C127" s="42"/>
      <c r="D127" s="213"/>
      <c r="E127" s="213"/>
      <c r="F127" s="214">
        <f>(F124-F121)</f>
        <v>1782604.3599999994</v>
      </c>
      <c r="G127" s="214">
        <f>(G124-G121)</f>
        <v>533143.6300529763</v>
      </c>
      <c r="H127" s="214">
        <f aca="true" t="shared" si="29" ref="H127:AC127">(H124-H121)</f>
        <v>0</v>
      </c>
      <c r="I127" s="214">
        <f t="shared" si="29"/>
        <v>677273.3077173121</v>
      </c>
      <c r="J127" s="214">
        <f>(J124-J121)</f>
        <v>0</v>
      </c>
      <c r="K127" s="214">
        <f t="shared" si="29"/>
        <v>0</v>
      </c>
      <c r="L127" s="214">
        <f t="shared" si="29"/>
        <v>945.5962365642845</v>
      </c>
      <c r="M127" s="214">
        <f t="shared" si="29"/>
        <v>118828.2179793301</v>
      </c>
      <c r="N127" s="214">
        <f t="shared" si="29"/>
        <v>0</v>
      </c>
      <c r="O127" s="214">
        <f t="shared" si="29"/>
        <v>46269.4775745332</v>
      </c>
      <c r="P127" s="214">
        <f t="shared" si="29"/>
        <v>0</v>
      </c>
      <c r="Q127" s="214">
        <f t="shared" si="29"/>
        <v>0</v>
      </c>
      <c r="R127" s="214">
        <f t="shared" si="29"/>
        <v>1.0982534687157681</v>
      </c>
      <c r="S127" s="214">
        <f t="shared" si="29"/>
        <v>119049.9298179117</v>
      </c>
      <c r="T127" s="214">
        <f t="shared" si="29"/>
        <v>0</v>
      </c>
      <c r="U127" s="214">
        <f t="shared" si="29"/>
        <v>7474.82386968864</v>
      </c>
      <c r="V127" s="214">
        <f t="shared" si="29"/>
        <v>21022.314092526096</v>
      </c>
      <c r="W127" s="214">
        <f t="shared" si="29"/>
        <v>0</v>
      </c>
      <c r="X127" s="214">
        <f t="shared" si="29"/>
        <v>80.70266240487717</v>
      </c>
      <c r="Y127" s="214">
        <f t="shared" si="29"/>
        <v>26223.286431135377</v>
      </c>
      <c r="Z127" s="214">
        <f t="shared" si="29"/>
        <v>0</v>
      </c>
      <c r="AA127" s="214">
        <f t="shared" si="29"/>
        <v>186.97636023543964</v>
      </c>
      <c r="AB127" s="214">
        <f t="shared" si="29"/>
        <v>30174.969968635356</v>
      </c>
      <c r="AC127" s="214">
        <f t="shared" si="29"/>
        <v>0</v>
      </c>
      <c r="AD127" s="214">
        <f>(AD124-AD121)</f>
        <v>250.58307308746907</v>
      </c>
      <c r="AE127" s="214">
        <f aca="true" t="shared" si="30" ref="AE127:AV127">(AE124-AE121)</f>
        <v>718.0863116980072</v>
      </c>
      <c r="AF127" s="214">
        <f t="shared" si="30"/>
        <v>0</v>
      </c>
      <c r="AG127" s="214">
        <f t="shared" si="30"/>
        <v>87.17308911958344</v>
      </c>
      <c r="AH127" s="214">
        <f t="shared" si="30"/>
        <v>28401.381909690564</v>
      </c>
      <c r="AI127" s="214">
        <f t="shared" si="30"/>
        <v>0</v>
      </c>
      <c r="AJ127" s="214">
        <f t="shared" si="30"/>
        <v>4485.722125645494</v>
      </c>
      <c r="AK127" s="214">
        <f t="shared" si="30"/>
        <v>8301.34485999975</v>
      </c>
      <c r="AL127" s="214">
        <f t="shared" si="30"/>
        <v>0</v>
      </c>
      <c r="AM127" s="214">
        <f t="shared" si="30"/>
        <v>429.2333286304074</v>
      </c>
      <c r="AN127" s="214">
        <f t="shared" si="30"/>
        <v>15085.201408789435</v>
      </c>
      <c r="AO127" s="214">
        <f t="shared" si="30"/>
        <v>0</v>
      </c>
      <c r="AP127" s="214">
        <f t="shared" si="30"/>
        <v>135613.7855302454</v>
      </c>
      <c r="AQ127" s="214">
        <f t="shared" si="30"/>
        <v>564.9395089778518</v>
      </c>
      <c r="AR127" s="214">
        <f t="shared" si="30"/>
        <v>0</v>
      </c>
      <c r="AS127" s="214">
        <f t="shared" si="30"/>
        <v>6162.864946373724</v>
      </c>
      <c r="AT127" s="214">
        <f t="shared" si="30"/>
        <v>219.89604651780428</v>
      </c>
      <c r="AU127" s="214">
        <f t="shared" si="30"/>
        <v>0</v>
      </c>
      <c r="AV127" s="214">
        <f t="shared" si="30"/>
        <v>1273.7245470823746</v>
      </c>
      <c r="AW127" s="168">
        <f>SUM(G127:AV127)</f>
        <v>1782268.2677025804</v>
      </c>
      <c r="AX127" s="175">
        <f t="shared" si="27"/>
        <v>-336.09229741897434</v>
      </c>
    </row>
    <row r="128" spans="1:49" ht="15.75" thickTop="1">
      <c r="A128" s="50">
        <v>119</v>
      </c>
      <c r="B128" s="173"/>
      <c r="C128" s="42"/>
      <c r="D128" s="50"/>
      <c r="E128" s="50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68"/>
    </row>
    <row r="129" spans="1:49" ht="15">
      <c r="A129" s="50">
        <v>120</v>
      </c>
      <c r="B129" s="173" t="s">
        <v>566</v>
      </c>
      <c r="C129" s="42" t="s">
        <v>24</v>
      </c>
      <c r="D129" s="50"/>
      <c r="E129" s="50"/>
      <c r="F129" s="147"/>
      <c r="G129" s="147"/>
      <c r="H129" s="147">
        <f>SUM(G124:I124)</f>
        <v>50725783.52461775</v>
      </c>
      <c r="I129" s="147"/>
      <c r="J129" s="147"/>
      <c r="K129" s="147">
        <f>SUM(J124:L124)</f>
        <v>391144.91642826167</v>
      </c>
      <c r="L129" s="147"/>
      <c r="M129" s="147"/>
      <c r="N129" s="147">
        <f>SUM(M124:O124)</f>
        <v>6135550.947978519</v>
      </c>
      <c r="O129" s="147"/>
      <c r="P129" s="147"/>
      <c r="Q129" s="147">
        <f>SUM(P124:R124)</f>
        <v>453.87752092886296</v>
      </c>
      <c r="R129" s="147"/>
      <c r="S129" s="147"/>
      <c r="T129" s="147">
        <f>SUM(S124:U124)</f>
        <v>8185760.051303562</v>
      </c>
      <c r="U129" s="147"/>
      <c r="V129" s="147"/>
      <c r="W129" s="147">
        <f>SUM(V124:X124)</f>
        <v>1685920.4836176205</v>
      </c>
      <c r="X129" s="147"/>
      <c r="Y129" s="147"/>
      <c r="Z129" s="147">
        <f>SUM(Y124:AA124)</f>
        <v>1987528.140486905</v>
      </c>
      <c r="AA129" s="147"/>
      <c r="AB129" s="147"/>
      <c r="AC129" s="147">
        <f>SUM(AB124:AD124)</f>
        <v>2057446.7077378854</v>
      </c>
      <c r="AD129" s="147"/>
      <c r="AE129" s="147"/>
      <c r="AF129" s="147">
        <f>SUM(AE124:AG124)</f>
        <v>20450.265226293915</v>
      </c>
      <c r="AG129" s="147"/>
      <c r="AH129" s="147"/>
      <c r="AI129" s="147">
        <f>SUM(AH124:AJ124)</f>
        <v>1348418.5687088605</v>
      </c>
      <c r="AJ129" s="147"/>
      <c r="AK129" s="147"/>
      <c r="AL129" s="147">
        <f>SUM(AK124:AM124)</f>
        <v>461045.25005042716</v>
      </c>
      <c r="AM129" s="147"/>
      <c r="AN129" s="147"/>
      <c r="AO129" s="147">
        <f>SUM(AN124:AP124)</f>
        <v>2299155.276090864</v>
      </c>
      <c r="AP129" s="147"/>
      <c r="AQ129" s="147"/>
      <c r="AR129" s="147">
        <f>SUM(AQ124:AS124)</f>
        <v>86962.47602658087</v>
      </c>
      <c r="AS129" s="147"/>
      <c r="AT129" s="147"/>
      <c r="AU129" s="147">
        <f>SUM(AT124:AV124)</f>
        <v>24576.791908125517</v>
      </c>
      <c r="AV129" s="147"/>
      <c r="AW129" s="168">
        <f>SUM(G129:AV129)</f>
        <v>75410197.27770258</v>
      </c>
    </row>
    <row r="130" spans="1:49" ht="15">
      <c r="A130" s="50">
        <v>121</v>
      </c>
      <c r="B130" s="173" t="s">
        <v>567</v>
      </c>
      <c r="C130" s="42"/>
      <c r="D130" s="50"/>
      <c r="E130" s="50"/>
      <c r="F130" s="165">
        <f>('Costs&amp;Margins'!F117-'RevReq-Rate Class'!F124)</f>
        <v>0</v>
      </c>
      <c r="G130" s="147"/>
      <c r="H130" s="147">
        <f>SUM(G121:I121)</f>
        <v>49515366.586847454</v>
      </c>
      <c r="I130" s="147"/>
      <c r="J130" s="147"/>
      <c r="K130" s="147">
        <f>SUM(J121:L121)</f>
        <v>390199.32019169733</v>
      </c>
      <c r="L130" s="147"/>
      <c r="M130" s="147"/>
      <c r="N130" s="147">
        <f>SUM(M121:O121)</f>
        <v>5970453.2524246555</v>
      </c>
      <c r="O130" s="147"/>
      <c r="P130" s="147"/>
      <c r="Q130" s="147">
        <f>SUM(P121:R121)</f>
        <v>452.7792674601472</v>
      </c>
      <c r="R130" s="147"/>
      <c r="S130" s="147"/>
      <c r="T130" s="147">
        <f>SUM(S121:U121)</f>
        <v>8059235.297615962</v>
      </c>
      <c r="U130" s="147"/>
      <c r="V130" s="147"/>
      <c r="W130" s="147">
        <f>SUM(V121:X121)</f>
        <v>1664817.4668626897</v>
      </c>
      <c r="X130" s="147"/>
      <c r="Y130" s="147"/>
      <c r="Z130" s="147">
        <f>SUM(Y121:AA121)</f>
        <v>1961117.8776955341</v>
      </c>
      <c r="AA130" s="147"/>
      <c r="AB130" s="147"/>
      <c r="AC130" s="147">
        <f>SUM(AB121:AD121)</f>
        <v>2027021.1546961628</v>
      </c>
      <c r="AD130" s="147"/>
      <c r="AE130" s="147"/>
      <c r="AF130" s="147">
        <f>SUM(AE121:AG121)</f>
        <v>19645.005825476324</v>
      </c>
      <c r="AG130" s="147"/>
      <c r="AH130" s="147"/>
      <c r="AI130" s="147">
        <f>SUM(AH121:AJ121)</f>
        <v>1315531.4646735243</v>
      </c>
      <c r="AJ130" s="147"/>
      <c r="AK130" s="147"/>
      <c r="AL130" s="147">
        <f>SUM(AK121:AM121)</f>
        <v>452314.67186179705</v>
      </c>
      <c r="AM130" s="147"/>
      <c r="AN130" s="147"/>
      <c r="AO130" s="147">
        <f>SUM(AN121:AP121)</f>
        <v>2148456.2891518297</v>
      </c>
      <c r="AP130" s="147"/>
      <c r="AQ130" s="147"/>
      <c r="AR130" s="147">
        <f>SUM(AQ121:AS121)</f>
        <v>80234.6715712293</v>
      </c>
      <c r="AS130" s="147"/>
      <c r="AT130" s="147"/>
      <c r="AU130" s="147">
        <f>SUM(AT121:AV121)</f>
        <v>23083.171314525338</v>
      </c>
      <c r="AV130" s="147"/>
      <c r="AW130" s="168"/>
    </row>
    <row r="131" spans="1:49" ht="12.75">
      <c r="A131" s="50"/>
      <c r="B131" s="42" t="s">
        <v>24</v>
      </c>
      <c r="C131" s="42"/>
      <c r="D131" s="50"/>
      <c r="E131" s="50"/>
      <c r="G131" s="42"/>
      <c r="H131" s="42"/>
      <c r="I131" s="42"/>
      <c r="J131" s="42" t="s">
        <v>24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168">
        <f aca="true" t="shared" si="31" ref="AW131:AW144">SUM(G131:AV131)</f>
        <v>0</v>
      </c>
    </row>
    <row r="132" spans="1:49" ht="12.75">
      <c r="A132" s="50"/>
      <c r="B132" s="42" t="s">
        <v>24</v>
      </c>
      <c r="C132" s="42"/>
      <c r="D132" s="50"/>
      <c r="E132" s="50"/>
      <c r="F132" s="215">
        <f>SUM(F29,F30,F50,F51,F65,F79,F99,F100,F115)</f>
        <v>2271337.9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168">
        <f t="shared" si="31"/>
        <v>0</v>
      </c>
    </row>
    <row r="133" spans="1:49" ht="12.75">
      <c r="A133" s="50"/>
      <c r="B133" s="42" t="s">
        <v>24</v>
      </c>
      <c r="C133" s="42"/>
      <c r="D133" s="50"/>
      <c r="E133" s="50"/>
      <c r="F133" s="68">
        <f>(497119+100134+46189-6347)</f>
        <v>637095</v>
      </c>
      <c r="G133" s="42" t="s">
        <v>24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168">
        <f t="shared" si="31"/>
        <v>0</v>
      </c>
    </row>
    <row r="134" spans="1:49" ht="12.75">
      <c r="A134" s="50"/>
      <c r="B134" s="42" t="s">
        <v>24</v>
      </c>
      <c r="C134" s="42"/>
      <c r="D134" s="50"/>
      <c r="E134" s="50"/>
      <c r="F134" s="165">
        <f>(F133-F132)</f>
        <v>-1634242.9</v>
      </c>
      <c r="G134" s="68" t="s">
        <v>24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168">
        <f t="shared" si="31"/>
        <v>0</v>
      </c>
    </row>
    <row r="135" spans="1:49" ht="12.75">
      <c r="A135" s="50"/>
      <c r="B135" s="42" t="s">
        <v>24</v>
      </c>
      <c r="C135" s="42"/>
      <c r="D135" s="50"/>
      <c r="E135" s="50"/>
      <c r="F135" s="68" t="s">
        <v>24</v>
      </c>
      <c r="G135" s="68" t="s">
        <v>24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168">
        <f t="shared" si="31"/>
        <v>0</v>
      </c>
    </row>
    <row r="136" spans="1:49" ht="12.75">
      <c r="A136" s="50"/>
      <c r="B136" s="173" t="s">
        <v>57</v>
      </c>
      <c r="C136" s="42"/>
      <c r="D136" s="50"/>
      <c r="E136" s="50"/>
      <c r="F136" s="68">
        <f>SUM(F12)</f>
        <v>51209863</v>
      </c>
      <c r="G136" s="68">
        <f aca="true" t="shared" si="32" ref="G136:AD136">SUM(G12)</f>
        <v>9280022.322339755</v>
      </c>
      <c r="H136" s="68">
        <f t="shared" si="32"/>
        <v>23639923.73503255</v>
      </c>
      <c r="I136" s="68">
        <f t="shared" si="32"/>
        <v>0</v>
      </c>
      <c r="J136" s="68">
        <f t="shared" si="32"/>
        <v>0</v>
      </c>
      <c r="K136" s="68">
        <f t="shared" si="32"/>
        <v>331459.36169574474</v>
      </c>
      <c r="L136" s="68">
        <f t="shared" si="32"/>
        <v>0</v>
      </c>
      <c r="M136" s="68">
        <f t="shared" si="32"/>
        <v>2094191.8010343267</v>
      </c>
      <c r="N136" s="68">
        <f t="shared" si="32"/>
        <v>1991196.680026013</v>
      </c>
      <c r="O136" s="68">
        <f t="shared" si="32"/>
        <v>0</v>
      </c>
      <c r="P136" s="68">
        <f t="shared" si="32"/>
        <v>0</v>
      </c>
      <c r="Q136" s="68">
        <f t="shared" si="32"/>
        <v>384.5563191489362</v>
      </c>
      <c r="R136" s="68">
        <f t="shared" si="32"/>
        <v>0</v>
      </c>
      <c r="S136" s="68">
        <f t="shared" si="32"/>
        <v>2032180.2721358433</v>
      </c>
      <c r="T136" s="68">
        <f t="shared" si="32"/>
        <v>4784242.044410074</v>
      </c>
      <c r="U136" s="68">
        <f t="shared" si="32"/>
        <v>0</v>
      </c>
      <c r="V136" s="68">
        <f t="shared" si="32"/>
        <v>404094.92400455615</v>
      </c>
      <c r="W136" s="68">
        <f t="shared" si="32"/>
        <v>1061311.404113625</v>
      </c>
      <c r="X136" s="68">
        <f t="shared" si="32"/>
        <v>0</v>
      </c>
      <c r="Y136" s="68">
        <f t="shared" si="32"/>
        <v>513709.9331533924</v>
      </c>
      <c r="Z136" s="68">
        <f t="shared" si="32"/>
        <v>1198412.6228565508</v>
      </c>
      <c r="AA136" s="68">
        <f t="shared" si="32"/>
        <v>0</v>
      </c>
      <c r="AB136" s="68">
        <f t="shared" si="32"/>
        <v>463986.25467522064</v>
      </c>
      <c r="AC136" s="68">
        <f t="shared" si="32"/>
        <v>1275439.431929824</v>
      </c>
      <c r="AD136" s="68">
        <f t="shared" si="32"/>
        <v>0</v>
      </c>
      <c r="AE136" s="68">
        <f aca="true" t="shared" si="33" ref="AE136:AJ136">SUM(AE12)</f>
        <v>2417.494825383763</v>
      </c>
      <c r="AF136" s="68">
        <f t="shared" si="33"/>
        <v>9635.71425504116</v>
      </c>
      <c r="AG136" s="68">
        <f t="shared" si="33"/>
        <v>0</v>
      </c>
      <c r="AH136" s="68">
        <f t="shared" si="33"/>
        <v>419163.0004299989</v>
      </c>
      <c r="AI136" s="68">
        <f t="shared" si="33"/>
        <v>560529.7874542382</v>
      </c>
      <c r="AJ136" s="68">
        <f t="shared" si="33"/>
        <v>0</v>
      </c>
      <c r="AK136" s="68">
        <f aca="true" t="shared" si="34" ref="AK136:AV136">SUM(AK12)</f>
        <v>88554.27564660276</v>
      </c>
      <c r="AL136" s="68">
        <f t="shared" si="34"/>
        <v>280079.8799780804</v>
      </c>
      <c r="AM136" s="68">
        <f t="shared" si="34"/>
        <v>0</v>
      </c>
      <c r="AN136" s="68">
        <f t="shared" si="34"/>
        <v>128920.20603603279</v>
      </c>
      <c r="AO136" s="68">
        <f t="shared" si="34"/>
        <v>613046.2380961576</v>
      </c>
      <c r="AP136" s="68">
        <f t="shared" si="34"/>
        <v>0</v>
      </c>
      <c r="AQ136" s="68">
        <f t="shared" si="34"/>
        <v>4833.647026596448</v>
      </c>
      <c r="AR136" s="68">
        <f t="shared" si="34"/>
        <v>23333.360841041682</v>
      </c>
      <c r="AS136" s="68">
        <f t="shared" si="34"/>
        <v>0</v>
      </c>
      <c r="AT136" s="68">
        <f t="shared" si="34"/>
        <v>1855.868692289476</v>
      </c>
      <c r="AU136" s="68">
        <f t="shared" si="34"/>
        <v>6938.1829919116735</v>
      </c>
      <c r="AV136" s="68">
        <f t="shared" si="34"/>
        <v>0</v>
      </c>
      <c r="AW136" s="168">
        <f t="shared" si="31"/>
        <v>51209863</v>
      </c>
    </row>
    <row r="137" spans="1:49" ht="12.75">
      <c r="A137" s="50"/>
      <c r="B137" s="173" t="s">
        <v>247</v>
      </c>
      <c r="C137" s="42"/>
      <c r="D137" s="50"/>
      <c r="E137" s="50"/>
      <c r="F137" s="165">
        <f aca="true" t="shared" si="35" ref="F137:AV137">SUM(F15,F16,F35,F36,F56,F70,F84,F85,F105,F106)</f>
        <v>11137780.35</v>
      </c>
      <c r="G137" s="165">
        <f t="shared" si="35"/>
        <v>1991472.0217764643</v>
      </c>
      <c r="H137" s="165">
        <f t="shared" si="35"/>
        <v>0</v>
      </c>
      <c r="I137" s="165">
        <f t="shared" si="35"/>
        <v>6679788.259770489</v>
      </c>
      <c r="J137" s="165">
        <f t="shared" si="35"/>
        <v>0</v>
      </c>
      <c r="K137" s="165">
        <f t="shared" si="35"/>
        <v>0</v>
      </c>
      <c r="L137" s="165">
        <f t="shared" si="35"/>
        <v>40687.40570471762</v>
      </c>
      <c r="M137" s="165">
        <f t="shared" si="35"/>
        <v>443863.63854685344</v>
      </c>
      <c r="N137" s="165">
        <f t="shared" si="35"/>
        <v>0</v>
      </c>
      <c r="O137" s="165">
        <f t="shared" si="35"/>
        <v>432706.7775305846</v>
      </c>
      <c r="P137" s="165">
        <f t="shared" si="35"/>
        <v>0</v>
      </c>
      <c r="Q137" s="165">
        <f t="shared" si="35"/>
        <v>0</v>
      </c>
      <c r="R137" s="165">
        <f t="shared" si="35"/>
        <v>47.25598804264533</v>
      </c>
      <c r="S137" s="165">
        <f t="shared" si="35"/>
        <v>444691.807352674</v>
      </c>
      <c r="T137" s="165">
        <f t="shared" si="35"/>
        <v>0</v>
      </c>
      <c r="U137" s="165">
        <f t="shared" si="35"/>
        <v>69288.44744296948</v>
      </c>
      <c r="V137" s="165">
        <f t="shared" si="35"/>
        <v>78525.46291156599</v>
      </c>
      <c r="W137" s="165">
        <f t="shared" si="35"/>
        <v>0</v>
      </c>
      <c r="X137" s="165">
        <f t="shared" si="35"/>
        <v>271.313022566752</v>
      </c>
      <c r="Y137" s="165">
        <f t="shared" si="35"/>
        <v>97952.85604640406</v>
      </c>
      <c r="Z137" s="165">
        <f t="shared" si="35"/>
        <v>0</v>
      </c>
      <c r="AA137" s="165">
        <f t="shared" si="35"/>
        <v>143.90400003856968</v>
      </c>
      <c r="AB137" s="165">
        <f t="shared" si="35"/>
        <v>112713.73240361376</v>
      </c>
      <c r="AC137" s="165">
        <f t="shared" si="35"/>
        <v>0</v>
      </c>
      <c r="AD137" s="165">
        <f t="shared" si="35"/>
        <v>914.8444928969722</v>
      </c>
      <c r="AE137" s="165">
        <f t="shared" si="35"/>
        <v>2682.2955735683036</v>
      </c>
      <c r="AF137" s="165">
        <f t="shared" si="35"/>
        <v>0</v>
      </c>
      <c r="AG137" s="165">
        <f t="shared" si="35"/>
        <v>284.85459393197067</v>
      </c>
      <c r="AH137" s="165">
        <f t="shared" si="35"/>
        <v>106088.7803298269</v>
      </c>
      <c r="AI137" s="165">
        <f t="shared" si="35"/>
        <v>0</v>
      </c>
      <c r="AJ137" s="165">
        <f t="shared" si="35"/>
        <v>39146.82821432217</v>
      </c>
      <c r="AK137" s="165">
        <f t="shared" si="35"/>
        <v>31008.334527348215</v>
      </c>
      <c r="AL137" s="165">
        <f t="shared" si="35"/>
        <v>0</v>
      </c>
      <c r="AM137" s="165">
        <f t="shared" si="35"/>
        <v>2617.1113142207582</v>
      </c>
      <c r="AN137" s="165">
        <f t="shared" si="35"/>
        <v>56348.33627381426</v>
      </c>
      <c r="AO137" s="165">
        <f t="shared" si="35"/>
        <v>0</v>
      </c>
      <c r="AP137" s="165">
        <f t="shared" si="35"/>
        <v>489290.2167492549</v>
      </c>
      <c r="AQ137" s="165">
        <f t="shared" si="35"/>
        <v>2110.2403980963436</v>
      </c>
      <c r="AR137" s="165">
        <f t="shared" si="35"/>
        <v>0</v>
      </c>
      <c r="AS137" s="165">
        <f t="shared" si="35"/>
        <v>11343.94723037916</v>
      </c>
      <c r="AT137" s="165">
        <f t="shared" si="35"/>
        <v>821.3862074952482</v>
      </c>
      <c r="AU137" s="165">
        <f t="shared" si="35"/>
        <v>0</v>
      </c>
      <c r="AV137" s="165">
        <f t="shared" si="35"/>
        <v>2970.291597860627</v>
      </c>
      <c r="AW137" s="168">
        <f t="shared" si="31"/>
        <v>11137780.350000001</v>
      </c>
    </row>
    <row r="138" spans="1:49" ht="12.75">
      <c r="A138" s="50"/>
      <c r="B138" s="173" t="s">
        <v>225</v>
      </c>
      <c r="C138" s="42"/>
      <c r="D138" s="50"/>
      <c r="E138" s="50"/>
      <c r="F138" s="165">
        <f aca="true" t="shared" si="36" ref="F138:AV138">SUM(F17,F18,F37,F38,F57,F71,F86,F87,F107)</f>
        <v>2863870.42</v>
      </c>
      <c r="G138" s="165">
        <f t="shared" si="36"/>
        <v>529157.0186734746</v>
      </c>
      <c r="H138" s="165">
        <f t="shared" si="36"/>
        <v>0</v>
      </c>
      <c r="I138" s="165">
        <f t="shared" si="36"/>
        <v>1679456.7176806587</v>
      </c>
      <c r="J138" s="165">
        <f t="shared" si="36"/>
        <v>0</v>
      </c>
      <c r="K138" s="165">
        <f t="shared" si="36"/>
        <v>0</v>
      </c>
      <c r="L138" s="165">
        <f t="shared" si="36"/>
        <v>13557.647053133303</v>
      </c>
      <c r="M138" s="165">
        <f t="shared" si="36"/>
        <v>117939.67331838189</v>
      </c>
      <c r="N138" s="165">
        <f t="shared" si="36"/>
        <v>0</v>
      </c>
      <c r="O138" s="165">
        <f t="shared" si="36"/>
        <v>111151.06603702286</v>
      </c>
      <c r="P138" s="165">
        <f t="shared" si="36"/>
        <v>0</v>
      </c>
      <c r="Q138" s="165">
        <f t="shared" si="36"/>
        <v>0</v>
      </c>
      <c r="R138" s="165">
        <f t="shared" si="36"/>
        <v>15.746396112814521</v>
      </c>
      <c r="S138" s="165">
        <f t="shared" si="36"/>
        <v>118159.72729426224</v>
      </c>
      <c r="T138" s="165">
        <f t="shared" si="36"/>
        <v>0</v>
      </c>
      <c r="U138" s="165">
        <f t="shared" si="36"/>
        <v>13477.721551965853</v>
      </c>
      <c r="V138" s="165">
        <f t="shared" si="36"/>
        <v>20865.118560477</v>
      </c>
      <c r="W138" s="165">
        <f t="shared" si="36"/>
        <v>0</v>
      </c>
      <c r="X138" s="165">
        <f t="shared" si="36"/>
        <v>145.6480251112617</v>
      </c>
      <c r="Y138" s="165">
        <f t="shared" si="36"/>
        <v>26027.200336879854</v>
      </c>
      <c r="Z138" s="165">
        <f t="shared" si="36"/>
        <v>0</v>
      </c>
      <c r="AA138" s="165">
        <f t="shared" si="36"/>
        <v>218.35264471485783</v>
      </c>
      <c r="AB138" s="165">
        <f t="shared" si="36"/>
        <v>29949.33493921352</v>
      </c>
      <c r="AC138" s="165">
        <f t="shared" si="36"/>
        <v>0</v>
      </c>
      <c r="AD138" s="165">
        <f t="shared" si="36"/>
        <v>412.5813775827469</v>
      </c>
      <c r="AE138" s="165">
        <f t="shared" si="36"/>
        <v>712.7167810493993</v>
      </c>
      <c r="AF138" s="165">
        <f t="shared" si="36"/>
        <v>0</v>
      </c>
      <c r="AG138" s="165">
        <f t="shared" si="36"/>
        <v>111.15047955982712</v>
      </c>
      <c r="AH138" s="165">
        <f t="shared" si="36"/>
        <v>28189.008984399177</v>
      </c>
      <c r="AI138" s="165">
        <f t="shared" si="36"/>
        <v>0</v>
      </c>
      <c r="AJ138" s="165">
        <f t="shared" si="36"/>
        <v>7184.415480747543</v>
      </c>
      <c r="AK138" s="165">
        <f t="shared" si="36"/>
        <v>8239.271088470816</v>
      </c>
      <c r="AL138" s="165">
        <f t="shared" si="36"/>
        <v>0</v>
      </c>
      <c r="AM138" s="165">
        <f t="shared" si="36"/>
        <v>608.1727519377129</v>
      </c>
      <c r="AN138" s="165">
        <f t="shared" si="36"/>
        <v>14972.400969642555</v>
      </c>
      <c r="AO138" s="165">
        <f t="shared" si="36"/>
        <v>0</v>
      </c>
      <c r="AP138" s="165">
        <f t="shared" si="36"/>
        <v>134599.72584700692</v>
      </c>
      <c r="AQ138" s="165">
        <f t="shared" si="36"/>
        <v>560.715142131345</v>
      </c>
      <c r="AR138" s="165">
        <f t="shared" si="36"/>
        <v>0</v>
      </c>
      <c r="AS138" s="165">
        <f t="shared" si="36"/>
        <v>6297.962336255132</v>
      </c>
      <c r="AT138" s="165">
        <f t="shared" si="36"/>
        <v>218.25176150352394</v>
      </c>
      <c r="AU138" s="165">
        <f t="shared" si="36"/>
        <v>0</v>
      </c>
      <c r="AV138" s="165">
        <f t="shared" si="36"/>
        <v>1643.0744883041189</v>
      </c>
      <c r="AW138" s="168">
        <f t="shared" si="31"/>
        <v>2863870.419999999</v>
      </c>
    </row>
    <row r="139" spans="1:49" ht="12.75">
      <c r="A139" s="50"/>
      <c r="B139" s="173" t="s">
        <v>226</v>
      </c>
      <c r="C139" s="42"/>
      <c r="D139" s="50"/>
      <c r="E139" s="50"/>
      <c r="F139" s="165">
        <f aca="true" t="shared" si="37" ref="F139:AV139">SUM(F19,F20,F39,F40,F58,F72,F88,F89,F108)</f>
        <v>4328019.16</v>
      </c>
      <c r="G139" s="165">
        <f t="shared" si="37"/>
        <v>1293604.1735591982</v>
      </c>
      <c r="H139" s="165">
        <f t="shared" si="37"/>
        <v>0</v>
      </c>
      <c r="I139" s="165">
        <f t="shared" si="37"/>
        <v>1645855.8577003845</v>
      </c>
      <c r="J139" s="165">
        <f t="shared" si="37"/>
        <v>0</v>
      </c>
      <c r="K139" s="165">
        <f t="shared" si="37"/>
        <v>0</v>
      </c>
      <c r="L139" s="165">
        <f t="shared" si="37"/>
        <v>2326.1844931743244</v>
      </c>
      <c r="M139" s="165">
        <f t="shared" si="37"/>
        <v>288321.3266552389</v>
      </c>
      <c r="N139" s="165">
        <f t="shared" si="37"/>
        <v>0</v>
      </c>
      <c r="O139" s="165">
        <f t="shared" si="37"/>
        <v>112431.37465631873</v>
      </c>
      <c r="P139" s="165">
        <f t="shared" si="37"/>
        <v>0</v>
      </c>
      <c r="Q139" s="165">
        <f t="shared" si="37"/>
        <v>0</v>
      </c>
      <c r="R139" s="165">
        <f t="shared" si="37"/>
        <v>2.701724150028251</v>
      </c>
      <c r="S139" s="165">
        <f t="shared" si="37"/>
        <v>288859.28180193756</v>
      </c>
      <c r="T139" s="165">
        <f t="shared" si="37"/>
        <v>0</v>
      </c>
      <c r="U139" s="165">
        <f t="shared" si="37"/>
        <v>18151.971281455262</v>
      </c>
      <c r="V139" s="165">
        <f t="shared" si="37"/>
        <v>51007.9305369583</v>
      </c>
      <c r="W139" s="165">
        <f t="shared" si="37"/>
        <v>0</v>
      </c>
      <c r="X139" s="165">
        <f t="shared" si="37"/>
        <v>195.97986128190087</v>
      </c>
      <c r="Y139" s="165">
        <f t="shared" si="37"/>
        <v>63627.41831574405</v>
      </c>
      <c r="Z139" s="165">
        <f t="shared" si="37"/>
        <v>0</v>
      </c>
      <c r="AA139" s="165">
        <f t="shared" si="37"/>
        <v>453.7566299194953</v>
      </c>
      <c r="AB139" s="165">
        <f t="shared" si="37"/>
        <v>73215.66813913075</v>
      </c>
      <c r="AC139" s="165">
        <f t="shared" si="37"/>
        <v>0</v>
      </c>
      <c r="AD139" s="165">
        <f t="shared" si="37"/>
        <v>608.4206492893207</v>
      </c>
      <c r="AE139" s="165">
        <f t="shared" si="37"/>
        <v>1742.3437089475701</v>
      </c>
      <c r="AF139" s="165">
        <f t="shared" si="37"/>
        <v>0</v>
      </c>
      <c r="AG139" s="165">
        <f t="shared" si="37"/>
        <v>211.576343224112</v>
      </c>
      <c r="AH139" s="165">
        <f t="shared" si="37"/>
        <v>68912.28573728533</v>
      </c>
      <c r="AI139" s="165">
        <f t="shared" si="37"/>
        <v>0</v>
      </c>
      <c r="AJ139" s="165">
        <f t="shared" si="37"/>
        <v>10890.914442725729</v>
      </c>
      <c r="AK139" s="165">
        <f t="shared" si="37"/>
        <v>20142.14135125817</v>
      </c>
      <c r="AL139" s="165">
        <f t="shared" si="37"/>
        <v>0</v>
      </c>
      <c r="AM139" s="165">
        <f t="shared" si="37"/>
        <v>1041.9385081160206</v>
      </c>
      <c r="AN139" s="165">
        <f t="shared" si="37"/>
        <v>36602.293268423935</v>
      </c>
      <c r="AO139" s="165">
        <f t="shared" si="37"/>
        <v>0</v>
      </c>
      <c r="AP139" s="165">
        <f t="shared" si="37"/>
        <v>329049.3387994821</v>
      </c>
      <c r="AQ139" s="165">
        <f t="shared" si="37"/>
        <v>1370.7527679728892</v>
      </c>
      <c r="AR139" s="165">
        <f t="shared" si="37"/>
        <v>0</v>
      </c>
      <c r="AS139" s="165">
        <f t="shared" si="37"/>
        <v>14953.852803610816</v>
      </c>
      <c r="AT139" s="165">
        <f t="shared" si="37"/>
        <v>533.5493617289101</v>
      </c>
      <c r="AU139" s="165">
        <f t="shared" si="37"/>
        <v>0</v>
      </c>
      <c r="AV139" s="165">
        <f t="shared" si="37"/>
        <v>3906.1269030429366</v>
      </c>
      <c r="AW139" s="168">
        <f t="shared" si="31"/>
        <v>4328019.160000001</v>
      </c>
    </row>
    <row r="140" spans="1:49" ht="12.75">
      <c r="A140" s="50"/>
      <c r="B140" s="173" t="s">
        <v>227</v>
      </c>
      <c r="C140" s="42"/>
      <c r="D140" s="50"/>
      <c r="E140" s="50"/>
      <c r="F140" s="165">
        <f aca="true" t="shared" si="38" ref="F140:AV140">SUM(F21,F22,F41,F42,F59,F73,F90,F91,F109)</f>
        <v>4088396.08</v>
      </c>
      <c r="G140" s="165">
        <f t="shared" si="38"/>
        <v>1222762.8160774587</v>
      </c>
      <c r="H140" s="165">
        <f t="shared" si="38"/>
        <v>0</v>
      </c>
      <c r="I140" s="165">
        <f t="shared" si="38"/>
        <v>1553323.6642370229</v>
      </c>
      <c r="J140" s="165">
        <f t="shared" si="38"/>
        <v>0</v>
      </c>
      <c r="K140" s="165">
        <f t="shared" si="38"/>
        <v>0</v>
      </c>
      <c r="L140" s="165">
        <f t="shared" si="38"/>
        <v>2168.7212449273825</v>
      </c>
      <c r="M140" s="165">
        <f t="shared" si="38"/>
        <v>272532.0500058014</v>
      </c>
      <c r="N140" s="165">
        <f t="shared" si="38"/>
        <v>0</v>
      </c>
      <c r="O140" s="165">
        <f t="shared" si="38"/>
        <v>106118.86461411393</v>
      </c>
      <c r="P140" s="165">
        <f t="shared" si="38"/>
        <v>0</v>
      </c>
      <c r="Q140" s="165">
        <f t="shared" si="38"/>
        <v>0</v>
      </c>
      <c r="R140" s="165">
        <f t="shared" si="38"/>
        <v>2.5188400057228604</v>
      </c>
      <c r="S140" s="165">
        <f t="shared" si="38"/>
        <v>273040.5452345163</v>
      </c>
      <c r="T140" s="165">
        <f t="shared" si="38"/>
        <v>0</v>
      </c>
      <c r="U140" s="165">
        <f t="shared" si="38"/>
        <v>17143.479110263972</v>
      </c>
      <c r="V140" s="165">
        <f t="shared" si="38"/>
        <v>48214.59458811827</v>
      </c>
      <c r="W140" s="165">
        <f t="shared" si="38"/>
        <v>0</v>
      </c>
      <c r="X140" s="165">
        <f t="shared" si="38"/>
        <v>185.09123842918447</v>
      </c>
      <c r="Y140" s="165">
        <f t="shared" si="38"/>
        <v>60143.004165978215</v>
      </c>
      <c r="Z140" s="165">
        <f t="shared" si="38"/>
        <v>0</v>
      </c>
      <c r="AA140" s="165">
        <f t="shared" si="38"/>
        <v>428.8295459118251</v>
      </c>
      <c r="AB140" s="165">
        <f t="shared" si="38"/>
        <v>69206.17479802782</v>
      </c>
      <c r="AC140" s="165">
        <f t="shared" si="38"/>
        <v>0</v>
      </c>
      <c r="AD140" s="165">
        <f t="shared" si="38"/>
        <v>574.7112913631389</v>
      </c>
      <c r="AE140" s="165">
        <f t="shared" si="38"/>
        <v>1646.9281281505387</v>
      </c>
      <c r="AF140" s="165">
        <f t="shared" si="38"/>
        <v>0</v>
      </c>
      <c r="AG140" s="165">
        <f t="shared" si="38"/>
        <v>199.9311366196792</v>
      </c>
      <c r="AH140" s="165">
        <f t="shared" si="38"/>
        <v>65138.45756899255</v>
      </c>
      <c r="AI140" s="165">
        <f t="shared" si="38"/>
        <v>0</v>
      </c>
      <c r="AJ140" s="165">
        <f t="shared" si="38"/>
        <v>10287.986030988004</v>
      </c>
      <c r="AK140" s="165">
        <f t="shared" si="38"/>
        <v>19039.101746812343</v>
      </c>
      <c r="AL140" s="165">
        <f t="shared" si="38"/>
        <v>0</v>
      </c>
      <c r="AM140" s="165">
        <f t="shared" si="38"/>
        <v>984.4449489498106</v>
      </c>
      <c r="AN140" s="165">
        <f t="shared" si="38"/>
        <v>34597.85002753234</v>
      </c>
      <c r="AO140" s="165">
        <f t="shared" si="38"/>
        <v>0</v>
      </c>
      <c r="AP140" s="165">
        <f t="shared" si="38"/>
        <v>311029.683084482</v>
      </c>
      <c r="AQ140" s="165">
        <f t="shared" si="38"/>
        <v>1295.6865391836945</v>
      </c>
      <c r="AR140" s="165">
        <f t="shared" si="38"/>
        <v>0</v>
      </c>
      <c r="AS140" s="165">
        <f t="shared" si="38"/>
        <v>14134.506485961783</v>
      </c>
      <c r="AT140" s="165">
        <f t="shared" si="38"/>
        <v>504.33071676706146</v>
      </c>
      <c r="AU140" s="165">
        <f t="shared" si="38"/>
        <v>0</v>
      </c>
      <c r="AV140" s="165">
        <f t="shared" si="38"/>
        <v>3692.1085936217623</v>
      </c>
      <c r="AW140" s="168">
        <f t="shared" si="31"/>
        <v>4088396.08</v>
      </c>
    </row>
    <row r="141" spans="1:49" ht="12.75">
      <c r="A141" s="50"/>
      <c r="B141" s="42" t="s">
        <v>24</v>
      </c>
      <c r="C141" s="42"/>
      <c r="D141" s="50"/>
      <c r="E141" s="50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8">
        <f t="shared" si="31"/>
        <v>0</v>
      </c>
    </row>
    <row r="142" spans="1:49" ht="12.75">
      <c r="A142" s="50"/>
      <c r="B142" s="42" t="s">
        <v>24</v>
      </c>
      <c r="C142" s="42"/>
      <c r="D142" s="50"/>
      <c r="E142" s="50"/>
      <c r="F142" s="165">
        <f>SUM(F136:F140)</f>
        <v>73627929.01</v>
      </c>
      <c r="G142" s="165">
        <f>SUM(G136:G140)</f>
        <v>14317018.35242635</v>
      </c>
      <c r="H142" s="165">
        <f aca="true" t="shared" si="39" ref="H142:AD142">SUM(H136:H140)</f>
        <v>23639923.73503255</v>
      </c>
      <c r="I142" s="165">
        <f t="shared" si="39"/>
        <v>11558424.499388555</v>
      </c>
      <c r="J142" s="165">
        <f t="shared" si="39"/>
        <v>0</v>
      </c>
      <c r="K142" s="165">
        <f t="shared" si="39"/>
        <v>331459.36169574474</v>
      </c>
      <c r="L142" s="165">
        <f>SUM(L136:L140)</f>
        <v>58739.958495952626</v>
      </c>
      <c r="M142" s="165">
        <f t="shared" si="39"/>
        <v>3216848.489560602</v>
      </c>
      <c r="N142" s="165">
        <f t="shared" si="39"/>
        <v>1991196.680026013</v>
      </c>
      <c r="O142" s="165">
        <f t="shared" si="39"/>
        <v>762408.0828380401</v>
      </c>
      <c r="P142" s="165">
        <f t="shared" si="39"/>
        <v>0</v>
      </c>
      <c r="Q142" s="165">
        <f t="shared" si="39"/>
        <v>384.5563191489362</v>
      </c>
      <c r="R142" s="165">
        <f t="shared" si="39"/>
        <v>68.22294831121097</v>
      </c>
      <c r="S142" s="165">
        <f t="shared" si="39"/>
        <v>3156931.633819233</v>
      </c>
      <c r="T142" s="165">
        <f t="shared" si="39"/>
        <v>4784242.044410074</v>
      </c>
      <c r="U142" s="165">
        <f t="shared" si="39"/>
        <v>118061.61938665457</v>
      </c>
      <c r="V142" s="165">
        <f t="shared" si="39"/>
        <v>602708.0306016757</v>
      </c>
      <c r="W142" s="165">
        <f t="shared" si="39"/>
        <v>1061311.404113625</v>
      </c>
      <c r="X142" s="165">
        <f t="shared" si="39"/>
        <v>798.0321473890991</v>
      </c>
      <c r="Y142" s="165">
        <f t="shared" si="39"/>
        <v>761460.4120183985</v>
      </c>
      <c r="Z142" s="165">
        <f t="shared" si="39"/>
        <v>1198412.6228565508</v>
      </c>
      <c r="AA142" s="165">
        <f t="shared" si="39"/>
        <v>1244.8428205847479</v>
      </c>
      <c r="AB142" s="165">
        <f t="shared" si="39"/>
        <v>749071.1649552064</v>
      </c>
      <c r="AC142" s="165">
        <f t="shared" si="39"/>
        <v>1275439.431929824</v>
      </c>
      <c r="AD142" s="165">
        <f t="shared" si="39"/>
        <v>2510.557811132179</v>
      </c>
      <c r="AE142" s="165">
        <f aca="true" t="shared" si="40" ref="AE142:AJ142">SUM(AE136:AE140)</f>
        <v>9201.779017099574</v>
      </c>
      <c r="AF142" s="165">
        <f t="shared" si="40"/>
        <v>9635.71425504116</v>
      </c>
      <c r="AG142" s="165">
        <f t="shared" si="40"/>
        <v>807.512553335589</v>
      </c>
      <c r="AH142" s="165">
        <f t="shared" si="40"/>
        <v>687491.5330505028</v>
      </c>
      <c r="AI142" s="165">
        <f t="shared" si="40"/>
        <v>560529.7874542382</v>
      </c>
      <c r="AJ142" s="165">
        <f t="shared" si="40"/>
        <v>67510.14416878344</v>
      </c>
      <c r="AK142" s="165">
        <f aca="true" t="shared" si="41" ref="AK142:AV142">SUM(AK136:AK140)</f>
        <v>166983.1243604923</v>
      </c>
      <c r="AL142" s="165">
        <f t="shared" si="41"/>
        <v>280079.8799780804</v>
      </c>
      <c r="AM142" s="165">
        <f t="shared" si="41"/>
        <v>5251.6675232243015</v>
      </c>
      <c r="AN142" s="165">
        <f t="shared" si="41"/>
        <v>271441.0865754459</v>
      </c>
      <c r="AO142" s="165">
        <f t="shared" si="41"/>
        <v>613046.2380961576</v>
      </c>
      <c r="AP142" s="165">
        <f t="shared" si="41"/>
        <v>1263968.964480226</v>
      </c>
      <c r="AQ142" s="165">
        <f t="shared" si="41"/>
        <v>10171.041873980721</v>
      </c>
      <c r="AR142" s="165">
        <f t="shared" si="41"/>
        <v>23333.360841041682</v>
      </c>
      <c r="AS142" s="165">
        <f t="shared" si="41"/>
        <v>46730.268856206894</v>
      </c>
      <c r="AT142" s="165">
        <f t="shared" si="41"/>
        <v>3933.38673978422</v>
      </c>
      <c r="AU142" s="165">
        <f t="shared" si="41"/>
        <v>6938.1829919116735</v>
      </c>
      <c r="AV142" s="165">
        <f t="shared" si="41"/>
        <v>12211.601582829446</v>
      </c>
      <c r="AW142" s="168">
        <f t="shared" si="31"/>
        <v>73627929.00999998</v>
      </c>
    </row>
    <row r="143" spans="1:49" s="220" customFormat="1" ht="15">
      <c r="A143" s="216"/>
      <c r="B143" s="217" t="s">
        <v>24</v>
      </c>
      <c r="C143" s="217"/>
      <c r="D143" s="216"/>
      <c r="E143" s="216"/>
      <c r="F143" s="218"/>
      <c r="G143" s="217"/>
      <c r="H143" s="219">
        <f>SUM(G142:I142)</f>
        <v>49515366.586847454</v>
      </c>
      <c r="I143" s="217"/>
      <c r="J143" s="217"/>
      <c r="K143" s="219">
        <f>SUM(J142:L142)</f>
        <v>390199.32019169733</v>
      </c>
      <c r="L143" s="217"/>
      <c r="M143" s="217"/>
      <c r="N143" s="219">
        <f>SUM(M142:O142)</f>
        <v>5970453.2524246555</v>
      </c>
      <c r="O143" s="217"/>
      <c r="P143" s="217"/>
      <c r="Q143" s="219">
        <f>SUM(P142:R142)</f>
        <v>452.7792674601472</v>
      </c>
      <c r="R143" s="217"/>
      <c r="S143" s="217"/>
      <c r="T143" s="219">
        <f>SUM(S142:U142)</f>
        <v>8059235.297615962</v>
      </c>
      <c r="U143" s="217"/>
      <c r="V143" s="217"/>
      <c r="W143" s="219">
        <f>SUM(V142:X142)</f>
        <v>1664817.46686269</v>
      </c>
      <c r="X143" s="217"/>
      <c r="Y143" s="217"/>
      <c r="Z143" s="219">
        <f>SUM(Y142:AA142)</f>
        <v>1961117.8776955341</v>
      </c>
      <c r="AA143" s="217"/>
      <c r="AB143" s="217"/>
      <c r="AC143" s="219">
        <f>SUM(AB142:AD142)</f>
        <v>2027021.1546961626</v>
      </c>
      <c r="AD143" s="217"/>
      <c r="AE143" s="217"/>
      <c r="AF143" s="219">
        <f>SUM(AE142:AG142)</f>
        <v>19645.005825476324</v>
      </c>
      <c r="AG143" s="217"/>
      <c r="AH143" s="217"/>
      <c r="AI143" s="219">
        <f>SUM(AH142:AJ142)</f>
        <v>1315531.4646735243</v>
      </c>
      <c r="AJ143" s="217"/>
      <c r="AK143" s="217"/>
      <c r="AL143" s="219">
        <f>SUM(AK142:AM142)</f>
        <v>452314.67186179705</v>
      </c>
      <c r="AM143" s="217"/>
      <c r="AN143" s="217"/>
      <c r="AO143" s="221">
        <f>SUM(AN142:AP142)</f>
        <v>2148456.2891518297</v>
      </c>
      <c r="AP143" s="217"/>
      <c r="AQ143" s="217"/>
      <c r="AR143" s="219">
        <f>SUM(AQ142:AS142)</f>
        <v>80234.6715712293</v>
      </c>
      <c r="AS143" s="217"/>
      <c r="AT143" s="217"/>
      <c r="AU143" s="219">
        <f>SUM(AT142:AV142)</f>
        <v>23083.171314525338</v>
      </c>
      <c r="AV143" s="217"/>
      <c r="AW143" s="219">
        <f t="shared" si="31"/>
        <v>73627929.00999999</v>
      </c>
    </row>
    <row r="144" spans="1:49" ht="12.75">
      <c r="A144" s="50"/>
      <c r="B144" s="42" t="s">
        <v>249</v>
      </c>
      <c r="C144" s="42"/>
      <c r="D144" s="50"/>
      <c r="E144" s="50"/>
      <c r="F144" s="165">
        <f aca="true" t="shared" si="42" ref="F144:AV144">SUM(F29,F30,F50,F51,F79,F99,F100,F115,F65)</f>
        <v>2271337.9000000004</v>
      </c>
      <c r="G144" s="165">
        <f t="shared" si="42"/>
        <v>679314.6927358028</v>
      </c>
      <c r="H144" s="165">
        <f t="shared" si="42"/>
        <v>0</v>
      </c>
      <c r="I144" s="165">
        <f t="shared" si="42"/>
        <v>862960.153691475</v>
      </c>
      <c r="J144" s="165">
        <f t="shared" si="42"/>
        <v>0</v>
      </c>
      <c r="K144" s="165">
        <f t="shared" si="42"/>
        <v>0</v>
      </c>
      <c r="L144" s="165">
        <f t="shared" si="42"/>
        <v>1204.8487137133607</v>
      </c>
      <c r="M144" s="165">
        <f t="shared" si="42"/>
        <v>151407.1440316203</v>
      </c>
      <c r="N144" s="165">
        <f t="shared" si="42"/>
        <v>0</v>
      </c>
      <c r="O144" s="165">
        <f t="shared" si="42"/>
        <v>58955.09984517103</v>
      </c>
      <c r="P144" s="165">
        <f t="shared" si="42"/>
        <v>0</v>
      </c>
      <c r="Q144" s="165">
        <f t="shared" si="42"/>
        <v>0</v>
      </c>
      <c r="R144" s="165">
        <f t="shared" si="42"/>
        <v>1.3993597139528</v>
      </c>
      <c r="S144" s="165">
        <f t="shared" si="42"/>
        <v>151689.6422197483</v>
      </c>
      <c r="T144" s="165">
        <f t="shared" si="42"/>
        <v>0</v>
      </c>
      <c r="U144" s="165">
        <f t="shared" si="42"/>
        <v>9524.183342089704</v>
      </c>
      <c r="V144" s="165">
        <f t="shared" si="42"/>
        <v>26785.96541975158</v>
      </c>
      <c r="W144" s="165">
        <f t="shared" si="42"/>
        <v>0</v>
      </c>
      <c r="X144" s="165">
        <f t="shared" si="42"/>
        <v>102.8287711307421</v>
      </c>
      <c r="Y144" s="165">
        <f t="shared" si="42"/>
        <v>33412.87930743839</v>
      </c>
      <c r="Z144" s="165">
        <f t="shared" si="42"/>
        <v>0</v>
      </c>
      <c r="AA144" s="165">
        <f t="shared" si="42"/>
        <v>238.23934403863296</v>
      </c>
      <c r="AB144" s="165">
        <f t="shared" si="42"/>
        <v>38447.98905412937</v>
      </c>
      <c r="AC144" s="165">
        <f t="shared" si="42"/>
        <v>0</v>
      </c>
      <c r="AD144" s="165">
        <f t="shared" si="42"/>
        <v>319.28499883285286</v>
      </c>
      <c r="AE144" s="165">
        <f t="shared" si="42"/>
        <v>914.9627880585324</v>
      </c>
      <c r="AF144" s="165">
        <f t="shared" si="42"/>
        <v>0</v>
      </c>
      <c r="AG144" s="165">
        <f t="shared" si="42"/>
        <v>111.07318349506765</v>
      </c>
      <c r="AH144" s="165">
        <f t="shared" si="42"/>
        <v>36188.13943877831</v>
      </c>
      <c r="AI144" s="165">
        <f t="shared" si="42"/>
        <v>0</v>
      </c>
      <c r="AJ144" s="165">
        <f t="shared" si="42"/>
        <v>5715.564766624478</v>
      </c>
      <c r="AK144" s="165">
        <f t="shared" si="42"/>
        <v>10577.310156185034</v>
      </c>
      <c r="AL144" s="165">
        <f t="shared" si="42"/>
        <v>0</v>
      </c>
      <c r="AM144" s="165">
        <f t="shared" si="42"/>
        <v>546.9154845225441</v>
      </c>
      <c r="AN144" s="165">
        <f t="shared" si="42"/>
        <v>19221.084867601734</v>
      </c>
      <c r="AO144" s="165">
        <f t="shared" si="42"/>
        <v>0</v>
      </c>
      <c r="AP144" s="165">
        <f t="shared" si="42"/>
        <v>172794.7814720468</v>
      </c>
      <c r="AQ144" s="165">
        <f t="shared" si="42"/>
        <v>719.8279925382769</v>
      </c>
      <c r="AR144" s="165">
        <f t="shared" si="42"/>
        <v>0</v>
      </c>
      <c r="AS144" s="165">
        <f t="shared" si="42"/>
        <v>7852.526920376271</v>
      </c>
      <c r="AT144" s="165">
        <f t="shared" si="42"/>
        <v>280.1845635091188</v>
      </c>
      <c r="AU144" s="165">
        <f t="shared" si="42"/>
        <v>0</v>
      </c>
      <c r="AV144" s="165">
        <f t="shared" si="42"/>
        <v>2051.1775316076537</v>
      </c>
      <c r="AW144" s="168">
        <f t="shared" si="31"/>
        <v>2271337.9</v>
      </c>
    </row>
    <row r="145" spans="1:49" ht="12.75">
      <c r="A145" s="50"/>
      <c r="B145" s="42" t="s">
        <v>24</v>
      </c>
      <c r="C145" s="42"/>
      <c r="D145" s="50"/>
      <c r="E145" s="50"/>
      <c r="F145" s="165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</row>
    <row r="146" spans="1:49" ht="15">
      <c r="A146" s="50"/>
      <c r="B146" s="42" t="s">
        <v>24</v>
      </c>
      <c r="C146" s="42"/>
      <c r="D146" s="50"/>
      <c r="E146" s="50"/>
      <c r="F146" s="90" t="s">
        <v>24</v>
      </c>
      <c r="G146" s="168">
        <f>SUM(G124,H124,I124)</f>
        <v>50725783.52461775</v>
      </c>
      <c r="H146" s="42"/>
      <c r="I146" s="42"/>
      <c r="J146" s="168">
        <f>SUM(J124,K124,L124)</f>
        <v>391144.91642826167</v>
      </c>
      <c r="K146" s="42"/>
      <c r="L146" s="42"/>
      <c r="M146" s="168">
        <f>SUM(M124,N124,O124)</f>
        <v>6135550.947978519</v>
      </c>
      <c r="N146" s="42"/>
      <c r="O146" s="42"/>
      <c r="P146" s="168">
        <f>SUM(P124,Q124,R124)</f>
        <v>453.87752092886296</v>
      </c>
      <c r="Q146" s="42"/>
      <c r="R146" s="42"/>
      <c r="S146" s="168">
        <f>SUM(S124,T124,U124)</f>
        <v>8185760.051303562</v>
      </c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</row>
    <row r="147" spans="1:49" ht="12.75">
      <c r="A147" s="50"/>
      <c r="B147" s="42" t="s">
        <v>560</v>
      </c>
      <c r="C147" s="42"/>
      <c r="D147" s="50"/>
      <c r="E147" s="50"/>
      <c r="F147" s="165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</row>
    <row r="148" spans="1:49" ht="12.75">
      <c r="A148" s="50"/>
      <c r="B148" s="42" t="s">
        <v>24</v>
      </c>
      <c r="C148" s="42"/>
      <c r="D148" s="50"/>
      <c r="E148" s="50"/>
      <c r="F148" s="165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</row>
    <row r="149" spans="1:49" ht="12.75">
      <c r="A149" s="50"/>
      <c r="B149" s="42" t="s">
        <v>155</v>
      </c>
      <c r="C149" s="42"/>
      <c r="D149" s="50"/>
      <c r="E149" s="50"/>
      <c r="F149" s="165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</row>
    <row r="150" spans="1:49" ht="12.75">
      <c r="A150" s="50"/>
      <c r="B150" s="42" t="s">
        <v>24</v>
      </c>
      <c r="C150" s="42"/>
      <c r="D150" s="50"/>
      <c r="E150" s="50"/>
      <c r="F150" s="165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</row>
    <row r="151" spans="1:49" ht="12.75">
      <c r="A151" s="50"/>
      <c r="B151" s="42" t="s">
        <v>24</v>
      </c>
      <c r="C151" s="42"/>
      <c r="D151" s="50"/>
      <c r="E151" s="50"/>
      <c r="F151" s="165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</row>
    <row r="152" spans="1:49" ht="12.75">
      <c r="A152" s="50"/>
      <c r="B152" s="42" t="s">
        <v>24</v>
      </c>
      <c r="C152" s="42"/>
      <c r="D152" s="50"/>
      <c r="E152" s="50"/>
      <c r="F152" s="165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</row>
    <row r="153" spans="1:49" ht="12.75">
      <c r="A153" s="50"/>
      <c r="B153" s="42" t="s">
        <v>24</v>
      </c>
      <c r="C153" s="42"/>
      <c r="D153" s="50"/>
      <c r="E153" s="50"/>
      <c r="F153" s="165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</row>
    <row r="154" spans="1:49" ht="12.75">
      <c r="A154" s="50"/>
      <c r="B154" s="42" t="s">
        <v>24</v>
      </c>
      <c r="C154" s="42"/>
      <c r="D154" s="50"/>
      <c r="E154" s="50"/>
      <c r="F154" s="165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</row>
    <row r="155" spans="1:49" ht="12.75">
      <c r="A155" s="50"/>
      <c r="B155" s="42" t="s">
        <v>24</v>
      </c>
      <c r="C155" s="42"/>
      <c r="D155" s="50"/>
      <c r="E155" s="50"/>
      <c r="F155" s="165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</row>
    <row r="156" spans="1:49" ht="12.75">
      <c r="A156" s="50"/>
      <c r="B156" s="42"/>
      <c r="C156" s="42"/>
      <c r="D156" s="50"/>
      <c r="E156" s="50"/>
      <c r="F156" s="165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</row>
    <row r="157" spans="1:49" ht="12.75">
      <c r="A157" s="50"/>
      <c r="B157" s="42"/>
      <c r="C157" s="42"/>
      <c r="D157" s="50"/>
      <c r="E157" s="50"/>
      <c r="F157" s="165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</row>
    <row r="158" spans="1:49" ht="12.75">
      <c r="A158" s="50"/>
      <c r="B158" s="42"/>
      <c r="C158" s="42"/>
      <c r="D158" s="50"/>
      <c r="E158" s="50"/>
      <c r="F158" s="165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</row>
    <row r="159" spans="1:49" ht="12.75">
      <c r="A159" s="50"/>
      <c r="B159" s="42"/>
      <c r="C159" s="42"/>
      <c r="D159" s="50"/>
      <c r="E159" s="50"/>
      <c r="F159" s="165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</row>
    <row r="160" spans="1:49" ht="12.75">
      <c r="A160" s="50"/>
      <c r="B160" s="42"/>
      <c r="C160" s="42"/>
      <c r="D160" s="50"/>
      <c r="E160" s="50"/>
      <c r="F160" s="165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</row>
    <row r="161" spans="1:49" ht="12.75">
      <c r="A161" s="50"/>
      <c r="B161" s="42"/>
      <c r="C161" s="42"/>
      <c r="D161" s="50"/>
      <c r="E161" s="50"/>
      <c r="F161" s="165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</row>
    <row r="162" spans="1:49" ht="12.75">
      <c r="A162" s="50"/>
      <c r="B162" s="42"/>
      <c r="C162" s="42"/>
      <c r="D162" s="50"/>
      <c r="E162" s="50"/>
      <c r="F162" s="165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</row>
    <row r="163" spans="1:49" ht="12.75">
      <c r="A163" s="50"/>
      <c r="B163" s="42"/>
      <c r="C163" s="42"/>
      <c r="D163" s="50"/>
      <c r="E163" s="50"/>
      <c r="F163" s="165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</row>
    <row r="164" spans="1:49" ht="12.75">
      <c r="A164" s="50"/>
      <c r="B164" s="42"/>
      <c r="C164" s="42"/>
      <c r="D164" s="50"/>
      <c r="E164" s="50"/>
      <c r="F164" s="165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</row>
    <row r="165" spans="1:49" ht="12.75">
      <c r="A165" s="50"/>
      <c r="B165" s="42"/>
      <c r="C165" s="42"/>
      <c r="D165" s="50"/>
      <c r="E165" s="50"/>
      <c r="F165" s="165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</row>
    <row r="166" spans="1:49" ht="12.75">
      <c r="A166" s="50"/>
      <c r="B166" s="42"/>
      <c r="C166" s="42"/>
      <c r="D166" s="50"/>
      <c r="E166" s="50"/>
      <c r="F166" s="165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</row>
    <row r="167" spans="1:49" ht="12.75">
      <c r="A167" s="50"/>
      <c r="B167" s="42"/>
      <c r="C167" s="42"/>
      <c r="D167" s="50"/>
      <c r="E167" s="50"/>
      <c r="F167" s="165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</row>
    <row r="168" spans="1:49" ht="12.75">
      <c r="A168" s="50"/>
      <c r="B168" s="42"/>
      <c r="C168" s="42"/>
      <c r="D168" s="50"/>
      <c r="E168" s="50"/>
      <c r="F168" s="165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</row>
    <row r="169" spans="1:49" ht="12.75">
      <c r="A169" s="50"/>
      <c r="B169" s="42"/>
      <c r="C169" s="42"/>
      <c r="D169" s="50"/>
      <c r="E169" s="50"/>
      <c r="F169" s="165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</row>
    <row r="170" spans="1:49" ht="12.75">
      <c r="A170" s="50"/>
      <c r="B170" s="42"/>
      <c r="C170" s="42"/>
      <c r="D170" s="50"/>
      <c r="E170" s="50"/>
      <c r="F170" s="165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</row>
    <row r="171" spans="1:49" ht="12.75">
      <c r="A171" s="50"/>
      <c r="B171" s="42"/>
      <c r="C171" s="42"/>
      <c r="D171" s="50"/>
      <c r="E171" s="50"/>
      <c r="F171" s="165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</row>
    <row r="172" spans="1:49" ht="12.75">
      <c r="A172" s="50"/>
      <c r="B172" s="42"/>
      <c r="C172" s="42"/>
      <c r="D172" s="50"/>
      <c r="E172" s="50"/>
      <c r="F172" s="165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</row>
    <row r="173" spans="1:49" ht="12.75">
      <c r="A173" s="50"/>
      <c r="B173" s="42"/>
      <c r="C173" s="42"/>
      <c r="D173" s="50"/>
      <c r="E173" s="50"/>
      <c r="F173" s="165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</row>
    <row r="174" spans="1:49" ht="12.75">
      <c r="A174" s="50"/>
      <c r="B174" s="42"/>
      <c r="C174" s="42"/>
      <c r="D174" s="50"/>
      <c r="E174" s="50"/>
      <c r="F174" s="165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</row>
    <row r="175" spans="1:49" ht="12.75">
      <c r="A175" s="50"/>
      <c r="B175" s="42"/>
      <c r="C175" s="42"/>
      <c r="D175" s="50"/>
      <c r="E175" s="50"/>
      <c r="F175" s="165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</row>
    <row r="176" spans="1:49" ht="12.75">
      <c r="A176" s="50"/>
      <c r="B176" s="42"/>
      <c r="C176" s="42"/>
      <c r="D176" s="50"/>
      <c r="E176" s="50"/>
      <c r="F176" s="165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</row>
    <row r="177" spans="1:49" ht="12.75">
      <c r="A177" s="50"/>
      <c r="B177" s="42"/>
      <c r="C177" s="42"/>
      <c r="D177" s="50"/>
      <c r="E177" s="50"/>
      <c r="F177" s="165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</row>
    <row r="178" spans="1:49" ht="12.75">
      <c r="A178" s="50"/>
      <c r="B178" s="42"/>
      <c r="C178" s="42"/>
      <c r="D178" s="50"/>
      <c r="E178" s="50"/>
      <c r="F178" s="165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</row>
    <row r="179" spans="1:49" ht="12.75">
      <c r="A179" s="50"/>
      <c r="B179" s="42"/>
      <c r="C179" s="42"/>
      <c r="D179" s="50"/>
      <c r="E179" s="50"/>
      <c r="F179" s="165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</row>
    <row r="180" spans="1:49" ht="12.75">
      <c r="A180" s="50"/>
      <c r="B180" s="42"/>
      <c r="C180" s="42"/>
      <c r="D180" s="50"/>
      <c r="E180" s="50"/>
      <c r="F180" s="165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</row>
    <row r="181" spans="1:49" ht="12.75">
      <c r="A181" s="50"/>
      <c r="B181" s="42"/>
      <c r="C181" s="42"/>
      <c r="D181" s="50"/>
      <c r="E181" s="50"/>
      <c r="F181" s="165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</row>
    <row r="182" spans="1:49" ht="12.75">
      <c r="A182" s="50"/>
      <c r="B182" s="42"/>
      <c r="C182" s="42"/>
      <c r="D182" s="50"/>
      <c r="E182" s="50"/>
      <c r="F182" s="165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</row>
    <row r="183" spans="1:49" ht="12.75">
      <c r="A183" s="50"/>
      <c r="B183" s="42"/>
      <c r="C183" s="42"/>
      <c r="D183" s="50"/>
      <c r="E183" s="50"/>
      <c r="F183" s="165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</row>
    <row r="184" spans="1:49" ht="12.75">
      <c r="A184" s="50"/>
      <c r="B184" s="42"/>
      <c r="C184" s="42"/>
      <c r="D184" s="50"/>
      <c r="E184" s="50"/>
      <c r="F184" s="165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</row>
    <row r="185" spans="1:49" ht="12.75">
      <c r="A185" s="50"/>
      <c r="B185" s="42"/>
      <c r="C185" s="42"/>
      <c r="D185" s="50"/>
      <c r="E185" s="50"/>
      <c r="F185" s="165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</row>
    <row r="186" spans="1:49" ht="12.75">
      <c r="A186" s="50"/>
      <c r="B186" s="42"/>
      <c r="C186" s="42"/>
      <c r="D186" s="50"/>
      <c r="E186" s="50"/>
      <c r="F186" s="165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</row>
    <row r="187" spans="1:49" ht="12.75">
      <c r="A187" s="50"/>
      <c r="B187" s="42"/>
      <c r="C187" s="42"/>
      <c r="D187" s="50"/>
      <c r="E187" s="50"/>
      <c r="F187" s="165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</row>
    <row r="188" spans="1:49" ht="12.75">
      <c r="A188" s="50"/>
      <c r="B188" s="42"/>
      <c r="C188" s="42"/>
      <c r="D188" s="50"/>
      <c r="E188" s="50"/>
      <c r="F188" s="165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</row>
    <row r="189" spans="1:49" ht="12.75">
      <c r="A189" s="50"/>
      <c r="B189" s="42"/>
      <c r="C189" s="42"/>
      <c r="D189" s="50"/>
      <c r="E189" s="50"/>
      <c r="F189" s="165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</row>
    <row r="190" spans="1:49" ht="12.75">
      <c r="A190" s="50"/>
      <c r="B190" s="42"/>
      <c r="C190" s="42"/>
      <c r="D190" s="50"/>
      <c r="E190" s="50"/>
      <c r="F190" s="165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</row>
    <row r="191" spans="1:49" ht="12.75">
      <c r="A191" s="50"/>
      <c r="B191" s="42"/>
      <c r="C191" s="42"/>
      <c r="D191" s="50"/>
      <c r="E191" s="50"/>
      <c r="F191" s="165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</row>
    <row r="192" spans="1:49" ht="12.75">
      <c r="A192" s="50"/>
      <c r="B192" s="42"/>
      <c r="C192" s="42"/>
      <c r="D192" s="50"/>
      <c r="E192" s="50"/>
      <c r="F192" s="165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</row>
    <row r="193" spans="1:49" ht="12.75">
      <c r="A193" s="50"/>
      <c r="B193" s="42"/>
      <c r="C193" s="42"/>
      <c r="D193" s="50"/>
      <c r="E193" s="50"/>
      <c r="F193" s="165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</row>
    <row r="194" spans="1:49" ht="12.75">
      <c r="A194" s="50"/>
      <c r="B194" s="42"/>
      <c r="C194" s="42"/>
      <c r="D194" s="50"/>
      <c r="E194" s="50"/>
      <c r="F194" s="165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</row>
    <row r="195" spans="1:49" ht="12.75">
      <c r="A195" s="50"/>
      <c r="B195" s="42"/>
      <c r="C195" s="42"/>
      <c r="D195" s="50"/>
      <c r="E195" s="50"/>
      <c r="F195" s="165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</row>
    <row r="196" spans="1:49" ht="12.75">
      <c r="A196" s="50"/>
      <c r="B196" s="42"/>
      <c r="C196" s="42"/>
      <c r="D196" s="50"/>
      <c r="E196" s="50"/>
      <c r="F196" s="165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</row>
    <row r="197" spans="1:49" ht="12.75">
      <c r="A197" s="50"/>
      <c r="B197" s="42"/>
      <c r="C197" s="42"/>
      <c r="D197" s="50"/>
      <c r="E197" s="50"/>
      <c r="F197" s="165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</row>
    <row r="198" spans="1:49" ht="12.75">
      <c r="A198" s="50"/>
      <c r="B198" s="42"/>
      <c r="C198" s="42"/>
      <c r="D198" s="50"/>
      <c r="E198" s="50"/>
      <c r="F198" s="165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</row>
    <row r="199" spans="1:49" ht="12.75">
      <c r="A199" s="50"/>
      <c r="B199" s="42"/>
      <c r="C199" s="42"/>
      <c r="D199" s="50"/>
      <c r="E199" s="50"/>
      <c r="F199" s="165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</row>
    <row r="200" spans="1:49" ht="12.75">
      <c r="A200" s="50"/>
      <c r="B200" s="42"/>
      <c r="C200" s="42"/>
      <c r="D200" s="50"/>
      <c r="E200" s="50"/>
      <c r="F200" s="165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</row>
    <row r="201" spans="1:49" ht="12.75">
      <c r="A201" s="50"/>
      <c r="B201" s="42"/>
      <c r="C201" s="42"/>
      <c r="D201" s="50"/>
      <c r="E201" s="50"/>
      <c r="F201" s="165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</row>
    <row r="202" spans="1:49" ht="12.75">
      <c r="A202" s="50"/>
      <c r="B202" s="42"/>
      <c r="C202" s="42"/>
      <c r="D202" s="50"/>
      <c r="E202" s="50"/>
      <c r="F202" s="165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</row>
    <row r="203" spans="1:49" ht="12.75">
      <c r="A203" s="50"/>
      <c r="B203" s="42"/>
      <c r="C203" s="42"/>
      <c r="D203" s="50"/>
      <c r="E203" s="50"/>
      <c r="F203" s="165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</row>
    <row r="204" spans="1:49" ht="12.75">
      <c r="A204" s="50"/>
      <c r="B204" s="42"/>
      <c r="C204" s="42"/>
      <c r="D204" s="50"/>
      <c r="E204" s="50"/>
      <c r="F204" s="165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</row>
    <row r="205" spans="1:49" ht="12.75">
      <c r="A205" s="50"/>
      <c r="B205" s="42"/>
      <c r="C205" s="42"/>
      <c r="D205" s="50"/>
      <c r="E205" s="50"/>
      <c r="F205" s="165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</row>
    <row r="206" spans="1:49" ht="12.75">
      <c r="A206" s="50"/>
      <c r="B206" s="42"/>
      <c r="C206" s="42"/>
      <c r="D206" s="50"/>
      <c r="E206" s="50"/>
      <c r="F206" s="165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</row>
    <row r="207" spans="1:49" ht="12.75">
      <c r="A207" s="50"/>
      <c r="B207" s="42"/>
      <c r="C207" s="42"/>
      <c r="D207" s="50"/>
      <c r="E207" s="50"/>
      <c r="F207" s="165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</row>
    <row r="208" spans="1:49" ht="12.75">
      <c r="A208" s="50"/>
      <c r="B208" s="42"/>
      <c r="C208" s="42"/>
      <c r="D208" s="50"/>
      <c r="E208" s="50"/>
      <c r="F208" s="165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</row>
    <row r="209" spans="1:49" ht="12.75">
      <c r="A209" s="50"/>
      <c r="B209" s="42"/>
      <c r="C209" s="42"/>
      <c r="D209" s="50"/>
      <c r="E209" s="50"/>
      <c r="F209" s="165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</row>
    <row r="210" spans="1:49" ht="12.75">
      <c r="A210" s="50"/>
      <c r="B210" s="42"/>
      <c r="C210" s="42"/>
      <c r="D210" s="50"/>
      <c r="E210" s="50"/>
      <c r="F210" s="165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</row>
    <row r="211" spans="1:49" ht="12.75">
      <c r="A211" s="50"/>
      <c r="B211" s="42"/>
      <c r="C211" s="42"/>
      <c r="D211" s="50"/>
      <c r="E211" s="50"/>
      <c r="F211" s="165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</row>
    <row r="212" spans="1:49" ht="12.75">
      <c r="A212" s="50"/>
      <c r="B212" s="42"/>
      <c r="C212" s="42"/>
      <c r="D212" s="50"/>
      <c r="E212" s="50"/>
      <c r="F212" s="165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</row>
    <row r="213" spans="1:49" ht="12.75">
      <c r="A213" s="50"/>
      <c r="B213" s="42"/>
      <c r="C213" s="42"/>
      <c r="D213" s="50"/>
      <c r="E213" s="50"/>
      <c r="F213" s="165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</row>
    <row r="214" spans="1:49" ht="12.75">
      <c r="A214" s="50"/>
      <c r="B214" s="42"/>
      <c r="C214" s="42"/>
      <c r="D214" s="50"/>
      <c r="E214" s="50"/>
      <c r="F214" s="165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</row>
    <row r="215" spans="1:49" ht="12.75">
      <c r="A215" s="50"/>
      <c r="B215" s="42"/>
      <c r="C215" s="42"/>
      <c r="D215" s="50"/>
      <c r="E215" s="50"/>
      <c r="F215" s="165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</row>
    <row r="216" spans="1:49" ht="12.75">
      <c r="A216" s="50"/>
      <c r="B216" s="42"/>
      <c r="C216" s="42"/>
      <c r="D216" s="50"/>
      <c r="E216" s="50"/>
      <c r="F216" s="165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</row>
    <row r="217" spans="1:49" ht="12.75">
      <c r="A217" s="50"/>
      <c r="B217" s="42"/>
      <c r="C217" s="42"/>
      <c r="D217" s="50"/>
      <c r="E217" s="50"/>
      <c r="F217" s="165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</row>
    <row r="218" spans="1:49" ht="12.75">
      <c r="A218" s="50"/>
      <c r="B218" s="42"/>
      <c r="C218" s="42"/>
      <c r="D218" s="50"/>
      <c r="E218" s="50"/>
      <c r="F218" s="165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</row>
    <row r="219" spans="1:49" ht="12.75">
      <c r="A219" s="50"/>
      <c r="B219" s="42"/>
      <c r="C219" s="42"/>
      <c r="D219" s="50"/>
      <c r="E219" s="50"/>
      <c r="F219" s="165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</row>
    <row r="220" spans="1:49" ht="12.75">
      <c r="A220" s="50"/>
      <c r="B220" s="42"/>
      <c r="C220" s="42"/>
      <c r="D220" s="50"/>
      <c r="E220" s="50"/>
      <c r="F220" s="165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</row>
    <row r="221" spans="1:49" ht="12.75">
      <c r="A221" s="50"/>
      <c r="B221" s="42"/>
      <c r="C221" s="42"/>
      <c r="D221" s="50"/>
      <c r="E221" s="50"/>
      <c r="F221" s="165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</row>
    <row r="222" spans="1:49" ht="12.75">
      <c r="A222" s="50"/>
      <c r="B222" s="42"/>
      <c r="C222" s="42"/>
      <c r="D222" s="50"/>
      <c r="E222" s="50"/>
      <c r="F222" s="165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</row>
    <row r="223" spans="1:49" ht="12.75">
      <c r="A223" s="50"/>
      <c r="B223" s="42"/>
      <c r="C223" s="42"/>
      <c r="D223" s="50"/>
      <c r="E223" s="50"/>
      <c r="F223" s="165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</row>
    <row r="224" spans="1:49" ht="12.75">
      <c r="A224" s="50"/>
      <c r="B224" s="42"/>
      <c r="C224" s="42"/>
      <c r="D224" s="50"/>
      <c r="E224" s="50"/>
      <c r="F224" s="165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</row>
    <row r="225" spans="1:49" ht="12.75">
      <c r="A225" s="50"/>
      <c r="B225" s="42"/>
      <c r="C225" s="42"/>
      <c r="D225" s="50"/>
      <c r="E225" s="50"/>
      <c r="F225" s="165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</row>
    <row r="226" spans="1:49" ht="12.75">
      <c r="A226" s="50"/>
      <c r="B226" s="42"/>
      <c r="C226" s="42"/>
      <c r="D226" s="50"/>
      <c r="E226" s="50"/>
      <c r="F226" s="165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</row>
    <row r="227" spans="1:49" ht="12.75">
      <c r="A227" s="50"/>
      <c r="B227" s="42"/>
      <c r="C227" s="42"/>
      <c r="D227" s="50"/>
      <c r="E227" s="50"/>
      <c r="F227" s="165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</row>
    <row r="228" spans="1:49" ht="12.75">
      <c r="A228" s="50"/>
      <c r="B228" s="42"/>
      <c r="C228" s="42"/>
      <c r="D228" s="50"/>
      <c r="E228" s="50"/>
      <c r="F228" s="165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</row>
    <row r="229" spans="1:49" ht="12.75">
      <c r="A229" s="50"/>
      <c r="B229" s="42"/>
      <c r="C229" s="42"/>
      <c r="D229" s="50"/>
      <c r="E229" s="50"/>
      <c r="F229" s="165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</row>
    <row r="230" spans="1:49" ht="12.75">
      <c r="A230" s="50"/>
      <c r="B230" s="42"/>
      <c r="C230" s="42"/>
      <c r="D230" s="50"/>
      <c r="E230" s="50"/>
      <c r="F230" s="165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</row>
    <row r="231" spans="1:49" ht="12.75">
      <c r="A231" s="50"/>
      <c r="B231" s="42"/>
      <c r="C231" s="42"/>
      <c r="D231" s="50"/>
      <c r="E231" s="50"/>
      <c r="F231" s="165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</row>
    <row r="232" spans="1:49" ht="12.75">
      <c r="A232" s="50"/>
      <c r="B232" s="42"/>
      <c r="C232" s="42"/>
      <c r="D232" s="50"/>
      <c r="E232" s="50"/>
      <c r="F232" s="165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</row>
    <row r="233" spans="1:49" ht="12.75">
      <c r="A233" s="50"/>
      <c r="B233" s="42"/>
      <c r="C233" s="42"/>
      <c r="D233" s="50"/>
      <c r="E233" s="50"/>
      <c r="F233" s="165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</row>
    <row r="234" spans="1:49" ht="12.75">
      <c r="A234" s="50"/>
      <c r="B234" s="42"/>
      <c r="C234" s="42"/>
      <c r="D234" s="50"/>
      <c r="E234" s="50"/>
      <c r="F234" s="165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</row>
    <row r="235" spans="1:49" ht="12.75">
      <c r="A235" s="50"/>
      <c r="B235" s="42"/>
      <c r="C235" s="42"/>
      <c r="D235" s="50"/>
      <c r="E235" s="50"/>
      <c r="F235" s="165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</row>
    <row r="236" spans="1:49" ht="12.75">
      <c r="A236" s="50"/>
      <c r="B236" s="42"/>
      <c r="C236" s="42"/>
      <c r="D236" s="50"/>
      <c r="E236" s="50"/>
      <c r="F236" s="165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</row>
    <row r="237" spans="1:49" ht="12.75">
      <c r="A237" s="50"/>
      <c r="B237" s="42"/>
      <c r="C237" s="42"/>
      <c r="D237" s="50"/>
      <c r="E237" s="50"/>
      <c r="F237" s="165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</row>
    <row r="238" spans="1:49" ht="12.75">
      <c r="A238" s="50"/>
      <c r="B238" s="42"/>
      <c r="C238" s="42"/>
      <c r="D238" s="50"/>
      <c r="E238" s="50"/>
      <c r="F238" s="165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</row>
    <row r="239" spans="1:49" ht="12.75">
      <c r="A239" s="50"/>
      <c r="B239" s="42"/>
      <c r="C239" s="42"/>
      <c r="D239" s="50"/>
      <c r="E239" s="50"/>
      <c r="F239" s="165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</row>
    <row r="240" spans="1:49" ht="12.75">
      <c r="A240" s="50"/>
      <c r="B240" s="42"/>
      <c r="C240" s="42"/>
      <c r="D240" s="50"/>
      <c r="E240" s="50"/>
      <c r="F240" s="165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</row>
    <row r="241" spans="1:49" ht="12.75">
      <c r="A241" s="50"/>
      <c r="B241" s="42"/>
      <c r="C241" s="42"/>
      <c r="D241" s="50"/>
      <c r="E241" s="50"/>
      <c r="F241" s="165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</row>
    <row r="242" spans="1:49" ht="12.75">
      <c r="A242" s="50"/>
      <c r="B242" s="42"/>
      <c r="C242" s="42"/>
      <c r="D242" s="50"/>
      <c r="E242" s="50"/>
      <c r="F242" s="165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</row>
    <row r="243" spans="1:49" ht="12.75">
      <c r="A243" s="50"/>
      <c r="B243" s="42"/>
      <c r="C243" s="42"/>
      <c r="D243" s="50"/>
      <c r="E243" s="50"/>
      <c r="F243" s="165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</row>
    <row r="244" spans="1:49" ht="12.75">
      <c r="A244" s="50"/>
      <c r="B244" s="42"/>
      <c r="C244" s="42"/>
      <c r="D244" s="50"/>
      <c r="E244" s="50"/>
      <c r="F244" s="165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</row>
    <row r="245" spans="1:49" ht="12.75">
      <c r="A245" s="50"/>
      <c r="B245" s="42"/>
      <c r="C245" s="42"/>
      <c r="D245" s="50"/>
      <c r="E245" s="50"/>
      <c r="F245" s="165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</row>
    <row r="246" spans="1:49" ht="12.75">
      <c r="A246" s="50"/>
      <c r="B246" s="42"/>
      <c r="C246" s="42"/>
      <c r="D246" s="50"/>
      <c r="E246" s="50"/>
      <c r="F246" s="165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</row>
    <row r="247" spans="1:49" ht="12.75">
      <c r="A247" s="50"/>
      <c r="B247" s="42"/>
      <c r="C247" s="42"/>
      <c r="D247" s="50"/>
      <c r="E247" s="50"/>
      <c r="F247" s="165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</row>
  </sheetData>
  <mergeCells count="26">
    <mergeCell ref="AQ3:AS3"/>
    <mergeCell ref="AQ2:AS2"/>
    <mergeCell ref="AT2:AV2"/>
    <mergeCell ref="AT3:AV3"/>
    <mergeCell ref="AK2:AM2"/>
    <mergeCell ref="AK3:AM3"/>
    <mergeCell ref="AN2:AP2"/>
    <mergeCell ref="AN3:AP3"/>
    <mergeCell ref="AE2:AG2"/>
    <mergeCell ref="AE3:AG3"/>
    <mergeCell ref="AH2:AJ2"/>
    <mergeCell ref="AH3:AJ3"/>
    <mergeCell ref="G3:I3"/>
    <mergeCell ref="M2:O2"/>
    <mergeCell ref="J3:L3"/>
    <mergeCell ref="P2:R2"/>
    <mergeCell ref="P3:R3"/>
    <mergeCell ref="G2:I2"/>
    <mergeCell ref="AB2:AD2"/>
    <mergeCell ref="AB3:AD3"/>
    <mergeCell ref="S2:U2"/>
    <mergeCell ref="S3:U3"/>
    <mergeCell ref="V2:X2"/>
    <mergeCell ref="V3:X3"/>
    <mergeCell ref="Y2:AA2"/>
    <mergeCell ref="Y3:AA3"/>
  </mergeCells>
  <printOptions horizontalCentered="1" verticalCentered="1"/>
  <pageMargins left="0.75" right="0.75" top="1" bottom="1" header="0.5" footer="0.5"/>
  <pageSetup horizontalDpi="300" verticalDpi="300" orientation="portrait" scale="90" r:id="rId1"/>
  <headerFooter alignWithMargins="0">
    <oddHeader xml:space="preserve">&amp;C&amp;"Arial,Bold"SOUTH KENTUCKY RECC
CASE NO. 2005-00450
 Allocation of Revenue Requirements to Rate Classes&amp;RExhibit R
Schedule 3
&amp;P of &amp;N
&amp;"Arial,Bold"&amp;11 </oddHeader>
  </headerFooter>
  <rowBreaks count="2" manualBreakCount="2">
    <brk id="44" max="255" man="1"/>
    <brk id="91" max="47" man="1"/>
  </rowBreaks>
  <colBreaks count="7" manualBreakCount="7">
    <brk id="9" max="65535" man="1"/>
    <brk id="15" max="65535" man="1"/>
    <brk id="21" max="65535" man="1"/>
    <brk id="27" max="65535" man="1"/>
    <brk id="33" max="65535" man="1"/>
    <brk id="39" max="65535" man="1"/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="60" workbookViewId="0" topLeftCell="A1">
      <pane xSplit="4" topLeftCell="T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11.7109375" style="6" customWidth="1"/>
    <col min="2" max="2" width="14.421875" style="6" customWidth="1"/>
    <col min="3" max="3" width="2.28125" style="6" customWidth="1"/>
    <col min="4" max="4" width="14.28125" style="6" customWidth="1"/>
    <col min="5" max="5" width="3.00390625" style="6" customWidth="1"/>
    <col min="6" max="6" width="13.28125" style="6" customWidth="1"/>
    <col min="7" max="7" width="15.140625" style="6" customWidth="1"/>
    <col min="8" max="8" width="11.8515625" style="6" customWidth="1"/>
    <col min="9" max="9" width="10.7109375" style="6" customWidth="1"/>
    <col min="10" max="10" width="12.7109375" style="6" customWidth="1"/>
    <col min="11" max="11" width="12.28125" style="6" customWidth="1"/>
    <col min="12" max="12" width="11.8515625" style="6" customWidth="1"/>
    <col min="13" max="13" width="10.57421875" style="6" customWidth="1"/>
    <col min="14" max="14" width="11.421875" style="6" customWidth="1"/>
    <col min="15" max="16" width="12.28125" style="6" customWidth="1"/>
    <col min="17" max="17" width="11.140625" style="6" customWidth="1"/>
    <col min="18" max="18" width="11.8515625" style="6" customWidth="1"/>
    <col min="19" max="19" width="9.7109375" style="6" customWidth="1"/>
    <col min="20" max="20" width="12.7109375" style="6" customWidth="1"/>
    <col min="21" max="21" width="12.57421875" style="6" customWidth="1"/>
    <col min="22" max="22" width="13.28125" style="6" customWidth="1"/>
    <col min="23" max="23" width="10.8515625" style="6" customWidth="1"/>
    <col min="24" max="24" width="12.28125" style="6" customWidth="1"/>
    <col min="25" max="28" width="10.8515625" style="6" customWidth="1"/>
    <col min="29" max="29" width="12.00390625" style="6" customWidth="1"/>
    <col min="30" max="32" width="10.8515625" style="6" customWidth="1"/>
    <col min="33" max="33" width="9.8515625" style="6" bestFit="1" customWidth="1"/>
    <col min="34" max="34" width="13.7109375" style="6" customWidth="1"/>
    <col min="35" max="35" width="13.140625" style="6" customWidth="1"/>
    <col min="36" max="16384" width="9.140625" style="6" customWidth="1"/>
  </cols>
  <sheetData>
    <row r="1" spans="1:3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5">
      <c r="A5" s="32" t="s">
        <v>259</v>
      </c>
      <c r="B5" s="32" t="s">
        <v>258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 ht="15">
      <c r="A6" s="59" t="s">
        <v>24</v>
      </c>
      <c r="B6" s="32"/>
      <c r="C6" s="9"/>
      <c r="D6" s="9"/>
      <c r="E6" s="9"/>
      <c r="F6" s="245" t="s">
        <v>415</v>
      </c>
      <c r="G6" s="245"/>
      <c r="H6" s="246" t="s">
        <v>557</v>
      </c>
      <c r="I6" s="246"/>
      <c r="J6" s="245" t="s">
        <v>416</v>
      </c>
      <c r="K6" s="245"/>
      <c r="L6" s="245" t="s">
        <v>558</v>
      </c>
      <c r="M6" s="245"/>
      <c r="N6" s="245" t="s">
        <v>417</v>
      </c>
      <c r="O6" s="245"/>
      <c r="P6" s="245" t="s">
        <v>418</v>
      </c>
      <c r="Q6" s="245"/>
      <c r="R6" s="245" t="s">
        <v>420</v>
      </c>
      <c r="S6" s="245"/>
      <c r="T6" s="246" t="s">
        <v>421</v>
      </c>
      <c r="U6" s="246"/>
      <c r="V6" s="246" t="s">
        <v>448</v>
      </c>
      <c r="W6" s="246"/>
      <c r="X6" s="246" t="s">
        <v>426</v>
      </c>
      <c r="Y6" s="246"/>
      <c r="Z6" s="246" t="s">
        <v>428</v>
      </c>
      <c r="AA6" s="246"/>
      <c r="AB6" s="246" t="s">
        <v>431</v>
      </c>
      <c r="AC6" s="246"/>
      <c r="AD6" s="246" t="s">
        <v>432</v>
      </c>
      <c r="AE6" s="246"/>
      <c r="AF6" s="246" t="s">
        <v>499</v>
      </c>
      <c r="AG6" s="246"/>
    </row>
    <row r="7" spans="1:32" ht="15">
      <c r="A7" s="9"/>
      <c r="B7" s="9"/>
      <c r="C7" s="9"/>
      <c r="D7" s="20"/>
      <c r="E7" s="9"/>
      <c r="F7" s="245" t="s">
        <v>271</v>
      </c>
      <c r="G7" s="245"/>
      <c r="H7" s="246" t="s">
        <v>359</v>
      </c>
      <c r="I7" s="246"/>
      <c r="J7" s="245" t="s">
        <v>360</v>
      </c>
      <c r="K7" s="245"/>
      <c r="L7" s="245" t="s">
        <v>361</v>
      </c>
      <c r="M7" s="245"/>
      <c r="N7" s="245" t="s">
        <v>362</v>
      </c>
      <c r="O7" s="245"/>
      <c r="P7" s="245" t="s">
        <v>363</v>
      </c>
      <c r="Q7" s="245"/>
      <c r="R7" s="245" t="s">
        <v>364</v>
      </c>
      <c r="S7" s="245"/>
      <c r="T7" s="246" t="s">
        <v>17</v>
      </c>
      <c r="U7" s="246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3" ht="15">
      <c r="A8" s="9"/>
      <c r="B8" s="9"/>
      <c r="C8" s="9"/>
      <c r="D8" s="20" t="s">
        <v>114</v>
      </c>
      <c r="E8" s="9"/>
      <c r="F8" s="45" t="s">
        <v>10</v>
      </c>
      <c r="G8" s="45" t="s">
        <v>11</v>
      </c>
      <c r="H8" s="45" t="s">
        <v>10</v>
      </c>
      <c r="I8" s="45" t="s">
        <v>11</v>
      </c>
      <c r="J8" s="45" t="s">
        <v>10</v>
      </c>
      <c r="K8" s="45" t="s">
        <v>11</v>
      </c>
      <c r="L8" s="45" t="s">
        <v>10</v>
      </c>
      <c r="M8" s="45" t="s">
        <v>11</v>
      </c>
      <c r="N8" s="45" t="s">
        <v>10</v>
      </c>
      <c r="O8" s="45" t="s">
        <v>11</v>
      </c>
      <c r="P8" s="45" t="s">
        <v>10</v>
      </c>
      <c r="Q8" s="45" t="s">
        <v>11</v>
      </c>
      <c r="R8" s="45" t="s">
        <v>10</v>
      </c>
      <c r="S8" s="45" t="s">
        <v>11</v>
      </c>
      <c r="T8" s="45" t="s">
        <v>10</v>
      </c>
      <c r="U8" s="45" t="s">
        <v>11</v>
      </c>
      <c r="V8" s="45" t="s">
        <v>10</v>
      </c>
      <c r="W8" s="45" t="s">
        <v>11</v>
      </c>
      <c r="X8" s="45" t="s">
        <v>10</v>
      </c>
      <c r="Y8" s="45" t="s">
        <v>11</v>
      </c>
      <c r="Z8" s="45" t="s">
        <v>10</v>
      </c>
      <c r="AA8" s="45" t="s">
        <v>11</v>
      </c>
      <c r="AB8" s="45" t="s">
        <v>10</v>
      </c>
      <c r="AC8" s="45" t="s">
        <v>11</v>
      </c>
      <c r="AD8" s="45" t="s">
        <v>10</v>
      </c>
      <c r="AE8" s="45" t="s">
        <v>11</v>
      </c>
      <c r="AF8" s="45" t="s">
        <v>10</v>
      </c>
      <c r="AG8" s="45" t="s">
        <v>11</v>
      </c>
    </row>
    <row r="9" spans="1:3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5" ht="12.75">
      <c r="A11" s="9"/>
      <c r="B11" s="9" t="s">
        <v>10</v>
      </c>
      <c r="C11" s="9"/>
      <c r="D11" s="9">
        <f>('Rate Base'!F46)</f>
        <v>44898240.042136885</v>
      </c>
      <c r="E11" s="9"/>
      <c r="F11" s="9">
        <f>($D$11*' Energy &amp; Demand Allocations'!C91)</f>
        <v>26545779.529734</v>
      </c>
      <c r="G11" s="9"/>
      <c r="H11" s="9">
        <f>($D$11*' Energy &amp; Demand Allocations'!D91)</f>
        <v>0</v>
      </c>
      <c r="I11" s="9"/>
      <c r="J11" s="9">
        <f>($D$11*' Energy &amp; Demand Allocations'!E91)</f>
        <v>5916581.383663989</v>
      </c>
      <c r="K11" s="9"/>
      <c r="L11" s="9">
        <f>($D$11*' Energy &amp; Demand Allocations'!F91)</f>
        <v>0</v>
      </c>
      <c r="M11" s="9"/>
      <c r="N11" s="9">
        <f>($D$11*' Energy &amp; Demand Allocations'!G91)</f>
        <v>5927620.648234276</v>
      </c>
      <c r="O11" s="26" t="s">
        <v>24</v>
      </c>
      <c r="P11" s="9">
        <f>($D$11*' Energy &amp; Demand Allocations'!H91)</f>
        <v>1046723.028557172</v>
      </c>
      <c r="Q11" s="9"/>
      <c r="R11" s="9">
        <f>($D$11*' Energy &amp; Demand Allocations'!I91)</f>
        <v>1305684.8865976594</v>
      </c>
      <c r="S11" s="9"/>
      <c r="T11" s="9">
        <f>($D$11*' Energy &amp; Demand Allocations'!J91)</f>
        <v>1502443.3472536204</v>
      </c>
      <c r="U11" s="26" t="s">
        <v>24</v>
      </c>
      <c r="V11" s="9">
        <f>(D11*' Energy &amp; Demand Allocations'!$L$91)</f>
        <v>35754.26927967053</v>
      </c>
      <c r="W11" s="26" t="s">
        <v>24</v>
      </c>
      <c r="X11" s="9">
        <f>($D$11*' Energy &amp; Demand Allocations'!M91)</f>
        <v>1414134.540891921</v>
      </c>
      <c r="Y11" s="26" t="s">
        <v>24</v>
      </c>
      <c r="Z11" s="9">
        <f>($D$11*' Energy &amp; Demand Allocations'!N91)</f>
        <v>413332.6519008555</v>
      </c>
      <c r="AA11" s="26" t="s">
        <v>24</v>
      </c>
      <c r="AB11" s="9">
        <f>($D$11*' Energy &amp; Demand Allocations'!O91)</f>
        <v>751107.9720104076</v>
      </c>
      <c r="AC11" s="26" t="s">
        <v>24</v>
      </c>
      <c r="AD11" s="9">
        <f>($D$11*' Energy &amp; Demand Allocations'!P91)</f>
        <v>28128.92963097398</v>
      </c>
      <c r="AE11" s="26" t="s">
        <v>24</v>
      </c>
      <c r="AF11" s="9">
        <f>($D$11*' Energy &amp; Demand Allocations'!Q91)</f>
        <v>10948.854382339228</v>
      </c>
      <c r="AG11" s="26" t="s">
        <v>24</v>
      </c>
      <c r="AH11" s="6">
        <f>SUM(F11:AG11)</f>
        <v>44898240.0421369</v>
      </c>
      <c r="AI11" s="6">
        <f>(AH11-D11)</f>
        <v>1.4901161193847656E-08</v>
      </c>
    </row>
    <row r="12" spans="1:35" ht="12.75">
      <c r="A12" s="9"/>
      <c r="B12" s="9" t="s">
        <v>11</v>
      </c>
      <c r="C12" s="9"/>
      <c r="D12" s="9">
        <f>('Rate Base'!G46)</f>
        <v>22359059.54186585</v>
      </c>
      <c r="E12" s="9"/>
      <c r="F12" s="9"/>
      <c r="G12" s="9">
        <f>($D$12*'Consumer Allocations'!$G$14)</f>
        <v>20843427.477639504</v>
      </c>
      <c r="H12" s="26" t="s">
        <v>24</v>
      </c>
      <c r="I12" s="9">
        <f>($D$12*'Consumer Allocations'!$G$15)</f>
        <v>0</v>
      </c>
      <c r="J12" s="9"/>
      <c r="K12" s="9">
        <f>($D$12*'Consumer Allocations'!$G$16)</f>
        <v>1349783.2434704162</v>
      </c>
      <c r="L12" s="9"/>
      <c r="M12" s="9">
        <f>($D$12*'Consumer Allocations'!$G$17)</f>
        <v>0</v>
      </c>
      <c r="N12" s="9"/>
      <c r="O12" s="9">
        <f>($D$12*'Consumer Allocations'!$G$18)</f>
        <v>92724.5679680878</v>
      </c>
      <c r="P12" s="9"/>
      <c r="Q12" s="9">
        <f>($D$12*'Consumer Allocations'!$G$19)</f>
        <v>753.8582761633154</v>
      </c>
      <c r="R12" s="9"/>
      <c r="S12" s="9">
        <f>($D$12*'Consumer Allocations'!$G$20)</f>
        <v>376.9291380816577</v>
      </c>
      <c r="T12" s="26" t="s">
        <v>24</v>
      </c>
      <c r="U12" s="9">
        <f>($D$12*'Consumer Allocations'!$G$21)</f>
        <v>1884.6456904082884</v>
      </c>
      <c r="V12" s="26" t="s">
        <v>24</v>
      </c>
      <c r="W12" s="9">
        <f>(D12*'Consumer Allocations'!$G$22)</f>
        <v>376.9291380816577</v>
      </c>
      <c r="X12" s="26" t="s">
        <v>24</v>
      </c>
      <c r="Y12" s="9">
        <f>(D12*'Consumer Allocations'!$G$23)</f>
        <v>56539.370712248645</v>
      </c>
      <c r="Z12" s="26" t="s">
        <v>24</v>
      </c>
      <c r="AA12" s="9">
        <f>(D12*'Consumer Allocations'!$G$24)</f>
        <v>3769.2913808165767</v>
      </c>
      <c r="AB12" s="26" t="s">
        <v>24</v>
      </c>
      <c r="AC12" s="9">
        <f>(D12*'Consumer Allocations'!$G$25)</f>
        <v>0</v>
      </c>
      <c r="AD12" s="26" t="s">
        <v>24</v>
      </c>
      <c r="AE12" s="9">
        <f>(D12*'Consumer Allocations'!$G$26)</f>
        <v>7538.5827616331535</v>
      </c>
      <c r="AF12" s="26" t="s">
        <v>24</v>
      </c>
      <c r="AG12" s="9">
        <f>($D$12*'Consumer Allocations'!$G$27)</f>
        <v>1884.6456904082884</v>
      </c>
      <c r="AH12" s="6">
        <f aca="true" t="shared" si="0" ref="AH12:AH32">SUM(F12:AG12)</f>
        <v>22359059.54186585</v>
      </c>
      <c r="AI12" s="6">
        <f>(AH12-D12)</f>
        <v>0</v>
      </c>
    </row>
    <row r="13" spans="1:3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H13" s="6">
        <f t="shared" si="0"/>
        <v>0</v>
      </c>
    </row>
    <row r="14" spans="1:34" ht="12.75">
      <c r="A14" s="9" t="s">
        <v>156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H14" s="6">
        <f t="shared" si="0"/>
        <v>0</v>
      </c>
    </row>
    <row r="15" spans="1:35" ht="12.75">
      <c r="A15" s="9"/>
      <c r="B15" s="9" t="s">
        <v>10</v>
      </c>
      <c r="C15" s="9"/>
      <c r="D15" s="9">
        <f>('Rate Base'!H46)</f>
        <v>13541379.459332218</v>
      </c>
      <c r="E15" s="9"/>
      <c r="F15" s="9">
        <f>($D$15*' Energy &amp; Demand Allocations'!C91)</f>
        <v>8006248.648466918</v>
      </c>
      <c r="G15" s="9"/>
      <c r="H15" s="9">
        <f>($D$15*' Energy &amp; Demand Allocations'!D91)</f>
        <v>0</v>
      </c>
      <c r="I15" s="9"/>
      <c r="J15" s="9">
        <f>($D$15*' Energy &amp; Demand Allocations'!E91)</f>
        <v>1784450.2043515237</v>
      </c>
      <c r="K15" s="9"/>
      <c r="L15" s="9">
        <f>($D$15*' Energy &amp; Demand Allocations'!F91)</f>
        <v>0</v>
      </c>
      <c r="M15" s="9"/>
      <c r="N15" s="9">
        <f>($D$15*' Energy &amp; Demand Allocations'!G91)</f>
        <v>1787779.6638216039</v>
      </c>
      <c r="O15" s="9"/>
      <c r="P15" s="9">
        <f>($D$15*' Energy &amp; Demand Allocations'!H91)</f>
        <v>315693.30346160044</v>
      </c>
      <c r="Q15" s="9"/>
      <c r="R15" s="9">
        <f>($D$15*' Energy &amp; Demand Allocations'!I91)</f>
        <v>393796.60510391276</v>
      </c>
      <c r="S15" s="9"/>
      <c r="T15" s="9">
        <f>($D$15*' Energy &amp; Demand Allocations'!J91)</f>
        <v>453139.2647510602</v>
      </c>
      <c r="U15" s="9"/>
      <c r="V15" s="9">
        <f>(D15*' Energy &amp; Demand Allocations'!$L$91)</f>
        <v>10783.543567693934</v>
      </c>
      <c r="W15" s="9"/>
      <c r="X15" s="9">
        <f>($D$15*' Energy &amp; Demand Allocations'!M91)</f>
        <v>426505.1905552301</v>
      </c>
      <c r="Y15" s="9"/>
      <c r="Z15" s="9">
        <f>($D$15*' Energy &amp; Demand Allocations'!N91)</f>
        <v>124661.77465015776</v>
      </c>
      <c r="AA15" s="9"/>
      <c r="AB15" s="9">
        <f>($D$15*' Energy &amp; Demand Allocations'!O91)</f>
        <v>226535.33979008795</v>
      </c>
      <c r="AC15" s="9"/>
      <c r="AD15" s="9">
        <f>($D$15*' Energy &amp; Demand Allocations'!P91)</f>
        <v>8483.729196520722</v>
      </c>
      <c r="AE15" s="9"/>
      <c r="AF15" s="9">
        <f>($D$15*' Energy &amp; Demand Allocations'!Q91)</f>
        <v>3302.191615909307</v>
      </c>
      <c r="AH15" s="6">
        <f>SUM(F15:AG15)</f>
        <v>13541379.459332218</v>
      </c>
      <c r="AI15" s="6">
        <f>(AH15-D15)</f>
        <v>0</v>
      </c>
    </row>
    <row r="16" spans="1:35" ht="12.75">
      <c r="A16" s="9"/>
      <c r="B16" s="9" t="s">
        <v>11</v>
      </c>
      <c r="C16" s="9"/>
      <c r="D16" s="9">
        <f>('Rate Base'!I46)</f>
        <v>5351690.3963177465</v>
      </c>
      <c r="E16" s="9"/>
      <c r="F16" s="9"/>
      <c r="G16" s="9">
        <f>($D$16*'Consumer Allocations'!H40)</f>
        <v>4650898.751056651</v>
      </c>
      <c r="H16" s="26" t="s">
        <v>24</v>
      </c>
      <c r="I16" s="9">
        <f>($D$16*'Consumer Allocations'!H41)</f>
        <v>0</v>
      </c>
      <c r="J16" s="26" t="s">
        <v>24</v>
      </c>
      <c r="K16" s="9">
        <f>($D$16*'Consumer Allocations'!$H$42)</f>
        <v>457401.5443090882</v>
      </c>
      <c r="L16" s="9"/>
      <c r="M16" s="9">
        <f>($D$16*'Consumer Allocations'!$H$43)</f>
        <v>0</v>
      </c>
      <c r="N16" s="26" t="s">
        <v>24</v>
      </c>
      <c r="O16" s="9">
        <f>($D$16*'Consumer Allocations'!$H$44)</f>
        <v>117515.39040291536</v>
      </c>
      <c r="P16" s="9"/>
      <c r="Q16" s="9">
        <f>($D$16*'Consumer Allocations'!$H$45)</f>
        <v>4158.0032637562435</v>
      </c>
      <c r="R16" s="9"/>
      <c r="S16" s="9">
        <f>($D$16*'Consumer Allocations'!$H$46)</f>
        <v>11581.491860026172</v>
      </c>
      <c r="T16" s="9"/>
      <c r="U16" s="9">
        <f>($D$16*'Consumer Allocations'!$H$47)</f>
        <v>10395.008159390609</v>
      </c>
      <c r="V16" s="9"/>
      <c r="W16" s="9">
        <f>(D16*'Consumer Allocations'!$H$48)</f>
        <v>4158.0032637562435</v>
      </c>
      <c r="X16" s="9"/>
      <c r="Y16" s="9">
        <f>(D16*'Consumer Allocations'!$H$49)</f>
        <v>71655.7258554362</v>
      </c>
      <c r="Z16" s="9"/>
      <c r="AA16" s="9">
        <f>(D16*'Consumer Allocations'!$H$50)</f>
        <v>13214.103610213195</v>
      </c>
      <c r="AB16" s="9"/>
      <c r="AC16" s="9">
        <f>(D16*'Consumer Allocations'!$H$51)</f>
        <v>0</v>
      </c>
      <c r="AD16" s="9"/>
      <c r="AE16" s="9">
        <f>(D16*'Consumer Allocations'!$H$52)</f>
        <v>9030.25266915765</v>
      </c>
      <c r="AF16" s="9"/>
      <c r="AH16" s="6">
        <f>SUM(F16:AG16)</f>
        <v>5350008.274450391</v>
      </c>
      <c r="AI16" s="6">
        <f>(AH16-D16)</f>
        <v>-1682.1218673558906</v>
      </c>
    </row>
    <row r="17" spans="1:3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H17" s="6">
        <f t="shared" si="0"/>
        <v>0</v>
      </c>
      <c r="AI17" s="8" t="s">
        <v>24</v>
      </c>
    </row>
    <row r="18" spans="1:35" ht="12.7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H18" s="6">
        <f t="shared" si="0"/>
        <v>0</v>
      </c>
      <c r="AI18" s="8" t="s">
        <v>24</v>
      </c>
    </row>
    <row r="19" spans="1:35" ht="12.75">
      <c r="A19" s="9"/>
      <c r="B19" s="9" t="s">
        <v>10</v>
      </c>
      <c r="C19" s="9"/>
      <c r="D19" s="9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6" t="s">
        <v>24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H19" s="6">
        <f t="shared" si="0"/>
        <v>0</v>
      </c>
      <c r="AI19" s="8" t="s">
        <v>24</v>
      </c>
    </row>
    <row r="20" spans="1:35" ht="12.75">
      <c r="A20" s="9"/>
      <c r="B20" s="9" t="s">
        <v>11</v>
      </c>
      <c r="C20" s="9"/>
      <c r="D20" s="9">
        <f>('Rate Base'!K46)</f>
        <v>11301739.241642708</v>
      </c>
      <c r="E20" s="9"/>
      <c r="F20" s="26" t="s">
        <v>24</v>
      </c>
      <c r="G20" s="9">
        <f>($D$20*'Consumer Allocations'!$H$64)</f>
        <v>10369487.4625716</v>
      </c>
      <c r="H20" s="9"/>
      <c r="I20" s="9">
        <f>($D$20*'Consumer Allocations'!$H$65)</f>
        <v>0</v>
      </c>
      <c r="J20" s="9"/>
      <c r="K20" s="9">
        <f>($D$20*'Consumer Allocations'!$H$66)</f>
        <v>671509.5410949563</v>
      </c>
      <c r="L20" s="9"/>
      <c r="M20" s="9">
        <f>($D$20*'Consumer Allocations'!$H$67)</f>
        <v>0</v>
      </c>
      <c r="N20" s="9"/>
      <c r="O20" s="9">
        <f>($D$20*'Consumer Allocations'!$H$68)</f>
        <v>155685.8993741103</v>
      </c>
      <c r="P20" s="9"/>
      <c r="Q20" s="9">
        <f>($D$20*'Consumer Allocations'!$H$69)</f>
        <v>0</v>
      </c>
      <c r="R20" s="9"/>
      <c r="S20" s="9">
        <f>($D$20*'Consumer Allocations'!$H$70)</f>
        <v>0</v>
      </c>
      <c r="T20" s="9"/>
      <c r="U20" s="9">
        <f>($D$20*'Consumer Allocations'!$H$71)</f>
        <v>3164.347548254275</v>
      </c>
      <c r="V20" s="9"/>
      <c r="W20" s="9">
        <f>(D20*'Consumer Allocations'!$H$72)</f>
        <v>632.8695096508549</v>
      </c>
      <c r="X20" s="9"/>
      <c r="Y20" s="9">
        <f>(D20*'Consumer Allocations'!$H$73)</f>
        <v>94930.42644762824</v>
      </c>
      <c r="Z20" s="9"/>
      <c r="AA20" s="9">
        <f>(D20*'Consumer Allocations'!$H$74)</f>
        <v>6328.69509650855</v>
      </c>
      <c r="AB20" s="9"/>
      <c r="AC20" s="9">
        <f>(D20*'Consumer Allocations'!$H$75)</f>
        <v>0</v>
      </c>
      <c r="AD20" s="9"/>
      <c r="AE20" s="9">
        <f>(D20*'Consumer Allocations'!$H$76)</f>
        <v>0</v>
      </c>
      <c r="AF20" s="9"/>
      <c r="AH20" s="6">
        <f t="shared" si="0"/>
        <v>11301739.241642708</v>
      </c>
      <c r="AI20" s="6">
        <f>(AH20-D20)</f>
        <v>0</v>
      </c>
    </row>
    <row r="21" spans="1:3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H21" s="6">
        <f t="shared" si="0"/>
        <v>0</v>
      </c>
      <c r="AI21" s="8" t="s">
        <v>24</v>
      </c>
    </row>
    <row r="22" spans="1:35" ht="12.75">
      <c r="A22" s="9" t="s">
        <v>14</v>
      </c>
      <c r="B22" s="9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6">
        <f t="shared" si="0"/>
        <v>0</v>
      </c>
      <c r="AI22" s="8" t="s">
        <v>24</v>
      </c>
    </row>
    <row r="23" spans="1:35" ht="12.75">
      <c r="A23" s="9"/>
      <c r="B23" s="9" t="s">
        <v>10</v>
      </c>
      <c r="C23" s="9"/>
      <c r="D23" s="9"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H23" s="6">
        <f t="shared" si="0"/>
        <v>0</v>
      </c>
      <c r="AI23" s="8" t="s">
        <v>24</v>
      </c>
    </row>
    <row r="24" spans="1:35" ht="12.75">
      <c r="A24" s="9"/>
      <c r="B24" s="9" t="s">
        <v>11</v>
      </c>
      <c r="C24" s="9"/>
      <c r="D24" s="9">
        <f>('Rate Base'!L46)</f>
        <v>3488041.792044489</v>
      </c>
      <c r="E24" s="9"/>
      <c r="F24" s="9"/>
      <c r="G24" s="9">
        <f>($D$24*'Consumer Allocations'!$H$91)</f>
        <v>3137483.655781045</v>
      </c>
      <c r="H24" s="9"/>
      <c r="I24" s="9">
        <f>($D$24*'Consumer Allocations'!$H$92)</f>
        <v>0</v>
      </c>
      <c r="J24" s="9"/>
      <c r="K24" s="9">
        <f>($D$24*'Consumer Allocations'!$H$93)</f>
        <v>203177.8540155507</v>
      </c>
      <c r="L24" s="9"/>
      <c r="M24" s="9">
        <f>($D$24*'Consumer Allocations'!$H$94)</f>
        <v>0</v>
      </c>
      <c r="N24" s="9"/>
      <c r="O24" s="9">
        <f>($D$24*'Consumer Allocations'!$H$95)</f>
        <v>89079.97403681016</v>
      </c>
      <c r="P24" s="9"/>
      <c r="Q24" s="9">
        <f>($D$24*'Consumer Allocations'!$H$96)</f>
        <v>0</v>
      </c>
      <c r="R24" s="9"/>
      <c r="S24" s="9">
        <f>($D$24*'Consumer Allocations'!$H$97)</f>
        <v>0</v>
      </c>
      <c r="T24" s="9"/>
      <c r="U24" s="9">
        <f>($D$24*'Consumer Allocations'!$H$98)</f>
        <v>0</v>
      </c>
      <c r="V24" s="9"/>
      <c r="W24" s="9">
        <f>(D24*'Consumer Allocations'!$H$99)</f>
        <v>362.1137155967893</v>
      </c>
      <c r="X24" s="9"/>
      <c r="Y24" s="9">
        <f>(D24*'Consumer Allocations'!$H$100)</f>
        <v>54317.05733951839</v>
      </c>
      <c r="Z24" s="9"/>
      <c r="AA24" s="9">
        <f>(D24*'Consumer Allocations'!$H$101)</f>
        <v>3621.1371559678932</v>
      </c>
      <c r="AB24" s="9"/>
      <c r="AC24" s="9">
        <f>(D24*'Consumer Allocations'!$H$102)</f>
        <v>0</v>
      </c>
      <c r="AD24" s="9"/>
      <c r="AE24" s="9">
        <f>(D24*'Consumer Allocations'!$H$103)</f>
        <v>0</v>
      </c>
      <c r="AF24" s="9"/>
      <c r="AH24" s="6">
        <f>SUM(F24:AG24)</f>
        <v>3488041.7920444887</v>
      </c>
      <c r="AI24" s="6">
        <f>(AH24-D24)</f>
        <v>-4.656612873077393E-10</v>
      </c>
    </row>
    <row r="25" spans="1:35" ht="12.75">
      <c r="A25" s="9"/>
      <c r="B25" s="9"/>
      <c r="C25" s="9"/>
      <c r="D25" s="9"/>
      <c r="E25" s="9"/>
      <c r="F25" s="9"/>
      <c r="G25" s="26" t="s">
        <v>24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H25" s="6">
        <f t="shared" si="0"/>
        <v>0</v>
      </c>
      <c r="AI25" s="8" t="s">
        <v>24</v>
      </c>
    </row>
    <row r="26" spans="1:35" ht="12.75">
      <c r="A26" s="9" t="s">
        <v>157</v>
      </c>
      <c r="B26" s="9"/>
      <c r="C26" s="9"/>
      <c r="D26" s="9">
        <f>('Rate Base'!M46)</f>
        <v>5315689.722892758</v>
      </c>
      <c r="E26" s="9"/>
      <c r="F26" s="9"/>
      <c r="G26" s="9">
        <f>($D$26*'Consumer Allocations'!$I$118)</f>
        <v>4891502.066622629</v>
      </c>
      <c r="H26" s="9"/>
      <c r="I26" s="9">
        <f>($D$26*'Consumer Allocations'!$I$119)</f>
        <v>61282.29987053111</v>
      </c>
      <c r="J26" s="9"/>
      <c r="K26" s="9">
        <f>($D$26*'Consumer Allocations'!$I$120)</f>
        <v>316764.9625768678</v>
      </c>
      <c r="L26" s="9"/>
      <c r="M26" s="9">
        <f>($D$26*'Consumer Allocations'!$I$121)</f>
        <v>71.17572574974577</v>
      </c>
      <c r="N26" s="9"/>
      <c r="O26" s="9">
        <f>($D$26*'Consumer Allocations'!$I$122)</f>
        <v>29423.33592079816</v>
      </c>
      <c r="P26" s="9"/>
      <c r="Q26" s="9">
        <f>($D$26*'Consumer Allocations'!$I$123)</f>
        <v>318.325051997677</v>
      </c>
      <c r="R26" s="9"/>
      <c r="S26" s="9">
        <f>($D$26*'Consumer Allocations'!$I$124)</f>
        <v>159.1625259988385</v>
      </c>
      <c r="T26" s="9"/>
      <c r="U26" s="9">
        <f>($D$26*'Consumer Allocations'!$I$125)</f>
        <v>795.8126299941925</v>
      </c>
      <c r="V26" s="9"/>
      <c r="W26" s="9">
        <f>(D26*'Consumer Allocations'!$I$126)</f>
        <v>119.6070565886104</v>
      </c>
      <c r="X26" s="9"/>
      <c r="Y26" s="9">
        <f>(D26*'Consumer Allocations'!$I$127)</f>
        <v>13268.56866420837</v>
      </c>
      <c r="Z26" s="9"/>
      <c r="AA26" s="9">
        <f>(D26*'Consumer Allocations'!$I$128)</f>
        <v>884.571244280558</v>
      </c>
      <c r="AB26" s="9"/>
      <c r="AC26" s="9">
        <f>(D26*'Consumer Allocations'!$I$129)</f>
        <v>0</v>
      </c>
      <c r="AD26" s="9"/>
      <c r="AE26" s="9">
        <f>(D26*'Consumer Allocations'!$I$130)</f>
        <v>879.8680024909272</v>
      </c>
      <c r="AF26" s="9"/>
      <c r="AH26" s="6">
        <f t="shared" si="0"/>
        <v>5315469.755892135</v>
      </c>
      <c r="AI26" s="6">
        <f>(AH26-D26)</f>
        <v>-219.96700062323362</v>
      </c>
    </row>
    <row r="27" spans="1:3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H27" s="6">
        <f t="shared" si="0"/>
        <v>0</v>
      </c>
      <c r="AI27" s="8" t="s">
        <v>24</v>
      </c>
    </row>
    <row r="28" spans="1:35" ht="12.75">
      <c r="A28" s="9" t="s">
        <v>240</v>
      </c>
      <c r="B28" s="9"/>
      <c r="C28" s="9"/>
      <c r="D28" s="9">
        <f>('Rate Base'!N46)</f>
        <v>8788872.4067245</v>
      </c>
      <c r="E28" s="9"/>
      <c r="F28" s="9"/>
      <c r="G28" s="9"/>
      <c r="H28" s="9"/>
      <c r="I28" s="9"/>
      <c r="J28" s="9"/>
      <c r="K28" s="9"/>
      <c r="L28" s="9"/>
      <c r="M28" s="9"/>
      <c r="N28" s="9"/>
      <c r="P28" s="9"/>
      <c r="Q28" s="26" t="s">
        <v>24</v>
      </c>
      <c r="R28" s="9"/>
      <c r="S28" s="26" t="s">
        <v>24</v>
      </c>
      <c r="T28" s="9"/>
      <c r="V28" s="9"/>
      <c r="W28" s="26" t="s">
        <v>24</v>
      </c>
      <c r="X28" s="9"/>
      <c r="Y28" s="9"/>
      <c r="Z28" s="9"/>
      <c r="AA28" s="9"/>
      <c r="AB28" s="9"/>
      <c r="AC28" s="9">
        <f>(D28)</f>
        <v>8788872.4067245</v>
      </c>
      <c r="AD28" s="9"/>
      <c r="AE28" s="9"/>
      <c r="AF28" s="9"/>
      <c r="AH28" s="6">
        <f t="shared" si="0"/>
        <v>8788872.4067245</v>
      </c>
      <c r="AI28" s="6">
        <f>(AH28-D28)</f>
        <v>0</v>
      </c>
    </row>
    <row r="29" spans="1:3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6">
        <f t="shared" si="0"/>
        <v>0</v>
      </c>
      <c r="AI29" s="8" t="s">
        <v>24</v>
      </c>
    </row>
    <row r="30" spans="1:35" ht="13.5" thickBot="1">
      <c r="A30" s="9" t="s">
        <v>241</v>
      </c>
      <c r="B30" s="9"/>
      <c r="C30" s="9"/>
      <c r="D30" s="23">
        <f>('Rate Base'!O46)</f>
        <v>482497.3370428411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R30" s="23"/>
      <c r="S30" s="23"/>
      <c r="T30" s="23"/>
      <c r="U30" s="23"/>
      <c r="V30" s="16"/>
      <c r="W30" s="16"/>
      <c r="X30" s="16"/>
      <c r="Y30" s="16"/>
      <c r="Z30" s="16"/>
      <c r="AA30" s="16"/>
      <c r="AB30" s="16"/>
      <c r="AC30" s="16"/>
      <c r="AD30" s="16"/>
      <c r="AE30" s="16">
        <f>(D30-AG30)</f>
        <v>381954.89305045194</v>
      </c>
      <c r="AF30" s="16"/>
      <c r="AG30" s="16">
        <f>(189/(189+718))*D30</f>
        <v>100542.44399238918</v>
      </c>
      <c r="AH30" s="6">
        <f t="shared" si="0"/>
        <v>482497.3370428411</v>
      </c>
      <c r="AI30" s="6">
        <f>(AH30-D30)</f>
        <v>0</v>
      </c>
    </row>
    <row r="31" spans="1:3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H31" s="6">
        <f t="shared" si="0"/>
        <v>0</v>
      </c>
      <c r="AI31" s="8" t="s">
        <v>24</v>
      </c>
    </row>
    <row r="32" spans="1:35" ht="12.75">
      <c r="A32" s="26" t="s">
        <v>114</v>
      </c>
      <c r="B32" s="9"/>
      <c r="C32" s="9"/>
      <c r="D32" s="9">
        <f>SUM(D11:D30)</f>
        <v>115527209.94</v>
      </c>
      <c r="E32" s="26" t="s">
        <v>24</v>
      </c>
      <c r="F32" s="9">
        <f aca="true" t="shared" si="1" ref="F32:AG32">SUM(F11:F30)</f>
        <v>34552028.178200915</v>
      </c>
      <c r="G32" s="9">
        <f t="shared" si="1"/>
        <v>43892799.41367143</v>
      </c>
      <c r="H32" s="9">
        <f t="shared" si="1"/>
        <v>0</v>
      </c>
      <c r="I32" s="9">
        <f t="shared" si="1"/>
        <v>61282.29987053111</v>
      </c>
      <c r="J32" s="9">
        <f t="shared" si="1"/>
        <v>7701031.588015513</v>
      </c>
      <c r="K32" s="9">
        <f t="shared" si="1"/>
        <v>2998637.145466879</v>
      </c>
      <c r="L32" s="9">
        <f t="shared" si="1"/>
        <v>0</v>
      </c>
      <c r="M32" s="9">
        <f t="shared" si="1"/>
        <v>71.17572574974577</v>
      </c>
      <c r="N32" s="9">
        <f t="shared" si="1"/>
        <v>7715400.31205588</v>
      </c>
      <c r="O32" s="9">
        <f t="shared" si="1"/>
        <v>484429.1677027218</v>
      </c>
      <c r="P32" s="9">
        <f t="shared" si="1"/>
        <v>1362416.3320187726</v>
      </c>
      <c r="Q32" s="9">
        <f t="shared" si="1"/>
        <v>5230.186591917236</v>
      </c>
      <c r="R32" s="9">
        <f t="shared" si="1"/>
        <v>1699481.4917015722</v>
      </c>
      <c r="S32" s="9">
        <f t="shared" si="1"/>
        <v>12117.583524106667</v>
      </c>
      <c r="T32" s="9">
        <f t="shared" si="1"/>
        <v>1955582.6120046806</v>
      </c>
      <c r="U32" s="9">
        <f t="shared" si="1"/>
        <v>16239.814028047364</v>
      </c>
      <c r="V32" s="9">
        <f t="shared" si="1"/>
        <v>46537.81284736446</v>
      </c>
      <c r="W32" s="9">
        <f t="shared" si="1"/>
        <v>5649.522683674155</v>
      </c>
      <c r="X32" s="9">
        <f t="shared" si="1"/>
        <v>1840639.731447151</v>
      </c>
      <c r="Y32" s="9">
        <f t="shared" si="1"/>
        <v>290711.1490190398</v>
      </c>
      <c r="Z32" s="9">
        <f t="shared" si="1"/>
        <v>537994.4265510133</v>
      </c>
      <c r="AA32" s="9">
        <f t="shared" si="1"/>
        <v>27817.79848778677</v>
      </c>
      <c r="AB32" s="9">
        <f t="shared" si="1"/>
        <v>977643.3118004955</v>
      </c>
      <c r="AC32" s="9">
        <f t="shared" si="1"/>
        <v>8788872.4067245</v>
      </c>
      <c r="AD32" s="9">
        <f t="shared" si="1"/>
        <v>36612.6588274947</v>
      </c>
      <c r="AE32" s="9">
        <f t="shared" si="1"/>
        <v>399403.5964837337</v>
      </c>
      <c r="AF32" s="9">
        <f t="shared" si="1"/>
        <v>14251.045998248535</v>
      </c>
      <c r="AG32" s="9">
        <f t="shared" si="1"/>
        <v>102427.08968279746</v>
      </c>
      <c r="AH32" s="6">
        <f t="shared" si="0"/>
        <v>115525307.85113202</v>
      </c>
      <c r="AI32" s="6">
        <f>(AH32-D32)</f>
        <v>-1902.0888679772615</v>
      </c>
    </row>
    <row r="33" spans="1:32" ht="12.75">
      <c r="A33" s="26"/>
      <c r="B33" s="9"/>
      <c r="C33" s="9"/>
      <c r="D33" s="9"/>
      <c r="E33" s="2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>
      <c r="A35" s="9"/>
      <c r="B35" s="9"/>
      <c r="C35" s="9"/>
      <c r="D35" s="9"/>
      <c r="E35" s="9"/>
      <c r="F35" s="9"/>
      <c r="G35" s="9"/>
      <c r="H35" s="21" t="s">
        <v>24</v>
      </c>
      <c r="I35" s="9"/>
      <c r="J35" s="9"/>
      <c r="K35" s="9"/>
      <c r="L35" s="9"/>
      <c r="M35" s="9"/>
      <c r="N35" s="9"/>
      <c r="O35" s="9"/>
      <c r="P35" s="26" t="s">
        <v>24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</sheetData>
  <mergeCells count="22">
    <mergeCell ref="AD6:AE6"/>
    <mergeCell ref="AF6:AG6"/>
    <mergeCell ref="V6:W6"/>
    <mergeCell ref="X6:Y6"/>
    <mergeCell ref="Z6:AA6"/>
    <mergeCell ref="AB6:AC6"/>
    <mergeCell ref="J6:K6"/>
    <mergeCell ref="L6:M6"/>
    <mergeCell ref="N6:O6"/>
    <mergeCell ref="P6:Q6"/>
    <mergeCell ref="F6:G6"/>
    <mergeCell ref="H6:I6"/>
    <mergeCell ref="F7:G7"/>
    <mergeCell ref="H7:I7"/>
    <mergeCell ref="P7:Q7"/>
    <mergeCell ref="J7:K7"/>
    <mergeCell ref="L7:M7"/>
    <mergeCell ref="N7:O7"/>
    <mergeCell ref="R6:S6"/>
    <mergeCell ref="R7:S7"/>
    <mergeCell ref="T6:U6"/>
    <mergeCell ref="T7:U7"/>
  </mergeCells>
  <printOptions horizontalCentered="1" verticalCentered="1"/>
  <pageMargins left="0.75" right="0.75" top="1" bottom="1" header="0.5" footer="0.5"/>
  <pageSetup horizontalDpi="300" verticalDpi="300" orientation="landscape" scale="47" r:id="rId1"/>
  <headerFooter alignWithMargins="0">
    <oddHeader xml:space="preserve">&amp;C&amp;"Arial,Bold"&amp;14 CUMBERLAND VALLEY ELECTRIC, INC,
Case No. 2005-00187
Unbundled Rate Base&amp;RExhibit S 
Schedule 6
 Page &amp;P of &amp;N
&amp;"Arial,Bold"&amp;11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workbookViewId="0" topLeftCell="A1">
      <pane xSplit="4" topLeftCell="E1" activePane="topRight" state="frozen"/>
      <selection pane="topLeft" activeCell="A1" sqref="A1"/>
      <selection pane="topRight" activeCell="C5" sqref="C5"/>
    </sheetView>
  </sheetViews>
  <sheetFormatPr defaultColWidth="9.140625" defaultRowHeight="12.75"/>
  <cols>
    <col min="1" max="1" width="9.140625" style="3" customWidth="1"/>
    <col min="2" max="2" width="24.57421875" style="2" customWidth="1"/>
    <col min="3" max="3" width="10.57421875" style="2" customWidth="1"/>
    <col min="4" max="4" width="13.7109375" style="9" customWidth="1"/>
    <col min="5" max="5" width="3.28125" style="2" customWidth="1"/>
    <col min="6" max="6" width="13.00390625" style="2" customWidth="1"/>
    <col min="7" max="7" width="13.421875" style="2" customWidth="1"/>
    <col min="8" max="8" width="13.140625" style="2" customWidth="1"/>
    <col min="9" max="9" width="12.421875" style="2" customWidth="1"/>
    <col min="10" max="10" width="9.28125" style="2" bestFit="1" customWidth="1"/>
    <col min="11" max="11" width="13.00390625" style="2" customWidth="1"/>
    <col min="12" max="12" width="12.7109375" style="2" customWidth="1"/>
    <col min="13" max="13" width="11.57421875" style="2" bestFit="1" customWidth="1"/>
    <col min="14" max="14" width="13.140625" style="2" customWidth="1"/>
    <col min="15" max="15" width="12.140625" style="2" customWidth="1"/>
    <col min="16" max="16" width="15.28125" style="2" customWidth="1"/>
    <col min="17" max="17" width="9.140625" style="2" customWidth="1"/>
    <col min="18" max="18" width="12.140625" style="2" customWidth="1"/>
    <col min="19" max="16384" width="9.140625" style="2" customWidth="1"/>
  </cols>
  <sheetData>
    <row r="1" spans="1:2" ht="12.75">
      <c r="A1" s="3" t="s">
        <v>24</v>
      </c>
      <c r="B1" s="2" t="s">
        <v>24</v>
      </c>
    </row>
    <row r="2" ht="12.75">
      <c r="A2" s="3" t="s">
        <v>24</v>
      </c>
    </row>
    <row r="3" spans="1:15" s="47" customFormat="1" ht="12.75">
      <c r="A3" s="100" t="s">
        <v>24</v>
      </c>
      <c r="D3" s="248" t="s">
        <v>260</v>
      </c>
      <c r="E3" s="248"/>
      <c r="F3" s="248"/>
      <c r="G3" s="248"/>
      <c r="H3" s="248"/>
      <c r="I3" s="248"/>
      <c r="J3" s="248" t="s">
        <v>260</v>
      </c>
      <c r="K3" s="248"/>
      <c r="L3" s="248"/>
      <c r="M3" s="248"/>
      <c r="N3" s="248"/>
      <c r="O3" s="248"/>
    </row>
    <row r="4" spans="1:19" s="47" customFormat="1" ht="12.75">
      <c r="A4" s="100"/>
      <c r="D4" s="40"/>
      <c r="J4" s="100" t="s">
        <v>24</v>
      </c>
      <c r="M4" s="100" t="s">
        <v>11</v>
      </c>
      <c r="O4" s="47" t="s">
        <v>24</v>
      </c>
      <c r="S4" s="100"/>
    </row>
    <row r="5" spans="1:15" s="47" customFormat="1" ht="12.75">
      <c r="A5" s="100"/>
      <c r="C5" s="100" t="s">
        <v>24</v>
      </c>
      <c r="D5" s="40"/>
      <c r="F5" s="247" t="s">
        <v>25</v>
      </c>
      <c r="G5" s="247"/>
      <c r="H5" s="247" t="s">
        <v>12</v>
      </c>
      <c r="I5" s="247"/>
      <c r="J5" s="247" t="s">
        <v>13</v>
      </c>
      <c r="K5" s="247"/>
      <c r="L5" s="100" t="s">
        <v>14</v>
      </c>
      <c r="M5" s="100" t="s">
        <v>15</v>
      </c>
      <c r="N5" s="100" t="s">
        <v>16</v>
      </c>
      <c r="O5" s="47" t="s">
        <v>24</v>
      </c>
    </row>
    <row r="6" spans="1:15" s="47" customFormat="1" ht="12.75">
      <c r="A6" s="100" t="s">
        <v>24</v>
      </c>
      <c r="B6" s="47" t="s">
        <v>0</v>
      </c>
      <c r="C6" s="100" t="s">
        <v>24</v>
      </c>
      <c r="D6" s="152" t="s">
        <v>9</v>
      </c>
      <c r="F6" s="200" t="s">
        <v>10</v>
      </c>
      <c r="G6" s="200" t="s">
        <v>26</v>
      </c>
      <c r="H6" s="200" t="s">
        <v>10</v>
      </c>
      <c r="I6" s="200" t="s">
        <v>11</v>
      </c>
      <c r="J6" s="200" t="s">
        <v>10</v>
      </c>
      <c r="K6" s="200" t="s">
        <v>11</v>
      </c>
      <c r="L6" s="200" t="s">
        <v>11</v>
      </c>
      <c r="M6" s="200" t="s">
        <v>13</v>
      </c>
      <c r="N6" s="200" t="s">
        <v>17</v>
      </c>
      <c r="O6" s="47" t="s">
        <v>196</v>
      </c>
    </row>
    <row r="8" spans="1:16" ht="12.75">
      <c r="A8" s="3">
        <v>360</v>
      </c>
      <c r="B8" s="2" t="s">
        <v>193</v>
      </c>
      <c r="D8" s="9">
        <v>52264.44</v>
      </c>
      <c r="F8" s="9">
        <f>(D8*Classification!$H$140)</f>
        <v>34889.616254322515</v>
      </c>
      <c r="G8" s="41">
        <f>(D8-F8)</f>
        <v>17374.823745677488</v>
      </c>
      <c r="P8" s="41">
        <f>SUM(F8:O8)</f>
        <v>52264.44</v>
      </c>
    </row>
    <row r="9" spans="1:16" ht="12.75">
      <c r="A9" s="3">
        <v>362</v>
      </c>
      <c r="B9" s="2" t="s">
        <v>194</v>
      </c>
      <c r="D9" s="9">
        <f>(261981.97+510124.91)</f>
        <v>772106.88</v>
      </c>
      <c r="F9" s="9">
        <f>(D9*Classification!$H$140)</f>
        <v>515427.1766907335</v>
      </c>
      <c r="G9" s="41">
        <f>(D9-F9)</f>
        <v>256679.70330926648</v>
      </c>
      <c r="P9" s="41">
        <f aca="true" t="shared" si="0" ref="P9:P18">SUM(F9:O9)</f>
        <v>772106.88</v>
      </c>
    </row>
    <row r="10" spans="1:16" ht="12.75">
      <c r="A10" s="3">
        <v>364</v>
      </c>
      <c r="B10" s="2" t="s">
        <v>19</v>
      </c>
      <c r="D10" s="9">
        <v>37722490.3</v>
      </c>
      <c r="F10" s="9">
        <f>(D10-N10-O10)*Classification!$H$140</f>
        <v>22930930.597265102</v>
      </c>
      <c r="G10" s="41">
        <f>(D10-F10-N10-O10)</f>
        <v>11419468.60485986</v>
      </c>
      <c r="N10" s="9">
        <f>((16741*Classification!F8))</f>
        <v>3130314.7313655675</v>
      </c>
      <c r="O10" s="9">
        <f>((2760+223)-(172+83+47+1705+36))*(Classification!F10)</f>
        <v>241776.36650946716</v>
      </c>
      <c r="P10" s="41">
        <f t="shared" si="0"/>
        <v>37722490.3</v>
      </c>
    </row>
    <row r="11" spans="1:16" ht="12.75">
      <c r="A11" s="3">
        <v>365</v>
      </c>
      <c r="B11" s="2" t="s">
        <v>20</v>
      </c>
      <c r="D11" s="9">
        <v>38411065.5</v>
      </c>
      <c r="F11" s="9">
        <f>(D11*Classification!$H$140)</f>
        <v>25641666.402905047</v>
      </c>
      <c r="G11" s="41">
        <f>(D11-F11)</f>
        <v>12769399.097094953</v>
      </c>
      <c r="P11" s="41">
        <f t="shared" si="0"/>
        <v>38411065.5</v>
      </c>
    </row>
    <row r="12" spans="1:16" ht="12.75">
      <c r="A12" s="3">
        <v>366</v>
      </c>
      <c r="B12" s="2" t="s">
        <v>21</v>
      </c>
      <c r="D12" s="9">
        <v>310988.66</v>
      </c>
      <c r="F12" s="9">
        <f>(D12*Classification!$H$140)</f>
        <v>207603.39165302404</v>
      </c>
      <c r="G12" s="41">
        <f>(D12-F12)</f>
        <v>103385.26834697594</v>
      </c>
      <c r="P12" s="41">
        <f t="shared" si="0"/>
        <v>310988.66</v>
      </c>
    </row>
    <row r="13" spans="1:16" ht="12.75">
      <c r="A13" s="3">
        <v>367</v>
      </c>
      <c r="B13" s="42" t="s">
        <v>305</v>
      </c>
      <c r="D13" s="9">
        <v>2654010.14</v>
      </c>
      <c r="F13" s="9">
        <f>(D13*Classification!$H$140)</f>
        <v>1771709.3174571614</v>
      </c>
      <c r="G13" s="41">
        <f>(D13-F13)</f>
        <v>882300.8225428388</v>
      </c>
      <c r="P13" s="41">
        <f t="shared" si="0"/>
        <v>2654010.14</v>
      </c>
    </row>
    <row r="14" spans="1:16" ht="12.75">
      <c r="A14" s="3">
        <v>368</v>
      </c>
      <c r="B14" s="2" t="s">
        <v>12</v>
      </c>
      <c r="D14" s="9">
        <v>21503692.22</v>
      </c>
      <c r="H14" s="9">
        <f>(D14*Classification!F198)</f>
        <v>15412511.484502338</v>
      </c>
      <c r="I14" s="41">
        <f>(D14-H14)</f>
        <v>6091180.735497661</v>
      </c>
      <c r="P14" s="41">
        <f t="shared" si="0"/>
        <v>21503692.22</v>
      </c>
    </row>
    <row r="15" spans="1:16" ht="12.75">
      <c r="A15" s="3">
        <v>369</v>
      </c>
      <c r="B15" s="2" t="s">
        <v>13</v>
      </c>
      <c r="D15" s="9">
        <v>15032672.04</v>
      </c>
      <c r="K15" s="41">
        <f>(D15-N15)</f>
        <v>12863400.392832575</v>
      </c>
      <c r="N15" s="9">
        <f>(83.5*22755*'Consumer Allocations'!M64)</f>
        <v>2169271.647167424</v>
      </c>
      <c r="O15" s="9">
        <v>0</v>
      </c>
      <c r="P15" s="41">
        <f t="shared" si="0"/>
        <v>15032672.04</v>
      </c>
    </row>
    <row r="16" spans="1:16" ht="12.75">
      <c r="A16" s="3">
        <v>370</v>
      </c>
      <c r="B16" s="2" t="s">
        <v>14</v>
      </c>
      <c r="D16" s="9">
        <v>3970015.34</v>
      </c>
      <c r="L16" s="41">
        <f>(D16)</f>
        <v>3970015.34</v>
      </c>
      <c r="P16" s="41">
        <f t="shared" si="0"/>
        <v>3970015.34</v>
      </c>
    </row>
    <row r="17" spans="1:16" ht="12.75">
      <c r="A17" s="3">
        <v>371</v>
      </c>
      <c r="B17" s="2" t="s">
        <v>22</v>
      </c>
      <c r="D17" s="9">
        <v>4703722.17</v>
      </c>
      <c r="N17" s="41">
        <f>(D17)</f>
        <v>4703722.17</v>
      </c>
      <c r="P17" s="41">
        <f t="shared" si="0"/>
        <v>4703722.17</v>
      </c>
    </row>
    <row r="18" spans="1:16" ht="12.75">
      <c r="A18" s="3">
        <v>373</v>
      </c>
      <c r="B18" s="2" t="s">
        <v>195</v>
      </c>
      <c r="D18" s="16">
        <v>307391.89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18">
        <f>(D18)</f>
        <v>307391.89</v>
      </c>
      <c r="P18" s="41">
        <f t="shared" si="0"/>
        <v>307391.89</v>
      </c>
    </row>
    <row r="20" spans="2:16" ht="13.5" thickBot="1">
      <c r="B20" s="2" t="s">
        <v>1</v>
      </c>
      <c r="D20" s="23">
        <f>SUM(D8:D18)</f>
        <v>125440419.58000001</v>
      </c>
      <c r="E20" s="31" t="s">
        <v>24</v>
      </c>
      <c r="F20" s="23">
        <f aca="true" t="shared" si="1" ref="F20:O20">SUM(F8:F18)</f>
        <v>51102226.50222539</v>
      </c>
      <c r="G20" s="23">
        <f t="shared" si="1"/>
        <v>25448608.31989957</v>
      </c>
      <c r="H20" s="23">
        <f t="shared" si="1"/>
        <v>15412511.484502338</v>
      </c>
      <c r="I20" s="23">
        <f t="shared" si="1"/>
        <v>6091180.735497661</v>
      </c>
      <c r="J20" s="23">
        <f t="shared" si="1"/>
        <v>0</v>
      </c>
      <c r="K20" s="23">
        <f t="shared" si="1"/>
        <v>12863400.392832575</v>
      </c>
      <c r="L20" s="23">
        <f t="shared" si="1"/>
        <v>3970015.34</v>
      </c>
      <c r="M20" s="23">
        <f t="shared" si="1"/>
        <v>0</v>
      </c>
      <c r="N20" s="23">
        <f t="shared" si="1"/>
        <v>10003308.548532993</v>
      </c>
      <c r="O20" s="23">
        <f t="shared" si="1"/>
        <v>549168.2565094671</v>
      </c>
      <c r="P20" s="41">
        <f>SUM(F20:O20)</f>
        <v>125440419.58</v>
      </c>
    </row>
    <row r="21" spans="5:16" ht="12.75">
      <c r="E21" s="26"/>
      <c r="F21" s="9"/>
      <c r="G21" s="9"/>
      <c r="H21" s="9"/>
      <c r="I21" s="9"/>
      <c r="J21" s="9"/>
      <c r="K21" s="9"/>
      <c r="L21" s="9"/>
      <c r="M21" s="9"/>
      <c r="N21" s="9"/>
      <c r="O21" s="9"/>
      <c r="P21" s="41"/>
    </row>
    <row r="22" spans="5:16" ht="12.75">
      <c r="E22" s="26"/>
      <c r="F22" s="58">
        <f>(F20/$D$20)</f>
        <v>0.4073824583282328</v>
      </c>
      <c r="G22" s="58">
        <f aca="true" t="shared" si="2" ref="G22:O22">(G20/$D$20)</f>
        <v>0.20287406886158924</v>
      </c>
      <c r="H22" s="58">
        <f t="shared" si="2"/>
        <v>0.12286718695701557</v>
      </c>
      <c r="I22" s="58">
        <f t="shared" si="2"/>
        <v>0.04855835747275217</v>
      </c>
      <c r="J22" s="58">
        <f t="shared" si="2"/>
        <v>0</v>
      </c>
      <c r="K22" s="58">
        <f t="shared" si="2"/>
        <v>0.1025458973742423</v>
      </c>
      <c r="L22" s="58">
        <f t="shared" si="2"/>
        <v>0.03164861336794326</v>
      </c>
      <c r="M22" s="58">
        <f t="shared" si="2"/>
        <v>0</v>
      </c>
      <c r="N22" s="58">
        <f t="shared" si="2"/>
        <v>0.07974549656343705</v>
      </c>
      <c r="O22" s="58">
        <f t="shared" si="2"/>
        <v>0.004377921074787489</v>
      </c>
      <c r="P22" s="41">
        <f>SUM(F22:O22)</f>
        <v>0.9999999999999999</v>
      </c>
    </row>
    <row r="23" ht="12.75">
      <c r="F23" s="2" t="s">
        <v>24</v>
      </c>
    </row>
    <row r="24" spans="2:16" ht="12.75">
      <c r="B24" s="2" t="s">
        <v>2</v>
      </c>
      <c r="D24" s="9">
        <f>(301554.56+1200675.36+715678.63+116488.26+197498.31+292047.64+2280480.95+16756.24+434000.11+1812681.54+410258.58+7149751.03+95107.53+139364.16+240942.62+95725.41+428921.19+142103.24)</f>
        <v>16070035.36</v>
      </c>
      <c r="E24" s="26" t="s">
        <v>24</v>
      </c>
      <c r="F24" s="26">
        <f>($D$24*(Classification!$H$236+Classification!$H$237))*(F22)</f>
        <v>3858369.3749222443</v>
      </c>
      <c r="G24" s="26">
        <f>($D$24*(Classification!$H$236+Classification!$H$237))*(G22)</f>
        <v>1921445.26171704</v>
      </c>
      <c r="H24" s="26">
        <f>($D$24*(Classification!$H$236+Classification!$H$237))*(H22)</f>
        <v>1163690.2415563348</v>
      </c>
      <c r="I24" s="26">
        <f>($D$24*(Classification!$H$236+Classification!$H$237))*(I22)</f>
        <v>459902.17678552744</v>
      </c>
      <c r="J24" s="26">
        <f>($D$24*(Classification!$H$236+Classification!$H$237))*(J22)</f>
        <v>0</v>
      </c>
      <c r="K24" s="26">
        <f>($D$24*(Classification!$H$236+Classification!$H$237))*(K22)</f>
        <v>971224.8081970875</v>
      </c>
      <c r="L24" s="26">
        <f>($D$24*(Classification!$H$236+Classification!$H$237))*(L22)</f>
        <v>299747.91030211694</v>
      </c>
      <c r="M24" s="26">
        <f>(D24*(Classification!H239+Classification!H238))</f>
        <v>6598912.350050681</v>
      </c>
      <c r="N24" s="26">
        <f>($D$24*(Classification!$H$236+Classification!$H$237))*(N22)</f>
        <v>755279.4074418028</v>
      </c>
      <c r="O24" s="26">
        <f>($D$24*(Classification!$H$236+Classification!$H$237))*('Rate Base'!O20/'Rate Base'!$D$20)</f>
        <v>41463.82902716183</v>
      </c>
      <c r="P24" s="41">
        <f>SUM(F24:O24)</f>
        <v>16070035.359999996</v>
      </c>
    </row>
    <row r="25" spans="5:16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1" t="s">
        <v>24</v>
      </c>
    </row>
    <row r="26" spans="4:16" ht="12.75">
      <c r="D26" s="16"/>
      <c r="E26" s="19"/>
      <c r="F26" s="201">
        <f>(F24/$D$24)</f>
        <v>0.24009713037260202</v>
      </c>
      <c r="G26" s="201">
        <f aca="true" t="shared" si="3" ref="G26:O26">(G24/$D$24)</f>
        <v>0.11956695916797536</v>
      </c>
      <c r="H26" s="201">
        <f t="shared" si="3"/>
        <v>0.07241367025569101</v>
      </c>
      <c r="I26" s="201">
        <f t="shared" si="3"/>
        <v>0.028618616355398453</v>
      </c>
      <c r="J26" s="201">
        <f t="shared" si="3"/>
        <v>0</v>
      </c>
      <c r="K26" s="201">
        <f t="shared" si="3"/>
        <v>0.060437005049445484</v>
      </c>
      <c r="L26" s="201">
        <f t="shared" si="3"/>
        <v>0.01865259805514933</v>
      </c>
      <c r="M26" s="201">
        <f t="shared" si="3"/>
        <v>0.41063458805299613</v>
      </c>
      <c r="N26" s="201">
        <f t="shared" si="3"/>
        <v>0.04699923743302845</v>
      </c>
      <c r="O26" s="201">
        <f t="shared" si="3"/>
        <v>0.002580195257713598</v>
      </c>
      <c r="P26" s="41">
        <f>SUM(F26:O26)</f>
        <v>0.9999999999999998</v>
      </c>
    </row>
    <row r="27" spans="5:16" ht="12.75">
      <c r="E27" s="2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1">
        <f>SUM(F27:O27)</f>
        <v>0</v>
      </c>
    </row>
    <row r="28" spans="2:16" ht="13.5" thickBot="1">
      <c r="B28" s="2" t="s">
        <v>23</v>
      </c>
      <c r="D28" s="23">
        <f>(D20+D24)</f>
        <v>141510454.94</v>
      </c>
      <c r="E28" s="31" t="s">
        <v>24</v>
      </c>
      <c r="F28" s="23">
        <f>(F20+F24)</f>
        <v>54960595.87714764</v>
      </c>
      <c r="G28" s="23">
        <f aca="true" t="shared" si="4" ref="G28:O28">(G20+G24)</f>
        <v>27370053.58161661</v>
      </c>
      <c r="H28" s="23">
        <f t="shared" si="4"/>
        <v>16576201.726058673</v>
      </c>
      <c r="I28" s="23">
        <f t="shared" si="4"/>
        <v>6551082.912283189</v>
      </c>
      <c r="J28" s="23">
        <f t="shared" si="4"/>
        <v>0</v>
      </c>
      <c r="K28" s="23">
        <f t="shared" si="4"/>
        <v>13834625.201029662</v>
      </c>
      <c r="L28" s="23">
        <f t="shared" si="4"/>
        <v>4269763.250302116</v>
      </c>
      <c r="M28" s="23">
        <f t="shared" si="4"/>
        <v>6598912.350050681</v>
      </c>
      <c r="N28" s="23">
        <f t="shared" si="4"/>
        <v>10758587.955974795</v>
      </c>
      <c r="O28" s="23">
        <f t="shared" si="4"/>
        <v>590632.085536629</v>
      </c>
      <c r="P28" s="41">
        <f>SUM(F28:O28)</f>
        <v>141510454.94</v>
      </c>
    </row>
    <row r="30" spans="1:16" ht="12.75">
      <c r="A30" s="3" t="s">
        <v>24</v>
      </c>
      <c r="B30" s="2" t="s">
        <v>316</v>
      </c>
      <c r="D30" s="16">
        <v>31037778</v>
      </c>
      <c r="E30" s="4"/>
      <c r="F30" s="18">
        <f aca="true" t="shared" si="5" ref="F30:O30">(F28/$D$28)*($D$30)</f>
        <v>12054620.093659516</v>
      </c>
      <c r="G30" s="18">
        <f t="shared" si="5"/>
        <v>6003129.9261564035</v>
      </c>
      <c r="H30" s="18">
        <f t="shared" si="5"/>
        <v>3635692.284889957</v>
      </c>
      <c r="I30" s="18">
        <f t="shared" si="5"/>
        <v>1436862.4366111383</v>
      </c>
      <c r="J30" s="18">
        <f t="shared" si="5"/>
        <v>0</v>
      </c>
      <c r="K30" s="18">
        <f t="shared" si="5"/>
        <v>3034376.6888801726</v>
      </c>
      <c r="L30" s="18">
        <f t="shared" si="5"/>
        <v>936495.9213199144</v>
      </c>
      <c r="M30" s="18">
        <f t="shared" si="5"/>
        <v>1447352.9651867244</v>
      </c>
      <c r="N30" s="18">
        <f t="shared" si="5"/>
        <v>2359703.137924344</v>
      </c>
      <c r="O30" s="18">
        <f t="shared" si="5"/>
        <v>129544.54537182834</v>
      </c>
      <c r="P30" s="41">
        <f>SUM(F30:O30)</f>
        <v>31037777.999999996</v>
      </c>
    </row>
    <row r="32" spans="2:16" ht="12.75">
      <c r="B32" s="2" t="s">
        <v>5</v>
      </c>
      <c r="D32" s="41">
        <f aca="true" t="shared" si="6" ref="D32:O32">(D28-D30)</f>
        <v>110472676.94</v>
      </c>
      <c r="F32" s="41">
        <f>(F28-F30)</f>
        <v>42905975.783488125</v>
      </c>
      <c r="G32" s="41">
        <f t="shared" si="6"/>
        <v>21366923.65546021</v>
      </c>
      <c r="H32" s="41">
        <f t="shared" si="6"/>
        <v>12940509.441168716</v>
      </c>
      <c r="I32" s="41">
        <f t="shared" si="6"/>
        <v>5114220.47567205</v>
      </c>
      <c r="J32" s="41">
        <f t="shared" si="6"/>
        <v>0</v>
      </c>
      <c r="K32" s="41">
        <f t="shared" si="6"/>
        <v>10800248.51214949</v>
      </c>
      <c r="L32" s="41">
        <f t="shared" si="6"/>
        <v>3333267.328982202</v>
      </c>
      <c r="M32" s="41">
        <f t="shared" si="6"/>
        <v>5151559.384863957</v>
      </c>
      <c r="N32" s="41">
        <f t="shared" si="6"/>
        <v>8398884.818050452</v>
      </c>
      <c r="O32" s="41">
        <f t="shared" si="6"/>
        <v>461087.5401648006</v>
      </c>
      <c r="P32" s="41">
        <f>SUM(F32:O32)</f>
        <v>110472676.94</v>
      </c>
    </row>
    <row r="33" spans="6:16" ht="12.75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f aca="true" t="shared" si="7" ref="P33:P38">SUM(F33:O33)</f>
        <v>0</v>
      </c>
    </row>
    <row r="34" spans="4:16" ht="13.5" thickBot="1">
      <c r="D34" s="31" t="s">
        <v>24</v>
      </c>
      <c r="E34" s="43"/>
      <c r="F34" s="48">
        <f>(F32/$D$32)</f>
        <v>0.38838540869966653</v>
      </c>
      <c r="G34" s="48">
        <f aca="true" t="shared" si="8" ref="G34:O34">(G32/$D$32)</f>
        <v>0.19341364984814324</v>
      </c>
      <c r="H34" s="48">
        <f t="shared" si="8"/>
        <v>0.11713764705997824</v>
      </c>
      <c r="I34" s="48">
        <f t="shared" si="8"/>
        <v>0.046293985239895016</v>
      </c>
      <c r="J34" s="48">
        <f t="shared" si="8"/>
        <v>0</v>
      </c>
      <c r="K34" s="48">
        <f t="shared" si="8"/>
        <v>0.09776397939569555</v>
      </c>
      <c r="L34" s="48">
        <f t="shared" si="8"/>
        <v>0.030172775941625533</v>
      </c>
      <c r="M34" s="48">
        <f t="shared" si="8"/>
        <v>0.046631977494868485</v>
      </c>
      <c r="N34" s="48">
        <f t="shared" si="8"/>
        <v>0.07602680636237374</v>
      </c>
      <c r="O34" s="48">
        <f t="shared" si="8"/>
        <v>0.004173769957753688</v>
      </c>
      <c r="P34" s="41">
        <f t="shared" si="7"/>
        <v>0.9999999999999999</v>
      </c>
    </row>
    <row r="35" spans="6:16" ht="12.75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f t="shared" si="7"/>
        <v>0</v>
      </c>
    </row>
    <row r="36" spans="1:16" ht="12.75">
      <c r="A36" s="3" t="s">
        <v>24</v>
      </c>
      <c r="B36" s="2" t="s">
        <v>103</v>
      </c>
      <c r="D36" s="9">
        <v>2214779</v>
      </c>
      <c r="F36" s="26">
        <f aca="true" t="shared" si="9" ref="F36:O36">(F20/$D$20)*($D$36)</f>
        <v>902262.1136737451</v>
      </c>
      <c r="G36" s="26">
        <f t="shared" si="9"/>
        <v>449321.22735920176</v>
      </c>
      <c r="H36" s="26">
        <f t="shared" si="9"/>
        <v>272123.665461472</v>
      </c>
      <c r="I36" s="26">
        <f t="shared" si="9"/>
        <v>107546.03040514457</v>
      </c>
      <c r="J36" s="26">
        <f t="shared" si="9"/>
        <v>0</v>
      </c>
      <c r="K36" s="26">
        <f t="shared" si="9"/>
        <v>227116.500040627</v>
      </c>
      <c r="L36" s="26">
        <f t="shared" si="9"/>
        <v>70094.68426644</v>
      </c>
      <c r="M36" s="26">
        <f t="shared" si="9"/>
        <v>0</v>
      </c>
      <c r="N36" s="26">
        <f t="shared" si="9"/>
        <v>176618.65113327253</v>
      </c>
      <c r="O36" s="26">
        <f t="shared" si="9"/>
        <v>9696.12766009676</v>
      </c>
      <c r="P36" s="41">
        <f t="shared" si="7"/>
        <v>2214779</v>
      </c>
    </row>
    <row r="37" ht="12.75">
      <c r="P37" s="41">
        <f t="shared" si="7"/>
        <v>0</v>
      </c>
    </row>
    <row r="38" spans="4:16" ht="12.75">
      <c r="D38" s="16">
        <f>(D32+D36)</f>
        <v>112687455.94</v>
      </c>
      <c r="E38" s="19" t="s">
        <v>24</v>
      </c>
      <c r="F38" s="16">
        <f aca="true" t="shared" si="10" ref="F38:O38">(F32+F36)</f>
        <v>43808237.89716187</v>
      </c>
      <c r="G38" s="16">
        <f t="shared" si="10"/>
        <v>21816244.88281941</v>
      </c>
      <c r="H38" s="16">
        <f t="shared" si="10"/>
        <v>13212633.106630187</v>
      </c>
      <c r="I38" s="16">
        <f t="shared" si="10"/>
        <v>5221766.506077195</v>
      </c>
      <c r="J38" s="16">
        <f t="shared" si="10"/>
        <v>0</v>
      </c>
      <c r="K38" s="16">
        <f t="shared" si="10"/>
        <v>11027365.012190117</v>
      </c>
      <c r="L38" s="16">
        <f t="shared" si="10"/>
        <v>3403362.013248642</v>
      </c>
      <c r="M38" s="16">
        <f t="shared" si="10"/>
        <v>5151559.384863957</v>
      </c>
      <c r="N38" s="16">
        <f t="shared" si="10"/>
        <v>8575503.469183724</v>
      </c>
      <c r="O38" s="16">
        <f t="shared" si="10"/>
        <v>470783.66782489733</v>
      </c>
      <c r="P38" s="41">
        <f t="shared" si="7"/>
        <v>112687455.94000001</v>
      </c>
    </row>
    <row r="39" spans="2:16" ht="12.75">
      <c r="B39" s="2" t="s">
        <v>278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2" t="s">
        <v>3</v>
      </c>
      <c r="D40" s="9">
        <v>1735391</v>
      </c>
      <c r="F40" s="41">
        <f>(F32/$D$32)*($D$40)</f>
        <v>674000.542788723</v>
      </c>
      <c r="G40" s="41">
        <f aca="true" t="shared" si="11" ref="G40:O40">(G32/$D$32)*($D$40)</f>
        <v>335648.30722361914</v>
      </c>
      <c r="H40" s="41">
        <f t="shared" si="11"/>
        <v>203279.6184690627</v>
      </c>
      <c r="I40" s="41">
        <f t="shared" si="11"/>
        <v>80338.16533944666</v>
      </c>
      <c r="J40" s="41">
        <f t="shared" si="11"/>
        <v>0</v>
      </c>
      <c r="K40" s="41">
        <f t="shared" si="11"/>
        <v>169658.7299674755</v>
      </c>
      <c r="L40" s="41">
        <f t="shared" si="11"/>
        <v>52361.56381411348</v>
      </c>
      <c r="M40" s="41">
        <f t="shared" si="11"/>
        <v>80924.71405679731</v>
      </c>
      <c r="N40" s="41">
        <f t="shared" si="11"/>
        <v>131936.23552000613</v>
      </c>
      <c r="O40" s="41">
        <f t="shared" si="11"/>
        <v>7243.12282075613</v>
      </c>
      <c r="P40" s="41">
        <f aca="true" t="shared" si="12" ref="P40:P48">SUM(F40:O40)</f>
        <v>1735391</v>
      </c>
    </row>
    <row r="41" spans="2:16" ht="12.75">
      <c r="B41" s="2" t="s">
        <v>6</v>
      </c>
      <c r="D41" s="9">
        <v>1365614</v>
      </c>
      <c r="F41" s="41">
        <f aca="true" t="shared" si="13" ref="F41:O41">(F32/$D$32)*($D$41)</f>
        <v>530384.5515159864</v>
      </c>
      <c r="G41" s="41">
        <f t="shared" si="13"/>
        <v>264128.3880237223</v>
      </c>
      <c r="H41" s="41">
        <f t="shared" si="13"/>
        <v>159964.81075216513</v>
      </c>
      <c r="I41" s="41">
        <f t="shared" si="13"/>
        <v>63219.71435939399</v>
      </c>
      <c r="J41" s="41">
        <f t="shared" si="13"/>
        <v>0</v>
      </c>
      <c r="K41" s="41">
        <f t="shared" si="13"/>
        <v>133507.85895847337</v>
      </c>
      <c r="L41" s="41">
        <f t="shared" si="13"/>
        <v>41204.36524474701</v>
      </c>
      <c r="M41" s="41">
        <f t="shared" si="13"/>
        <v>63681.28131467733</v>
      </c>
      <c r="N41" s="41">
        <f t="shared" si="13"/>
        <v>103823.27114374666</v>
      </c>
      <c r="O41" s="41">
        <f t="shared" si="13"/>
        <v>5699.758687087845</v>
      </c>
      <c r="P41" s="41">
        <f t="shared" si="12"/>
        <v>1365613.9999999998</v>
      </c>
    </row>
    <row r="42" spans="2:16" ht="12.75">
      <c r="B42" s="2" t="s">
        <v>4</v>
      </c>
      <c r="D42" s="9">
        <v>418690</v>
      </c>
      <c r="F42" s="41">
        <f aca="true" t="shared" si="14" ref="F42:O42">(F32/$D$32)*($D$42)</f>
        <v>162613.08676846337</v>
      </c>
      <c r="G42" s="41">
        <f t="shared" si="14"/>
        <v>80980.36105491909</v>
      </c>
      <c r="H42" s="41">
        <f t="shared" si="14"/>
        <v>49044.36144754229</v>
      </c>
      <c r="I42" s="41">
        <f t="shared" si="14"/>
        <v>19382.828680091643</v>
      </c>
      <c r="J42" s="41">
        <f t="shared" si="14"/>
        <v>0</v>
      </c>
      <c r="K42" s="41">
        <f t="shared" si="14"/>
        <v>40932.80053318377</v>
      </c>
      <c r="L42" s="41">
        <f t="shared" si="14"/>
        <v>12633.039558999195</v>
      </c>
      <c r="M42" s="41">
        <f t="shared" si="14"/>
        <v>19524.342657326484</v>
      </c>
      <c r="N42" s="41">
        <f t="shared" si="14"/>
        <v>31831.663555862262</v>
      </c>
      <c r="O42" s="41">
        <f t="shared" si="14"/>
        <v>1747.5157436118916</v>
      </c>
      <c r="P42" s="41">
        <f t="shared" si="12"/>
        <v>418690</v>
      </c>
    </row>
    <row r="43" spans="2:16" ht="12.75">
      <c r="B43" s="42" t="s">
        <v>24</v>
      </c>
      <c r="P43" s="41" t="s">
        <v>24</v>
      </c>
    </row>
    <row r="44" spans="2:16" ht="13.5" thickBot="1">
      <c r="B44" s="42" t="s">
        <v>279</v>
      </c>
      <c r="D44" s="23">
        <v>679941</v>
      </c>
      <c r="E44" s="43"/>
      <c r="F44" s="31">
        <f>(F20/$D$20)*($D$44)</f>
        <v>276996.03609815694</v>
      </c>
      <c r="G44" s="31">
        <f aca="true" t="shared" si="15" ref="G44:P44">(G20/$D$20)*($D$44)</f>
        <v>137942.39725581784</v>
      </c>
      <c r="H44" s="31">
        <f t="shared" si="15"/>
        <v>83542.43796674012</v>
      </c>
      <c r="I44" s="31">
        <f t="shared" si="15"/>
        <v>33016.81813838058</v>
      </c>
      <c r="J44" s="31">
        <f t="shared" si="15"/>
        <v>0</v>
      </c>
      <c r="K44" s="31">
        <f t="shared" si="15"/>
        <v>69725.16000653968</v>
      </c>
      <c r="L44" s="31">
        <f t="shared" si="15"/>
        <v>21519.189822012708</v>
      </c>
      <c r="M44" s="31">
        <f t="shared" si="15"/>
        <v>0</v>
      </c>
      <c r="N44" s="31">
        <f t="shared" si="15"/>
        <v>54222.23267883995</v>
      </c>
      <c r="O44" s="31">
        <f t="shared" si="15"/>
        <v>2976.72803351208</v>
      </c>
      <c r="P44" s="26">
        <f t="shared" si="15"/>
        <v>679940.9999999999</v>
      </c>
    </row>
    <row r="45" ht="12.75">
      <c r="P45" s="41"/>
    </row>
    <row r="46" spans="2:16" ht="13.5" thickBot="1">
      <c r="B46" s="2" t="s">
        <v>18</v>
      </c>
      <c r="D46" s="30">
        <f>SUM(D38,D40,D41,D42)-D44</f>
        <v>115527209.94</v>
      </c>
      <c r="E46" s="143" t="s">
        <v>24</v>
      </c>
      <c r="F46" s="30">
        <f aca="true" t="shared" si="16" ref="F46:P46">SUM(F38,F40,F41,F42)-F44</f>
        <v>44898240.042136885</v>
      </c>
      <c r="G46" s="30">
        <f t="shared" si="16"/>
        <v>22359059.54186585</v>
      </c>
      <c r="H46" s="30">
        <f t="shared" si="16"/>
        <v>13541379.459332218</v>
      </c>
      <c r="I46" s="30">
        <f t="shared" si="16"/>
        <v>5351690.3963177465</v>
      </c>
      <c r="J46" s="30">
        <f t="shared" si="16"/>
        <v>0</v>
      </c>
      <c r="K46" s="30">
        <f t="shared" si="16"/>
        <v>11301739.241642708</v>
      </c>
      <c r="L46" s="30">
        <f t="shared" si="16"/>
        <v>3488041.792044489</v>
      </c>
      <c r="M46" s="30">
        <f t="shared" si="16"/>
        <v>5315689.722892758</v>
      </c>
      <c r="N46" s="30">
        <f t="shared" si="16"/>
        <v>8788872.4067245</v>
      </c>
      <c r="O46" s="30">
        <f t="shared" si="16"/>
        <v>482497.3370428411</v>
      </c>
      <c r="P46" s="9">
        <f t="shared" si="16"/>
        <v>115527209.94000001</v>
      </c>
    </row>
    <row r="47" spans="6:16" ht="13.5" thickTop="1">
      <c r="F47" s="13"/>
      <c r="P47" s="41" t="s">
        <v>24</v>
      </c>
    </row>
    <row r="48" spans="2:16" ht="12.75">
      <c r="B48" s="2" t="s">
        <v>159</v>
      </c>
      <c r="F48" s="13">
        <f>(F46/$D$46)</f>
        <v>0.3886377942084393</v>
      </c>
      <c r="G48" s="13">
        <f aca="true" t="shared" si="17" ref="G48:O48">(G46/$D$46)</f>
        <v>0.19353933634749954</v>
      </c>
      <c r="H48" s="13">
        <f t="shared" si="17"/>
        <v>0.11721376692438988</v>
      </c>
      <c r="I48" s="13">
        <f t="shared" si="17"/>
        <v>0.046324068581740964</v>
      </c>
      <c r="J48" s="13">
        <f t="shared" si="17"/>
        <v>0</v>
      </c>
      <c r="K48" s="13">
        <f t="shared" si="17"/>
        <v>0.09782750961883663</v>
      </c>
      <c r="L48" s="13">
        <f t="shared" si="17"/>
        <v>0.030192383195751307</v>
      </c>
      <c r="M48" s="13">
        <f t="shared" si="17"/>
        <v>0.04601244785235881</v>
      </c>
      <c r="N48" s="13">
        <f t="shared" si="17"/>
        <v>0.07607621106135146</v>
      </c>
      <c r="O48" s="13">
        <f t="shared" si="17"/>
        <v>0.0041764822096320865</v>
      </c>
      <c r="P48" s="41">
        <f t="shared" si="12"/>
        <v>1.0000000000000002</v>
      </c>
    </row>
    <row r="52" ht="12.75">
      <c r="F52" s="26" t="s">
        <v>24</v>
      </c>
    </row>
    <row r="53" ht="12.75">
      <c r="H53" s="47" t="s">
        <v>24</v>
      </c>
    </row>
  </sheetData>
  <mergeCells count="5">
    <mergeCell ref="F5:G5"/>
    <mergeCell ref="H5:I5"/>
    <mergeCell ref="J5:K5"/>
    <mergeCell ref="J3:O3"/>
    <mergeCell ref="D3:I3"/>
  </mergeCells>
  <printOptions horizontalCentered="1" verticalCentered="1"/>
  <pageMargins left="0.75" right="0.75" top="1" bottom="1" header="0.5" footer="0.5"/>
  <pageSetup horizontalDpi="300" verticalDpi="300" orientation="portrait" scale="80" r:id="rId1"/>
  <headerFooter alignWithMargins="0">
    <oddHeader>&amp;C&amp;"Arial,Bold"&amp;14
 SOUTH KENTUCKY RECC
Case No. 2005-00450
Development of Net Investment Rate Base &amp;R
Exhibit  R
Schedule 5
Page &amp;P of &amp;N
</oddHeader>
  </headerFooter>
  <colBreaks count="1" manualBreakCount="1">
    <brk id="9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31"/>
  <sheetViews>
    <sheetView view="pageBreakPreview" zoomScale="60" workbookViewId="0" topLeftCell="A1">
      <pane xSplit="6" topLeftCell="K1" activePane="topRight" state="frozen"/>
      <selection pane="topLeft" activeCell="A76" sqref="A76"/>
      <selection pane="topRight" activeCell="M80" sqref="M80"/>
    </sheetView>
  </sheetViews>
  <sheetFormatPr defaultColWidth="9.140625" defaultRowHeight="12.75"/>
  <cols>
    <col min="1" max="1" width="10.140625" style="50" customWidth="1"/>
    <col min="2" max="2" width="24.421875" style="42" customWidth="1"/>
    <col min="3" max="3" width="10.57421875" style="42" customWidth="1"/>
    <col min="4" max="4" width="14.00390625" style="165" bestFit="1" customWidth="1"/>
    <col min="5" max="5" width="12.28125" style="42" customWidth="1"/>
    <col min="6" max="6" width="14.00390625" style="165" bestFit="1" customWidth="1"/>
    <col min="7" max="7" width="0.71875" style="42" customWidth="1"/>
    <col min="8" max="8" width="11.8515625" style="42" customWidth="1"/>
    <col min="9" max="9" width="12.7109375" style="42" customWidth="1"/>
    <col min="10" max="10" width="10.7109375" style="42" customWidth="1"/>
    <col min="11" max="11" width="11.140625" style="42" customWidth="1"/>
    <col min="12" max="12" width="2.28125" style="42" customWidth="1"/>
    <col min="13" max="13" width="11.28125" style="42" customWidth="1"/>
    <col min="14" max="14" width="11.140625" style="42" customWidth="1"/>
    <col min="15" max="15" width="10.57421875" style="42" customWidth="1"/>
    <col min="16" max="16" width="11.7109375" style="42" customWidth="1"/>
    <col min="17" max="17" width="11.28125" style="42" customWidth="1"/>
    <col min="18" max="18" width="11.00390625" style="42" customWidth="1"/>
    <col min="19" max="19" width="12.00390625" style="42" customWidth="1"/>
    <col min="20" max="20" width="11.28125" style="42" bestFit="1" customWidth="1"/>
    <col min="21" max="21" width="10.28125" style="42" bestFit="1" customWidth="1"/>
    <col min="22" max="22" width="13.28125" style="42" customWidth="1"/>
    <col min="23" max="23" width="13.8515625" style="42" customWidth="1"/>
    <col min="24" max="24" width="13.00390625" style="42" customWidth="1"/>
    <col min="25" max="16384" width="9.140625" style="42" customWidth="1"/>
  </cols>
  <sheetData>
    <row r="1" spans="1:21" s="173" customFormat="1" ht="13.5" thickBot="1">
      <c r="A1" s="193"/>
      <c r="D1" s="190"/>
      <c r="F1" s="190"/>
      <c r="H1" s="250" t="s">
        <v>43</v>
      </c>
      <c r="I1" s="250"/>
      <c r="J1" s="250"/>
      <c r="K1" s="250"/>
      <c r="M1" s="249" t="s">
        <v>42</v>
      </c>
      <c r="N1" s="249"/>
      <c r="O1" s="249"/>
      <c r="P1" s="249"/>
      <c r="Q1" s="249" t="s">
        <v>42</v>
      </c>
      <c r="R1" s="249"/>
      <c r="S1" s="249"/>
      <c r="T1" s="249"/>
      <c r="U1" s="249"/>
    </row>
    <row r="2" spans="1:19" s="173" customFormat="1" ht="12.75">
      <c r="A2" s="193" t="s">
        <v>280</v>
      </c>
      <c r="D2" s="190"/>
      <c r="F2" s="190"/>
      <c r="J2" s="193" t="s">
        <v>45</v>
      </c>
      <c r="K2" s="193" t="s">
        <v>86</v>
      </c>
      <c r="S2" s="193" t="s">
        <v>11</v>
      </c>
    </row>
    <row r="3" spans="1:21" s="173" customFormat="1" ht="12.75">
      <c r="A3" s="193" t="s">
        <v>281</v>
      </c>
      <c r="C3" s="193" t="s">
        <v>7</v>
      </c>
      <c r="D3" s="194" t="s">
        <v>234</v>
      </c>
      <c r="E3" s="193" t="s">
        <v>282</v>
      </c>
      <c r="F3" s="194" t="s">
        <v>283</v>
      </c>
      <c r="H3" s="251" t="s">
        <v>44</v>
      </c>
      <c r="I3" s="251"/>
      <c r="J3" s="193" t="s">
        <v>46</v>
      </c>
      <c r="K3" s="193" t="s">
        <v>87</v>
      </c>
      <c r="M3" s="251" t="s">
        <v>25</v>
      </c>
      <c r="N3" s="251"/>
      <c r="O3" s="251" t="s">
        <v>12</v>
      </c>
      <c r="P3" s="251"/>
      <c r="Q3" s="193" t="s">
        <v>13</v>
      </c>
      <c r="R3" s="193" t="s">
        <v>14</v>
      </c>
      <c r="S3" s="193" t="s">
        <v>15</v>
      </c>
      <c r="T3" s="193" t="s">
        <v>16</v>
      </c>
      <c r="U3" s="193" t="s">
        <v>433</v>
      </c>
    </row>
    <row r="4" spans="1:21" s="173" customFormat="1" ht="12.75">
      <c r="A4" s="193">
        <v>555</v>
      </c>
      <c r="B4" s="173" t="s">
        <v>0</v>
      </c>
      <c r="C4" s="195" t="s">
        <v>8</v>
      </c>
      <c r="D4" s="196" t="s">
        <v>9</v>
      </c>
      <c r="E4" s="195" t="s">
        <v>9</v>
      </c>
      <c r="F4" s="196" t="s">
        <v>9</v>
      </c>
      <c r="H4" s="193" t="s">
        <v>10</v>
      </c>
      <c r="I4" s="193" t="s">
        <v>47</v>
      </c>
      <c r="J4" s="193" t="s">
        <v>10</v>
      </c>
      <c r="K4" s="193" t="s">
        <v>10</v>
      </c>
      <c r="M4" s="195" t="s">
        <v>10</v>
      </c>
      <c r="N4" s="195" t="s">
        <v>26</v>
      </c>
      <c r="O4" s="195" t="s">
        <v>10</v>
      </c>
      <c r="P4" s="195" t="s">
        <v>11</v>
      </c>
      <c r="Q4" s="193" t="s">
        <v>11</v>
      </c>
      <c r="R4" s="193" t="s">
        <v>11</v>
      </c>
      <c r="S4" s="193" t="s">
        <v>13</v>
      </c>
      <c r="T4" s="193" t="s">
        <v>17</v>
      </c>
      <c r="U4" s="193" t="s">
        <v>17</v>
      </c>
    </row>
    <row r="5" ht="12.75">
      <c r="A5" s="42"/>
    </row>
    <row r="6" spans="1:2" ht="12.75">
      <c r="A6" s="42"/>
      <c r="B6" s="42" t="s">
        <v>57</v>
      </c>
    </row>
    <row r="7" spans="2:22" ht="12.75">
      <c r="B7" s="42" t="s">
        <v>58</v>
      </c>
      <c r="C7" s="42" t="s">
        <v>287</v>
      </c>
      <c r="D7" s="165">
        <f>(14231691+1153114+49125)</f>
        <v>15433930</v>
      </c>
      <c r="E7" s="167">
        <v>0</v>
      </c>
      <c r="F7" s="165">
        <f>(D7+E7)</f>
        <v>15433930</v>
      </c>
      <c r="H7" s="168">
        <f>(F7-J7-K7)</f>
        <v>9954262.44</v>
      </c>
      <c r="J7" s="165">
        <f>(1.62*(236105+2404283))</f>
        <v>4277428.5600000005</v>
      </c>
      <c r="K7" s="167">
        <f>(1153114+49125)</f>
        <v>1202239</v>
      </c>
      <c r="V7" s="165">
        <f>SUM(G7:U7)</f>
        <v>15433930</v>
      </c>
    </row>
    <row r="8" spans="2:22" ht="12.75">
      <c r="B8" s="42" t="s">
        <v>59</v>
      </c>
      <c r="C8" s="42" t="s">
        <v>78</v>
      </c>
      <c r="D8" s="170">
        <v>39873044</v>
      </c>
      <c r="E8" s="171">
        <f>(4424943-8522054)</f>
        <v>-4097111</v>
      </c>
      <c r="F8" s="170">
        <f aca="true" t="shared" si="0" ref="F8:F68">(D8+E8)</f>
        <v>35775933</v>
      </c>
      <c r="G8" s="169"/>
      <c r="H8" s="169"/>
      <c r="I8" s="172">
        <f>(F8)</f>
        <v>35775933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5">
        <f aca="true" t="shared" si="1" ref="V8:V70">SUM(G8:U8)</f>
        <v>35775933</v>
      </c>
    </row>
    <row r="9" spans="2:22" ht="12.75">
      <c r="B9" s="42" t="s">
        <v>24</v>
      </c>
      <c r="C9" s="42" t="s">
        <v>24</v>
      </c>
      <c r="D9" s="68" t="s">
        <v>24</v>
      </c>
      <c r="F9" s="68" t="s">
        <v>24</v>
      </c>
      <c r="K9" s="168" t="str">
        <f>(F9)</f>
        <v> </v>
      </c>
      <c r="V9" s="165">
        <f t="shared" si="1"/>
        <v>0</v>
      </c>
    </row>
    <row r="10" spans="2:22" ht="12.75">
      <c r="B10" s="42" t="s">
        <v>24</v>
      </c>
      <c r="C10" s="42" t="s">
        <v>24</v>
      </c>
      <c r="D10" s="68" t="s">
        <v>24</v>
      </c>
      <c r="F10" s="68" t="s">
        <v>24</v>
      </c>
      <c r="K10" s="168" t="str">
        <f>(F10)</f>
        <v> </v>
      </c>
      <c r="V10" s="165">
        <f t="shared" si="1"/>
        <v>0</v>
      </c>
    </row>
    <row r="11" spans="2:22" ht="12.75">
      <c r="B11" s="42" t="s">
        <v>24</v>
      </c>
      <c r="C11" s="42" t="s">
        <v>24</v>
      </c>
      <c r="D11" s="68" t="s">
        <v>24</v>
      </c>
      <c r="F11" s="68" t="s">
        <v>24</v>
      </c>
      <c r="V11" s="165">
        <f t="shared" si="1"/>
        <v>0</v>
      </c>
    </row>
    <row r="12" spans="2:22" ht="12.75">
      <c r="B12" s="42" t="s">
        <v>24</v>
      </c>
      <c r="F12" s="68" t="s">
        <v>24</v>
      </c>
      <c r="P12" s="42" t="s">
        <v>24</v>
      </c>
      <c r="V12" s="165">
        <f t="shared" si="1"/>
        <v>0</v>
      </c>
    </row>
    <row r="13" spans="2:24" ht="13.5" thickBot="1">
      <c r="B13" s="173" t="s">
        <v>60</v>
      </c>
      <c r="D13" s="186">
        <f>SUM(D7:D8)</f>
        <v>55306974</v>
      </c>
      <c r="E13" s="186">
        <f>SUM(E7:E11)</f>
        <v>-4097111</v>
      </c>
      <c r="F13" s="186">
        <f>(D13+E13)</f>
        <v>51209863</v>
      </c>
      <c r="G13" s="189" t="s">
        <v>24</v>
      </c>
      <c r="H13" s="186">
        <f>SUM(H7:H11)</f>
        <v>9954262.44</v>
      </c>
      <c r="I13" s="186">
        <f>SUM(I7:I11)</f>
        <v>35775933</v>
      </c>
      <c r="J13" s="186">
        <f>SUM(J7:J11)</f>
        <v>4277428.5600000005</v>
      </c>
      <c r="K13" s="186">
        <f>SUM(K7:K11)</f>
        <v>1202239</v>
      </c>
      <c r="L13" s="189" t="s">
        <v>24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65">
        <f t="shared" si="1"/>
        <v>51209863</v>
      </c>
      <c r="X13" s="42" t="s">
        <v>232</v>
      </c>
    </row>
    <row r="14" spans="6:22" ht="12.75">
      <c r="F14" s="165">
        <f t="shared" si="0"/>
        <v>0</v>
      </c>
      <c r="V14" s="165">
        <f t="shared" si="1"/>
        <v>0</v>
      </c>
    </row>
    <row r="15" spans="1:22" ht="12.75">
      <c r="A15" s="50">
        <v>580</v>
      </c>
      <c r="B15" s="42" t="s">
        <v>28</v>
      </c>
      <c r="C15" s="42" t="s">
        <v>79</v>
      </c>
      <c r="D15" s="165">
        <v>96783.24</v>
      </c>
      <c r="E15" s="165">
        <f>(D15/$D$25)*(128062)</f>
        <v>3958.7159974867236</v>
      </c>
      <c r="F15" s="165">
        <f t="shared" si="0"/>
        <v>100741.95599748673</v>
      </c>
      <c r="M15" s="168">
        <f>(SUM(M17:M21)/$W$24)*($F$15)</f>
        <v>27671.226793495356</v>
      </c>
      <c r="N15" s="168">
        <f>(SUM(N17:N21)/$W$24)*($F$15)</f>
        <v>13780.108237908338</v>
      </c>
      <c r="O15" s="168">
        <f>((O17+O18+O19+O20+O21)/$W$24)*($F$15)</f>
        <v>0</v>
      </c>
      <c r="P15" s="168">
        <f>((P17+P18+P19+P20+P21)/$W$24)*($F$15)</f>
        <v>0</v>
      </c>
      <c r="Q15" s="168">
        <f>(SUM(Q17:Q21)/$W$24)*($F$15)</f>
        <v>6965.373017359757</v>
      </c>
      <c r="R15" s="168">
        <f>((R17+R18+R19+R20+R21)/$W$24)*($F$15)</f>
        <v>37200.06632998376</v>
      </c>
      <c r="S15" s="168">
        <f>((S17+S18+S19+S20+S21)/$W$24)*($F$15)</f>
        <v>0</v>
      </c>
      <c r="T15" s="168">
        <f>((T17+T18+T19+T20+T21)/$W$24)*($F$15)</f>
        <v>15125.181618739534</v>
      </c>
      <c r="U15" s="168">
        <f>((U17+U18+U19+U20+U21)/$W$24)*($F$15)</f>
        <v>0</v>
      </c>
      <c r="V15" s="165">
        <f t="shared" si="1"/>
        <v>100741.95599748674</v>
      </c>
    </row>
    <row r="16" spans="5:22" ht="12.75">
      <c r="E16" s="68" t="s">
        <v>24</v>
      </c>
      <c r="F16" s="68" t="s">
        <v>24</v>
      </c>
      <c r="M16" s="168"/>
      <c r="Q16" s="168" t="s">
        <v>24</v>
      </c>
      <c r="V16" s="165">
        <f t="shared" si="1"/>
        <v>0</v>
      </c>
    </row>
    <row r="17" spans="1:22" ht="12.75">
      <c r="A17" s="50">
        <v>582</v>
      </c>
      <c r="B17" s="42" t="s">
        <v>177</v>
      </c>
      <c r="C17" s="42" t="s">
        <v>178</v>
      </c>
      <c r="D17" s="165">
        <v>10333.82</v>
      </c>
      <c r="E17" s="165">
        <f aca="true" t="shared" si="2" ref="E17:E22">(D17/$D$25)*(128062)</f>
        <v>422.6832925736755</v>
      </c>
      <c r="F17" s="165">
        <f t="shared" si="0"/>
        <v>10756.503292573676</v>
      </c>
      <c r="M17" s="165">
        <f>(F17-Q17)*(Classification!H140)</f>
        <v>6147.581157603868</v>
      </c>
      <c r="N17" s="168">
        <f>(F17-M17-Q17)</f>
        <v>3061.4592690563627</v>
      </c>
      <c r="Q17" s="168">
        <f>('Rate Base'!$K$20/('Rate Base'!$K$20+'Rate Base'!$G$20+'Rate Base'!$F$20))*(F17)</f>
        <v>1547.4628659134455</v>
      </c>
      <c r="R17" s="168">
        <f>('Rate Base'!$K$20/('Rate Base'!$K$20+'Rate Base'!$G$20+'Rate Base'!$F$20))*(G17)</f>
        <v>0</v>
      </c>
      <c r="S17" s="168">
        <f>('Rate Base'!$K$20/('Rate Base'!$K$20+'Rate Base'!$G$20+'Rate Base'!$F$20))*(H17)</f>
        <v>0</v>
      </c>
      <c r="T17" s="168">
        <f>('Rate Base'!$K$20/('Rate Base'!$K$20+'Rate Base'!$G$20+'Rate Base'!$F$20))*(I17)</f>
        <v>0</v>
      </c>
      <c r="U17" s="168">
        <f>('Rate Base'!$K$20/('Rate Base'!$K$20+'Rate Base'!$G$20+'Rate Base'!$F$20))*(J17)</f>
        <v>0</v>
      </c>
      <c r="V17" s="165">
        <f t="shared" si="1"/>
        <v>10756.503292573676</v>
      </c>
    </row>
    <row r="18" spans="1:22" ht="12.75">
      <c r="A18" s="50">
        <v>583</v>
      </c>
      <c r="B18" s="42" t="s">
        <v>29</v>
      </c>
      <c r="C18" s="42" t="s">
        <v>80</v>
      </c>
      <c r="D18" s="174">
        <f>(1095713.89+11062.79+10073+3573.12)</f>
        <v>1120422.8</v>
      </c>
      <c r="E18" s="165">
        <f t="shared" si="2"/>
        <v>45828.55112423254</v>
      </c>
      <c r="F18" s="165">
        <f t="shared" si="0"/>
        <v>1166251.3511242326</v>
      </c>
      <c r="M18" s="165">
        <f>(F18-Q18)*Classification!$H$140</f>
        <v>666538.6172615516</v>
      </c>
      <c r="N18" s="168">
        <f>(F18-M18-Q18)</f>
        <v>331932.312186789</v>
      </c>
      <c r="Q18" s="168">
        <f>('Rate Base'!$K$20/('Rate Base'!$K$20+'Rate Base'!$G$20+'Rate Base'!$F$20))*(F18)</f>
        <v>167780.42167589208</v>
      </c>
      <c r="R18" s="168">
        <f>('Rate Base'!$K$20/('Rate Base'!$K$20+'Rate Base'!$G$20+'Rate Base'!$F$20))*(G18)</f>
        <v>0</v>
      </c>
      <c r="S18" s="168">
        <f>('Rate Base'!$K$20/('Rate Base'!$K$20+'Rate Base'!$G$20+'Rate Base'!$F$20))*(H18)</f>
        <v>0</v>
      </c>
      <c r="T18" s="168">
        <f>('Rate Base'!$K$20/('Rate Base'!$K$20+'Rate Base'!$G$20+'Rate Base'!$F$20))*(I18)</f>
        <v>0</v>
      </c>
      <c r="U18" s="168">
        <f>('Rate Base'!$K$20/('Rate Base'!$K$20+'Rate Base'!$G$20+'Rate Base'!$F$20))*(J18)</f>
        <v>0</v>
      </c>
      <c r="V18" s="165">
        <f t="shared" si="1"/>
        <v>1166251.3511242326</v>
      </c>
    </row>
    <row r="19" spans="1:22" ht="12.75">
      <c r="A19" s="50">
        <v>584</v>
      </c>
      <c r="B19" s="42" t="s">
        <v>179</v>
      </c>
      <c r="C19" s="42" t="s">
        <v>178</v>
      </c>
      <c r="D19" s="165">
        <f>(63082.15+926.1)</f>
        <v>64008.25</v>
      </c>
      <c r="E19" s="165">
        <f t="shared" si="2"/>
        <v>2618.123584683976</v>
      </c>
      <c r="F19" s="165">
        <f t="shared" si="0"/>
        <v>66626.37358468397</v>
      </c>
      <c r="M19" s="165">
        <f>(F19-Q19)*Classification!$H$140</f>
        <v>38078.456140246075</v>
      </c>
      <c r="N19" s="168">
        <f>(F19-M19-Q19)</f>
        <v>18962.84725866881</v>
      </c>
      <c r="Q19" s="168">
        <f>('Rate Base'!$K$20/('Rate Base'!$K$20+'Rate Base'!$G$20+'Rate Base'!$F$20))*(F19)</f>
        <v>9585.070185769084</v>
      </c>
      <c r="V19" s="165">
        <f t="shared" si="1"/>
        <v>66626.37358468397</v>
      </c>
    </row>
    <row r="20" spans="1:22" ht="12.75">
      <c r="A20" s="50">
        <v>586</v>
      </c>
      <c r="B20" s="42" t="s">
        <v>339</v>
      </c>
      <c r="C20" s="42" t="s">
        <v>81</v>
      </c>
      <c r="D20" s="165">
        <v>917975.1</v>
      </c>
      <c r="E20" s="165">
        <f t="shared" si="2"/>
        <v>37547.8514013839</v>
      </c>
      <c r="F20" s="165">
        <f t="shared" si="0"/>
        <v>955522.9514013838</v>
      </c>
      <c r="M20" s="68" t="s">
        <v>24</v>
      </c>
      <c r="N20" s="168" t="s">
        <v>24</v>
      </c>
      <c r="Q20" s="168" t="s">
        <v>24</v>
      </c>
      <c r="R20" s="168">
        <f>(F20)</f>
        <v>955522.9514013838</v>
      </c>
      <c r="V20" s="165">
        <f t="shared" si="1"/>
        <v>955522.9514013838</v>
      </c>
    </row>
    <row r="21" spans="1:22" ht="12.75">
      <c r="A21" s="50">
        <v>587</v>
      </c>
      <c r="B21" s="42" t="s">
        <v>30</v>
      </c>
      <c r="C21" s="42" t="s">
        <v>78</v>
      </c>
      <c r="D21" s="165">
        <f>(276490.43-212927+309220.86+455.37)</f>
        <v>373239.66</v>
      </c>
      <c r="E21" s="165">
        <f t="shared" si="2"/>
        <v>15266.587613087817</v>
      </c>
      <c r="F21" s="165">
        <f t="shared" si="0"/>
        <v>388506.24761308776</v>
      </c>
      <c r="M21" s="68" t="s">
        <v>24</v>
      </c>
      <c r="N21" s="168" t="s">
        <v>24</v>
      </c>
      <c r="Q21" s="168" t="s">
        <v>24</v>
      </c>
      <c r="T21" s="168">
        <f>(F21)</f>
        <v>388506.24761308776</v>
      </c>
      <c r="V21" s="165">
        <f t="shared" si="1"/>
        <v>388506.24761308776</v>
      </c>
    </row>
    <row r="22" spans="1:22" ht="12.75">
      <c r="A22" s="50">
        <v>588</v>
      </c>
      <c r="B22" s="42" t="s">
        <v>31</v>
      </c>
      <c r="C22" s="42" t="s">
        <v>79</v>
      </c>
      <c r="D22" s="165">
        <f>(353640.26+194474.48)</f>
        <v>548114.74</v>
      </c>
      <c r="E22" s="165">
        <f t="shared" si="2"/>
        <v>22419.48698655135</v>
      </c>
      <c r="F22" s="165">
        <f t="shared" si="0"/>
        <v>570534.2269865513</v>
      </c>
      <c r="M22" s="168">
        <f>(SUM(M17:M21)/$W$24)*($F$22)</f>
        <v>156711.09253417986</v>
      </c>
      <c r="N22" s="168">
        <f>(SUM(N17:N21)/$W$24)*($F$22)</f>
        <v>78041.20262963904</v>
      </c>
      <c r="O22" s="168">
        <f>((O17+O18+O19+O20+O21)/$W$24)*($F$22)</f>
        <v>0</v>
      </c>
      <c r="P22" s="168">
        <f>((P17+P18+P19+P20+P21)/$W$24)*($F$22)</f>
        <v>0</v>
      </c>
      <c r="Q22" s="168">
        <f>(SUM(Q17:Q21)/$W$24)*($F$22)</f>
        <v>39447.156557407645</v>
      </c>
      <c r="R22" s="168">
        <f>((R17+R18+R19+R20+R21)/$W$24)*($F$22)</f>
        <v>210675.98774789725</v>
      </c>
      <c r="S22" s="168">
        <f>((S17+S18+S19+S20+S21)/$W$24)*($F$22)</f>
        <v>0</v>
      </c>
      <c r="T22" s="168">
        <f>((T17+T18+T19+T20+T21)/$W$24)*($F$22)</f>
        <v>85658.78751742758</v>
      </c>
      <c r="V22" s="165">
        <f t="shared" si="1"/>
        <v>570534.2269865514</v>
      </c>
    </row>
    <row r="23" spans="1:22" ht="12.75">
      <c r="A23" s="50">
        <v>589</v>
      </c>
      <c r="B23" s="42" t="s">
        <v>32</v>
      </c>
      <c r="D23" s="170">
        <v>0</v>
      </c>
      <c r="E23" s="170">
        <f>(D23/$D$25)*(3908)</f>
        <v>0</v>
      </c>
      <c r="F23" s="170">
        <f t="shared" si="0"/>
        <v>0</v>
      </c>
      <c r="G23" s="169"/>
      <c r="H23" s="169"/>
      <c r="I23" s="169"/>
      <c r="J23" s="169"/>
      <c r="K23" s="169"/>
      <c r="L23" s="169"/>
      <c r="M23" s="172">
        <f>((SUM(M17:M22)/($X$24))*($F$23))</f>
        <v>0</v>
      </c>
      <c r="N23" s="172">
        <f>((SUM(N17:N22)/($X$24))*($F$23))</f>
        <v>0</v>
      </c>
      <c r="O23" s="169"/>
      <c r="P23" s="169"/>
      <c r="Q23" s="172">
        <f>((SUM(Q17:Q22)/($X$24))*($F$23))</f>
        <v>0</v>
      </c>
      <c r="R23" s="172">
        <f>((SUM(R17:R22)/($X$24))*($F$23))</f>
        <v>0</v>
      </c>
      <c r="S23" s="169"/>
      <c r="T23" s="172">
        <f>((SUM(T17:T22)/($X$24))*($F$23))</f>
        <v>0</v>
      </c>
      <c r="U23" s="169"/>
      <c r="V23" s="165">
        <f t="shared" si="1"/>
        <v>0</v>
      </c>
    </row>
    <row r="24" spans="6:24" ht="12.75">
      <c r="F24" s="165">
        <f t="shared" si="0"/>
        <v>0</v>
      </c>
      <c r="V24" s="165">
        <f t="shared" si="1"/>
        <v>0</v>
      </c>
      <c r="W24" s="168">
        <f>SUM(M17:U21)</f>
        <v>2587663.4270159616</v>
      </c>
      <c r="X24" s="168">
        <f>SUM(M17:U22)</f>
        <v>3158197.654002513</v>
      </c>
    </row>
    <row r="25" spans="2:24" ht="13.5" thickBot="1">
      <c r="B25" s="173" t="s">
        <v>257</v>
      </c>
      <c r="D25" s="186">
        <f>SUM(D15:D23)</f>
        <v>3130877.6100000003</v>
      </c>
      <c r="E25" s="186">
        <f>SUM(E15:E23)</f>
        <v>128061.99999999997</v>
      </c>
      <c r="F25" s="186">
        <f>(D25+E25)</f>
        <v>3258939.6100000003</v>
      </c>
      <c r="G25" s="185"/>
      <c r="H25" s="185"/>
      <c r="I25" s="185"/>
      <c r="J25" s="185"/>
      <c r="K25" s="185"/>
      <c r="L25" s="185"/>
      <c r="M25" s="186">
        <f>SUM(M15:M23)</f>
        <v>895146.9738870768</v>
      </c>
      <c r="N25" s="186">
        <f>SUM(N15:N23)</f>
        <v>445777.9295820616</v>
      </c>
      <c r="O25" s="186">
        <f aca="true" t="shared" si="3" ref="O25:U25">SUM(O15:O23)</f>
        <v>0</v>
      </c>
      <c r="P25" s="186">
        <f t="shared" si="3"/>
        <v>0</v>
      </c>
      <c r="Q25" s="186">
        <f t="shared" si="3"/>
        <v>225325.484302342</v>
      </c>
      <c r="R25" s="186">
        <f t="shared" si="3"/>
        <v>1203399.0054792648</v>
      </c>
      <c r="S25" s="186">
        <f t="shared" si="3"/>
        <v>0</v>
      </c>
      <c r="T25" s="186">
        <f t="shared" si="3"/>
        <v>489290.2167492549</v>
      </c>
      <c r="U25" s="186">
        <f t="shared" si="3"/>
        <v>0</v>
      </c>
      <c r="V25" s="165">
        <f t="shared" si="1"/>
        <v>3258939.61</v>
      </c>
      <c r="X25" s="42" t="s">
        <v>232</v>
      </c>
    </row>
    <row r="26" spans="1:22" ht="12.75">
      <c r="A26" s="42"/>
      <c r="D26" s="42"/>
      <c r="F26" s="165">
        <f t="shared" si="0"/>
        <v>0</v>
      </c>
      <c r="V26" s="165">
        <f t="shared" si="1"/>
        <v>0</v>
      </c>
    </row>
    <row r="27" spans="1:22" ht="12.75">
      <c r="A27" s="50">
        <v>590</v>
      </c>
      <c r="B27" s="42" t="s">
        <v>34</v>
      </c>
      <c r="C27" s="42" t="s">
        <v>288</v>
      </c>
      <c r="D27" s="165">
        <v>95306.94</v>
      </c>
      <c r="E27" s="165">
        <f>(D27/$D$37)*(76670)</f>
        <v>1710.1213256095857</v>
      </c>
      <c r="F27" s="165">
        <f t="shared" si="0"/>
        <v>97017.06132560958</v>
      </c>
      <c r="M27" s="168">
        <f aca="true" t="shared" si="4" ref="M27:U27">(SUM(M29:M34)/$W$36)*($F$27)</f>
        <v>54900.96060468809</v>
      </c>
      <c r="N27" s="168">
        <f t="shared" si="4"/>
        <v>27340.3555665838</v>
      </c>
      <c r="O27" s="168">
        <f t="shared" si="4"/>
        <v>262.14927929914296</v>
      </c>
      <c r="P27" s="168">
        <f t="shared" si="4"/>
        <v>103.60405190920092</v>
      </c>
      <c r="Q27" s="168">
        <f t="shared" si="4"/>
        <v>13819.613871001813</v>
      </c>
      <c r="R27" s="168">
        <f t="shared" si="4"/>
        <v>303.30738343399383</v>
      </c>
      <c r="S27" s="168">
        <f t="shared" si="4"/>
        <v>0</v>
      </c>
      <c r="T27" s="168">
        <f t="shared" si="4"/>
        <v>0</v>
      </c>
      <c r="U27" s="168">
        <f t="shared" si="4"/>
        <v>287.07056869353886</v>
      </c>
      <c r="V27" s="165">
        <f t="shared" si="1"/>
        <v>97017.06132560958</v>
      </c>
    </row>
    <row r="28" spans="5:22" ht="12.75">
      <c r="E28" s="68" t="s">
        <v>24</v>
      </c>
      <c r="F28" s="68" t="s">
        <v>24</v>
      </c>
      <c r="Q28" s="168" t="s">
        <v>24</v>
      </c>
      <c r="V28" s="165">
        <f t="shared" si="1"/>
        <v>0</v>
      </c>
    </row>
    <row r="29" spans="1:22" ht="12.75">
      <c r="A29" s="50">
        <v>592</v>
      </c>
      <c r="B29" s="42" t="s">
        <v>180</v>
      </c>
      <c r="C29" s="42" t="s">
        <v>80</v>
      </c>
      <c r="D29" s="165">
        <v>34104.69</v>
      </c>
      <c r="E29" s="165">
        <f aca="true" t="shared" si="5" ref="E29:E35">(D29/$D$37)*(76670)</f>
        <v>611.9507946882355</v>
      </c>
      <c r="F29" s="165">
        <f t="shared" si="0"/>
        <v>34716.64079468824</v>
      </c>
      <c r="M29" s="165">
        <f>(F29-Q29)*(Classification!$H$140)</f>
        <v>19841.333284588436</v>
      </c>
      <c r="N29" s="168">
        <f>(F29-M29-Q29)</f>
        <v>9880.867309804766</v>
      </c>
      <c r="Q29" s="168">
        <f>('Rate Base'!$K$20/('Rate Base'!$K$20+'Rate Base'!$G$20+'Rate Base'!$F$20))*(F29)</f>
        <v>4994.440200295037</v>
      </c>
      <c r="V29" s="165">
        <f t="shared" si="1"/>
        <v>34716.64079468824</v>
      </c>
    </row>
    <row r="30" spans="1:22" ht="12.75">
      <c r="A30" s="50">
        <v>593</v>
      </c>
      <c r="B30" s="42" t="s">
        <v>35</v>
      </c>
      <c r="C30" s="42" t="s">
        <v>80</v>
      </c>
      <c r="D30" s="165">
        <f>(1887471.62+44574.52+74243.13-102.9+1777153.63)</f>
        <v>3783340</v>
      </c>
      <c r="E30" s="165">
        <f t="shared" si="5"/>
        <v>67885.61689245053</v>
      </c>
      <c r="F30" s="165">
        <f t="shared" si="0"/>
        <v>3851225.6168924505</v>
      </c>
      <c r="M30" s="165">
        <f>(F30-Q30)*(Classification!$H$140)</f>
        <v>2201061.1991756796</v>
      </c>
      <c r="N30" s="168">
        <f>(F30-M30-Q30)</f>
        <v>1096115.53507382</v>
      </c>
      <c r="Q30" s="168">
        <f>('Rate Base'!$K$20/('Rate Base'!$K$20+'Rate Base'!$G$20+'Rate Base'!$F$20))*(F30)</f>
        <v>554048.882642951</v>
      </c>
      <c r="V30" s="165">
        <f t="shared" si="1"/>
        <v>3851225.6168924505</v>
      </c>
    </row>
    <row r="31" spans="1:22" ht="12.75">
      <c r="A31" s="50">
        <v>594</v>
      </c>
      <c r="B31" s="42" t="s">
        <v>181</v>
      </c>
      <c r="C31" s="42" t="s">
        <v>80</v>
      </c>
      <c r="D31" s="165">
        <v>10304.91</v>
      </c>
      <c r="E31" s="165">
        <f t="shared" si="5"/>
        <v>184.90412502476184</v>
      </c>
      <c r="F31" s="165">
        <f t="shared" si="0"/>
        <v>10489.81412502476</v>
      </c>
      <c r="M31" s="165">
        <f>(F31-Q31)*(Classification!$H$140)</f>
        <v>5995.162359713229</v>
      </c>
      <c r="N31" s="168">
        <f>(F31-M31-Q31)</f>
        <v>2985.5556039207577</v>
      </c>
      <c r="Q31" s="168">
        <f>('Rate Base'!$K$20/('Rate Base'!$K$20+'Rate Base'!$G$20+'Rate Base'!$F$20))*(F31)</f>
        <v>1509.0961613907741</v>
      </c>
      <c r="V31" s="165">
        <f t="shared" si="1"/>
        <v>10489.81412502476</v>
      </c>
    </row>
    <row r="32" spans="1:22" ht="12.75">
      <c r="A32" s="50">
        <v>595</v>
      </c>
      <c r="B32" s="42" t="s">
        <v>36</v>
      </c>
      <c r="C32" s="42" t="s">
        <v>78</v>
      </c>
      <c r="D32" s="165">
        <v>14574.21</v>
      </c>
      <c r="E32" s="165">
        <f t="shared" si="5"/>
        <v>261.50946956131924</v>
      </c>
      <c r="F32" s="165">
        <f t="shared" si="0"/>
        <v>14835.719469561318</v>
      </c>
      <c r="O32" s="168">
        <f>(F32*Classification!F198)</f>
        <v>10633.322611118954</v>
      </c>
      <c r="P32" s="168">
        <f>(F32-O32)</f>
        <v>4202.396858442364</v>
      </c>
      <c r="Q32" s="168" t="s">
        <v>24</v>
      </c>
      <c r="V32" s="165">
        <f t="shared" si="1"/>
        <v>14835.719469561318</v>
      </c>
    </row>
    <row r="33" spans="1:22" ht="12.75">
      <c r="A33" s="50">
        <v>596</v>
      </c>
      <c r="B33" s="42" t="s">
        <v>182</v>
      </c>
      <c r="C33" s="42" t="s">
        <v>78</v>
      </c>
      <c r="D33" s="165">
        <f>(-148.86+6752.75+4835.04)</f>
        <v>11438.93</v>
      </c>
      <c r="E33" s="165">
        <f t="shared" si="5"/>
        <v>205.2521897687121</v>
      </c>
      <c r="F33" s="165">
        <f>(D33+E33)</f>
        <v>11644.182189768713</v>
      </c>
      <c r="U33" s="168">
        <f>(F33)</f>
        <v>11644.182189768713</v>
      </c>
      <c r="V33" s="165">
        <f t="shared" si="1"/>
        <v>11644.182189768713</v>
      </c>
    </row>
    <row r="34" spans="1:22" ht="12.75">
      <c r="A34" s="50">
        <v>597</v>
      </c>
      <c r="B34" s="42" t="s">
        <v>340</v>
      </c>
      <c r="C34" s="42" t="s">
        <v>81</v>
      </c>
      <c r="D34" s="165">
        <v>12085.92</v>
      </c>
      <c r="E34" s="165">
        <f t="shared" si="5"/>
        <v>216.86132753408518</v>
      </c>
      <c r="F34" s="165">
        <f>(D34+E34)</f>
        <v>12302.781327534085</v>
      </c>
      <c r="R34" s="168">
        <f>(F34)</f>
        <v>12302.781327534085</v>
      </c>
      <c r="V34" s="165">
        <f t="shared" si="1"/>
        <v>12302.781327534085</v>
      </c>
    </row>
    <row r="35" spans="1:22" ht="12.75">
      <c r="A35" s="50">
        <v>598</v>
      </c>
      <c r="B35" s="42" t="s">
        <v>37</v>
      </c>
      <c r="C35" s="42" t="s">
        <v>288</v>
      </c>
      <c r="D35" s="170">
        <f>(12112.12+60592.71+225019.51+8338.82+632.55+5052.01)</f>
        <v>311747.72000000003</v>
      </c>
      <c r="E35" s="170">
        <f t="shared" si="5"/>
        <v>5593.783875362759</v>
      </c>
      <c r="F35" s="170">
        <f t="shared" si="0"/>
        <v>317341.5038753628</v>
      </c>
      <c r="G35" s="169"/>
      <c r="H35" s="169"/>
      <c r="I35" s="169"/>
      <c r="J35" s="169"/>
      <c r="K35" s="169"/>
      <c r="L35" s="169"/>
      <c r="M35" s="172">
        <f>(SUM(M29:M34)/$W$36)*($F$35)</f>
        <v>179580.30437574993</v>
      </c>
      <c r="N35" s="172">
        <f aca="true" t="shared" si="6" ref="N35:U35">(SUM(N29:N34)/$W$36)*($F$35)</f>
        <v>89429.93565706557</v>
      </c>
      <c r="O35" s="172">
        <f t="shared" si="6"/>
        <v>857.4867698107926</v>
      </c>
      <c r="P35" s="172">
        <f t="shared" si="6"/>
        <v>338.8874615579415</v>
      </c>
      <c r="Q35" s="172">
        <f t="shared" si="6"/>
        <v>45203.771263301394</v>
      </c>
      <c r="R35" s="172">
        <f t="shared" si="6"/>
        <v>992.1143753509804</v>
      </c>
      <c r="S35" s="172">
        <f t="shared" si="6"/>
        <v>0</v>
      </c>
      <c r="T35" s="172">
        <f t="shared" si="6"/>
        <v>0</v>
      </c>
      <c r="U35" s="172">
        <f t="shared" si="6"/>
        <v>939.0039725261785</v>
      </c>
      <c r="V35" s="165">
        <f t="shared" si="1"/>
        <v>317341.50387536275</v>
      </c>
    </row>
    <row r="36" spans="1:23" ht="12.75">
      <c r="A36" s="50" t="s">
        <v>24</v>
      </c>
      <c r="B36" s="42" t="s">
        <v>24</v>
      </c>
      <c r="D36" s="68" t="s">
        <v>24</v>
      </c>
      <c r="F36" s="68" t="s">
        <v>24</v>
      </c>
      <c r="V36" s="165">
        <f t="shared" si="1"/>
        <v>0</v>
      </c>
      <c r="W36" s="165">
        <f>(SUM(M29:U34))</f>
        <v>3935214.754799028</v>
      </c>
    </row>
    <row r="37" spans="1:22" ht="13.5" thickBot="1">
      <c r="A37" s="50" t="s">
        <v>24</v>
      </c>
      <c r="B37" s="173" t="s">
        <v>33</v>
      </c>
      <c r="D37" s="197">
        <f>SUM(D27,D29,D30,D31,D32,D34,D33,D35)</f>
        <v>4272903.32</v>
      </c>
      <c r="E37" s="197">
        <f>SUM(E27,E29,E30,E31,E32,E33,E34,E35)</f>
        <v>76670</v>
      </c>
      <c r="F37" s="197">
        <f>SUM(F27,F29,F30,F31,F32,F34,F33,F35)</f>
        <v>4349573.319999999</v>
      </c>
      <c r="G37" s="185"/>
      <c r="H37" s="185"/>
      <c r="I37" s="185"/>
      <c r="J37" s="185"/>
      <c r="K37" s="185"/>
      <c r="L37" s="185"/>
      <c r="M37" s="197">
        <f aca="true" t="shared" si="7" ref="M37:U37">SUM(M27,M29,M30,M31,M32,M33,M34,M35)</f>
        <v>2461378.9598004194</v>
      </c>
      <c r="N37" s="197">
        <f t="shared" si="7"/>
        <v>1225752.249211195</v>
      </c>
      <c r="O37" s="197">
        <f t="shared" si="7"/>
        <v>11752.95866022889</v>
      </c>
      <c r="P37" s="197">
        <f t="shared" si="7"/>
        <v>4644.8883719095065</v>
      </c>
      <c r="Q37" s="197">
        <f t="shared" si="7"/>
        <v>619575.80413894</v>
      </c>
      <c r="R37" s="197">
        <f t="shared" si="7"/>
        <v>13598.20308631906</v>
      </c>
      <c r="S37" s="197">
        <f t="shared" si="7"/>
        <v>0</v>
      </c>
      <c r="T37" s="197">
        <f t="shared" si="7"/>
        <v>0</v>
      </c>
      <c r="U37" s="197">
        <f t="shared" si="7"/>
        <v>12870.256730988429</v>
      </c>
      <c r="V37" s="165">
        <f t="shared" si="1"/>
        <v>4349573.320000001</v>
      </c>
    </row>
    <row r="38" spans="1:22" ht="12.75">
      <c r="A38" s="50" t="s">
        <v>24</v>
      </c>
      <c r="B38" s="42" t="s">
        <v>24</v>
      </c>
      <c r="F38" s="168" t="s">
        <v>24</v>
      </c>
      <c r="V38" s="165">
        <f t="shared" si="1"/>
        <v>0</v>
      </c>
    </row>
    <row r="39" spans="1:22" ht="12.75">
      <c r="A39" s="50">
        <v>901</v>
      </c>
      <c r="B39" s="42" t="s">
        <v>38</v>
      </c>
      <c r="C39" s="42" t="s">
        <v>78</v>
      </c>
      <c r="D39" s="165">
        <v>23563.52</v>
      </c>
      <c r="E39" s="176">
        <f>(D39/$D$45)*(64437)</f>
        <v>497.1557540278116</v>
      </c>
      <c r="F39" s="165">
        <f t="shared" si="0"/>
        <v>24060.675754027812</v>
      </c>
      <c r="M39" s="168">
        <f aca="true" t="shared" si="8" ref="M39:U39">(SUM(M41:M43)/$W$44)*($F$39)</f>
        <v>0</v>
      </c>
      <c r="N39" s="168">
        <f t="shared" si="8"/>
        <v>0</v>
      </c>
      <c r="O39" s="168">
        <f t="shared" si="8"/>
        <v>0</v>
      </c>
      <c r="P39" s="168">
        <f t="shared" si="8"/>
        <v>0</v>
      </c>
      <c r="Q39" s="168">
        <f t="shared" si="8"/>
        <v>0</v>
      </c>
      <c r="R39" s="168">
        <f t="shared" si="8"/>
        <v>0</v>
      </c>
      <c r="S39" s="168">
        <f t="shared" si="8"/>
        <v>24060.675754027812</v>
      </c>
      <c r="T39" s="168">
        <f t="shared" si="8"/>
        <v>0</v>
      </c>
      <c r="U39" s="168">
        <f t="shared" si="8"/>
        <v>0</v>
      </c>
      <c r="V39" s="165">
        <f t="shared" si="1"/>
        <v>24060.675754027812</v>
      </c>
    </row>
    <row r="40" spans="5:22" ht="12.75">
      <c r="E40" s="176">
        <f>(D40/$D$45)*(64437)</f>
        <v>0</v>
      </c>
      <c r="F40" s="68" t="s">
        <v>24</v>
      </c>
      <c r="V40" s="165">
        <f t="shared" si="1"/>
        <v>0</v>
      </c>
    </row>
    <row r="41" spans="1:22" ht="12.75">
      <c r="A41" s="50">
        <v>902</v>
      </c>
      <c r="B41" s="42" t="s">
        <v>39</v>
      </c>
      <c r="C41" s="42" t="s">
        <v>78</v>
      </c>
      <c r="D41" s="165">
        <f>(17982.64+455593.26)</f>
        <v>473575.9</v>
      </c>
      <c r="E41" s="176">
        <f>(D41/$D$45)*(64437)</f>
        <v>9991.757753251615</v>
      </c>
      <c r="F41" s="165">
        <f t="shared" si="0"/>
        <v>483567.6577532516</v>
      </c>
      <c r="S41" s="168">
        <f>(F41)</f>
        <v>483567.6577532516</v>
      </c>
      <c r="T41" s="168">
        <f aca="true" t="shared" si="9" ref="T41:U43">(G41)</f>
        <v>0</v>
      </c>
      <c r="U41" s="168">
        <f t="shared" si="9"/>
        <v>0</v>
      </c>
      <c r="V41" s="165">
        <f t="shared" si="1"/>
        <v>483567.6577532516</v>
      </c>
    </row>
    <row r="42" spans="1:22" ht="12.75">
      <c r="A42" s="50">
        <v>903</v>
      </c>
      <c r="B42" s="42" t="s">
        <v>40</v>
      </c>
      <c r="C42" s="42" t="s">
        <v>78</v>
      </c>
      <c r="D42" s="165">
        <f>(2356613.43+2531.53)</f>
        <v>2359144.96</v>
      </c>
      <c r="E42" s="176">
        <f>(D42/$D$45)*(64437)</f>
        <v>49774.50276740111</v>
      </c>
      <c r="F42" s="165">
        <f t="shared" si="0"/>
        <v>2408919.4627674012</v>
      </c>
      <c r="S42" s="168">
        <f>(F42)</f>
        <v>2408919.4627674012</v>
      </c>
      <c r="T42" s="168">
        <f t="shared" si="9"/>
        <v>0</v>
      </c>
      <c r="U42" s="168">
        <f t="shared" si="9"/>
        <v>0</v>
      </c>
      <c r="V42" s="165">
        <f t="shared" si="1"/>
        <v>2408919.4627674012</v>
      </c>
    </row>
    <row r="43" spans="1:22" ht="12.75">
      <c r="A43" s="50">
        <v>904</v>
      </c>
      <c r="B43" s="42" t="s">
        <v>41</v>
      </c>
      <c r="C43" s="42" t="s">
        <v>78</v>
      </c>
      <c r="D43" s="170">
        <v>197813.91</v>
      </c>
      <c r="E43" s="177">
        <f>(D43/$D$45)*(64437)</f>
        <v>4173.583725319462</v>
      </c>
      <c r="F43" s="170">
        <f t="shared" si="0"/>
        <v>201987.49372531945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2">
        <f>(F43)</f>
        <v>201987.49372531945</v>
      </c>
      <c r="T43" s="172">
        <f t="shared" si="9"/>
        <v>0</v>
      </c>
      <c r="U43" s="172">
        <f t="shared" si="9"/>
        <v>0</v>
      </c>
      <c r="V43" s="165">
        <f t="shared" si="1"/>
        <v>201987.49372531945</v>
      </c>
    </row>
    <row r="44" spans="6:23" ht="10.5" customHeight="1">
      <c r="F44" s="165">
        <f t="shared" si="0"/>
        <v>0</v>
      </c>
      <c r="V44" s="165">
        <f t="shared" si="1"/>
        <v>0</v>
      </c>
      <c r="W44" s="165">
        <f>SUM(M41:U43)</f>
        <v>3094474.614245972</v>
      </c>
    </row>
    <row r="45" spans="1:22" ht="13.5" thickBot="1">
      <c r="A45" s="50" t="s">
        <v>24</v>
      </c>
      <c r="B45" s="173" t="s">
        <v>358</v>
      </c>
      <c r="D45" s="186">
        <f>SUM(D39:D43)</f>
        <v>3054098.29</v>
      </c>
      <c r="E45" s="186">
        <f>SUM(E39:E43)</f>
        <v>64437</v>
      </c>
      <c r="F45" s="186">
        <f>SUM(F39:F43)</f>
        <v>3118535.29</v>
      </c>
      <c r="G45" s="185"/>
      <c r="H45" s="185"/>
      <c r="I45" s="185"/>
      <c r="J45" s="185"/>
      <c r="K45" s="185"/>
      <c r="L45" s="185"/>
      <c r="M45" s="197">
        <f aca="true" t="shared" si="10" ref="M45:U45">SUM(M39,M41,M42,M43)</f>
        <v>0</v>
      </c>
      <c r="N45" s="197">
        <f t="shared" si="10"/>
        <v>0</v>
      </c>
      <c r="O45" s="197">
        <f t="shared" si="10"/>
        <v>0</v>
      </c>
      <c r="P45" s="197">
        <f t="shared" si="10"/>
        <v>0</v>
      </c>
      <c r="Q45" s="197">
        <f t="shared" si="10"/>
        <v>0</v>
      </c>
      <c r="R45" s="197">
        <f t="shared" si="10"/>
        <v>0</v>
      </c>
      <c r="S45" s="197">
        <f t="shared" si="10"/>
        <v>3118535.29</v>
      </c>
      <c r="T45" s="197">
        <f t="shared" si="10"/>
        <v>0</v>
      </c>
      <c r="U45" s="197">
        <f t="shared" si="10"/>
        <v>0</v>
      </c>
      <c r="V45" s="165">
        <f t="shared" si="1"/>
        <v>3118535.29</v>
      </c>
    </row>
    <row r="46" spans="2:22" ht="12.75">
      <c r="B46" s="173"/>
      <c r="E46" s="165"/>
      <c r="M46" s="168"/>
      <c r="N46" s="168"/>
      <c r="O46" s="168"/>
      <c r="P46" s="168"/>
      <c r="Q46" s="168"/>
      <c r="R46" s="168"/>
      <c r="S46" s="168"/>
      <c r="T46" s="168"/>
      <c r="U46" s="168"/>
      <c r="V46" s="165"/>
    </row>
    <row r="47" spans="1:22" ht="10.5" customHeight="1">
      <c r="A47" s="50" t="s">
        <v>183</v>
      </c>
      <c r="B47" s="42" t="s">
        <v>184</v>
      </c>
      <c r="D47" s="68">
        <f>(23592.97+201157.35+1050.5-2072.31+42853.85+101626.09+4178.02)</f>
        <v>372386.47</v>
      </c>
      <c r="E47" s="165">
        <v>22104</v>
      </c>
      <c r="F47" s="165">
        <f>(D47+E47)</f>
        <v>394490.47</v>
      </c>
      <c r="S47" s="168">
        <f>(F47)</f>
        <v>394490.47</v>
      </c>
      <c r="V47" s="165">
        <f>SUM(G47:U47)</f>
        <v>394490.47</v>
      </c>
    </row>
    <row r="48" spans="1:22" ht="12.75">
      <c r="A48" s="50">
        <v>911</v>
      </c>
      <c r="B48" s="42" t="s">
        <v>38</v>
      </c>
      <c r="C48" s="42" t="s">
        <v>78</v>
      </c>
      <c r="D48" s="165">
        <v>0</v>
      </c>
      <c r="F48" s="165">
        <f t="shared" si="0"/>
        <v>0</v>
      </c>
      <c r="S48" s="168">
        <f>(F48)</f>
        <v>0</v>
      </c>
      <c r="V48" s="165">
        <f t="shared" si="1"/>
        <v>0</v>
      </c>
    </row>
    <row r="49" spans="1:22" ht="12.75">
      <c r="A49" s="50">
        <v>912</v>
      </c>
      <c r="B49" s="42" t="s">
        <v>185</v>
      </c>
      <c r="C49" s="42" t="s">
        <v>78</v>
      </c>
      <c r="D49" s="165">
        <v>15668.66</v>
      </c>
      <c r="E49" s="42">
        <v>573</v>
      </c>
      <c r="F49" s="165">
        <f t="shared" si="0"/>
        <v>16241.66</v>
      </c>
      <c r="S49" s="168">
        <f>(F49)</f>
        <v>16241.66</v>
      </c>
      <c r="V49" s="165">
        <f t="shared" si="1"/>
        <v>16241.66</v>
      </c>
    </row>
    <row r="50" spans="1:22" ht="12.75">
      <c r="A50" s="50">
        <v>913</v>
      </c>
      <c r="B50" s="42" t="s">
        <v>302</v>
      </c>
      <c r="C50" s="42" t="s">
        <v>78</v>
      </c>
      <c r="D50" s="170">
        <v>0</v>
      </c>
      <c r="E50" s="169"/>
      <c r="F50" s="170">
        <f t="shared" si="0"/>
        <v>0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>
        <f>(F50)</f>
        <v>0</v>
      </c>
      <c r="T50" s="169"/>
      <c r="U50" s="169"/>
      <c r="V50" s="165">
        <f t="shared" si="1"/>
        <v>0</v>
      </c>
    </row>
    <row r="51" spans="2:22" ht="12.75">
      <c r="B51" s="42" t="s">
        <v>24</v>
      </c>
      <c r="F51" s="165">
        <f t="shared" si="0"/>
        <v>0</v>
      </c>
      <c r="V51" s="165">
        <f t="shared" si="1"/>
        <v>0</v>
      </c>
    </row>
    <row r="52" spans="2:22" ht="13.5" thickBot="1">
      <c r="B52" s="173" t="s">
        <v>27</v>
      </c>
      <c r="D52" s="186">
        <f>SUM(D47:D50)</f>
        <v>388055.12999999995</v>
      </c>
      <c r="E52" s="186">
        <f>SUM(E47:E50)</f>
        <v>22677</v>
      </c>
      <c r="F52" s="186">
        <f t="shared" si="0"/>
        <v>410732.12999999995</v>
      </c>
      <c r="G52" s="185"/>
      <c r="H52" s="186">
        <f>SUM(H47:H50)</f>
        <v>0</v>
      </c>
      <c r="I52" s="186">
        <f>SUM(I47:I50)</f>
        <v>0</v>
      </c>
      <c r="J52" s="186">
        <f>SUM(J47:J50)</f>
        <v>0</v>
      </c>
      <c r="K52" s="186">
        <f>SUM(K47:K50)</f>
        <v>0</v>
      </c>
      <c r="L52" s="189" t="s">
        <v>24</v>
      </c>
      <c r="M52" s="186">
        <f aca="true" t="shared" si="11" ref="M52:U52">SUM(M47:M50)</f>
        <v>0</v>
      </c>
      <c r="N52" s="186">
        <f t="shared" si="11"/>
        <v>0</v>
      </c>
      <c r="O52" s="186">
        <f t="shared" si="11"/>
        <v>0</v>
      </c>
      <c r="P52" s="186">
        <f t="shared" si="11"/>
        <v>0</v>
      </c>
      <c r="Q52" s="186">
        <f t="shared" si="11"/>
        <v>0</v>
      </c>
      <c r="R52" s="186">
        <f t="shared" si="11"/>
        <v>0</v>
      </c>
      <c r="S52" s="186">
        <f t="shared" si="11"/>
        <v>410732.12999999995</v>
      </c>
      <c r="T52" s="186">
        <f t="shared" si="11"/>
        <v>0</v>
      </c>
      <c r="U52" s="186">
        <f t="shared" si="11"/>
        <v>0</v>
      </c>
      <c r="V52" s="165">
        <f t="shared" si="1"/>
        <v>410732.12999999995</v>
      </c>
    </row>
    <row r="53" spans="1:22" ht="12.75">
      <c r="A53" s="50" t="s">
        <v>24</v>
      </c>
      <c r="B53" s="42" t="s">
        <v>24</v>
      </c>
      <c r="F53" s="165">
        <f t="shared" si="0"/>
        <v>0</v>
      </c>
      <c r="V53" s="165">
        <f t="shared" si="1"/>
        <v>0</v>
      </c>
    </row>
    <row r="54" spans="2:22" ht="13.5" thickBot="1">
      <c r="B54" s="173" t="s">
        <v>192</v>
      </c>
      <c r="D54" s="186">
        <f>SUM(D52,D45,D25,D13,D37)</f>
        <v>66152908.35</v>
      </c>
      <c r="E54" s="186">
        <f>SUM(E52,E45,E25,E13,E37)</f>
        <v>-3805265</v>
      </c>
      <c r="F54" s="186">
        <f t="shared" si="0"/>
        <v>62347643.35</v>
      </c>
      <c r="G54" s="189" t="s">
        <v>24</v>
      </c>
      <c r="H54" s="186">
        <f>SUM(H52,H45,H25,H13)</f>
        <v>9954262.44</v>
      </c>
      <c r="I54" s="186">
        <f>SUM(I52,I45,I25,I13)</f>
        <v>35775933</v>
      </c>
      <c r="J54" s="186">
        <f>SUM(J52,J45,J25,J13)</f>
        <v>4277428.5600000005</v>
      </c>
      <c r="K54" s="186">
        <f>SUM(K52,K45,K25,K13)</f>
        <v>1202239</v>
      </c>
      <c r="L54" s="185"/>
      <c r="M54" s="197">
        <f aca="true" t="shared" si="12" ref="M54:U54">SUM(M52,M45,M37,M25)</f>
        <v>3356525.933687496</v>
      </c>
      <c r="N54" s="197">
        <f t="shared" si="12"/>
        <v>1671530.1787932566</v>
      </c>
      <c r="O54" s="197">
        <f t="shared" si="12"/>
        <v>11752.95866022889</v>
      </c>
      <c r="P54" s="197">
        <f t="shared" si="12"/>
        <v>4644.8883719095065</v>
      </c>
      <c r="Q54" s="197">
        <f t="shared" si="12"/>
        <v>844901.288441282</v>
      </c>
      <c r="R54" s="197">
        <f t="shared" si="12"/>
        <v>1216997.208565584</v>
      </c>
      <c r="S54" s="197">
        <f t="shared" si="12"/>
        <v>3529267.42</v>
      </c>
      <c r="T54" s="197">
        <f t="shared" si="12"/>
        <v>489290.2167492549</v>
      </c>
      <c r="U54" s="197">
        <f t="shared" si="12"/>
        <v>12870.256730988429</v>
      </c>
      <c r="V54" s="165">
        <f t="shared" si="1"/>
        <v>62347643.35000001</v>
      </c>
    </row>
    <row r="55" spans="6:22" ht="12.75">
      <c r="F55" s="165">
        <f t="shared" si="0"/>
        <v>0</v>
      </c>
      <c r="V55" s="165">
        <f t="shared" si="1"/>
        <v>0</v>
      </c>
    </row>
    <row r="56" spans="1:22" ht="12.75">
      <c r="A56" s="50">
        <v>920</v>
      </c>
      <c r="B56" s="42" t="s">
        <v>341</v>
      </c>
      <c r="C56" s="42" t="s">
        <v>24</v>
      </c>
      <c r="D56" s="165">
        <v>614591.22</v>
      </c>
      <c r="E56" s="165">
        <v>14257</v>
      </c>
      <c r="F56" s="165">
        <f t="shared" si="0"/>
        <v>628848.22</v>
      </c>
      <c r="V56" s="165">
        <f t="shared" si="1"/>
        <v>0</v>
      </c>
    </row>
    <row r="57" spans="1:22" ht="12.75">
      <c r="A57" s="50">
        <v>921</v>
      </c>
      <c r="B57" s="42" t="s">
        <v>48</v>
      </c>
      <c r="C57" s="42" t="s">
        <v>24</v>
      </c>
      <c r="D57" s="165">
        <v>378169.53</v>
      </c>
      <c r="E57" s="165">
        <v>0</v>
      </c>
      <c r="F57" s="165">
        <f t="shared" si="0"/>
        <v>378169.53</v>
      </c>
      <c r="V57" s="165">
        <f t="shared" si="1"/>
        <v>0</v>
      </c>
    </row>
    <row r="58" spans="1:22" ht="12.75">
      <c r="A58" s="50">
        <v>923</v>
      </c>
      <c r="B58" s="42" t="s">
        <v>49</v>
      </c>
      <c r="C58" s="42" t="s">
        <v>24</v>
      </c>
      <c r="D58" s="165">
        <f>(107141.87+174529.59)</f>
        <v>281671.45999999996</v>
      </c>
      <c r="E58" s="165">
        <v>-4066</v>
      </c>
      <c r="F58" s="165">
        <f t="shared" si="0"/>
        <v>277605.45999999996</v>
      </c>
      <c r="V58" s="165">
        <f t="shared" si="1"/>
        <v>0</v>
      </c>
    </row>
    <row r="59" spans="1:22" ht="12.75">
      <c r="A59" s="50">
        <v>924</v>
      </c>
      <c r="B59" s="42" t="s">
        <v>50</v>
      </c>
      <c r="C59" s="42" t="s">
        <v>24</v>
      </c>
      <c r="E59" s="165">
        <f>(D59/$D$68)*(-83300)</f>
        <v>0</v>
      </c>
      <c r="F59" s="165">
        <f t="shared" si="0"/>
        <v>0</v>
      </c>
      <c r="V59" s="165">
        <f t="shared" si="1"/>
        <v>0</v>
      </c>
    </row>
    <row r="60" spans="1:22" ht="12.75">
      <c r="A60" s="50">
        <v>925</v>
      </c>
      <c r="B60" s="42" t="s">
        <v>51</v>
      </c>
      <c r="C60" s="42" t="s">
        <v>24</v>
      </c>
      <c r="D60" s="165">
        <f>(234446.18+16547.26)</f>
        <v>250993.44</v>
      </c>
      <c r="E60" s="165">
        <v>0</v>
      </c>
      <c r="F60" s="165">
        <f t="shared" si="0"/>
        <v>250993.44</v>
      </c>
      <c r="V60" s="165">
        <f t="shared" si="1"/>
        <v>0</v>
      </c>
    </row>
    <row r="61" spans="1:22" ht="12.75">
      <c r="A61" s="50">
        <v>926</v>
      </c>
      <c r="B61" s="42" t="s">
        <v>52</v>
      </c>
      <c r="C61" s="42" t="s">
        <v>24</v>
      </c>
      <c r="D61" s="165">
        <v>0</v>
      </c>
      <c r="E61" s="165">
        <f>(D61/$D$68)*(-83300)</f>
        <v>0</v>
      </c>
      <c r="F61" s="165">
        <f t="shared" si="0"/>
        <v>0</v>
      </c>
      <c r="V61" s="165">
        <f t="shared" si="1"/>
        <v>0</v>
      </c>
    </row>
    <row r="62" spans="1:22" ht="12.75">
      <c r="A62" s="50">
        <v>928</v>
      </c>
      <c r="B62" s="42" t="s">
        <v>53</v>
      </c>
      <c r="C62" s="42" t="s">
        <v>24</v>
      </c>
      <c r="D62" s="165">
        <v>0</v>
      </c>
      <c r="E62" s="165">
        <f>(D62/$D$68)*(-83300)</f>
        <v>0</v>
      </c>
      <c r="F62" s="165">
        <f t="shared" si="0"/>
        <v>0</v>
      </c>
      <c r="V62" s="165">
        <f t="shared" si="1"/>
        <v>0</v>
      </c>
    </row>
    <row r="63" spans="1:22" ht="12.75">
      <c r="A63" s="50">
        <v>929</v>
      </c>
      <c r="B63" s="42" t="s">
        <v>54</v>
      </c>
      <c r="C63" s="42" t="s">
        <v>24</v>
      </c>
      <c r="D63" s="165">
        <v>-11204.65</v>
      </c>
      <c r="E63" s="165">
        <v>0</v>
      </c>
      <c r="F63" s="165">
        <f t="shared" si="0"/>
        <v>-11204.65</v>
      </c>
      <c r="V63" s="165">
        <f t="shared" si="1"/>
        <v>0</v>
      </c>
    </row>
    <row r="64" spans="1:22" ht="12.75">
      <c r="A64" s="50">
        <v>930</v>
      </c>
      <c r="B64" s="42" t="s">
        <v>55</v>
      </c>
      <c r="C64" s="42" t="s">
        <v>24</v>
      </c>
      <c r="D64" s="165">
        <f>(105107.26+17652.72+323838.42+219452.41+164665.98+200479.36+24954+24918.14+889.32)</f>
        <v>1081957.6099999999</v>
      </c>
      <c r="E64" s="68">
        <f>(-160065-75000)</f>
        <v>-235065</v>
      </c>
      <c r="F64" s="165">
        <f>(D64+E64)</f>
        <v>846892.6099999999</v>
      </c>
      <c r="V64" s="165">
        <f>SUM(G64:U64)</f>
        <v>0</v>
      </c>
    </row>
    <row r="65" spans="1:22" ht="12.75">
      <c r="A65" s="50">
        <v>931</v>
      </c>
      <c r="B65" s="42" t="s">
        <v>32</v>
      </c>
      <c r="D65" s="165">
        <v>0</v>
      </c>
      <c r="E65" s="165">
        <f>(D65/$D$68)*(-83300)</f>
        <v>0</v>
      </c>
      <c r="F65" s="165">
        <f>(D65+E65)</f>
        <v>0</v>
      </c>
      <c r="V65" s="165"/>
    </row>
    <row r="66" spans="1:21" ht="12.75">
      <c r="A66" s="50">
        <v>935</v>
      </c>
      <c r="B66" s="42" t="s">
        <v>304</v>
      </c>
      <c r="D66" s="178">
        <v>441012.81</v>
      </c>
      <c r="E66" s="170">
        <v>3249</v>
      </c>
      <c r="F66" s="170">
        <f>(D67+E66)</f>
        <v>3249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</row>
    <row r="67" spans="6:22" ht="12.75">
      <c r="F67" s="68" t="s">
        <v>24</v>
      </c>
      <c r="V67" s="165">
        <f t="shared" si="1"/>
        <v>0</v>
      </c>
    </row>
    <row r="68" spans="2:23" ht="13.5" thickBot="1">
      <c r="B68" s="173" t="s">
        <v>56</v>
      </c>
      <c r="C68" s="42" t="s">
        <v>84</v>
      </c>
      <c r="D68" s="186">
        <f>SUM(D56:D66)</f>
        <v>3037191.42</v>
      </c>
      <c r="E68" s="186">
        <v>-173321</v>
      </c>
      <c r="F68" s="186">
        <f t="shared" si="0"/>
        <v>2863870.42</v>
      </c>
      <c r="G68" s="185"/>
      <c r="H68" s="185"/>
      <c r="I68" s="185"/>
      <c r="J68" s="185"/>
      <c r="K68" s="185"/>
      <c r="L68" s="185"/>
      <c r="M68" s="186">
        <f>($F$68*'Rate Base'!F26)</f>
        <v>687607.0696009785</v>
      </c>
      <c r="N68" s="186">
        <f>($F$68*'Rate Base'!G26)</f>
        <v>342424.27757051244</v>
      </c>
      <c r="O68" s="186">
        <f>($F$68*'Rate Base'!H26)</f>
        <v>207383.36824890733</v>
      </c>
      <c r="P68" s="186">
        <f>($F$68*'Rate Base'!I26)</f>
        <v>81960.00884155383</v>
      </c>
      <c r="Q68" s="186">
        <f>($F$68*'Rate Base'!K26)</f>
        <v>173083.75103449755</v>
      </c>
      <c r="R68" s="186">
        <f>($F$68*'Rate Base'!L26)</f>
        <v>53418.62382629169</v>
      </c>
      <c r="S68" s="186">
        <f>($F$68*'Rate Base'!M26)</f>
        <v>1176004.250153861</v>
      </c>
      <c r="T68" s="186">
        <f>($F$68*'Rate Base'!N26)</f>
        <v>134599.72584700692</v>
      </c>
      <c r="U68" s="186">
        <f>($F$68*'Rate Base'!O26)</f>
        <v>7389.34487639025</v>
      </c>
      <c r="V68" s="165">
        <f>SUM(G68:U68)</f>
        <v>2863870.4199999995</v>
      </c>
      <c r="W68" s="168">
        <f>(V68-F68)</f>
        <v>-4.656612873077393E-10</v>
      </c>
    </row>
    <row r="69" spans="2:22" ht="12.75">
      <c r="B69" s="173"/>
      <c r="D69" s="68">
        <f>D68-3037191</f>
        <v>0.4199999999254942</v>
      </c>
      <c r="F69" s="68" t="s">
        <v>24</v>
      </c>
      <c r="M69" s="165"/>
      <c r="N69" s="165"/>
      <c r="O69" s="165"/>
      <c r="P69" s="165"/>
      <c r="Q69" s="165"/>
      <c r="R69" s="165"/>
      <c r="S69" s="165"/>
      <c r="T69" s="165"/>
      <c r="U69" s="165"/>
      <c r="V69" s="165"/>
    </row>
    <row r="70" spans="1:22" ht="12.75">
      <c r="A70" s="50">
        <v>403</v>
      </c>
      <c r="B70" s="42" t="s">
        <v>82</v>
      </c>
      <c r="C70" s="42" t="s">
        <v>5</v>
      </c>
      <c r="D70" s="174">
        <v>3646560.3</v>
      </c>
      <c r="E70" s="165">
        <f>(3763213-3646560)</f>
        <v>116653</v>
      </c>
      <c r="F70" s="165">
        <f aca="true" t="shared" si="13" ref="F70:F116">(D70+E70)</f>
        <v>3763213.3</v>
      </c>
      <c r="M70" s="165">
        <f>($F$70*'Rate Base'!F34)</f>
        <v>1461577.1355445208</v>
      </c>
      <c r="N70" s="165">
        <f>($F$70*'Rate Base'!G34)</f>
        <v>727856.8195100756</v>
      </c>
      <c r="O70" s="165">
        <f>($F$70*'Rate Base'!H34)</f>
        <v>440813.951346816</v>
      </c>
      <c r="P70" s="165">
        <f>($F$70*'Rate Base'!I34)</f>
        <v>174214.1409647766</v>
      </c>
      <c r="Q70" s="165">
        <f>($F$70*'Rate Base'!K34)</f>
        <v>367906.7075228074</v>
      </c>
      <c r="R70" s="165">
        <f>($F$70*'Rate Base'!L34)</f>
        <v>113546.59172144522</v>
      </c>
      <c r="S70" s="165">
        <f>($F$70*'Rate Base'!M34)</f>
        <v>175486.07791398975</v>
      </c>
      <c r="T70" s="165">
        <f>($F$70*'Rate Base'!N34)</f>
        <v>286105.0888594095</v>
      </c>
      <c r="U70" s="165">
        <f>($F$70*'Rate Base'!O34)</f>
        <v>15706.786616159116</v>
      </c>
      <c r="V70" s="165">
        <f t="shared" si="1"/>
        <v>3763213.3000000003</v>
      </c>
    </row>
    <row r="71" spans="1:22" ht="12.75">
      <c r="A71" s="50">
        <v>403</v>
      </c>
      <c r="B71" s="42" t="s">
        <v>83</v>
      </c>
      <c r="C71" s="42" t="s">
        <v>5</v>
      </c>
      <c r="D71" s="187">
        <v>328805.84</v>
      </c>
      <c r="E71" s="170">
        <f>(274438-E70)</f>
        <v>157785</v>
      </c>
      <c r="F71" s="170">
        <f t="shared" si="13"/>
        <v>486590.84</v>
      </c>
      <c r="G71" s="169"/>
      <c r="H71" s="169"/>
      <c r="I71" s="169"/>
      <c r="J71" s="169"/>
      <c r="K71" s="169"/>
      <c r="L71" s="169"/>
      <c r="M71" s="170">
        <f>($F$71*'Rate Base'!F34)</f>
        <v>188984.78226291406</v>
      </c>
      <c r="N71" s="170">
        <f>($F$71*'Rate Base'!G34)</f>
        <v>94113.3103470739</v>
      </c>
      <c r="O71" s="170">
        <f>($F$71*'Rate Base'!H34)</f>
        <v>56998.106078538345</v>
      </c>
      <c r="P71" s="170">
        <f>($F$71*'Rate Base'!I34)</f>
        <v>22526.229164828117</v>
      </c>
      <c r="Q71" s="170">
        <f>($F$71*'Rate Base'!K34)</f>
        <v>47571.05685589419</v>
      </c>
      <c r="R71" s="170">
        <f>($F$71*'Rate Base'!L34)</f>
        <v>14681.79639056736</v>
      </c>
      <c r="S71" s="170">
        <f>($F$71*'Rate Base'!M34)</f>
        <v>22690.693100089153</v>
      </c>
      <c r="T71" s="170">
        <f>($F$71*'Rate Base'!N34)</f>
        <v>36993.947570384786</v>
      </c>
      <c r="U71" s="170">
        <f>($F$71*'Rate Base'!O34)</f>
        <v>2030.9182297101315</v>
      </c>
      <c r="V71" s="165">
        <f aca="true" t="shared" si="14" ref="V71:V99">SUM(G71:U71)</f>
        <v>486590.8400000001</v>
      </c>
    </row>
    <row r="72" spans="6:22" ht="12.75">
      <c r="F72" s="165">
        <f t="shared" si="13"/>
        <v>0</v>
      </c>
      <c r="V72" s="165">
        <f t="shared" si="14"/>
        <v>0</v>
      </c>
    </row>
    <row r="73" spans="2:22" ht="13.5" thickBot="1">
      <c r="B73" s="173" t="s">
        <v>61</v>
      </c>
      <c r="D73" s="198">
        <f>(D70+D71)</f>
        <v>3975366.1399999997</v>
      </c>
      <c r="E73" s="198">
        <f>(E70+E71)</f>
        <v>274438</v>
      </c>
      <c r="F73" s="198">
        <f t="shared" si="13"/>
        <v>4249804.14</v>
      </c>
      <c r="G73" s="199" t="s">
        <v>24</v>
      </c>
      <c r="H73" s="198">
        <f aca="true" t="shared" si="15" ref="H73:U73">(H70+H71)</f>
        <v>0</v>
      </c>
      <c r="I73" s="198">
        <f t="shared" si="15"/>
        <v>0</v>
      </c>
      <c r="J73" s="198">
        <f t="shared" si="15"/>
        <v>0</v>
      </c>
      <c r="K73" s="198">
        <f t="shared" si="15"/>
        <v>0</v>
      </c>
      <c r="L73" s="199" t="s">
        <v>24</v>
      </c>
      <c r="M73" s="198">
        <f t="shared" si="15"/>
        <v>1650561.917807435</v>
      </c>
      <c r="N73" s="198">
        <f t="shared" si="15"/>
        <v>821970.1298571496</v>
      </c>
      <c r="O73" s="198">
        <f t="shared" si="15"/>
        <v>497812.0574253543</v>
      </c>
      <c r="P73" s="198">
        <f t="shared" si="15"/>
        <v>196740.3701296047</v>
      </c>
      <c r="Q73" s="198">
        <f t="shared" si="15"/>
        <v>415477.76437870157</v>
      </c>
      <c r="R73" s="198">
        <f t="shared" si="15"/>
        <v>128228.38811201259</v>
      </c>
      <c r="S73" s="198">
        <f t="shared" si="15"/>
        <v>198176.7710140789</v>
      </c>
      <c r="T73" s="198">
        <f t="shared" si="15"/>
        <v>323099.0364297943</v>
      </c>
      <c r="U73" s="198">
        <f t="shared" si="15"/>
        <v>17737.704845869248</v>
      </c>
      <c r="V73" s="165">
        <f t="shared" si="14"/>
        <v>4249804.140000001</v>
      </c>
    </row>
    <row r="74" spans="6:22" ht="13.5" thickTop="1">
      <c r="F74" s="165">
        <f t="shared" si="13"/>
        <v>0</v>
      </c>
      <c r="L74" s="42" t="s">
        <v>24</v>
      </c>
      <c r="V74" s="165">
        <f t="shared" si="14"/>
        <v>0</v>
      </c>
    </row>
    <row r="75" spans="1:22" ht="12.75">
      <c r="A75" s="50">
        <v>408</v>
      </c>
      <c r="B75" s="42" t="s">
        <v>357</v>
      </c>
      <c r="C75" s="42" t="s">
        <v>85</v>
      </c>
      <c r="D75" s="165">
        <v>78215.02</v>
      </c>
      <c r="E75" s="68">
        <v>0</v>
      </c>
      <c r="F75" s="165">
        <f t="shared" si="13"/>
        <v>78215.02</v>
      </c>
      <c r="L75" s="42" t="s">
        <v>24</v>
      </c>
      <c r="M75" s="165">
        <f>($F$76*'Rate Base'!F48)</f>
        <v>0</v>
      </c>
      <c r="N75" s="165">
        <f>($F$76*'Rate Base'!G48)</f>
        <v>0</v>
      </c>
      <c r="O75" s="165">
        <f>($F$76*'Rate Base'!H48)</f>
        <v>0</v>
      </c>
      <c r="P75" s="165">
        <f>($F$76*'Rate Base'!I48)</f>
        <v>0</v>
      </c>
      <c r="Q75" s="165">
        <f>($F$76*'Rate Base'!K48)</f>
        <v>0</v>
      </c>
      <c r="R75" s="165">
        <f>($F$76*'Rate Base'!L48)</f>
        <v>0</v>
      </c>
      <c r="S75" s="165">
        <f>($F$76*'Rate Base'!M48)</f>
        <v>0</v>
      </c>
      <c r="T75" s="165">
        <f>($F$76*'Rate Base'!N48)</f>
        <v>0</v>
      </c>
      <c r="U75" s="165">
        <f>($F$76*'Rate Base'!O48)</f>
        <v>0</v>
      </c>
      <c r="V75" s="165">
        <f t="shared" si="14"/>
        <v>0</v>
      </c>
    </row>
    <row r="76" spans="1:22" ht="12.75">
      <c r="A76" s="50">
        <v>426</v>
      </c>
      <c r="B76" s="42" t="s">
        <v>186</v>
      </c>
      <c r="C76" s="42" t="s">
        <v>85</v>
      </c>
      <c r="D76" s="170">
        <f>(42830.47-3751.02+4043.26+415.9)</f>
        <v>43538.61000000001</v>
      </c>
      <c r="E76" s="170">
        <f>-(42830.47-3751.02+4043.26+415.9)</f>
        <v>-43538.61000000001</v>
      </c>
      <c r="F76" s="170">
        <f t="shared" si="13"/>
        <v>0</v>
      </c>
      <c r="G76" s="169"/>
      <c r="H76" s="169"/>
      <c r="I76" s="169"/>
      <c r="J76" s="169"/>
      <c r="K76" s="169"/>
      <c r="L76" s="169"/>
      <c r="M76" s="170">
        <f>($F$75*'Rate Base'!F48)</f>
        <v>30397.312846768968</v>
      </c>
      <c r="N76" s="170">
        <f>($F$75*'Rate Base'!G48)</f>
        <v>15137.683063206405</v>
      </c>
      <c r="O76" s="170">
        <f>($F$75*'Rate Base'!H48)</f>
        <v>9167.877124266493</v>
      </c>
      <c r="P76" s="170">
        <f>($F$75*'Rate Base'!I48)</f>
        <v>3623.237950602241</v>
      </c>
      <c r="Q76" s="170">
        <f>($F$75*'Rate Base'!K48)</f>
        <v>7651.580621387499</v>
      </c>
      <c r="R76" s="170">
        <f>($F$75*'Rate Base'!L48)</f>
        <v>2361.4978555033526</v>
      </c>
      <c r="S76" s="170">
        <f>($F$75*'Rate Base'!M48)</f>
        <v>3598.8645290212016</v>
      </c>
      <c r="T76" s="170">
        <f>($F$75*'Rate Base'!N48)</f>
        <v>5950.302369687825</v>
      </c>
      <c r="U76" s="170">
        <f>($F$75*'Rate Base'!O48)</f>
        <v>326.66363955601787</v>
      </c>
      <c r="V76" s="165">
        <f t="shared" si="14"/>
        <v>78215.02000000002</v>
      </c>
    </row>
    <row r="77" spans="6:22" ht="12.75">
      <c r="F77" s="165">
        <f t="shared" si="13"/>
        <v>0</v>
      </c>
      <c r="V77" s="165">
        <f t="shared" si="14"/>
        <v>0</v>
      </c>
    </row>
    <row r="78" spans="2:22" ht="13.5" thickBot="1">
      <c r="B78" s="173" t="s">
        <v>62</v>
      </c>
      <c r="D78" s="186">
        <f>(D75+D76)</f>
        <v>121753.63</v>
      </c>
      <c r="E78" s="186">
        <f>(E75+E76)</f>
        <v>-43538.61000000001</v>
      </c>
      <c r="F78" s="186">
        <f t="shared" si="13"/>
        <v>78215.01999999999</v>
      </c>
      <c r="G78" s="189" t="s">
        <v>24</v>
      </c>
      <c r="H78" s="186">
        <f aca="true" t="shared" si="16" ref="H78:U78">(H75+H76)</f>
        <v>0</v>
      </c>
      <c r="I78" s="186">
        <f t="shared" si="16"/>
        <v>0</v>
      </c>
      <c r="J78" s="186">
        <f t="shared" si="16"/>
        <v>0</v>
      </c>
      <c r="K78" s="186">
        <f t="shared" si="16"/>
        <v>0</v>
      </c>
      <c r="L78" s="189" t="s">
        <v>24</v>
      </c>
      <c r="M78" s="186">
        <f t="shared" si="16"/>
        <v>30397.312846768968</v>
      </c>
      <c r="N78" s="186">
        <f t="shared" si="16"/>
        <v>15137.683063206405</v>
      </c>
      <c r="O78" s="186">
        <f t="shared" si="16"/>
        <v>9167.877124266493</v>
      </c>
      <c r="P78" s="186">
        <f t="shared" si="16"/>
        <v>3623.237950602241</v>
      </c>
      <c r="Q78" s="186">
        <f t="shared" si="16"/>
        <v>7651.580621387499</v>
      </c>
      <c r="R78" s="186">
        <f t="shared" si="16"/>
        <v>2361.4978555033526</v>
      </c>
      <c r="S78" s="186">
        <f t="shared" si="16"/>
        <v>3598.8645290212016</v>
      </c>
      <c r="T78" s="186">
        <f t="shared" si="16"/>
        <v>5950.302369687825</v>
      </c>
      <c r="U78" s="186">
        <f t="shared" si="16"/>
        <v>326.66363955601787</v>
      </c>
      <c r="V78" s="165">
        <f t="shared" si="14"/>
        <v>78215.02000000002</v>
      </c>
    </row>
    <row r="79" spans="6:22" ht="12.75">
      <c r="F79" s="165">
        <f t="shared" si="13"/>
        <v>0</v>
      </c>
      <c r="V79" s="165">
        <f t="shared" si="14"/>
        <v>0</v>
      </c>
    </row>
    <row r="80" spans="1:22" ht="12.75">
      <c r="A80" s="50">
        <v>427.1</v>
      </c>
      <c r="B80" s="42" t="s">
        <v>63</v>
      </c>
      <c r="C80" s="42" t="s">
        <v>85</v>
      </c>
      <c r="D80" s="165">
        <v>3197135.62</v>
      </c>
      <c r="E80" s="165">
        <f>(3313182-3197136)</f>
        <v>116046</v>
      </c>
      <c r="F80" s="165">
        <f t="shared" si="13"/>
        <v>3313181.62</v>
      </c>
      <c r="M80" s="165">
        <f>($F$80*'Rate Base'!F48)</f>
        <v>1287627.5966087435</v>
      </c>
      <c r="N80" s="165">
        <f>($F$80*'Rate Base'!G48)</f>
        <v>641230.9719335334</v>
      </c>
      <c r="O80" s="165">
        <f>($F$80*'Rate Base'!H48)</f>
        <v>388350.4981848525</v>
      </c>
      <c r="P80" s="165">
        <f>($F$80*'Rate Base'!I48)</f>
        <v>153480.05258864362</v>
      </c>
      <c r="Q80" s="165">
        <f>($F$80*'Rate Base'!K48)</f>
        <v>324120.30679950275</v>
      </c>
      <c r="R80" s="165">
        <f>($F$80*'Rate Base'!L48)</f>
        <v>100032.8490681601</v>
      </c>
      <c r="S80" s="165">
        <f>($F$80*'Rate Base'!M48)</f>
        <v>152447.5965156437</v>
      </c>
      <c r="T80" s="165">
        <f>($F$80*'Rate Base'!N48)</f>
        <v>252054.30420771035</v>
      </c>
      <c r="U80" s="165">
        <f>($F$80*'Rate Base'!O48)</f>
        <v>13837.444093210017</v>
      </c>
      <c r="V80" s="165">
        <f t="shared" si="14"/>
        <v>3313181.62</v>
      </c>
    </row>
    <row r="81" spans="1:22" ht="12.75">
      <c r="A81" s="50">
        <v>427.15</v>
      </c>
      <c r="B81" s="42" t="s">
        <v>65</v>
      </c>
      <c r="C81" s="42" t="s">
        <v>85</v>
      </c>
      <c r="D81" s="165">
        <v>0</v>
      </c>
      <c r="E81" s="165">
        <v>0</v>
      </c>
      <c r="F81" s="165">
        <f t="shared" si="13"/>
        <v>0</v>
      </c>
      <c r="M81" s="165">
        <f>($F$81*'Rate Base'!F48)</f>
        <v>0</v>
      </c>
      <c r="N81" s="165">
        <f>($F$81*'Rate Base'!G48)</f>
        <v>0</v>
      </c>
      <c r="O81" s="165">
        <f>($F$81*'Rate Base'!H48)</f>
        <v>0</v>
      </c>
      <c r="P81" s="165">
        <f>($F$81*'Rate Base'!I48)</f>
        <v>0</v>
      </c>
      <c r="Q81" s="165">
        <f>($F$81*'Rate Base'!K48)</f>
        <v>0</v>
      </c>
      <c r="R81" s="165">
        <f>($F$81*'Rate Base'!L48)</f>
        <v>0</v>
      </c>
      <c r="S81" s="165">
        <f>($F$81*'Rate Base'!M48)</f>
        <v>0</v>
      </c>
      <c r="T81" s="165">
        <f>($F$81*'Rate Base'!N48)</f>
        <v>0</v>
      </c>
      <c r="U81" s="165">
        <f>($F$81*'Rate Base'!O48)</f>
        <v>0</v>
      </c>
      <c r="V81" s="165">
        <f t="shared" si="14"/>
        <v>0</v>
      </c>
    </row>
    <row r="82" spans="1:22" ht="12.75">
      <c r="A82" s="50">
        <v>427.2</v>
      </c>
      <c r="B82" s="42" t="s">
        <v>64</v>
      </c>
      <c r="C82" s="42" t="s">
        <v>85</v>
      </c>
      <c r="D82" s="170">
        <v>647239.64</v>
      </c>
      <c r="E82" s="170">
        <f>(740761-647240)</f>
        <v>93521</v>
      </c>
      <c r="F82" s="170">
        <f t="shared" si="13"/>
        <v>740760.64</v>
      </c>
      <c r="G82" s="169"/>
      <c r="H82" s="169"/>
      <c r="I82" s="169"/>
      <c r="J82" s="169"/>
      <c r="K82" s="169"/>
      <c r="L82" s="169"/>
      <c r="M82" s="170">
        <f>($F$82*'Rate Base'!F48)</f>
        <v>287887.58116603177</v>
      </c>
      <c r="N82" s="170">
        <f>($F$82*'Rate Base'!G48)</f>
        <v>143366.32265794903</v>
      </c>
      <c r="O82" s="170">
        <f>($F$82*'Rate Base'!H48)</f>
        <v>86827.34500372189</v>
      </c>
      <c r="P82" s="170">
        <f>($F$82*'Rate Base'!I48)</f>
        <v>34315.04669001433</v>
      </c>
      <c r="Q82" s="170">
        <f>($F$82*'Rate Base'!K48)</f>
        <v>72466.76863485557</v>
      </c>
      <c r="R82" s="170">
        <f>($F$82*'Rate Base'!L48)</f>
        <v>22365.329099209983</v>
      </c>
      <c r="S82" s="170">
        <f>($F$82*'Rate Base'!M48)</f>
        <v>34084.21031907994</v>
      </c>
      <c r="T82" s="170">
        <f>($F$82*'Rate Base'!N48)</f>
        <v>56354.26279458179</v>
      </c>
      <c r="U82" s="170">
        <f>($F$82*'Rate Base'!O48)</f>
        <v>3093.7736345556787</v>
      </c>
      <c r="V82" s="165">
        <f t="shared" si="14"/>
        <v>740760.6399999999</v>
      </c>
    </row>
    <row r="83" spans="6:22" ht="12.75">
      <c r="F83" s="165">
        <f t="shared" si="13"/>
        <v>0</v>
      </c>
      <c r="V83" s="165">
        <f t="shared" si="14"/>
        <v>0</v>
      </c>
    </row>
    <row r="84" spans="2:22" ht="13.5" thickBot="1">
      <c r="B84" s="173" t="s">
        <v>66</v>
      </c>
      <c r="D84" s="186">
        <f>SUM(D80:D82)</f>
        <v>3844375.2600000002</v>
      </c>
      <c r="E84" s="186">
        <f>SUM(E80:E82)</f>
        <v>209567</v>
      </c>
      <c r="F84" s="186">
        <f>(D84+E84)</f>
        <v>4053942.2600000002</v>
      </c>
      <c r="G84" s="189" t="s">
        <v>24</v>
      </c>
      <c r="H84" s="186">
        <f aca="true" t="shared" si="17" ref="H84:U84">SUM(H80:H82)</f>
        <v>0</v>
      </c>
      <c r="I84" s="186">
        <f t="shared" si="17"/>
        <v>0</v>
      </c>
      <c r="J84" s="186">
        <f t="shared" si="17"/>
        <v>0</v>
      </c>
      <c r="K84" s="186">
        <f t="shared" si="17"/>
        <v>0</v>
      </c>
      <c r="L84" s="189" t="s">
        <v>24</v>
      </c>
      <c r="M84" s="186">
        <f t="shared" si="17"/>
        <v>1575515.1777747753</v>
      </c>
      <c r="N84" s="186">
        <f t="shared" si="17"/>
        <v>784597.2945914825</v>
      </c>
      <c r="O84" s="186">
        <f t="shared" si="17"/>
        <v>475177.84318857436</v>
      </c>
      <c r="P84" s="186">
        <f t="shared" si="17"/>
        <v>187795.09927865796</v>
      </c>
      <c r="Q84" s="186">
        <f t="shared" si="17"/>
        <v>396587.0754343583</v>
      </c>
      <c r="R84" s="186">
        <f t="shared" si="17"/>
        <v>122398.17816737008</v>
      </c>
      <c r="S84" s="186">
        <f t="shared" si="17"/>
        <v>186531.80683472363</v>
      </c>
      <c r="T84" s="186">
        <f t="shared" si="17"/>
        <v>308408.56700229214</v>
      </c>
      <c r="U84" s="186">
        <f t="shared" si="17"/>
        <v>16931.217727765696</v>
      </c>
      <c r="V84" s="165">
        <f t="shared" si="14"/>
        <v>4053942.2600000007</v>
      </c>
    </row>
    <row r="85" spans="6:22" ht="12.75">
      <c r="F85" s="165">
        <f t="shared" si="13"/>
        <v>0</v>
      </c>
      <c r="V85" s="165">
        <f t="shared" si="14"/>
        <v>0</v>
      </c>
    </row>
    <row r="86" spans="1:22" ht="12.75">
      <c r="A86" s="50">
        <v>431</v>
      </c>
      <c r="B86" s="42" t="s">
        <v>67</v>
      </c>
      <c r="C86" s="42" t="s">
        <v>85</v>
      </c>
      <c r="D86" s="165">
        <f>(34453.79+2962.03)</f>
        <v>37415.82</v>
      </c>
      <c r="E86" s="42">
        <v>-2962</v>
      </c>
      <c r="F86" s="165">
        <f t="shared" si="13"/>
        <v>34453.82</v>
      </c>
      <c r="M86" s="165">
        <f>($F$86*'Rate Base'!F48)</f>
        <v>13390.05660685461</v>
      </c>
      <c r="N86" s="165">
        <f>($F$86*'Rate Base'!G48)</f>
        <v>6668.169457436206</v>
      </c>
      <c r="O86" s="165">
        <f>($F$86*'Rate Base'!H48)</f>
        <v>4038.4620271348826</v>
      </c>
      <c r="P86" s="165">
        <f>($F$86*'Rate Base'!I48)</f>
        <v>1596.0411205829585</v>
      </c>
      <c r="Q86" s="165">
        <f>($F$86*'Rate Base'!K48)</f>
        <v>3370.531407455666</v>
      </c>
      <c r="R86" s="165">
        <f>($F$86*'Rate Base'!L48)</f>
        <v>1040.2429359974403</v>
      </c>
      <c r="S86" s="165">
        <f>($F$86*'Rate Base'!M48)</f>
        <v>1585.304596064557</v>
      </c>
      <c r="T86" s="165">
        <f>($F$86*'Rate Base'!N48)</f>
        <v>2621.116082189812</v>
      </c>
      <c r="U86" s="165">
        <f>($F$86*'Rate Base'!O48)</f>
        <v>143.89576628386618</v>
      </c>
      <c r="V86" s="165">
        <f t="shared" si="14"/>
        <v>34453.82</v>
      </c>
    </row>
    <row r="87" spans="1:22" ht="12.75">
      <c r="A87" s="50">
        <v>431.1</v>
      </c>
      <c r="B87" s="42" t="s">
        <v>68</v>
      </c>
      <c r="C87" s="42" t="s">
        <v>85</v>
      </c>
      <c r="D87" s="170">
        <v>0</v>
      </c>
      <c r="E87" s="169"/>
      <c r="F87" s="170">
        <f t="shared" si="13"/>
        <v>0</v>
      </c>
      <c r="G87" s="169"/>
      <c r="H87" s="169"/>
      <c r="I87" s="169"/>
      <c r="J87" s="169"/>
      <c r="K87" s="169"/>
      <c r="L87" s="169"/>
      <c r="M87" s="170">
        <f>($F$87*'Rate Base'!F48)</f>
        <v>0</v>
      </c>
      <c r="N87" s="170">
        <f>($F$87*'Rate Base'!G48)</f>
        <v>0</v>
      </c>
      <c r="O87" s="170">
        <f>($F$87*'Rate Base'!H48)</f>
        <v>0</v>
      </c>
      <c r="P87" s="170">
        <f>($F$87*'Rate Base'!I48)</f>
        <v>0</v>
      </c>
      <c r="Q87" s="170">
        <f>($F$87*'Rate Base'!K48)</f>
        <v>0</v>
      </c>
      <c r="R87" s="170">
        <f>($F$87*'Rate Base'!L48)</f>
        <v>0</v>
      </c>
      <c r="S87" s="170">
        <f>($F$87*'Rate Base'!M48)</f>
        <v>0</v>
      </c>
      <c r="T87" s="170">
        <f>($F$87*'Rate Base'!N48)</f>
        <v>0</v>
      </c>
      <c r="U87" s="170">
        <f>($F$87*'Rate Base'!O48)</f>
        <v>0</v>
      </c>
      <c r="V87" s="165">
        <f t="shared" si="14"/>
        <v>0</v>
      </c>
    </row>
    <row r="88" spans="5:22" ht="12.75">
      <c r="E88" s="42" t="s">
        <v>24</v>
      </c>
      <c r="F88" s="68" t="s">
        <v>24</v>
      </c>
      <c r="V88" s="165">
        <f t="shared" si="14"/>
        <v>0</v>
      </c>
    </row>
    <row r="89" spans="2:22" ht="13.5" thickBot="1">
      <c r="B89" s="173" t="s">
        <v>337</v>
      </c>
      <c r="C89" s="42" t="s">
        <v>85</v>
      </c>
      <c r="D89" s="186">
        <f>(D86+D87)</f>
        <v>37415.82</v>
      </c>
      <c r="E89" s="186">
        <f>(E86+E87)</f>
        <v>-2962</v>
      </c>
      <c r="F89" s="186">
        <f t="shared" si="13"/>
        <v>34453.82</v>
      </c>
      <c r="G89" s="189" t="s">
        <v>24</v>
      </c>
      <c r="H89" s="186">
        <f>(H86+H87)</f>
        <v>0</v>
      </c>
      <c r="I89" s="186">
        <f aca="true" t="shared" si="18" ref="I89:U89">(I86+I87)</f>
        <v>0</v>
      </c>
      <c r="J89" s="186">
        <f t="shared" si="18"/>
        <v>0</v>
      </c>
      <c r="K89" s="186">
        <f t="shared" si="18"/>
        <v>0</v>
      </c>
      <c r="L89" s="189" t="s">
        <v>24</v>
      </c>
      <c r="M89" s="186">
        <f t="shared" si="18"/>
        <v>13390.05660685461</v>
      </c>
      <c r="N89" s="186">
        <f t="shared" si="18"/>
        <v>6668.169457436206</v>
      </c>
      <c r="O89" s="186">
        <f t="shared" si="18"/>
        <v>4038.4620271348826</v>
      </c>
      <c r="P89" s="186">
        <f t="shared" si="18"/>
        <v>1596.0411205829585</v>
      </c>
      <c r="Q89" s="186">
        <f t="shared" si="18"/>
        <v>3370.531407455666</v>
      </c>
      <c r="R89" s="186">
        <f t="shared" si="18"/>
        <v>1040.2429359974403</v>
      </c>
      <c r="S89" s="186">
        <f t="shared" si="18"/>
        <v>1585.304596064557</v>
      </c>
      <c r="T89" s="186">
        <f t="shared" si="18"/>
        <v>2621.116082189812</v>
      </c>
      <c r="U89" s="186">
        <f t="shared" si="18"/>
        <v>143.89576628386618</v>
      </c>
      <c r="V89" s="165">
        <f t="shared" si="14"/>
        <v>34453.82</v>
      </c>
    </row>
    <row r="90" spans="6:22" ht="12.75">
      <c r="F90" s="165">
        <f t="shared" si="13"/>
        <v>0</v>
      </c>
      <c r="V90" s="165">
        <f t="shared" si="14"/>
        <v>0</v>
      </c>
    </row>
    <row r="91" spans="2:22" ht="12.75">
      <c r="B91" s="173" t="s">
        <v>69</v>
      </c>
      <c r="D91" s="168">
        <f>SUM(D13,D25,D37,D45,D52,D68,H71,D73,D78,D84,D89)</f>
        <v>77169010.61999999</v>
      </c>
      <c r="E91" s="168">
        <f>SUM(E13,E25,E37,E45,E52,E68,I71,E73,E78,E84,E89)</f>
        <v>-3541081.61</v>
      </c>
      <c r="F91" s="168">
        <f>SUM(F13,F25,F37,F45,F52,F68,J71,F73,F78,F84,F89)</f>
        <v>73627929.00999999</v>
      </c>
      <c r="G91" s="168">
        <f>SUM(G13,G25,G37,G45,G52,G68,K71,G73,G78,G84,G89)</f>
        <v>0</v>
      </c>
      <c r="H91" s="168">
        <f>SUM(H13,H25,H37,H45,H52,H68,L71,H73,H78,H84,H89)</f>
        <v>9954262.44</v>
      </c>
      <c r="I91" s="168">
        <f>SUM(I13,I25,I37,I45,I52,I68,I73,I78,I84,I89)</f>
        <v>35775933</v>
      </c>
      <c r="J91" s="168">
        <f>SUM(J13,J25,J37,J45,J52,J68,J73,J78,J84,J89)</f>
        <v>4277428.5600000005</v>
      </c>
      <c r="K91" s="168">
        <f>SUM(K13,K25,K37,K45,K52,K68,K73,K78,K84,K89)</f>
        <v>1202239</v>
      </c>
      <c r="L91" s="168" t="s">
        <v>24</v>
      </c>
      <c r="M91" s="168">
        <f aca="true" t="shared" si="19" ref="M91:U91">SUM(M13,M25,M37,M45,M52,M68,M73,M78,M84,M89)</f>
        <v>7313997.468324308</v>
      </c>
      <c r="N91" s="168">
        <f t="shared" si="19"/>
        <v>3642327.7333330433</v>
      </c>
      <c r="O91" s="168">
        <f t="shared" si="19"/>
        <v>1205332.5666744662</v>
      </c>
      <c r="P91" s="168">
        <f t="shared" si="19"/>
        <v>476359.64569291123</v>
      </c>
      <c r="Q91" s="168">
        <f t="shared" si="19"/>
        <v>1841071.9913176827</v>
      </c>
      <c r="R91" s="168">
        <f t="shared" si="19"/>
        <v>1524444.139462759</v>
      </c>
      <c r="S91" s="168">
        <f t="shared" si="19"/>
        <v>5095164.417127749</v>
      </c>
      <c r="T91" s="168">
        <f t="shared" si="19"/>
        <v>1263968.964480226</v>
      </c>
      <c r="U91" s="168">
        <f t="shared" si="19"/>
        <v>55399.08358685351</v>
      </c>
      <c r="V91" s="165">
        <f t="shared" si="14"/>
        <v>73627929.00999999</v>
      </c>
    </row>
    <row r="92" spans="6:22" ht="12.75">
      <c r="F92" s="165">
        <f t="shared" si="13"/>
        <v>0</v>
      </c>
      <c r="V92" s="165">
        <f t="shared" si="14"/>
        <v>0</v>
      </c>
    </row>
    <row r="93" spans="2:22" ht="12.75">
      <c r="B93" s="173" t="s">
        <v>70</v>
      </c>
      <c r="C93" s="42" t="s">
        <v>85</v>
      </c>
      <c r="D93" s="170">
        <f>(D84)</f>
        <v>3844375.2600000002</v>
      </c>
      <c r="E93" s="170">
        <f>(E84)</f>
        <v>209567</v>
      </c>
      <c r="F93" s="170">
        <f>(D93+E93)</f>
        <v>4053942.2600000002</v>
      </c>
      <c r="G93" s="169"/>
      <c r="H93" s="169"/>
      <c r="I93" s="169"/>
      <c r="J93" s="169"/>
      <c r="K93" s="169"/>
      <c r="L93" s="169"/>
      <c r="M93" s="172">
        <f>(M84)</f>
        <v>1575515.1777747753</v>
      </c>
      <c r="N93" s="172">
        <f aca="true" t="shared" si="20" ref="N93:U93">(N84)</f>
        <v>784597.2945914825</v>
      </c>
      <c r="O93" s="172">
        <f t="shared" si="20"/>
        <v>475177.84318857436</v>
      </c>
      <c r="P93" s="172">
        <f t="shared" si="20"/>
        <v>187795.09927865796</v>
      </c>
      <c r="Q93" s="172">
        <f t="shared" si="20"/>
        <v>396587.0754343583</v>
      </c>
      <c r="R93" s="172">
        <f t="shared" si="20"/>
        <v>122398.17816737008</v>
      </c>
      <c r="S93" s="172">
        <f t="shared" si="20"/>
        <v>186531.80683472363</v>
      </c>
      <c r="T93" s="172">
        <f t="shared" si="20"/>
        <v>308408.56700229214</v>
      </c>
      <c r="U93" s="172">
        <f t="shared" si="20"/>
        <v>16931.217727765696</v>
      </c>
      <c r="V93" s="165">
        <f t="shared" si="14"/>
        <v>4053942.2600000007</v>
      </c>
    </row>
    <row r="94" spans="6:22" ht="12.75">
      <c r="F94" s="165">
        <f t="shared" si="13"/>
        <v>0</v>
      </c>
      <c r="V94" s="165">
        <f t="shared" si="14"/>
        <v>0</v>
      </c>
    </row>
    <row r="95" spans="2:22" ht="13.5" thickBot="1">
      <c r="B95" s="173" t="s">
        <v>71</v>
      </c>
      <c r="D95" s="186">
        <f aca="true" t="shared" si="21" ref="D95:K95">(D91+D93)</f>
        <v>81013385.88</v>
      </c>
      <c r="E95" s="186">
        <f t="shared" si="21"/>
        <v>-3331514.61</v>
      </c>
      <c r="F95" s="186">
        <f t="shared" si="21"/>
        <v>77681871.27</v>
      </c>
      <c r="G95" s="186">
        <f t="shared" si="21"/>
        <v>0</v>
      </c>
      <c r="H95" s="186">
        <f t="shared" si="21"/>
        <v>9954262.44</v>
      </c>
      <c r="I95" s="186">
        <f t="shared" si="21"/>
        <v>35775933</v>
      </c>
      <c r="J95" s="186">
        <f t="shared" si="21"/>
        <v>4277428.5600000005</v>
      </c>
      <c r="K95" s="186">
        <f t="shared" si="21"/>
        <v>1202239</v>
      </c>
      <c r="L95" s="189" t="s">
        <v>24</v>
      </c>
      <c r="M95" s="186">
        <f aca="true" t="shared" si="22" ref="M95:U95">(M91+M93)</f>
        <v>8889512.646099083</v>
      </c>
      <c r="N95" s="186">
        <f t="shared" si="22"/>
        <v>4426925.027924526</v>
      </c>
      <c r="O95" s="186">
        <f t="shared" si="22"/>
        <v>1680510.4098630405</v>
      </c>
      <c r="P95" s="186">
        <f t="shared" si="22"/>
        <v>664154.7449715692</v>
      </c>
      <c r="Q95" s="186">
        <f t="shared" si="22"/>
        <v>2237659.0667520408</v>
      </c>
      <c r="R95" s="186">
        <f t="shared" si="22"/>
        <v>1646842.3176301292</v>
      </c>
      <c r="S95" s="186">
        <f t="shared" si="22"/>
        <v>5281696.223962473</v>
      </c>
      <c r="T95" s="186">
        <f t="shared" si="22"/>
        <v>1572377.5314825182</v>
      </c>
      <c r="U95" s="186">
        <f t="shared" si="22"/>
        <v>72330.3013146192</v>
      </c>
      <c r="V95" s="165">
        <f t="shared" si="14"/>
        <v>77681871.27</v>
      </c>
    </row>
    <row r="96" spans="6:22" ht="12.75">
      <c r="F96" s="68" t="s">
        <v>24</v>
      </c>
      <c r="V96" s="165">
        <f t="shared" si="14"/>
        <v>0</v>
      </c>
    </row>
    <row r="97" spans="4:22" ht="12.75">
      <c r="D97" s="68" t="s">
        <v>24</v>
      </c>
      <c r="F97" s="68" t="s">
        <v>24</v>
      </c>
      <c r="V97" s="165">
        <f t="shared" si="14"/>
        <v>0</v>
      </c>
    </row>
    <row r="98" spans="4:22" ht="12.75">
      <c r="D98" s="68" t="s">
        <v>24</v>
      </c>
      <c r="F98" s="68" t="s">
        <v>24</v>
      </c>
      <c r="H98" s="42" t="s">
        <v>24</v>
      </c>
      <c r="V98" s="165">
        <f t="shared" si="14"/>
        <v>0</v>
      </c>
    </row>
    <row r="99" spans="2:22" ht="12.75">
      <c r="B99" s="173" t="s">
        <v>72</v>
      </c>
      <c r="F99" s="68" t="s">
        <v>24</v>
      </c>
      <c r="V99" s="165">
        <f t="shared" si="14"/>
        <v>0</v>
      </c>
    </row>
    <row r="100" spans="6:22" ht="12.75">
      <c r="F100" s="68"/>
      <c r="V100" s="165"/>
    </row>
    <row r="101" spans="2:22" ht="12.75">
      <c r="B101" s="42" t="s">
        <v>338</v>
      </c>
      <c r="E101" s="42">
        <v>0</v>
      </c>
      <c r="F101" s="165">
        <f>(D101+E101)</f>
        <v>0</v>
      </c>
      <c r="M101" s="165">
        <f>($F$101*'Rate Base'!F48)</f>
        <v>0</v>
      </c>
      <c r="N101" s="165">
        <f>($F$101*'Rate Base'!G48)</f>
        <v>0</v>
      </c>
      <c r="O101" s="165">
        <f>($F$101*'Rate Base'!H48)</f>
        <v>0</v>
      </c>
      <c r="P101" s="165">
        <f>($F$101*'Rate Base'!I48)</f>
        <v>0</v>
      </c>
      <c r="Q101" s="165">
        <f>($F$101*'Rate Base'!K48)</f>
        <v>0</v>
      </c>
      <c r="R101" s="165">
        <f>($F$101*'Rate Base'!L48)</f>
        <v>0</v>
      </c>
      <c r="S101" s="165">
        <f>($F$101*'Rate Base'!M48)</f>
        <v>0</v>
      </c>
      <c r="T101" s="165">
        <f>($F$101*'Rate Base'!N48)</f>
        <v>0</v>
      </c>
      <c r="U101" s="165">
        <f>($F$101*'Rate Base'!O48)</f>
        <v>0</v>
      </c>
      <c r="V101" s="165">
        <f>SUM(G101:U101)</f>
        <v>0</v>
      </c>
    </row>
    <row r="102" spans="1:22" ht="12.75">
      <c r="A102" s="50">
        <v>450</v>
      </c>
      <c r="B102" s="42" t="s">
        <v>187</v>
      </c>
      <c r="C102" s="42" t="s">
        <v>85</v>
      </c>
      <c r="D102" s="165">
        <v>630130.01</v>
      </c>
      <c r="E102" s="165">
        <v>262510</v>
      </c>
      <c r="F102" s="165">
        <f t="shared" si="13"/>
        <v>892640.01</v>
      </c>
      <c r="M102" s="165">
        <f>($F$102*'Rate Base'!F48)</f>
        <v>346913.6445085992</v>
      </c>
      <c r="N102" s="165">
        <f>($F$102*'Rate Base'!G48)</f>
        <v>172760.95513262536</v>
      </c>
      <c r="O102" s="165">
        <f>($F$102*'Rate Base'!H48)</f>
        <v>104629.69807952506</v>
      </c>
      <c r="P102" s="165">
        <f>($F$102*'Rate Base'!I48)</f>
        <v>41350.71704204594</v>
      </c>
      <c r="Q102" s="165">
        <f>($F$102*'Rate Base'!K48)</f>
        <v>87324.74916443342</v>
      </c>
      <c r="R102" s="165">
        <f>($F$102*'Rate Base'!L48)</f>
        <v>26950.92923777928</v>
      </c>
      <c r="S102" s="165">
        <f>($F$102*'Rate Base'!M48)</f>
        <v>41072.55191105405</v>
      </c>
      <c r="T102" s="165">
        <f>($F$102*'Rate Base'!N48)</f>
        <v>67908.66980256687</v>
      </c>
      <c r="U102" s="165">
        <f>($F$102*'Rate Base'!O48)</f>
        <v>3728.0951213708076</v>
      </c>
      <c r="V102" s="165">
        <f>SUM(G102:U102)</f>
        <v>892640.01</v>
      </c>
    </row>
    <row r="103" spans="1:22" ht="12.75">
      <c r="A103" s="50">
        <v>451</v>
      </c>
      <c r="B103" s="42" t="s">
        <v>73</v>
      </c>
      <c r="C103" s="42" t="s">
        <v>85</v>
      </c>
      <c r="D103" s="165">
        <v>145113</v>
      </c>
      <c r="F103" s="165">
        <f t="shared" si="13"/>
        <v>145113</v>
      </c>
      <c r="M103" s="165">
        <f>($F$103*'Rate Base'!F48)</f>
        <v>56396.39623096925</v>
      </c>
      <c r="N103" s="165">
        <f>($F$103*'Rate Base'!G48)</f>
        <v>28085.0737153947</v>
      </c>
      <c r="O103" s="165">
        <f>($F$103*'Rate Base'!H48)</f>
        <v>17009.24135969899</v>
      </c>
      <c r="P103" s="165">
        <f>($F$103*'Rate Base'!I48)</f>
        <v>6722.224564102176</v>
      </c>
      <c r="Q103" s="165">
        <f>($F$103*'Rate Base'!K48)</f>
        <v>14196.04340331824</v>
      </c>
      <c r="R103" s="165">
        <f>($F$103*'Rate Base'!L48)</f>
        <v>4381.30730268506</v>
      </c>
      <c r="S103" s="165">
        <f>($F$103*'Rate Base'!M48)</f>
        <v>6677.004345199344</v>
      </c>
      <c r="T103" s="165">
        <f>($F$103*'Rate Base'!N48)</f>
        <v>11039.647215745894</v>
      </c>
      <c r="U103" s="165">
        <f>($F$103*'Rate Base'!O48)</f>
        <v>606.0618628863409</v>
      </c>
      <c r="V103" s="165">
        <f>SUM(G103:U103)</f>
        <v>145113</v>
      </c>
    </row>
    <row r="104" spans="1:22" ht="12.75">
      <c r="A104" s="50">
        <v>454</v>
      </c>
      <c r="B104" s="42" t="s">
        <v>74</v>
      </c>
      <c r="C104" s="42" t="s">
        <v>85</v>
      </c>
      <c r="D104" s="165">
        <v>909196.57</v>
      </c>
      <c r="F104" s="165">
        <f t="shared" si="13"/>
        <v>909196.57</v>
      </c>
      <c r="M104" s="165">
        <f>($F$104*'Rate Base'!F48)</f>
        <v>353348.14946667885</v>
      </c>
      <c r="N104" s="165">
        <f>($F$104*'Rate Base'!G48)</f>
        <v>175965.30076722289</v>
      </c>
      <c r="O104" s="165">
        <f>($F$104*'Rate Base'!H48)</f>
        <v>106570.35484443473</v>
      </c>
      <c r="P104" s="165">
        <f>($F$104*'Rate Base'!I48)</f>
        <v>42117.684262963645</v>
      </c>
      <c r="Q104" s="165">
        <f>($F$104*'Rate Base'!K48)</f>
        <v>88944.43619708826</v>
      </c>
      <c r="R104" s="165">
        <f>($F$104*'Rate Base'!L48)</f>
        <v>27450.811241702726</v>
      </c>
      <c r="S104" s="165">
        <f>($F$104*'Rate Base'!M48)</f>
        <v>41834.359764668494</v>
      </c>
      <c r="T104" s="165">
        <f>($F$104*'Rate Base'!N48)</f>
        <v>69168.2301555768</v>
      </c>
      <c r="U104" s="165">
        <f>($F$104*'Rate Base'!O48)</f>
        <v>3797.243299663514</v>
      </c>
      <c r="V104" s="165">
        <f>SUM(G104:U104)</f>
        <v>909196.57</v>
      </c>
    </row>
    <row r="105" spans="1:22" ht="12.75">
      <c r="A105" s="50">
        <v>456.1</v>
      </c>
      <c r="B105" s="42" t="s">
        <v>303</v>
      </c>
      <c r="C105" s="42" t="s">
        <v>85</v>
      </c>
      <c r="D105" s="165">
        <v>11804.17</v>
      </c>
      <c r="F105" s="165">
        <f t="shared" si="13"/>
        <v>11804.17</v>
      </c>
      <c r="M105" s="165">
        <f>($F$105*'Rate Base'!F48)</f>
        <v>4587.546591261433</v>
      </c>
      <c r="N105" s="165">
        <f>($F$105*'Rate Base'!G48)</f>
        <v>2284.5712279330637</v>
      </c>
      <c r="O105" s="165">
        <f>($F$105*'Rate Base'!H48)</f>
        <v>1383.6112311158754</v>
      </c>
      <c r="P105" s="165">
        <f>($F$105*'Rate Base'!I48)</f>
        <v>546.8171806305293</v>
      </c>
      <c r="Q105" s="165">
        <f>($F$105*'Rate Base'!K48)</f>
        <v>1154.7725542173828</v>
      </c>
      <c r="R105" s="165">
        <f>($F$105*'Rate Base'!L48)</f>
        <v>356.3960239477917</v>
      </c>
      <c r="S105" s="165">
        <f>($F$105*'Rate Base'!M48)</f>
        <v>543.1387565653783</v>
      </c>
      <c r="T105" s="165">
        <f>($F$105*'Rate Base'!N48)</f>
        <v>898.0165283240731</v>
      </c>
      <c r="U105" s="165">
        <f>($F$105*'Rate Base'!O48)</f>
        <v>49.29990600447279</v>
      </c>
      <c r="V105" s="165">
        <f>($F$105*'Rate Base'!P48)</f>
        <v>11804.170000000002</v>
      </c>
    </row>
    <row r="106" spans="13:22" ht="12.75"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</row>
    <row r="107" spans="2:22" ht="12.75">
      <c r="B107" s="173" t="s">
        <v>75</v>
      </c>
      <c r="C107" s="42" t="s">
        <v>24</v>
      </c>
      <c r="D107" s="165">
        <f>SUM(D101:D105)</f>
        <v>1696243.75</v>
      </c>
      <c r="E107" s="165">
        <f>SUM(E101:E105)</f>
        <v>262510</v>
      </c>
      <c r="F107" s="165">
        <f>SUM(F101:F105)</f>
        <v>1958753.75</v>
      </c>
      <c r="G107" s="165">
        <f aca="true" t="shared" si="23" ref="G107:L107">SUM(G102:G105)</f>
        <v>0</v>
      </c>
      <c r="H107" s="165">
        <f t="shared" si="23"/>
        <v>0</v>
      </c>
      <c r="I107" s="165">
        <f t="shared" si="23"/>
        <v>0</v>
      </c>
      <c r="J107" s="165">
        <f t="shared" si="23"/>
        <v>0</v>
      </c>
      <c r="K107" s="165">
        <f t="shared" si="23"/>
        <v>0</v>
      </c>
      <c r="L107" s="165">
        <f t="shared" si="23"/>
        <v>0</v>
      </c>
      <c r="M107" s="165">
        <f aca="true" t="shared" si="24" ref="M107:T107">SUM(M101:M105)</f>
        <v>761245.7367975087</v>
      </c>
      <c r="N107" s="165">
        <f t="shared" si="24"/>
        <v>379095.900843176</v>
      </c>
      <c r="O107" s="165">
        <f t="shared" si="24"/>
        <v>229592.90551477467</v>
      </c>
      <c r="P107" s="165">
        <f t="shared" si="24"/>
        <v>90737.4430497423</v>
      </c>
      <c r="Q107" s="165">
        <f t="shared" si="24"/>
        <v>191620.0013190573</v>
      </c>
      <c r="R107" s="165">
        <f t="shared" si="24"/>
        <v>59139.443806114854</v>
      </c>
      <c r="S107" s="165">
        <f t="shared" si="24"/>
        <v>90127.05477748725</v>
      </c>
      <c r="T107" s="165">
        <f t="shared" si="24"/>
        <v>149014.56370221367</v>
      </c>
      <c r="U107" s="165">
        <f>SUM(U102:U105)</f>
        <v>8180.700189925135</v>
      </c>
      <c r="V107" s="165">
        <f>SUM(V101:V105)</f>
        <v>1958753.75</v>
      </c>
    </row>
    <row r="108" spans="3:22" ht="12.75">
      <c r="C108" s="42" t="s">
        <v>24</v>
      </c>
      <c r="F108" s="165">
        <f t="shared" si="13"/>
        <v>0</v>
      </c>
      <c r="V108" s="68" t="s">
        <v>24</v>
      </c>
    </row>
    <row r="109" spans="2:22" ht="12.75">
      <c r="B109" s="42" t="s">
        <v>191</v>
      </c>
      <c r="C109" s="42" t="s">
        <v>24</v>
      </c>
      <c r="F109" s="165">
        <f t="shared" si="13"/>
        <v>0</v>
      </c>
      <c r="V109" s="68" t="s">
        <v>24</v>
      </c>
    </row>
    <row r="110" spans="1:22" ht="12.75">
      <c r="A110" s="50">
        <v>419</v>
      </c>
      <c r="B110" s="42" t="s">
        <v>188</v>
      </c>
      <c r="C110" s="42" t="s">
        <v>85</v>
      </c>
      <c r="D110" s="165">
        <v>247061.39</v>
      </c>
      <c r="F110" s="165">
        <f t="shared" si="13"/>
        <v>247061.39</v>
      </c>
      <c r="M110" s="165">
        <f>($F$110*'Rate Base'!F48)</f>
        <v>96017.39364367096</v>
      </c>
      <c r="N110" s="165">
        <f>($F$110*'Rate Base'!G48)</f>
        <v>47816.09745769076</v>
      </c>
      <c r="O110" s="165">
        <f>($F$110*'Rate Base'!H48)</f>
        <v>28958.996183475792</v>
      </c>
      <c r="P110" s="165">
        <f>($F$110*'Rate Base'!I48)</f>
        <v>11444.888774260251</v>
      </c>
      <c r="Q110" s="165">
        <f>($F$110*'Rate Base'!K48)</f>
        <v>24169.40050666815</v>
      </c>
      <c r="R110" s="165">
        <f>($F$110*'Rate Base'!L48)</f>
        <v>7459.37215975496</v>
      </c>
      <c r="S110" s="165">
        <f>($F$110*'Rate Base'!M48)</f>
        <v>11367.899323706284</v>
      </c>
      <c r="T110" s="165">
        <f>($F$110*'Rate Base'!N48)</f>
        <v>18795.494450750866</v>
      </c>
      <c r="U110" s="165">
        <f>($F$110*'Rate Base'!O48)</f>
        <v>1031.8475000219748</v>
      </c>
      <c r="V110" s="165">
        <f>SUM(G110:U110)</f>
        <v>247061.39</v>
      </c>
    </row>
    <row r="111" spans="1:22" ht="12.75">
      <c r="A111" s="50" t="s">
        <v>535</v>
      </c>
      <c r="B111" s="42" t="s">
        <v>534</v>
      </c>
      <c r="C111" s="42" t="s">
        <v>85</v>
      </c>
      <c r="D111" s="188">
        <f>-(-166305.29-76042.9+5.19+196008.77+70120.99-80045-5117.55-52122.5-24636.61+83513.68-33539.88+26603.22-2700-4800+231.28+2125.19+3912.01+2810.44+95137.6-2800+2405.65+6017.95)</f>
        <v>-40782.239999999976</v>
      </c>
      <c r="E111" s="42">
        <v>1443</v>
      </c>
      <c r="F111" s="165">
        <f t="shared" si="13"/>
        <v>-39339.239999999976</v>
      </c>
      <c r="G111" s="42" t="s">
        <v>24</v>
      </c>
      <c r="M111" s="165">
        <f>($F$111*'Rate Base'!F48)</f>
        <v>-15288.715459436395</v>
      </c>
      <c r="N111" s="165">
        <f>($F$111*'Rate Base'!G48)</f>
        <v>-7613.690402015003</v>
      </c>
      <c r="O111" s="165">
        <f>($F$111*'Rate Base'!H48)</f>
        <v>-4611.100508342633</v>
      </c>
      <c r="P111" s="165">
        <f>($F$111*'Rate Base'!I48)</f>
        <v>-1822.3536517135663</v>
      </c>
      <c r="Q111" s="165">
        <f>($F$111*'Rate Base'!K48)</f>
        <v>-3848.45987949772</v>
      </c>
      <c r="R111" s="165">
        <f>($F$111*'Rate Base'!L48)</f>
        <v>-1187.7454087096269</v>
      </c>
      <c r="S111" s="165">
        <f>($F$111*'Rate Base'!M48)</f>
        <v>-1810.0947290514268</v>
      </c>
      <c r="T111" s="165">
        <f>($F$111*'Rate Base'!N48)</f>
        <v>-2992.780325233158</v>
      </c>
      <c r="U111" s="165">
        <f>($F$111*'Rate Base'!O48)</f>
        <v>-164.29963600044687</v>
      </c>
      <c r="V111" s="165">
        <f>SUM(G111:U111)</f>
        <v>-39339.23999999997</v>
      </c>
    </row>
    <row r="112" spans="1:22" ht="12.75">
      <c r="A112" s="50">
        <v>424</v>
      </c>
      <c r="B112" s="42" t="s">
        <v>189</v>
      </c>
      <c r="C112" s="42" t="s">
        <v>85</v>
      </c>
      <c r="D112" s="170">
        <v>104862</v>
      </c>
      <c r="E112" s="169"/>
      <c r="F112" s="170">
        <f t="shared" si="13"/>
        <v>104862</v>
      </c>
      <c r="G112" s="169" t="s">
        <v>24</v>
      </c>
      <c r="H112" s="169"/>
      <c r="I112" s="169"/>
      <c r="J112" s="169"/>
      <c r="K112" s="169"/>
      <c r="L112" s="169"/>
      <c r="M112" s="170">
        <f>($F$112*'Rate Base'!F48)</f>
        <v>40753.33637628536</v>
      </c>
      <c r="N112" s="170">
        <f>($F$112*'Rate Base'!G48)</f>
        <v>20294.921888071498</v>
      </c>
      <c r="O112" s="170">
        <f>($F$112*'Rate Base'!H48)</f>
        <v>12291.270027225371</v>
      </c>
      <c r="P112" s="170">
        <f>($F$112*'Rate Base'!I48)</f>
        <v>4857.634479618521</v>
      </c>
      <c r="Q112" s="170">
        <f>($F$112*'Rate Base'!K48)</f>
        <v>10258.388313650446</v>
      </c>
      <c r="R112" s="170">
        <f>($F$112*'Rate Base'!L48)</f>
        <v>3166.0336866728735</v>
      </c>
      <c r="S112" s="170">
        <f>($F$112*'Rate Base'!M48)</f>
        <v>4824.95730669405</v>
      </c>
      <c r="T112" s="170">
        <f>($F$112*'Rate Base'!N48)</f>
        <v>7977.503644315437</v>
      </c>
      <c r="U112" s="170">
        <f>($F$112*'Rate Base'!O48)</f>
        <v>437.95427746643986</v>
      </c>
      <c r="V112" s="165">
        <f>SUM(G112:U112)</f>
        <v>104862</v>
      </c>
    </row>
    <row r="113" spans="6:22" ht="12.75">
      <c r="F113" s="165">
        <f t="shared" si="13"/>
        <v>0</v>
      </c>
      <c r="G113" s="42" t="s">
        <v>24</v>
      </c>
      <c r="V113" s="68" t="s">
        <v>24</v>
      </c>
    </row>
    <row r="114" spans="2:22" ht="13.5" thickBot="1">
      <c r="B114" s="173" t="s">
        <v>190</v>
      </c>
      <c r="D114" s="186">
        <f>SUM(D110:D112)</f>
        <v>311141.15</v>
      </c>
      <c r="E114" s="186">
        <f>SUM(E110:E112)</f>
        <v>1443</v>
      </c>
      <c r="F114" s="186">
        <f>SUM(F110:F112)</f>
        <v>312584.15</v>
      </c>
      <c r="G114" s="189" t="s">
        <v>24</v>
      </c>
      <c r="H114" s="186">
        <f aca="true" t="shared" si="25" ref="H114:U114">SUM(H110:H112)</f>
        <v>0</v>
      </c>
      <c r="I114" s="186">
        <f t="shared" si="25"/>
        <v>0</v>
      </c>
      <c r="J114" s="186">
        <f t="shared" si="25"/>
        <v>0</v>
      </c>
      <c r="K114" s="186">
        <f t="shared" si="25"/>
        <v>0</v>
      </c>
      <c r="L114" s="189" t="s">
        <v>24</v>
      </c>
      <c r="M114" s="186">
        <f t="shared" si="25"/>
        <v>121482.01456051992</v>
      </c>
      <c r="N114" s="186">
        <f t="shared" si="25"/>
        <v>60497.328943747256</v>
      </c>
      <c r="O114" s="186">
        <f t="shared" si="25"/>
        <v>36639.16570235853</v>
      </c>
      <c r="P114" s="186">
        <f t="shared" si="25"/>
        <v>14480.169602165206</v>
      </c>
      <c r="Q114" s="186">
        <f t="shared" si="25"/>
        <v>30579.328940820873</v>
      </c>
      <c r="R114" s="186">
        <f t="shared" si="25"/>
        <v>9437.660437718207</v>
      </c>
      <c r="S114" s="186">
        <f t="shared" si="25"/>
        <v>14382.761901348907</v>
      </c>
      <c r="T114" s="186">
        <f t="shared" si="25"/>
        <v>23780.217769833143</v>
      </c>
      <c r="U114" s="186">
        <f t="shared" si="25"/>
        <v>1305.502141487968</v>
      </c>
      <c r="V114" s="165">
        <f>SUM(G114:U114)</f>
        <v>312584.14999999997</v>
      </c>
    </row>
    <row r="115" spans="6:22" ht="12.75">
      <c r="F115" s="165">
        <f t="shared" si="13"/>
        <v>0</v>
      </c>
      <c r="V115" s="68" t="s">
        <v>24</v>
      </c>
    </row>
    <row r="116" spans="2:22" ht="12.75">
      <c r="B116" s="173" t="s">
        <v>76</v>
      </c>
      <c r="F116" s="165">
        <f t="shared" si="13"/>
        <v>0</v>
      </c>
      <c r="V116" s="68" t="s">
        <v>24</v>
      </c>
    </row>
    <row r="117" spans="2:22" ht="13.5" thickBot="1">
      <c r="B117" s="173" t="s">
        <v>77</v>
      </c>
      <c r="D117" s="198">
        <f>(D95-D107-D114)</f>
        <v>79006000.97999999</v>
      </c>
      <c r="E117" s="198">
        <f>(E95-E107-E114)</f>
        <v>-3595467.61</v>
      </c>
      <c r="F117" s="198">
        <f>(F95-F107-F114)</f>
        <v>75410533.36999999</v>
      </c>
      <c r="G117" s="199" t="s">
        <v>24</v>
      </c>
      <c r="H117" s="198">
        <f>(H95-H107-H114)</f>
        <v>9954262.44</v>
      </c>
      <c r="I117" s="198">
        <f>(I95-I107-I114)</f>
        <v>35775933</v>
      </c>
      <c r="J117" s="198">
        <f>(J95-J107-J114)</f>
        <v>4277428.5600000005</v>
      </c>
      <c r="K117" s="198">
        <f>(K95-K107-K114)</f>
        <v>1202239</v>
      </c>
      <c r="L117" s="199" t="s">
        <v>24</v>
      </c>
      <c r="M117" s="198">
        <f aca="true" t="shared" si="26" ref="M117:U117">(M95-M107-M114)</f>
        <v>8006784.894741055</v>
      </c>
      <c r="N117" s="198">
        <f t="shared" si="26"/>
        <v>3987331.7981376024</v>
      </c>
      <c r="O117" s="198">
        <f t="shared" si="26"/>
        <v>1414278.3386459074</v>
      </c>
      <c r="P117" s="198">
        <f t="shared" si="26"/>
        <v>558937.1323196617</v>
      </c>
      <c r="Q117" s="198">
        <f t="shared" si="26"/>
        <v>2015459.7364921626</v>
      </c>
      <c r="R117" s="198">
        <f t="shared" si="26"/>
        <v>1578265.213386296</v>
      </c>
      <c r="S117" s="198">
        <f t="shared" si="26"/>
        <v>5177186.407283637</v>
      </c>
      <c r="T117" s="198">
        <f t="shared" si="26"/>
        <v>1399582.7500104716</v>
      </c>
      <c r="U117" s="198">
        <f t="shared" si="26"/>
        <v>62844.098983206095</v>
      </c>
      <c r="V117" s="165">
        <f>SUM(G117:U117)</f>
        <v>75410533.37</v>
      </c>
    </row>
    <row r="118" spans="7:22" ht="13.5" thickTop="1">
      <c r="G118" s="68"/>
      <c r="H118" s="165"/>
      <c r="I118" s="165"/>
      <c r="J118" s="165"/>
      <c r="K118" s="165"/>
      <c r="L118" s="68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</row>
    <row r="120" spans="12:22" ht="12.75">
      <c r="L120" s="42">
        <v>7</v>
      </c>
      <c r="V120" s="168">
        <f>(V117-F117)</f>
        <v>1.4901161193847656E-08</v>
      </c>
    </row>
    <row r="121" spans="9:15" ht="12.75">
      <c r="I121" s="168">
        <f>SUM(H117,I117,J117)</f>
        <v>50007624</v>
      </c>
      <c r="M121" s="168">
        <f>(M117+N117)</f>
        <v>11994116.692878656</v>
      </c>
      <c r="O121" s="168">
        <f>(O117+P117)</f>
        <v>1973215.470965569</v>
      </c>
    </row>
    <row r="128" ht="12.75">
      <c r="F128" s="165">
        <f>(F89)</f>
        <v>34453.82</v>
      </c>
    </row>
    <row r="129" spans="4:6" ht="12.75">
      <c r="D129" s="68" t="s">
        <v>24</v>
      </c>
      <c r="E129" s="165"/>
      <c r="F129" s="190">
        <f>(F89+F84)</f>
        <v>4088396.08</v>
      </c>
    </row>
    <row r="130" ht="12.75">
      <c r="F130" s="191">
        <f>(F128/F129)</f>
        <v>0.008427221659991416</v>
      </c>
    </row>
    <row r="131" ht="12.75">
      <c r="F131" s="191">
        <f>(1-F130)</f>
        <v>0.9915727783400086</v>
      </c>
    </row>
  </sheetData>
  <mergeCells count="6">
    <mergeCell ref="Q1:U1"/>
    <mergeCell ref="H1:K1"/>
    <mergeCell ref="H3:I3"/>
    <mergeCell ref="M3:N3"/>
    <mergeCell ref="O3:P3"/>
    <mergeCell ref="M1:P1"/>
  </mergeCells>
  <dataValidations count="1">
    <dataValidation showInputMessage="1" showErrorMessage="1" sqref="M91:U91"/>
  </dataValidations>
  <printOptions horizontalCentered="1" verticalCentered="1"/>
  <pageMargins left="0.75" right="0.75" top="1" bottom="1" header="0.5" footer="0.5"/>
  <pageSetup horizontalDpi="300" verticalDpi="300" orientation="portrait" scale="85" r:id="rId1"/>
  <headerFooter alignWithMargins="0">
    <oddHeader xml:space="preserve">&amp;C&amp;"Arial,Bold"&amp;14 SOUTH KENTUCKY RECC
Case No.  2005-00450
 Functionalization and Classification of Revenue Requirements&amp;R
Exhibit R
Schedule 4
&amp;P of &amp;N  
&amp;"Arial,Bold"&amp;11 </oddHeader>
  </headerFooter>
  <rowBreaks count="3" manualBreakCount="3">
    <brk id="45" max="20" man="1"/>
    <brk id="84" max="20" man="1"/>
    <brk id="124" max="19" man="1"/>
  </rowBreaks>
  <colBreaks count="3" manualBreakCount="3">
    <brk id="7" max="119" man="1"/>
    <brk id="12" max="119" man="1"/>
    <brk id="16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Jim</cp:lastModifiedBy>
  <cp:lastPrinted>2006-03-14T20:05:34Z</cp:lastPrinted>
  <dcterms:created xsi:type="dcterms:W3CDTF">2002-02-21T15:18:44Z</dcterms:created>
  <dcterms:modified xsi:type="dcterms:W3CDTF">2006-05-18T20:13:01Z</dcterms:modified>
  <cp:category/>
  <cp:version/>
  <cp:contentType/>
  <cp:contentStatus/>
</cp:coreProperties>
</file>