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est Yr Actuals" sheetId="1" r:id="rId1"/>
    <sheet name="Test Yr Budget" sheetId="2" r:id="rId2"/>
    <sheet name="Test Yr Var" sheetId="3" r:id="rId3"/>
    <sheet name="FY 2004 Act" sheetId="4" r:id="rId4"/>
    <sheet name="FY 2004 Bud" sheetId="5" r:id="rId5"/>
    <sheet name="FY 2004 Var" sheetId="6" r:id="rId6"/>
    <sheet name="FY 2006 Bud + Act" sheetId="7" r:id="rId7"/>
    <sheet name="FY 2006 Bud" sheetId="8" r:id="rId8"/>
    <sheet name="FY 2006 Var" sheetId="9" state="hidden" r:id="rId9"/>
  </sheets>
  <definedNames/>
  <calcPr fullCalcOnLoad="1"/>
</workbook>
</file>

<file path=xl/sharedStrings.xml><?xml version="1.0" encoding="utf-8"?>
<sst xmlns="http://schemas.openxmlformats.org/spreadsheetml/2006/main" count="373" uniqueCount="54">
  <si>
    <t>Atmos Energy-Kentucky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</si>
  <si>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</si>
  <si>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</si>
  <si>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</si>
  <si>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</si>
  <si>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</si>
  <si>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</si>
  <si>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</si>
  <si>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</si>
  <si>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</si>
  <si>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</si>
  <si>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</si>
  <si>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</si>
  <si>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</si>
  <si>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INCOME STATEMENT</t>
  </si>
  <si>
    <t>Operating Revenues:</t>
  </si>
  <si>
    <t xml:space="preserve">     Gas service revenue</t>
  </si>
  <si>
    <t xml:space="preserve">     Transportation</t>
  </si>
  <si>
    <t xml:space="preserve">     Other revenue</t>
  </si>
  <si>
    <t>Total Operating Revenues</t>
  </si>
  <si>
    <t>Purchase gas</t>
  </si>
  <si>
    <t>Gross Profit</t>
  </si>
  <si>
    <t>Operating expenses:</t>
  </si>
  <si>
    <t xml:space="preserve">     Direct O &amp; M</t>
  </si>
  <si>
    <t xml:space="preserve">     Share Services Billing</t>
  </si>
  <si>
    <t xml:space="preserve">     Depreciation and Amortization</t>
  </si>
  <si>
    <t xml:space="preserve">     Taxes - other than income</t>
  </si>
  <si>
    <t xml:space="preserve">     Provision for income taxes</t>
  </si>
  <si>
    <t>Total operating expenses</t>
  </si>
  <si>
    <t>Operating income(loss)</t>
  </si>
  <si>
    <t>Other income:</t>
  </si>
  <si>
    <t xml:space="preserve">     Merchandising</t>
  </si>
  <si>
    <t xml:space="preserve">     Interest and dividends</t>
  </si>
  <si>
    <t xml:space="preserve">     Other non-operating inc/exp</t>
  </si>
  <si>
    <t xml:space="preserve">     PBR</t>
  </si>
  <si>
    <t>Total other income</t>
  </si>
  <si>
    <t>Interest charges:</t>
  </si>
  <si>
    <t>Total interest charges</t>
  </si>
  <si>
    <t>Net Income</t>
  </si>
  <si>
    <t>Test Year Oct 2004 - Sep 2005 - Actuals</t>
  </si>
  <si>
    <t>Test Year Oct 2004 - Sep 2005 - Budget</t>
  </si>
  <si>
    <t>Test Year Oct 2004 - Sep 2005 - Variance</t>
  </si>
  <si>
    <t>FY 2004 (Oct 2003 - Sep 2004) - Actuals</t>
  </si>
  <si>
    <t>FY 2004 (Oct 2003 - Sep 2004) - Budget</t>
  </si>
  <si>
    <t>Actual</t>
  </si>
  <si>
    <t>FY 2004 (Oct 2003 - Sep 2004) - Variance</t>
  </si>
  <si>
    <t>FY 2006 (Oct 2005 - Sep 2006) - Variance</t>
  </si>
  <si>
    <t>No major variances noted.</t>
  </si>
  <si>
    <t>Case No. 2005-00057</t>
  </si>
  <si>
    <t>DR Item 16</t>
  </si>
  <si>
    <t>(1)</t>
  </si>
  <si>
    <t>(1)  Write-offs were under budget by .5 million and benefits by .3 million.  The remaining variance was attributable to the unusal high level of construction activity.</t>
  </si>
  <si>
    <t>FY 2006 (Oct 2005 - Mar 2006) - Actuals</t>
  </si>
  <si>
    <t>FY 2006 (Oct 2005 - Mar 2006) -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</si>
</sst>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15" applyNumberFormat="1" applyAlignment="1">
      <alignment horizontal="centerContinuous"/>
    </xf>
    <xf numFmtId="164" fontId="0" fillId="0" borderId="0" xfId="15" applyNumberFormat="1" applyBorder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0" fontId="0" fillId="0" borderId="0" xfId="0" applyFill="1" applyBorder="1" applyAlignment="1">
      <alignment/>
    </xf>
    <xf numFmtId="164" fontId="2" fillId="0" borderId="1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3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5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1" xfId="15" applyNumberFormat="1" applyFont="1" applyBorder="1" applyAlignment="1">
      <alignment/>
    </xf>
    <xf numFmtId="37" fontId="0" fillId="0" borderId="1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 horizontal="right"/>
    </xf>
    <xf numFmtId="37" fontId="0" fillId="0" borderId="0" xfId="21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7" fontId="2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37" fontId="2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" xfId="0" applyNumberForma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15" applyNumberFormat="1" applyFont="1" applyBorder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1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5" fontId="0" fillId="0" borderId="2" xfId="15" applyNumberFormat="1" applyFont="1" applyBorder="1" applyAlignment="1">
      <alignment horizontal="right"/>
    </xf>
    <xf numFmtId="5" fontId="0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5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5" fontId="0" fillId="0" borderId="0" xfId="15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1" xfId="15" applyNumberFormat="1" applyFont="1" applyFill="1" applyBorder="1" applyAlignment="1">
      <alignment/>
    </xf>
    <xf numFmtId="37" fontId="0" fillId="0" borderId="1" xfId="15" applyNumberFormat="1" applyFont="1" applyFill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2" fillId="0" borderId="0" xfId="15" applyNumberFormat="1" applyFont="1" applyFill="1" applyBorder="1" applyAlignment="1">
      <alignment horizontal="right"/>
    </xf>
    <xf numFmtId="37" fontId="0" fillId="0" borderId="0" xfId="21" applyNumberFormat="1" applyFon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/>
    </xf>
    <xf numFmtId="37" fontId="2" fillId="0" borderId="1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1" xfId="0" applyNumberFormat="1" applyFill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Alignment="1">
      <alignment/>
    </xf>
    <xf numFmtId="37" fontId="0" fillId="0" borderId="1" xfId="15" applyNumberFormat="1" applyFont="1" applyFill="1" applyBorder="1" applyAlignment="1">
      <alignment horizontal="right"/>
    </xf>
    <xf numFmtId="5" fontId="0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9.28125" style="0" bestFit="1" customWidth="1"/>
  </cols>
  <sheetData>
    <row r="1" spans="1:14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5"/>
    </row>
    <row r="7" spans="1:14" ht="12.7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4" ht="12.75">
      <c r="A8" s="8" t="s">
        <v>14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</row>
    <row r="9" spans="1:14" ht="12.75">
      <c r="A9" s="11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3" t="s">
        <v>16</v>
      </c>
      <c r="B10" s="14">
        <v>8441</v>
      </c>
      <c r="C10" s="14">
        <v>15272</v>
      </c>
      <c r="D10" s="14">
        <v>32749</v>
      </c>
      <c r="E10" s="14">
        <v>31921</v>
      </c>
      <c r="F10" s="14">
        <v>29051</v>
      </c>
      <c r="G10" s="14">
        <v>25095</v>
      </c>
      <c r="H10" s="14">
        <v>11979</v>
      </c>
      <c r="I10" s="14">
        <v>9752</v>
      </c>
      <c r="J10" s="14">
        <v>7929</v>
      </c>
      <c r="K10" s="14">
        <v>7376</v>
      </c>
      <c r="L10" s="14">
        <v>8302</v>
      </c>
      <c r="M10" s="14">
        <v>9052</v>
      </c>
      <c r="N10" s="14">
        <f>SUM(B10:M10)</f>
        <v>196919</v>
      </c>
    </row>
    <row r="11" spans="1:14" ht="12.75">
      <c r="A11" s="13" t="s">
        <v>17</v>
      </c>
      <c r="B11" s="15">
        <v>725</v>
      </c>
      <c r="C11" s="15">
        <v>777</v>
      </c>
      <c r="D11" s="15">
        <v>1037</v>
      </c>
      <c r="E11" s="15">
        <v>947</v>
      </c>
      <c r="F11" s="15">
        <v>958</v>
      </c>
      <c r="G11" s="15">
        <v>821</v>
      </c>
      <c r="H11" s="15">
        <v>714</v>
      </c>
      <c r="I11" s="15">
        <v>729</v>
      </c>
      <c r="J11" s="15">
        <v>671</v>
      </c>
      <c r="K11" s="15">
        <v>641</v>
      </c>
      <c r="L11" s="15">
        <v>727</v>
      </c>
      <c r="M11" s="15">
        <v>743</v>
      </c>
      <c r="N11" s="15">
        <f>SUM(B11:M11)</f>
        <v>9490</v>
      </c>
    </row>
    <row r="12" spans="1:14" ht="12.75">
      <c r="A12" s="13" t="s">
        <v>18</v>
      </c>
      <c r="B12" s="16">
        <f>49+115</f>
        <v>164</v>
      </c>
      <c r="C12" s="16">
        <f>62+125</f>
        <v>187</v>
      </c>
      <c r="D12" s="16">
        <f>94+100</f>
        <v>194</v>
      </c>
      <c r="E12" s="16">
        <f>224+70</f>
        <v>294</v>
      </c>
      <c r="F12" s="16">
        <f>245+80</f>
        <v>325</v>
      </c>
      <c r="G12" s="16">
        <f>166+83</f>
        <v>249</v>
      </c>
      <c r="H12" s="16">
        <f>186+74</f>
        <v>260</v>
      </c>
      <c r="I12" s="16">
        <f>89+72</f>
        <v>161</v>
      </c>
      <c r="J12" s="16">
        <f>80+66</f>
        <v>146</v>
      </c>
      <c r="K12" s="16">
        <f>52+54</f>
        <v>106</v>
      </c>
      <c r="L12" s="16">
        <f>50+57</f>
        <v>107</v>
      </c>
      <c r="M12" s="16">
        <f>49+66</f>
        <v>115</v>
      </c>
      <c r="N12" s="16">
        <f>SUM(B12:M12)</f>
        <v>2308</v>
      </c>
    </row>
    <row r="13" spans="1:14" ht="12.75">
      <c r="A13" s="11" t="s">
        <v>19</v>
      </c>
      <c r="B13" s="15">
        <f aca="true" t="shared" si="0" ref="B13:M13">SUM(B10:B12)</f>
        <v>9330</v>
      </c>
      <c r="C13" s="15">
        <f t="shared" si="0"/>
        <v>16236</v>
      </c>
      <c r="D13" s="15">
        <f t="shared" si="0"/>
        <v>33980</v>
      </c>
      <c r="E13" s="15">
        <f t="shared" si="0"/>
        <v>33162</v>
      </c>
      <c r="F13" s="15">
        <f t="shared" si="0"/>
        <v>30334</v>
      </c>
      <c r="G13" s="15">
        <f t="shared" si="0"/>
        <v>26165</v>
      </c>
      <c r="H13" s="15">
        <f t="shared" si="0"/>
        <v>12953</v>
      </c>
      <c r="I13" s="15">
        <f t="shared" si="0"/>
        <v>10642</v>
      </c>
      <c r="J13" s="15">
        <f t="shared" si="0"/>
        <v>8746</v>
      </c>
      <c r="K13" s="15">
        <f t="shared" si="0"/>
        <v>8123</v>
      </c>
      <c r="L13" s="15">
        <f t="shared" si="0"/>
        <v>9136</v>
      </c>
      <c r="M13" s="15">
        <f t="shared" si="0"/>
        <v>9910</v>
      </c>
      <c r="N13" s="15">
        <f>SUM(B13:M13)</f>
        <v>208717</v>
      </c>
    </row>
    <row r="14" spans="1:14" ht="12.75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3" t="s">
        <v>20</v>
      </c>
      <c r="B15" s="17">
        <v>5676</v>
      </c>
      <c r="C15" s="17">
        <v>11922</v>
      </c>
      <c r="D15" s="17">
        <v>27458</v>
      </c>
      <c r="E15" s="17">
        <v>26149</v>
      </c>
      <c r="F15" s="17">
        <v>23420</v>
      </c>
      <c r="G15" s="17">
        <v>21341</v>
      </c>
      <c r="H15" s="17">
        <v>9091</v>
      </c>
      <c r="I15" s="17">
        <v>7354</v>
      </c>
      <c r="J15" s="17">
        <v>5751</v>
      </c>
      <c r="K15" s="17">
        <v>5233</v>
      </c>
      <c r="L15" s="17">
        <v>6100</v>
      </c>
      <c r="M15" s="17">
        <v>6921</v>
      </c>
      <c r="N15" s="17">
        <f>SUM(B15:M15)</f>
        <v>156416</v>
      </c>
    </row>
    <row r="16" spans="1:14" ht="12.75">
      <c r="A16" s="11" t="s">
        <v>21</v>
      </c>
      <c r="B16" s="18">
        <f>B13-B15</f>
        <v>3654</v>
      </c>
      <c r="C16" s="18">
        <f aca="true" t="shared" si="1" ref="C16:N16">C13-C15</f>
        <v>4314</v>
      </c>
      <c r="D16" s="18">
        <f t="shared" si="1"/>
        <v>6522</v>
      </c>
      <c r="E16" s="18">
        <f t="shared" si="1"/>
        <v>7013</v>
      </c>
      <c r="F16" s="18">
        <f t="shared" si="1"/>
        <v>6914</v>
      </c>
      <c r="G16" s="18">
        <f t="shared" si="1"/>
        <v>4824</v>
      </c>
      <c r="H16" s="18">
        <f t="shared" si="1"/>
        <v>3862</v>
      </c>
      <c r="I16" s="18">
        <f t="shared" si="1"/>
        <v>3288</v>
      </c>
      <c r="J16" s="18">
        <f t="shared" si="1"/>
        <v>2995</v>
      </c>
      <c r="K16" s="18">
        <f t="shared" si="1"/>
        <v>2890</v>
      </c>
      <c r="L16" s="18">
        <f t="shared" si="1"/>
        <v>3036</v>
      </c>
      <c r="M16" s="18">
        <f t="shared" si="1"/>
        <v>2989</v>
      </c>
      <c r="N16" s="18">
        <f t="shared" si="1"/>
        <v>52301</v>
      </c>
    </row>
    <row r="17" spans="1:14" ht="12.75">
      <c r="A17" s="1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1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3" t="s">
        <v>23</v>
      </c>
      <c r="B19" s="18">
        <f>1073+45</f>
        <v>1118</v>
      </c>
      <c r="C19" s="18">
        <f>1118+119</f>
        <v>1237</v>
      </c>
      <c r="D19" s="18">
        <f>1361+259</f>
        <v>1620</v>
      </c>
      <c r="E19" s="18">
        <f>1296+229</f>
        <v>1525</v>
      </c>
      <c r="F19" s="18">
        <f>1294+202</f>
        <v>1496</v>
      </c>
      <c r="G19" s="18">
        <f>1095-907</f>
        <v>188</v>
      </c>
      <c r="H19" s="18">
        <f>1077+82</f>
        <v>1159</v>
      </c>
      <c r="I19" s="18">
        <f>946+65</f>
        <v>1011</v>
      </c>
      <c r="J19" s="18">
        <f>1027+1019</f>
        <v>2046</v>
      </c>
      <c r="K19" s="18">
        <f>1055+51</f>
        <v>1106</v>
      </c>
      <c r="L19" s="18">
        <f>1048+118</f>
        <v>1166</v>
      </c>
      <c r="M19" s="18">
        <f>977+115</f>
        <v>1092</v>
      </c>
      <c r="N19" s="18">
        <f>SUM(B19:M19)</f>
        <v>14764</v>
      </c>
    </row>
    <row r="20" spans="1:14" ht="12.75">
      <c r="A20" s="13" t="s">
        <v>24</v>
      </c>
      <c r="B20" s="18">
        <v>308</v>
      </c>
      <c r="C20" s="18">
        <v>387</v>
      </c>
      <c r="D20" s="18">
        <v>324</v>
      </c>
      <c r="E20" s="18">
        <v>339</v>
      </c>
      <c r="F20" s="18">
        <v>351</v>
      </c>
      <c r="G20" s="18">
        <v>316</v>
      </c>
      <c r="H20" s="18">
        <v>332</v>
      </c>
      <c r="I20" s="18">
        <v>317</v>
      </c>
      <c r="J20" s="18">
        <v>289</v>
      </c>
      <c r="K20" s="18">
        <v>259</v>
      </c>
      <c r="L20" s="18">
        <v>322</v>
      </c>
      <c r="M20" s="18">
        <v>310</v>
      </c>
      <c r="N20" s="18">
        <f>SUM(B20:M20)</f>
        <v>3854</v>
      </c>
    </row>
    <row r="21" spans="1:14" ht="12.75">
      <c r="A21" s="13" t="s">
        <v>25</v>
      </c>
      <c r="B21" s="18">
        <v>974</v>
      </c>
      <c r="C21" s="18">
        <v>946</v>
      </c>
      <c r="D21" s="18">
        <v>955</v>
      </c>
      <c r="E21" s="18">
        <v>934</v>
      </c>
      <c r="F21" s="18">
        <v>995</v>
      </c>
      <c r="G21" s="18">
        <v>960</v>
      </c>
      <c r="H21" s="18">
        <v>1160</v>
      </c>
      <c r="I21" s="18">
        <v>812</v>
      </c>
      <c r="J21" s="18">
        <v>970</v>
      </c>
      <c r="K21" s="18">
        <v>980</v>
      </c>
      <c r="L21" s="18">
        <v>994</v>
      </c>
      <c r="M21" s="18">
        <v>1059</v>
      </c>
      <c r="N21" s="18">
        <f>SUM(B21:M21)</f>
        <v>11739</v>
      </c>
    </row>
    <row r="22" spans="1:14" ht="12.75">
      <c r="A22" s="13" t="s">
        <v>26</v>
      </c>
      <c r="B22" s="20">
        <v>254</v>
      </c>
      <c r="C22" s="20">
        <v>296</v>
      </c>
      <c r="D22" s="20">
        <v>227</v>
      </c>
      <c r="E22" s="20">
        <v>310</v>
      </c>
      <c r="F22" s="20">
        <v>311</v>
      </c>
      <c r="G22" s="20">
        <v>268</v>
      </c>
      <c r="H22" s="20">
        <v>262</v>
      </c>
      <c r="I22" s="20">
        <v>262</v>
      </c>
      <c r="J22" s="20">
        <v>265</v>
      </c>
      <c r="K22" s="20">
        <v>269</v>
      </c>
      <c r="L22" s="20">
        <v>279</v>
      </c>
      <c r="M22" s="20">
        <v>286</v>
      </c>
      <c r="N22" s="18">
        <f>SUM(B22:M22)</f>
        <v>3289</v>
      </c>
    </row>
    <row r="23" spans="1:14" ht="12.75">
      <c r="A23" s="13" t="s">
        <v>27</v>
      </c>
      <c r="B23" s="21">
        <v>266</v>
      </c>
      <c r="C23" s="21">
        <v>377</v>
      </c>
      <c r="D23" s="21">
        <v>1150</v>
      </c>
      <c r="E23" s="21">
        <v>1358</v>
      </c>
      <c r="F23" s="21">
        <v>1314</v>
      </c>
      <c r="G23" s="21">
        <v>920</v>
      </c>
      <c r="H23" s="21">
        <v>219</v>
      </c>
      <c r="I23" s="21">
        <v>164</v>
      </c>
      <c r="J23" s="21">
        <v>-326</v>
      </c>
      <c r="K23" s="21">
        <v>-32</v>
      </c>
      <c r="L23" s="21">
        <v>-45</v>
      </c>
      <c r="M23" s="21">
        <v>60</v>
      </c>
      <c r="N23" s="17">
        <f>SUM(B23:M23)</f>
        <v>5425</v>
      </c>
    </row>
    <row r="24" spans="1:14" ht="12.75">
      <c r="A24" s="11" t="s">
        <v>28</v>
      </c>
      <c r="B24" s="18">
        <f>SUM(B19:B23)</f>
        <v>2920</v>
      </c>
      <c r="C24" s="18">
        <f aca="true" t="shared" si="2" ref="C24:M24">SUM(C19:C23)</f>
        <v>3243</v>
      </c>
      <c r="D24" s="18">
        <f t="shared" si="2"/>
        <v>4276</v>
      </c>
      <c r="E24" s="18">
        <f t="shared" si="2"/>
        <v>4466</v>
      </c>
      <c r="F24" s="18">
        <f t="shared" si="2"/>
        <v>4467</v>
      </c>
      <c r="G24" s="18">
        <f t="shared" si="2"/>
        <v>2652</v>
      </c>
      <c r="H24" s="18">
        <f t="shared" si="2"/>
        <v>3132</v>
      </c>
      <c r="I24" s="18">
        <f t="shared" si="2"/>
        <v>2566</v>
      </c>
      <c r="J24" s="18">
        <f t="shared" si="2"/>
        <v>3244</v>
      </c>
      <c r="K24" s="18">
        <f t="shared" si="2"/>
        <v>2582</v>
      </c>
      <c r="L24" s="18">
        <f t="shared" si="2"/>
        <v>2716</v>
      </c>
      <c r="M24" s="18">
        <f t="shared" si="2"/>
        <v>2807</v>
      </c>
      <c r="N24" s="18">
        <f>SUM(N19:N23)</f>
        <v>39071</v>
      </c>
    </row>
    <row r="25" spans="1:14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1" t="s">
        <v>29</v>
      </c>
      <c r="B26" s="15">
        <f aca="true" t="shared" si="3" ref="B26:N26">B16-B24</f>
        <v>734</v>
      </c>
      <c r="C26" s="15">
        <f t="shared" si="3"/>
        <v>1071</v>
      </c>
      <c r="D26" s="15">
        <f t="shared" si="3"/>
        <v>2246</v>
      </c>
      <c r="E26" s="15">
        <f t="shared" si="3"/>
        <v>2547</v>
      </c>
      <c r="F26" s="15">
        <f t="shared" si="3"/>
        <v>2447</v>
      </c>
      <c r="G26" s="15">
        <f t="shared" si="3"/>
        <v>2172</v>
      </c>
      <c r="H26" s="15">
        <f t="shared" si="3"/>
        <v>730</v>
      </c>
      <c r="I26" s="15">
        <f t="shared" si="3"/>
        <v>722</v>
      </c>
      <c r="J26" s="15">
        <f t="shared" si="3"/>
        <v>-249</v>
      </c>
      <c r="K26" s="15">
        <f t="shared" si="3"/>
        <v>308</v>
      </c>
      <c r="L26" s="15">
        <f t="shared" si="3"/>
        <v>320</v>
      </c>
      <c r="M26" s="15">
        <f t="shared" si="3"/>
        <v>182</v>
      </c>
      <c r="N26" s="15">
        <f t="shared" si="3"/>
        <v>13230</v>
      </c>
    </row>
    <row r="27" spans="1:14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6" t="s">
        <v>31</v>
      </c>
      <c r="B29" s="27">
        <v>15</v>
      </c>
      <c r="C29" s="27">
        <v>6</v>
      </c>
      <c r="D29" s="27">
        <v>12</v>
      </c>
      <c r="E29" s="27">
        <v>23</v>
      </c>
      <c r="F29" s="27">
        <v>24</v>
      </c>
      <c r="G29" s="27">
        <v>24</v>
      </c>
      <c r="H29" s="27">
        <v>24</v>
      </c>
      <c r="I29" s="27">
        <v>-15</v>
      </c>
      <c r="J29" s="27">
        <v>32</v>
      </c>
      <c r="K29" s="27">
        <v>19</v>
      </c>
      <c r="L29" s="27">
        <v>39</v>
      </c>
      <c r="M29" s="28">
        <v>29</v>
      </c>
      <c r="N29" s="29">
        <f>SUM(B29:M29)</f>
        <v>232</v>
      </c>
    </row>
    <row r="30" spans="1:14" ht="12.75">
      <c r="A30" t="s">
        <v>32</v>
      </c>
      <c r="B30" s="29">
        <v>18</v>
      </c>
      <c r="C30" s="29">
        <v>16</v>
      </c>
      <c r="D30" s="29">
        <v>13</v>
      </c>
      <c r="E30" s="29">
        <v>30</v>
      </c>
      <c r="F30" s="29">
        <v>16</v>
      </c>
      <c r="G30" s="29">
        <v>31</v>
      </c>
      <c r="H30" s="29">
        <v>44</v>
      </c>
      <c r="I30" s="29">
        <v>52</v>
      </c>
      <c r="J30" s="29">
        <v>71</v>
      </c>
      <c r="K30" s="29">
        <v>24</v>
      </c>
      <c r="L30" s="29">
        <v>15</v>
      </c>
      <c r="M30" s="29">
        <v>52</v>
      </c>
      <c r="N30" s="29">
        <f>SUM(B30:M30)</f>
        <v>382</v>
      </c>
    </row>
    <row r="31" spans="1:14" ht="12.75">
      <c r="A31" s="11" t="s">
        <v>33</v>
      </c>
      <c r="B31" s="30">
        <f>3+3-52-2</f>
        <v>-48</v>
      </c>
      <c r="C31" s="30">
        <f>3+3-5-2</f>
        <v>-1</v>
      </c>
      <c r="D31" s="30">
        <f>3+6-17-1</f>
        <v>-9</v>
      </c>
      <c r="E31" s="30">
        <f>3+1-11-7</f>
        <v>-14</v>
      </c>
      <c r="F31" s="30">
        <f>2+5-6-3</f>
        <v>-2</v>
      </c>
      <c r="G31" s="30">
        <f>2+7-10-8</f>
        <v>-9</v>
      </c>
      <c r="H31" s="30">
        <f>2-12-6-14</f>
        <v>-30</v>
      </c>
      <c r="I31" s="30">
        <f>3+7-18-36</f>
        <v>-44</v>
      </c>
      <c r="J31" s="30">
        <f>2+5-2-6</f>
        <v>-1</v>
      </c>
      <c r="K31" s="30">
        <f>1+5-15</f>
        <v>-9</v>
      </c>
      <c r="L31" s="30">
        <f>5+7-58-3</f>
        <v>-49</v>
      </c>
      <c r="M31" s="30">
        <f>3+5-16-54</f>
        <v>-62</v>
      </c>
      <c r="N31" s="29">
        <f>SUM(B31:M31)</f>
        <v>-278</v>
      </c>
    </row>
    <row r="32" spans="1:14" ht="12.75">
      <c r="A32" t="s">
        <v>34</v>
      </c>
      <c r="B32" s="31">
        <v>117</v>
      </c>
      <c r="C32" s="31">
        <v>-28</v>
      </c>
      <c r="D32" s="31">
        <v>44</v>
      </c>
      <c r="E32" s="31">
        <v>60</v>
      </c>
      <c r="F32" s="31">
        <v>38</v>
      </c>
      <c r="G32" s="31">
        <v>32</v>
      </c>
      <c r="H32" s="31">
        <v>66</v>
      </c>
      <c r="I32" s="31">
        <v>60</v>
      </c>
      <c r="J32" s="31">
        <v>73</v>
      </c>
      <c r="K32" s="31">
        <v>80</v>
      </c>
      <c r="L32" s="31">
        <v>80</v>
      </c>
      <c r="M32" s="31">
        <v>80</v>
      </c>
      <c r="N32" s="31">
        <f>SUM(B32:M32)</f>
        <v>702</v>
      </c>
    </row>
    <row r="33" spans="1:14" ht="12.75">
      <c r="A33" s="32" t="s">
        <v>35</v>
      </c>
      <c r="B33" s="33">
        <f>SUM(B29:B32)</f>
        <v>102</v>
      </c>
      <c r="C33" s="33">
        <f aca="true" t="shared" si="4" ref="C33:N33">SUM(C29:C32)</f>
        <v>-7</v>
      </c>
      <c r="D33" s="33">
        <f t="shared" si="4"/>
        <v>60</v>
      </c>
      <c r="E33" s="33">
        <f t="shared" si="4"/>
        <v>99</v>
      </c>
      <c r="F33" s="33">
        <f t="shared" si="4"/>
        <v>76</v>
      </c>
      <c r="G33" s="33">
        <f t="shared" si="4"/>
        <v>78</v>
      </c>
      <c r="H33" s="33">
        <f t="shared" si="4"/>
        <v>104</v>
      </c>
      <c r="I33" s="33">
        <f t="shared" si="4"/>
        <v>53</v>
      </c>
      <c r="J33" s="33">
        <f t="shared" si="4"/>
        <v>175</v>
      </c>
      <c r="K33" s="33">
        <f t="shared" si="4"/>
        <v>114</v>
      </c>
      <c r="L33" s="33">
        <f t="shared" si="4"/>
        <v>85</v>
      </c>
      <c r="M33" s="33">
        <f t="shared" si="4"/>
        <v>99</v>
      </c>
      <c r="N33" s="33">
        <f t="shared" si="4"/>
        <v>1038</v>
      </c>
    </row>
    <row r="34" spans="3:14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4"/>
    </row>
    <row r="35" spans="1:14" ht="12.75">
      <c r="A35" s="32" t="s">
        <v>36</v>
      </c>
      <c r="B35" s="3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6"/>
    </row>
    <row r="36" spans="1:14" ht="12.75">
      <c r="A36" s="32"/>
      <c r="B36" s="38">
        <f>390+26</f>
        <v>416</v>
      </c>
      <c r="C36" s="38">
        <f>434+36</f>
        <v>470</v>
      </c>
      <c r="D36" s="38">
        <f>449+40</f>
        <v>489</v>
      </c>
      <c r="E36" s="38">
        <f>456+45</f>
        <v>501</v>
      </c>
      <c r="F36" s="38">
        <f>411+37</f>
        <v>448</v>
      </c>
      <c r="G36" s="38">
        <f>453+42</f>
        <v>495</v>
      </c>
      <c r="H36" s="38">
        <f>438+41</f>
        <v>479</v>
      </c>
      <c r="I36" s="38">
        <f>463+43</f>
        <v>506</v>
      </c>
      <c r="J36" s="38">
        <f>449+35</f>
        <v>484</v>
      </c>
      <c r="K36" s="38">
        <f>443+31</f>
        <v>474</v>
      </c>
      <c r="L36" s="38">
        <f>445+33</f>
        <v>478</v>
      </c>
      <c r="M36" s="38">
        <f>428+75</f>
        <v>503</v>
      </c>
      <c r="N36" s="38">
        <f>SUM(B36:M36)</f>
        <v>5743</v>
      </c>
    </row>
    <row r="37" spans="1:14" ht="12.75">
      <c r="A37" s="3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2.75">
      <c r="A38" s="24" t="s">
        <v>37</v>
      </c>
      <c r="B38" s="18">
        <f>B36</f>
        <v>416</v>
      </c>
      <c r="C38" s="18">
        <f aca="true" t="shared" si="5" ref="C38:N38">C36</f>
        <v>470</v>
      </c>
      <c r="D38" s="18">
        <f t="shared" si="5"/>
        <v>489</v>
      </c>
      <c r="E38" s="18">
        <f t="shared" si="5"/>
        <v>501</v>
      </c>
      <c r="F38" s="18">
        <f t="shared" si="5"/>
        <v>448</v>
      </c>
      <c r="G38" s="18">
        <f t="shared" si="5"/>
        <v>495</v>
      </c>
      <c r="H38" s="18">
        <f t="shared" si="5"/>
        <v>479</v>
      </c>
      <c r="I38" s="18">
        <f t="shared" si="5"/>
        <v>506</v>
      </c>
      <c r="J38" s="18">
        <f t="shared" si="5"/>
        <v>484</v>
      </c>
      <c r="K38" s="18">
        <f t="shared" si="5"/>
        <v>474</v>
      </c>
      <c r="L38" s="18">
        <f t="shared" si="5"/>
        <v>478</v>
      </c>
      <c r="M38" s="18">
        <f t="shared" si="5"/>
        <v>503</v>
      </c>
      <c r="N38" s="18">
        <f t="shared" si="5"/>
        <v>5743</v>
      </c>
    </row>
    <row r="39" spans="1:14" ht="12.75">
      <c r="A39" s="4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3.5" thickBot="1">
      <c r="A40" s="11" t="s">
        <v>38</v>
      </c>
      <c r="B40" s="41">
        <f aca="true" t="shared" si="6" ref="B40:N40">B26+B33-B36</f>
        <v>420</v>
      </c>
      <c r="C40" s="41">
        <f t="shared" si="6"/>
        <v>594</v>
      </c>
      <c r="D40" s="41">
        <f t="shared" si="6"/>
        <v>1817</v>
      </c>
      <c r="E40" s="41">
        <f t="shared" si="6"/>
        <v>2145</v>
      </c>
      <c r="F40" s="41">
        <f t="shared" si="6"/>
        <v>2075</v>
      </c>
      <c r="G40" s="41">
        <f t="shared" si="6"/>
        <v>1755</v>
      </c>
      <c r="H40" s="41">
        <f t="shared" si="6"/>
        <v>355</v>
      </c>
      <c r="I40" s="41">
        <f t="shared" si="6"/>
        <v>269</v>
      </c>
      <c r="J40" s="41">
        <f t="shared" si="6"/>
        <v>-558</v>
      </c>
      <c r="K40" s="41">
        <f t="shared" si="6"/>
        <v>-52</v>
      </c>
      <c r="L40" s="41">
        <f t="shared" si="6"/>
        <v>-73</v>
      </c>
      <c r="M40" s="41">
        <f t="shared" si="6"/>
        <v>-222</v>
      </c>
      <c r="N40" s="41">
        <f t="shared" si="6"/>
        <v>8525</v>
      </c>
    </row>
    <row r="41" ht="13.5" thickTop="1"/>
  </sheetData>
  <mergeCells count="4">
    <mergeCell ref="A1:N1"/>
    <mergeCell ref="A5:N5"/>
    <mergeCell ref="A3:N3"/>
    <mergeCell ref="A4:N4"/>
  </mergeCells>
  <printOptions/>
  <pageMargins left="0.5" right="0" top="0.5" bottom="0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1" sqref="A1:N1"/>
    </sheetView>
  </sheetViews>
  <sheetFormatPr defaultColWidth="9.140625" defaultRowHeight="12.75"/>
  <cols>
    <col min="1" max="1" width="29.28125" style="0" bestFit="1" customWidth="1"/>
  </cols>
  <sheetData>
    <row r="1" spans="1:14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5"/>
    </row>
    <row r="7" spans="1:14" ht="12.7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4" ht="12.75">
      <c r="A8" s="8" t="s">
        <v>14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</row>
    <row r="9" spans="1:14" ht="12.75">
      <c r="A9" s="11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3" t="s">
        <v>16</v>
      </c>
      <c r="B10" s="14">
        <v>9687</v>
      </c>
      <c r="C10" s="14">
        <v>20184</v>
      </c>
      <c r="D10" s="14">
        <v>34307</v>
      </c>
      <c r="E10" s="14">
        <v>39264</v>
      </c>
      <c r="F10" s="14">
        <v>29803</v>
      </c>
      <c r="G10" s="14">
        <v>22740</v>
      </c>
      <c r="H10" s="14">
        <v>12234</v>
      </c>
      <c r="I10" s="14">
        <v>6739</v>
      </c>
      <c r="J10" s="14">
        <v>5544</v>
      </c>
      <c r="K10" s="14">
        <v>5493</v>
      </c>
      <c r="L10" s="14">
        <v>5639</v>
      </c>
      <c r="M10" s="14">
        <v>6430</v>
      </c>
      <c r="N10" s="14">
        <f>SUM(B10:M10)</f>
        <v>198064</v>
      </c>
    </row>
    <row r="11" spans="1:14" ht="12.75">
      <c r="A11" s="13" t="s">
        <v>17</v>
      </c>
      <c r="B11" s="15">
        <v>733</v>
      </c>
      <c r="C11" s="15">
        <v>771</v>
      </c>
      <c r="D11" s="15">
        <v>798</v>
      </c>
      <c r="E11" s="15">
        <v>843</v>
      </c>
      <c r="F11" s="15">
        <v>806</v>
      </c>
      <c r="G11" s="15">
        <v>771</v>
      </c>
      <c r="H11" s="15">
        <v>725</v>
      </c>
      <c r="I11" s="15">
        <v>726</v>
      </c>
      <c r="J11" s="15">
        <v>641</v>
      </c>
      <c r="K11" s="15">
        <v>608</v>
      </c>
      <c r="L11" s="15">
        <v>636</v>
      </c>
      <c r="M11" s="15">
        <v>655</v>
      </c>
      <c r="N11" s="15">
        <f>SUM(B11:M11)</f>
        <v>8713</v>
      </c>
    </row>
    <row r="12" spans="1:14" ht="12.75">
      <c r="A12" s="13" t="s">
        <v>18</v>
      </c>
      <c r="B12" s="16">
        <f>43+130</f>
        <v>173</v>
      </c>
      <c r="C12" s="16">
        <f>59+115</f>
        <v>174</v>
      </c>
      <c r="D12" s="16">
        <f>119+91</f>
        <v>210</v>
      </c>
      <c r="E12" s="16">
        <v>297</v>
      </c>
      <c r="F12" s="16">
        <f>295+91</f>
        <v>386</v>
      </c>
      <c r="G12" s="16">
        <f>292+91</f>
        <v>383</v>
      </c>
      <c r="H12" s="16">
        <f>206+86</f>
        <v>292</v>
      </c>
      <c r="I12" s="16">
        <f>139+86</f>
        <v>225</v>
      </c>
      <c r="J12" s="16">
        <f>70+76</f>
        <v>146</v>
      </c>
      <c r="K12" s="16">
        <f>49+76</f>
        <v>125</v>
      </c>
      <c r="L12" s="16">
        <f>42+76</f>
        <v>118</v>
      </c>
      <c r="M12" s="16">
        <f>42+81</f>
        <v>123</v>
      </c>
      <c r="N12" s="16">
        <f>SUM(B12:M12)</f>
        <v>2652</v>
      </c>
    </row>
    <row r="13" spans="1:14" ht="12.75">
      <c r="A13" s="11" t="s">
        <v>19</v>
      </c>
      <c r="B13" s="15">
        <f aca="true" t="shared" si="0" ref="B13:M13">SUM(B10:B12)</f>
        <v>10593</v>
      </c>
      <c r="C13" s="15">
        <f t="shared" si="0"/>
        <v>21129</v>
      </c>
      <c r="D13" s="15">
        <f t="shared" si="0"/>
        <v>35315</v>
      </c>
      <c r="E13" s="15">
        <f t="shared" si="0"/>
        <v>40404</v>
      </c>
      <c r="F13" s="15">
        <f t="shared" si="0"/>
        <v>30995</v>
      </c>
      <c r="G13" s="15">
        <f t="shared" si="0"/>
        <v>23894</v>
      </c>
      <c r="H13" s="15">
        <f t="shared" si="0"/>
        <v>13251</v>
      </c>
      <c r="I13" s="15">
        <f t="shared" si="0"/>
        <v>7690</v>
      </c>
      <c r="J13" s="15">
        <f t="shared" si="0"/>
        <v>6331</v>
      </c>
      <c r="K13" s="15">
        <f t="shared" si="0"/>
        <v>6226</v>
      </c>
      <c r="L13" s="15">
        <f t="shared" si="0"/>
        <v>6393</v>
      </c>
      <c r="M13" s="15">
        <f t="shared" si="0"/>
        <v>7208</v>
      </c>
      <c r="N13" s="15">
        <f>SUM(B13:M13)</f>
        <v>209429</v>
      </c>
    </row>
    <row r="14" spans="1:14" ht="12.75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3" t="s">
        <v>20</v>
      </c>
      <c r="B15" s="17">
        <v>7229</v>
      </c>
      <c r="C15" s="17">
        <v>16340</v>
      </c>
      <c r="D15" s="17">
        <v>28658</v>
      </c>
      <c r="E15" s="17">
        <v>32988</v>
      </c>
      <c r="F15" s="17">
        <v>24689</v>
      </c>
      <c r="G15" s="17">
        <v>18505</v>
      </c>
      <c r="H15" s="17">
        <v>9335</v>
      </c>
      <c r="I15" s="17">
        <v>4562</v>
      </c>
      <c r="J15" s="17">
        <v>3537</v>
      </c>
      <c r="K15" s="17">
        <v>3506</v>
      </c>
      <c r="L15" s="17">
        <v>3652</v>
      </c>
      <c r="M15" s="17">
        <v>4355</v>
      </c>
      <c r="N15" s="17">
        <f>SUM(B15:M15)</f>
        <v>157356</v>
      </c>
    </row>
    <row r="16" spans="1:14" ht="12.75">
      <c r="A16" s="11" t="s">
        <v>21</v>
      </c>
      <c r="B16" s="18">
        <f>B13-B15</f>
        <v>3364</v>
      </c>
      <c r="C16" s="18">
        <f aca="true" t="shared" si="1" ref="C16:N16">C13-C15</f>
        <v>4789</v>
      </c>
      <c r="D16" s="18">
        <f t="shared" si="1"/>
        <v>6657</v>
      </c>
      <c r="E16" s="18">
        <f t="shared" si="1"/>
        <v>7416</v>
      </c>
      <c r="F16" s="18">
        <f t="shared" si="1"/>
        <v>6306</v>
      </c>
      <c r="G16" s="18">
        <f t="shared" si="1"/>
        <v>5389</v>
      </c>
      <c r="H16" s="18">
        <f t="shared" si="1"/>
        <v>3916</v>
      </c>
      <c r="I16" s="18">
        <f t="shared" si="1"/>
        <v>3128</v>
      </c>
      <c r="J16" s="18">
        <f t="shared" si="1"/>
        <v>2794</v>
      </c>
      <c r="K16" s="18">
        <f t="shared" si="1"/>
        <v>2720</v>
      </c>
      <c r="L16" s="18">
        <f t="shared" si="1"/>
        <v>2741</v>
      </c>
      <c r="M16" s="18">
        <f t="shared" si="1"/>
        <v>2853</v>
      </c>
      <c r="N16" s="18">
        <f t="shared" si="1"/>
        <v>52073</v>
      </c>
    </row>
    <row r="17" spans="1:14" ht="12.75">
      <c r="A17" s="1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1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3" t="s">
        <v>23</v>
      </c>
      <c r="B19" s="18">
        <f>1159+65</f>
        <v>1224</v>
      </c>
      <c r="C19" s="18">
        <f>1210+142</f>
        <v>1352</v>
      </c>
      <c r="D19" s="18">
        <f>1246+245</f>
        <v>1491</v>
      </c>
      <c r="E19" s="18">
        <f>1225+280</f>
        <v>1505</v>
      </c>
      <c r="F19" s="18">
        <f>1143+211</f>
        <v>1354</v>
      </c>
      <c r="G19" s="18">
        <f>1148+159</f>
        <v>1307</v>
      </c>
      <c r="H19" s="18">
        <f>1101+86</f>
        <v>1187</v>
      </c>
      <c r="I19" s="18">
        <f>1059+47</f>
        <v>1106</v>
      </c>
      <c r="J19" s="18">
        <f>1077+38</f>
        <v>1115</v>
      </c>
      <c r="K19" s="18">
        <f>1036+37</f>
        <v>1073</v>
      </c>
      <c r="L19" s="18">
        <f>1099+37</f>
        <v>1136</v>
      </c>
      <c r="M19" s="18">
        <f>1024+43</f>
        <v>1067</v>
      </c>
      <c r="N19" s="18">
        <f>SUM(B19:M19)</f>
        <v>14917</v>
      </c>
    </row>
    <row r="20" spans="1:14" ht="12.75">
      <c r="A20" s="13" t="s">
        <v>24</v>
      </c>
      <c r="B20" s="18">
        <v>329</v>
      </c>
      <c r="C20" s="18">
        <v>341</v>
      </c>
      <c r="D20" s="18">
        <v>370</v>
      </c>
      <c r="E20" s="18">
        <v>352</v>
      </c>
      <c r="F20" s="18">
        <v>330</v>
      </c>
      <c r="G20" s="18">
        <v>407</v>
      </c>
      <c r="H20" s="18">
        <v>316</v>
      </c>
      <c r="I20" s="18">
        <v>359</v>
      </c>
      <c r="J20" s="18">
        <v>338</v>
      </c>
      <c r="K20" s="18">
        <v>318</v>
      </c>
      <c r="L20" s="18">
        <v>337</v>
      </c>
      <c r="M20" s="18">
        <v>343</v>
      </c>
      <c r="N20" s="18">
        <f>SUM(B20:M20)</f>
        <v>4140</v>
      </c>
    </row>
    <row r="21" spans="1:14" ht="12.75">
      <c r="A21" s="13" t="s">
        <v>25</v>
      </c>
      <c r="B21" s="18">
        <v>949</v>
      </c>
      <c r="C21" s="18">
        <v>949</v>
      </c>
      <c r="D21" s="18">
        <v>940</v>
      </c>
      <c r="E21" s="18">
        <v>940</v>
      </c>
      <c r="F21" s="18">
        <v>940</v>
      </c>
      <c r="G21" s="18">
        <v>940</v>
      </c>
      <c r="H21" s="18">
        <v>942</v>
      </c>
      <c r="I21" s="18">
        <v>944</v>
      </c>
      <c r="J21" s="18">
        <v>947</v>
      </c>
      <c r="K21" s="18">
        <v>951</v>
      </c>
      <c r="L21" s="18">
        <v>957</v>
      </c>
      <c r="M21" s="18">
        <v>969</v>
      </c>
      <c r="N21" s="18">
        <f>SUM(B21:M21)</f>
        <v>11368</v>
      </c>
    </row>
    <row r="22" spans="1:14" ht="12.75">
      <c r="A22" s="13" t="s">
        <v>26</v>
      </c>
      <c r="B22" s="20">
        <v>260</v>
      </c>
      <c r="C22" s="20">
        <v>280</v>
      </c>
      <c r="D22" s="20">
        <v>260</v>
      </c>
      <c r="E22" s="20">
        <v>277</v>
      </c>
      <c r="F22" s="20">
        <v>278</v>
      </c>
      <c r="G22" s="20">
        <v>309</v>
      </c>
      <c r="H22" s="20">
        <v>267</v>
      </c>
      <c r="I22" s="20">
        <v>264</v>
      </c>
      <c r="J22" s="20">
        <v>57</v>
      </c>
      <c r="K22" s="20">
        <v>269</v>
      </c>
      <c r="L22" s="20">
        <v>267</v>
      </c>
      <c r="M22" s="20">
        <v>268</v>
      </c>
      <c r="N22" s="18">
        <f>SUM(B22:M22)</f>
        <v>3056</v>
      </c>
    </row>
    <row r="23" spans="1:14" ht="12.75">
      <c r="A23" s="13" t="s">
        <v>27</v>
      </c>
      <c r="B23" s="21">
        <v>80</v>
      </c>
      <c r="C23" s="21">
        <v>559</v>
      </c>
      <c r="D23" s="21">
        <v>1233</v>
      </c>
      <c r="E23" s="21">
        <v>1530</v>
      </c>
      <c r="F23" s="21">
        <v>1163</v>
      </c>
      <c r="G23" s="21">
        <v>788</v>
      </c>
      <c r="H23" s="21">
        <v>325</v>
      </c>
      <c r="I23" s="21">
        <v>26</v>
      </c>
      <c r="J23" s="21">
        <v>-17</v>
      </c>
      <c r="K23" s="21">
        <v>-105</v>
      </c>
      <c r="L23" s="21">
        <v>-135</v>
      </c>
      <c r="M23" s="21">
        <v>-77</v>
      </c>
      <c r="N23" s="17">
        <f>SUM(B23:M23)</f>
        <v>5370</v>
      </c>
    </row>
    <row r="24" spans="1:14" ht="12.75">
      <c r="A24" s="11" t="s">
        <v>28</v>
      </c>
      <c r="B24" s="18">
        <f>SUM(B19:B23)</f>
        <v>2842</v>
      </c>
      <c r="C24" s="18">
        <f aca="true" t="shared" si="2" ref="C24:M24">SUM(C19:C23)</f>
        <v>3481</v>
      </c>
      <c r="D24" s="18">
        <f t="shared" si="2"/>
        <v>4294</v>
      </c>
      <c r="E24" s="18">
        <f t="shared" si="2"/>
        <v>4604</v>
      </c>
      <c r="F24" s="18">
        <f t="shared" si="2"/>
        <v>4065</v>
      </c>
      <c r="G24" s="18">
        <f t="shared" si="2"/>
        <v>3751</v>
      </c>
      <c r="H24" s="18">
        <f t="shared" si="2"/>
        <v>3037</v>
      </c>
      <c r="I24" s="18">
        <f t="shared" si="2"/>
        <v>2699</v>
      </c>
      <c r="J24" s="18">
        <f t="shared" si="2"/>
        <v>2440</v>
      </c>
      <c r="K24" s="18">
        <f t="shared" si="2"/>
        <v>2506</v>
      </c>
      <c r="L24" s="18">
        <f t="shared" si="2"/>
        <v>2562</v>
      </c>
      <c r="M24" s="18">
        <f t="shared" si="2"/>
        <v>2570</v>
      </c>
      <c r="N24" s="18">
        <f>SUM(N19:N23)</f>
        <v>38851</v>
      </c>
    </row>
    <row r="25" spans="1:14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1" t="s">
        <v>29</v>
      </c>
      <c r="B26" s="15">
        <f aca="true" t="shared" si="3" ref="B26:N26">B16-B24</f>
        <v>522</v>
      </c>
      <c r="C26" s="15">
        <f t="shared" si="3"/>
        <v>1308</v>
      </c>
      <c r="D26" s="15">
        <f t="shared" si="3"/>
        <v>2363</v>
      </c>
      <c r="E26" s="15">
        <f t="shared" si="3"/>
        <v>2812</v>
      </c>
      <c r="F26" s="15">
        <f t="shared" si="3"/>
        <v>2241</v>
      </c>
      <c r="G26" s="15">
        <f t="shared" si="3"/>
        <v>1638</v>
      </c>
      <c r="H26" s="15">
        <f t="shared" si="3"/>
        <v>879</v>
      </c>
      <c r="I26" s="15">
        <f t="shared" si="3"/>
        <v>429</v>
      </c>
      <c r="J26" s="15">
        <f t="shared" si="3"/>
        <v>354</v>
      </c>
      <c r="K26" s="15">
        <f t="shared" si="3"/>
        <v>214</v>
      </c>
      <c r="L26" s="15">
        <f t="shared" si="3"/>
        <v>179</v>
      </c>
      <c r="M26" s="15">
        <f t="shared" si="3"/>
        <v>283</v>
      </c>
      <c r="N26" s="15">
        <f t="shared" si="3"/>
        <v>13222</v>
      </c>
    </row>
    <row r="27" spans="1:14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6" t="s">
        <v>31</v>
      </c>
      <c r="B29" s="27">
        <v>14</v>
      </c>
      <c r="C29" s="27">
        <v>14</v>
      </c>
      <c r="D29" s="27">
        <v>24</v>
      </c>
      <c r="E29" s="27">
        <v>24</v>
      </c>
      <c r="F29" s="27">
        <v>24</v>
      </c>
      <c r="G29" s="27">
        <v>24</v>
      </c>
      <c r="H29" s="27">
        <v>24</v>
      </c>
      <c r="I29" s="27">
        <v>24</v>
      </c>
      <c r="J29" s="27">
        <v>24</v>
      </c>
      <c r="K29" s="27">
        <v>24</v>
      </c>
      <c r="L29" s="27">
        <v>24</v>
      </c>
      <c r="M29" s="28">
        <v>24</v>
      </c>
      <c r="N29" s="29">
        <f>SUM(B29:M29)</f>
        <v>268</v>
      </c>
    </row>
    <row r="30" spans="1:14" ht="12.75">
      <c r="A30" t="s">
        <v>32</v>
      </c>
      <c r="B30" s="29">
        <v>15</v>
      </c>
      <c r="C30" s="29">
        <v>17</v>
      </c>
      <c r="D30" s="29">
        <v>21</v>
      </c>
      <c r="E30" s="29">
        <v>15</v>
      </c>
      <c r="F30" s="29">
        <v>38</v>
      </c>
      <c r="G30" s="29">
        <v>18</v>
      </c>
      <c r="H30" s="29">
        <v>17</v>
      </c>
      <c r="I30" s="29">
        <v>18</v>
      </c>
      <c r="J30" s="29">
        <v>20</v>
      </c>
      <c r="K30" s="29">
        <v>20</v>
      </c>
      <c r="L30" s="29">
        <v>20</v>
      </c>
      <c r="M30" s="29">
        <v>21</v>
      </c>
      <c r="N30" s="29">
        <f>SUM(B30:M30)</f>
        <v>240</v>
      </c>
    </row>
    <row r="31" spans="1:14" ht="12.75">
      <c r="A31" s="11" t="s">
        <v>33</v>
      </c>
      <c r="B31" s="30">
        <v>-64</v>
      </c>
      <c r="C31" s="30">
        <f>3+3-5-7</f>
        <v>-6</v>
      </c>
      <c r="D31" s="30">
        <v>-25</v>
      </c>
      <c r="E31" s="30">
        <v>-12</v>
      </c>
      <c r="F31" s="30">
        <v>-24</v>
      </c>
      <c r="G31" s="30">
        <v>2</v>
      </c>
      <c r="H31" s="30">
        <v>-16</v>
      </c>
      <c r="I31" s="30">
        <v>-19</v>
      </c>
      <c r="J31" s="30">
        <v>-18</v>
      </c>
      <c r="K31" s="30">
        <v>-16</v>
      </c>
      <c r="L31" s="30">
        <v>-27</v>
      </c>
      <c r="M31" s="30">
        <v>-36</v>
      </c>
      <c r="N31" s="29">
        <f>SUM(B31:M31)</f>
        <v>-261</v>
      </c>
    </row>
    <row r="32" spans="1:14" ht="12.75">
      <c r="A32" t="s">
        <v>34</v>
      </c>
      <c r="B32" s="31">
        <v>79</v>
      </c>
      <c r="C32" s="31">
        <v>21</v>
      </c>
      <c r="D32" s="31">
        <v>40</v>
      </c>
      <c r="E32" s="31">
        <v>55</v>
      </c>
      <c r="F32" s="31">
        <v>32</v>
      </c>
      <c r="G32" s="31">
        <v>31</v>
      </c>
      <c r="H32" s="31">
        <v>76</v>
      </c>
      <c r="I32" s="31">
        <v>59</v>
      </c>
      <c r="J32" s="31">
        <v>67</v>
      </c>
      <c r="K32" s="31">
        <v>67</v>
      </c>
      <c r="L32" s="31">
        <v>68</v>
      </c>
      <c r="M32" s="31">
        <v>69</v>
      </c>
      <c r="N32" s="31">
        <f>SUM(B32:M32)</f>
        <v>664</v>
      </c>
    </row>
    <row r="33" spans="1:14" ht="12.75">
      <c r="A33" s="32" t="s">
        <v>35</v>
      </c>
      <c r="B33" s="33">
        <f>SUM(B29:B32)</f>
        <v>44</v>
      </c>
      <c r="C33" s="33">
        <f aca="true" t="shared" si="4" ref="C33:N33">SUM(C29:C32)</f>
        <v>46</v>
      </c>
      <c r="D33" s="33">
        <f t="shared" si="4"/>
        <v>60</v>
      </c>
      <c r="E33" s="33">
        <f t="shared" si="4"/>
        <v>82</v>
      </c>
      <c r="F33" s="33">
        <f t="shared" si="4"/>
        <v>70</v>
      </c>
      <c r="G33" s="33">
        <f t="shared" si="4"/>
        <v>75</v>
      </c>
      <c r="H33" s="33">
        <f t="shared" si="4"/>
        <v>101</v>
      </c>
      <c r="I33" s="33">
        <f t="shared" si="4"/>
        <v>82</v>
      </c>
      <c r="J33" s="33">
        <f t="shared" si="4"/>
        <v>93</v>
      </c>
      <c r="K33" s="33">
        <f t="shared" si="4"/>
        <v>95</v>
      </c>
      <c r="L33" s="33">
        <f t="shared" si="4"/>
        <v>85</v>
      </c>
      <c r="M33" s="33">
        <f t="shared" si="4"/>
        <v>78</v>
      </c>
      <c r="N33" s="33">
        <f t="shared" si="4"/>
        <v>911</v>
      </c>
    </row>
    <row r="34" spans="3:14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4"/>
    </row>
    <row r="35" spans="1:14" ht="12.75">
      <c r="A35" s="32" t="s">
        <v>36</v>
      </c>
      <c r="B35" s="3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6"/>
    </row>
    <row r="36" spans="1:14" ht="12.75">
      <c r="A36" s="32"/>
      <c r="B36" s="38">
        <f>411+29</f>
        <v>440</v>
      </c>
      <c r="C36" s="38">
        <f>441+31</f>
        <v>472</v>
      </c>
      <c r="D36" s="38">
        <f>440+38</f>
        <v>478</v>
      </c>
      <c r="E36" s="38">
        <v>480</v>
      </c>
      <c r="F36" s="38">
        <f>442+35</f>
        <v>477</v>
      </c>
      <c r="G36" s="38">
        <f>442+29</f>
        <v>471</v>
      </c>
      <c r="H36" s="38">
        <f>443+25</f>
        <v>468</v>
      </c>
      <c r="I36" s="38">
        <f>443+27</f>
        <v>470</v>
      </c>
      <c r="J36" s="38">
        <f>443+30</f>
        <v>473</v>
      </c>
      <c r="K36" s="38">
        <f>445+30</f>
        <v>475</v>
      </c>
      <c r="L36" s="38">
        <f>445+32</f>
        <v>477</v>
      </c>
      <c r="M36" s="38">
        <f>445+37</f>
        <v>482</v>
      </c>
      <c r="N36" s="38">
        <f>SUM(B36:M36)</f>
        <v>5663</v>
      </c>
    </row>
    <row r="37" spans="1:14" ht="12.75">
      <c r="A37" s="3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2.75">
      <c r="A38" s="24" t="s">
        <v>37</v>
      </c>
      <c r="B38" s="18">
        <f>B36</f>
        <v>440</v>
      </c>
      <c r="C38" s="18">
        <f aca="true" t="shared" si="5" ref="C38:N38">C36</f>
        <v>472</v>
      </c>
      <c r="D38" s="18">
        <f t="shared" si="5"/>
        <v>478</v>
      </c>
      <c r="E38" s="18">
        <f t="shared" si="5"/>
        <v>480</v>
      </c>
      <c r="F38" s="18">
        <f t="shared" si="5"/>
        <v>477</v>
      </c>
      <c r="G38" s="18">
        <f t="shared" si="5"/>
        <v>471</v>
      </c>
      <c r="H38" s="18">
        <f t="shared" si="5"/>
        <v>468</v>
      </c>
      <c r="I38" s="18">
        <f t="shared" si="5"/>
        <v>470</v>
      </c>
      <c r="J38" s="18">
        <f t="shared" si="5"/>
        <v>473</v>
      </c>
      <c r="K38" s="18">
        <f t="shared" si="5"/>
        <v>475</v>
      </c>
      <c r="L38" s="18">
        <f t="shared" si="5"/>
        <v>477</v>
      </c>
      <c r="M38" s="18">
        <f t="shared" si="5"/>
        <v>482</v>
      </c>
      <c r="N38" s="18">
        <f t="shared" si="5"/>
        <v>5663</v>
      </c>
    </row>
    <row r="39" spans="1:14" ht="12.75">
      <c r="A39" s="4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3.5" thickBot="1">
      <c r="A40" s="11" t="s">
        <v>38</v>
      </c>
      <c r="B40" s="41">
        <f aca="true" t="shared" si="6" ref="B40:N40">B26+B33-B36</f>
        <v>126</v>
      </c>
      <c r="C40" s="41">
        <f t="shared" si="6"/>
        <v>882</v>
      </c>
      <c r="D40" s="41">
        <f t="shared" si="6"/>
        <v>1945</v>
      </c>
      <c r="E40" s="41">
        <f t="shared" si="6"/>
        <v>2414</v>
      </c>
      <c r="F40" s="41">
        <f t="shared" si="6"/>
        <v>1834</v>
      </c>
      <c r="G40" s="41">
        <f t="shared" si="6"/>
        <v>1242</v>
      </c>
      <c r="H40" s="41">
        <f t="shared" si="6"/>
        <v>512</v>
      </c>
      <c r="I40" s="41">
        <f t="shared" si="6"/>
        <v>41</v>
      </c>
      <c r="J40" s="41">
        <f t="shared" si="6"/>
        <v>-26</v>
      </c>
      <c r="K40" s="41">
        <f t="shared" si="6"/>
        <v>-166</v>
      </c>
      <c r="L40" s="41">
        <f t="shared" si="6"/>
        <v>-213</v>
      </c>
      <c r="M40" s="41">
        <f t="shared" si="6"/>
        <v>-121</v>
      </c>
      <c r="N40" s="41">
        <f t="shared" si="6"/>
        <v>8470</v>
      </c>
    </row>
    <row r="41" ht="13.5" thickTop="1"/>
  </sheetData>
  <mergeCells count="4">
    <mergeCell ref="A1:N1"/>
    <mergeCell ref="A3:N3"/>
    <mergeCell ref="A4:N4"/>
    <mergeCell ref="A5:N5"/>
  </mergeCells>
  <printOptions/>
  <pageMargins left="0.5" right="0" top="0.5" bottom="0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A1" sqref="A1:N1"/>
    </sheetView>
  </sheetViews>
  <sheetFormatPr defaultColWidth="9.140625" defaultRowHeight="12.75"/>
  <cols>
    <col min="1" max="1" width="29.28125" style="0" bestFit="1" customWidth="1"/>
  </cols>
  <sheetData>
    <row r="1" spans="1:14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5"/>
    </row>
    <row r="7" spans="1:14" ht="12.7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4" ht="12.75">
      <c r="A8" s="8" t="s">
        <v>14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</row>
    <row r="9" spans="1:14" ht="12.75">
      <c r="A9" s="11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3" t="s">
        <v>16</v>
      </c>
      <c r="B10" s="14">
        <f>'Test Yr Actuals'!B10-'Test Yr Budget'!B10</f>
        <v>-1246</v>
      </c>
      <c r="C10" s="14">
        <f>'Test Yr Actuals'!C10-'Test Yr Budget'!C10</f>
        <v>-4912</v>
      </c>
      <c r="D10" s="14">
        <f>'Test Yr Actuals'!D10-'Test Yr Budget'!D10</f>
        <v>-1558</v>
      </c>
      <c r="E10" s="14">
        <f>'Test Yr Actuals'!E10-'Test Yr Budget'!E10</f>
        <v>-7343</v>
      </c>
      <c r="F10" s="14">
        <f>'Test Yr Actuals'!F10-'Test Yr Budget'!F10</f>
        <v>-752</v>
      </c>
      <c r="G10" s="14">
        <f>'Test Yr Actuals'!G10-'Test Yr Budget'!G10</f>
        <v>2355</v>
      </c>
      <c r="H10" s="14">
        <f>'Test Yr Actuals'!H10-'Test Yr Budget'!H10</f>
        <v>-255</v>
      </c>
      <c r="I10" s="14">
        <f>'Test Yr Actuals'!I10-'Test Yr Budget'!I10</f>
        <v>3013</v>
      </c>
      <c r="J10" s="14">
        <f>'Test Yr Actuals'!J10-'Test Yr Budget'!J10</f>
        <v>2385</v>
      </c>
      <c r="K10" s="14">
        <f>'Test Yr Actuals'!K10-'Test Yr Budget'!K10</f>
        <v>1883</v>
      </c>
      <c r="L10" s="14">
        <f>'Test Yr Actuals'!L10-'Test Yr Budget'!L10</f>
        <v>2663</v>
      </c>
      <c r="M10" s="14">
        <f>'Test Yr Actuals'!M10-'Test Yr Budget'!M10</f>
        <v>2622</v>
      </c>
      <c r="N10" s="14">
        <f>SUM(B10:M10)</f>
        <v>-1145</v>
      </c>
    </row>
    <row r="11" spans="1:14" ht="12.75">
      <c r="A11" s="13" t="s">
        <v>17</v>
      </c>
      <c r="B11" s="15">
        <f>'Test Yr Actuals'!B11-'Test Yr Budget'!B11</f>
        <v>-8</v>
      </c>
      <c r="C11" s="15">
        <f>'Test Yr Actuals'!C11-'Test Yr Budget'!C11</f>
        <v>6</v>
      </c>
      <c r="D11" s="15">
        <f>'Test Yr Actuals'!D11-'Test Yr Budget'!D11</f>
        <v>239</v>
      </c>
      <c r="E11" s="15">
        <f>'Test Yr Actuals'!E11-'Test Yr Budget'!E11</f>
        <v>104</v>
      </c>
      <c r="F11" s="15">
        <f>'Test Yr Actuals'!F11-'Test Yr Budget'!F11</f>
        <v>152</v>
      </c>
      <c r="G11" s="15">
        <f>'Test Yr Actuals'!G11-'Test Yr Budget'!G11</f>
        <v>50</v>
      </c>
      <c r="H11" s="15">
        <f>'Test Yr Actuals'!H11-'Test Yr Budget'!H11</f>
        <v>-11</v>
      </c>
      <c r="I11" s="15">
        <f>'Test Yr Actuals'!I11-'Test Yr Budget'!I11</f>
        <v>3</v>
      </c>
      <c r="J11" s="15">
        <f>'Test Yr Actuals'!J11-'Test Yr Budget'!J11</f>
        <v>30</v>
      </c>
      <c r="K11" s="15">
        <f>'Test Yr Actuals'!K11-'Test Yr Budget'!K11</f>
        <v>33</v>
      </c>
      <c r="L11" s="15">
        <f>'Test Yr Actuals'!L11-'Test Yr Budget'!L11</f>
        <v>91</v>
      </c>
      <c r="M11" s="15">
        <f>'Test Yr Actuals'!M11-'Test Yr Budget'!M11</f>
        <v>88</v>
      </c>
      <c r="N11" s="15">
        <f>SUM(B11:M11)</f>
        <v>777</v>
      </c>
    </row>
    <row r="12" spans="1:14" ht="12.75">
      <c r="A12" s="13" t="s">
        <v>18</v>
      </c>
      <c r="B12" s="16">
        <f>'Test Yr Actuals'!B12-'Test Yr Budget'!B12</f>
        <v>-9</v>
      </c>
      <c r="C12" s="16">
        <f>'Test Yr Actuals'!C12-'Test Yr Budget'!C12</f>
        <v>13</v>
      </c>
      <c r="D12" s="16">
        <f>'Test Yr Actuals'!D12-'Test Yr Budget'!D12</f>
        <v>-16</v>
      </c>
      <c r="E12" s="16">
        <f>'Test Yr Actuals'!E12-'Test Yr Budget'!E12</f>
        <v>-3</v>
      </c>
      <c r="F12" s="16">
        <f>'Test Yr Actuals'!F12-'Test Yr Budget'!F12</f>
        <v>-61</v>
      </c>
      <c r="G12" s="16">
        <f>'Test Yr Actuals'!G12-'Test Yr Budget'!G12</f>
        <v>-134</v>
      </c>
      <c r="H12" s="16">
        <f>'Test Yr Actuals'!H12-'Test Yr Budget'!H12</f>
        <v>-32</v>
      </c>
      <c r="I12" s="16">
        <f>'Test Yr Actuals'!I12-'Test Yr Budget'!I12</f>
        <v>-64</v>
      </c>
      <c r="J12" s="16">
        <f>'Test Yr Actuals'!J12-'Test Yr Budget'!J12</f>
        <v>0</v>
      </c>
      <c r="K12" s="16">
        <f>'Test Yr Actuals'!K12-'Test Yr Budget'!K12</f>
        <v>-19</v>
      </c>
      <c r="L12" s="16">
        <f>'Test Yr Actuals'!L12-'Test Yr Budget'!L12</f>
        <v>-11</v>
      </c>
      <c r="M12" s="16">
        <f>'Test Yr Actuals'!M12-'Test Yr Budget'!M12</f>
        <v>-8</v>
      </c>
      <c r="N12" s="16">
        <f>SUM(B12:M12)</f>
        <v>-344</v>
      </c>
    </row>
    <row r="13" spans="1:14" ht="12.75">
      <c r="A13" s="11" t="s">
        <v>19</v>
      </c>
      <c r="B13" s="15">
        <f aca="true" t="shared" si="0" ref="B13:M13">SUM(B10:B12)</f>
        <v>-1263</v>
      </c>
      <c r="C13" s="15">
        <f t="shared" si="0"/>
        <v>-4893</v>
      </c>
      <c r="D13" s="15">
        <f t="shared" si="0"/>
        <v>-1335</v>
      </c>
      <c r="E13" s="15">
        <f t="shared" si="0"/>
        <v>-7242</v>
      </c>
      <c r="F13" s="15">
        <f t="shared" si="0"/>
        <v>-661</v>
      </c>
      <c r="G13" s="15">
        <f t="shared" si="0"/>
        <v>2271</v>
      </c>
      <c r="H13" s="15">
        <f t="shared" si="0"/>
        <v>-298</v>
      </c>
      <c r="I13" s="15">
        <f t="shared" si="0"/>
        <v>2952</v>
      </c>
      <c r="J13" s="15">
        <f t="shared" si="0"/>
        <v>2415</v>
      </c>
      <c r="K13" s="15">
        <f t="shared" si="0"/>
        <v>1897</v>
      </c>
      <c r="L13" s="15">
        <f t="shared" si="0"/>
        <v>2743</v>
      </c>
      <c r="M13" s="15">
        <f t="shared" si="0"/>
        <v>2702</v>
      </c>
      <c r="N13" s="15">
        <f>SUM(B13:M13)</f>
        <v>-712</v>
      </c>
    </row>
    <row r="14" spans="1:14" ht="12.75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3" t="s">
        <v>20</v>
      </c>
      <c r="B15" s="42">
        <f>'Test Yr Actuals'!B15-'Test Yr Budget'!B15</f>
        <v>-1553</v>
      </c>
      <c r="C15" s="42">
        <f>'Test Yr Actuals'!C15-'Test Yr Budget'!C15</f>
        <v>-4418</v>
      </c>
      <c r="D15" s="42">
        <f>'Test Yr Actuals'!D15-'Test Yr Budget'!D15</f>
        <v>-1200</v>
      </c>
      <c r="E15" s="42">
        <f>'Test Yr Actuals'!E15-'Test Yr Budget'!E15</f>
        <v>-6839</v>
      </c>
      <c r="F15" s="42">
        <f>'Test Yr Actuals'!F15-'Test Yr Budget'!F15</f>
        <v>-1269</v>
      </c>
      <c r="G15" s="42">
        <f>'Test Yr Actuals'!G15-'Test Yr Budget'!G15</f>
        <v>2836</v>
      </c>
      <c r="H15" s="42">
        <f>'Test Yr Actuals'!H15-'Test Yr Budget'!H15</f>
        <v>-244</v>
      </c>
      <c r="I15" s="42">
        <f>'Test Yr Actuals'!I15-'Test Yr Budget'!I15</f>
        <v>2792</v>
      </c>
      <c r="J15" s="42">
        <f>'Test Yr Actuals'!J15-'Test Yr Budget'!J15</f>
        <v>2214</v>
      </c>
      <c r="K15" s="42">
        <f>'Test Yr Actuals'!K15-'Test Yr Budget'!K15</f>
        <v>1727</v>
      </c>
      <c r="L15" s="42">
        <f>'Test Yr Actuals'!L15-'Test Yr Budget'!L15</f>
        <v>2448</v>
      </c>
      <c r="M15" s="42">
        <f>'Test Yr Actuals'!M15-'Test Yr Budget'!M15</f>
        <v>2566</v>
      </c>
      <c r="N15" s="17">
        <f>SUM(B15:M15)</f>
        <v>-940</v>
      </c>
    </row>
    <row r="16" spans="1:14" ht="12.75">
      <c r="A16" s="11" t="s">
        <v>21</v>
      </c>
      <c r="B16" s="18">
        <f>B13-B15</f>
        <v>290</v>
      </c>
      <c r="C16" s="18">
        <f aca="true" t="shared" si="1" ref="C16:M16">C13-C15</f>
        <v>-475</v>
      </c>
      <c r="D16" s="18">
        <f t="shared" si="1"/>
        <v>-135</v>
      </c>
      <c r="E16" s="18">
        <f t="shared" si="1"/>
        <v>-403</v>
      </c>
      <c r="F16" s="18">
        <f t="shared" si="1"/>
        <v>608</v>
      </c>
      <c r="G16" s="18">
        <f t="shared" si="1"/>
        <v>-565</v>
      </c>
      <c r="H16" s="18">
        <f t="shared" si="1"/>
        <v>-54</v>
      </c>
      <c r="I16" s="18">
        <f t="shared" si="1"/>
        <v>160</v>
      </c>
      <c r="J16" s="18">
        <f t="shared" si="1"/>
        <v>201</v>
      </c>
      <c r="K16" s="18">
        <f t="shared" si="1"/>
        <v>170</v>
      </c>
      <c r="L16" s="18">
        <f t="shared" si="1"/>
        <v>295</v>
      </c>
      <c r="M16" s="18">
        <f t="shared" si="1"/>
        <v>136</v>
      </c>
      <c r="N16" s="18">
        <f>N13-N15</f>
        <v>228</v>
      </c>
    </row>
    <row r="17" spans="1:14" ht="12.75">
      <c r="A17" s="1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1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3" t="s">
        <v>23</v>
      </c>
      <c r="B19" s="15">
        <f>'Test Yr Actuals'!B19-'Test Yr Budget'!B19</f>
        <v>-106</v>
      </c>
      <c r="C19" s="15">
        <f>'Test Yr Actuals'!C19-'Test Yr Budget'!C19</f>
        <v>-115</v>
      </c>
      <c r="D19" s="15">
        <f>'Test Yr Actuals'!D19-'Test Yr Budget'!D19</f>
        <v>129</v>
      </c>
      <c r="E19" s="15">
        <f>'Test Yr Actuals'!E19-'Test Yr Budget'!E19</f>
        <v>20</v>
      </c>
      <c r="F19" s="15">
        <f>'Test Yr Actuals'!F19-'Test Yr Budget'!F19</f>
        <v>142</v>
      </c>
      <c r="G19" s="15">
        <f>'Test Yr Actuals'!G19-'Test Yr Budget'!G19</f>
        <v>-1119</v>
      </c>
      <c r="H19" s="15">
        <f>'Test Yr Actuals'!H19-'Test Yr Budget'!H19</f>
        <v>-28</v>
      </c>
      <c r="I19" s="15">
        <f>'Test Yr Actuals'!I19-'Test Yr Budget'!I19</f>
        <v>-95</v>
      </c>
      <c r="J19" s="15">
        <f>'Test Yr Actuals'!J19-'Test Yr Budget'!J19</f>
        <v>931</v>
      </c>
      <c r="K19" s="15">
        <f>'Test Yr Actuals'!K19-'Test Yr Budget'!K19</f>
        <v>33</v>
      </c>
      <c r="L19" s="15">
        <f>'Test Yr Actuals'!L19-'Test Yr Budget'!L19</f>
        <v>30</v>
      </c>
      <c r="M19" s="15">
        <f>'Test Yr Actuals'!M19-'Test Yr Budget'!M19</f>
        <v>25</v>
      </c>
      <c r="N19" s="18">
        <f>SUM(B19:M19)</f>
        <v>-153</v>
      </c>
    </row>
    <row r="20" spans="1:14" ht="12.75">
      <c r="A20" s="13" t="s">
        <v>24</v>
      </c>
      <c r="B20" s="15">
        <f>'Test Yr Actuals'!B20-'Test Yr Budget'!B20</f>
        <v>-21</v>
      </c>
      <c r="C20" s="15">
        <f>'Test Yr Actuals'!C20-'Test Yr Budget'!C20</f>
        <v>46</v>
      </c>
      <c r="D20" s="15">
        <f>'Test Yr Actuals'!D20-'Test Yr Budget'!D20</f>
        <v>-46</v>
      </c>
      <c r="E20" s="15">
        <f>'Test Yr Actuals'!E20-'Test Yr Budget'!E20</f>
        <v>-13</v>
      </c>
      <c r="F20" s="15">
        <f>'Test Yr Actuals'!F20-'Test Yr Budget'!F20</f>
        <v>21</v>
      </c>
      <c r="G20" s="15">
        <f>'Test Yr Actuals'!G20-'Test Yr Budget'!G20</f>
        <v>-91</v>
      </c>
      <c r="H20" s="15">
        <f>'Test Yr Actuals'!H20-'Test Yr Budget'!H20</f>
        <v>16</v>
      </c>
      <c r="I20" s="15">
        <f>'Test Yr Actuals'!I20-'Test Yr Budget'!I20</f>
        <v>-42</v>
      </c>
      <c r="J20" s="15">
        <f>'Test Yr Actuals'!J20-'Test Yr Budget'!J20</f>
        <v>-49</v>
      </c>
      <c r="K20" s="15">
        <f>'Test Yr Actuals'!K20-'Test Yr Budget'!K20</f>
        <v>-59</v>
      </c>
      <c r="L20" s="15">
        <f>'Test Yr Actuals'!L20-'Test Yr Budget'!L20</f>
        <v>-15</v>
      </c>
      <c r="M20" s="15">
        <f>'Test Yr Actuals'!M20-'Test Yr Budget'!M20</f>
        <v>-33</v>
      </c>
      <c r="N20" s="18">
        <f>SUM(B20:M20)</f>
        <v>-286</v>
      </c>
    </row>
    <row r="21" spans="1:14" ht="12.75">
      <c r="A21" s="13" t="s">
        <v>25</v>
      </c>
      <c r="B21" s="15">
        <f>'Test Yr Actuals'!B21-'Test Yr Budget'!B21</f>
        <v>25</v>
      </c>
      <c r="C21" s="15">
        <f>'Test Yr Actuals'!C21-'Test Yr Budget'!C21</f>
        <v>-3</v>
      </c>
      <c r="D21" s="15">
        <f>'Test Yr Actuals'!D21-'Test Yr Budget'!D21</f>
        <v>15</v>
      </c>
      <c r="E21" s="15">
        <f>'Test Yr Actuals'!E21-'Test Yr Budget'!E21</f>
        <v>-6</v>
      </c>
      <c r="F21" s="15">
        <f>'Test Yr Actuals'!F21-'Test Yr Budget'!F21</f>
        <v>55</v>
      </c>
      <c r="G21" s="15">
        <f>'Test Yr Actuals'!G21-'Test Yr Budget'!G21</f>
        <v>20</v>
      </c>
      <c r="H21" s="15">
        <f>'Test Yr Actuals'!H21-'Test Yr Budget'!H21</f>
        <v>218</v>
      </c>
      <c r="I21" s="15">
        <f>'Test Yr Actuals'!I21-'Test Yr Budget'!I21</f>
        <v>-132</v>
      </c>
      <c r="J21" s="15">
        <f>'Test Yr Actuals'!J21-'Test Yr Budget'!J21</f>
        <v>23</v>
      </c>
      <c r="K21" s="15">
        <f>'Test Yr Actuals'!K21-'Test Yr Budget'!K21</f>
        <v>29</v>
      </c>
      <c r="L21" s="15">
        <f>'Test Yr Actuals'!L21-'Test Yr Budget'!L21</f>
        <v>37</v>
      </c>
      <c r="M21" s="15">
        <f>'Test Yr Actuals'!M21-'Test Yr Budget'!M21</f>
        <v>90</v>
      </c>
      <c r="N21" s="18">
        <f>SUM(B21:M21)</f>
        <v>371</v>
      </c>
    </row>
    <row r="22" spans="1:14" ht="12.75">
      <c r="A22" s="13" t="s">
        <v>26</v>
      </c>
      <c r="B22" s="15">
        <f>'Test Yr Actuals'!B22-'Test Yr Budget'!B22</f>
        <v>-6</v>
      </c>
      <c r="C22" s="15">
        <f>'Test Yr Actuals'!C22-'Test Yr Budget'!C22</f>
        <v>16</v>
      </c>
      <c r="D22" s="15">
        <f>'Test Yr Actuals'!D22-'Test Yr Budget'!D22</f>
        <v>-33</v>
      </c>
      <c r="E22" s="15">
        <f>'Test Yr Actuals'!E22-'Test Yr Budget'!E22</f>
        <v>33</v>
      </c>
      <c r="F22" s="15">
        <f>'Test Yr Actuals'!F22-'Test Yr Budget'!F22</f>
        <v>33</v>
      </c>
      <c r="G22" s="15">
        <f>'Test Yr Actuals'!G22-'Test Yr Budget'!G22</f>
        <v>-41</v>
      </c>
      <c r="H22" s="15">
        <f>'Test Yr Actuals'!H22-'Test Yr Budget'!H22</f>
        <v>-5</v>
      </c>
      <c r="I22" s="15">
        <f>'Test Yr Actuals'!I22-'Test Yr Budget'!I22</f>
        <v>-2</v>
      </c>
      <c r="J22" s="15">
        <f>'Test Yr Actuals'!J22-'Test Yr Budget'!J22</f>
        <v>208</v>
      </c>
      <c r="K22" s="15">
        <f>'Test Yr Actuals'!K22-'Test Yr Budget'!K22</f>
        <v>0</v>
      </c>
      <c r="L22" s="15">
        <f>'Test Yr Actuals'!L22-'Test Yr Budget'!L22</f>
        <v>12</v>
      </c>
      <c r="M22" s="15">
        <f>'Test Yr Actuals'!M22-'Test Yr Budget'!M22</f>
        <v>18</v>
      </c>
      <c r="N22" s="18">
        <f>SUM(B22:M22)</f>
        <v>233</v>
      </c>
    </row>
    <row r="23" spans="1:14" ht="12.75">
      <c r="A23" s="13" t="s">
        <v>27</v>
      </c>
      <c r="B23" s="16">
        <f>'Test Yr Actuals'!B23-'Test Yr Budget'!B23</f>
        <v>186</v>
      </c>
      <c r="C23" s="16">
        <f>'Test Yr Actuals'!C23-'Test Yr Budget'!C23</f>
        <v>-182</v>
      </c>
      <c r="D23" s="16">
        <f>'Test Yr Actuals'!D23-'Test Yr Budget'!D23</f>
        <v>-83</v>
      </c>
      <c r="E23" s="16">
        <f>'Test Yr Actuals'!E23-'Test Yr Budget'!E23</f>
        <v>-172</v>
      </c>
      <c r="F23" s="16">
        <f>'Test Yr Actuals'!F23-'Test Yr Budget'!F23</f>
        <v>151</v>
      </c>
      <c r="G23" s="16">
        <f>'Test Yr Actuals'!G23-'Test Yr Budget'!G23</f>
        <v>132</v>
      </c>
      <c r="H23" s="16">
        <f>'Test Yr Actuals'!H23-'Test Yr Budget'!H23</f>
        <v>-106</v>
      </c>
      <c r="I23" s="16">
        <f>'Test Yr Actuals'!I23-'Test Yr Budget'!I23</f>
        <v>138</v>
      </c>
      <c r="J23" s="16">
        <f>'Test Yr Actuals'!J23-'Test Yr Budget'!J23</f>
        <v>-309</v>
      </c>
      <c r="K23" s="16">
        <f>'Test Yr Actuals'!K23-'Test Yr Budget'!K23</f>
        <v>73</v>
      </c>
      <c r="L23" s="16">
        <f>'Test Yr Actuals'!L23-'Test Yr Budget'!L23</f>
        <v>90</v>
      </c>
      <c r="M23" s="16">
        <f>'Test Yr Actuals'!M23-'Test Yr Budget'!M23</f>
        <v>137</v>
      </c>
      <c r="N23" s="17">
        <f>SUM(B23:M23)</f>
        <v>55</v>
      </c>
    </row>
    <row r="24" spans="1:14" ht="12.75">
      <c r="A24" s="11" t="s">
        <v>28</v>
      </c>
      <c r="B24" s="18">
        <f>SUM(B19:B23)</f>
        <v>78</v>
      </c>
      <c r="C24" s="18">
        <f aca="true" t="shared" si="2" ref="C24:M24">SUM(C19:C23)</f>
        <v>-238</v>
      </c>
      <c r="D24" s="18">
        <f t="shared" si="2"/>
        <v>-18</v>
      </c>
      <c r="E24" s="18">
        <f t="shared" si="2"/>
        <v>-138</v>
      </c>
      <c r="F24" s="18">
        <f t="shared" si="2"/>
        <v>402</v>
      </c>
      <c r="G24" s="18">
        <f t="shared" si="2"/>
        <v>-1099</v>
      </c>
      <c r="H24" s="18">
        <f t="shared" si="2"/>
        <v>95</v>
      </c>
      <c r="I24" s="18">
        <f t="shared" si="2"/>
        <v>-133</v>
      </c>
      <c r="J24" s="18">
        <f t="shared" si="2"/>
        <v>804</v>
      </c>
      <c r="K24" s="18">
        <f t="shared" si="2"/>
        <v>76</v>
      </c>
      <c r="L24" s="18">
        <f t="shared" si="2"/>
        <v>154</v>
      </c>
      <c r="M24" s="18">
        <f t="shared" si="2"/>
        <v>237</v>
      </c>
      <c r="N24" s="18">
        <f>SUM(N19:N23)</f>
        <v>220</v>
      </c>
    </row>
    <row r="25" spans="1:14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1" t="s">
        <v>29</v>
      </c>
      <c r="B26" s="15">
        <f>B16-B24</f>
        <v>212</v>
      </c>
      <c r="C26" s="15">
        <f aca="true" t="shared" si="3" ref="C26:M26">C16-C24</f>
        <v>-237</v>
      </c>
      <c r="D26" s="15">
        <f t="shared" si="3"/>
        <v>-117</v>
      </c>
      <c r="E26" s="15">
        <f t="shared" si="3"/>
        <v>-265</v>
      </c>
      <c r="F26" s="15">
        <f t="shared" si="3"/>
        <v>206</v>
      </c>
      <c r="G26" s="15">
        <f t="shared" si="3"/>
        <v>534</v>
      </c>
      <c r="H26" s="15">
        <f t="shared" si="3"/>
        <v>-149</v>
      </c>
      <c r="I26" s="15">
        <f t="shared" si="3"/>
        <v>293</v>
      </c>
      <c r="J26" s="15">
        <f t="shared" si="3"/>
        <v>-603</v>
      </c>
      <c r="K26" s="15">
        <f t="shared" si="3"/>
        <v>94</v>
      </c>
      <c r="L26" s="15">
        <f t="shared" si="3"/>
        <v>141</v>
      </c>
      <c r="M26" s="15">
        <f t="shared" si="3"/>
        <v>-101</v>
      </c>
      <c r="N26" s="15">
        <f>N16-N24</f>
        <v>8</v>
      </c>
    </row>
    <row r="27" spans="1:14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6" t="s">
        <v>31</v>
      </c>
      <c r="B29" s="15">
        <f>'Test Yr Actuals'!B29-'Test Yr Budget'!B29</f>
        <v>1</v>
      </c>
      <c r="C29" s="15">
        <f>'Test Yr Actuals'!C29-'Test Yr Budget'!C29</f>
        <v>-8</v>
      </c>
      <c r="D29" s="15">
        <f>'Test Yr Actuals'!D29-'Test Yr Budget'!D29</f>
        <v>-12</v>
      </c>
      <c r="E29" s="15">
        <f>'Test Yr Actuals'!E29-'Test Yr Budget'!E29</f>
        <v>-1</v>
      </c>
      <c r="F29" s="15">
        <f>'Test Yr Actuals'!F29-'Test Yr Budget'!F29</f>
        <v>0</v>
      </c>
      <c r="G29" s="15">
        <f>'Test Yr Actuals'!G29-'Test Yr Budget'!G29</f>
        <v>0</v>
      </c>
      <c r="H29" s="15">
        <f>'Test Yr Actuals'!H29-'Test Yr Budget'!H29</f>
        <v>0</v>
      </c>
      <c r="I29" s="15">
        <f>'Test Yr Actuals'!I29-'Test Yr Budget'!I29</f>
        <v>-39</v>
      </c>
      <c r="J29" s="15">
        <f>'Test Yr Actuals'!J29-'Test Yr Budget'!J29</f>
        <v>8</v>
      </c>
      <c r="K29" s="15">
        <f>'Test Yr Actuals'!K29-'Test Yr Budget'!K29</f>
        <v>-5</v>
      </c>
      <c r="L29" s="15">
        <f>'Test Yr Actuals'!L29-'Test Yr Budget'!L29</f>
        <v>15</v>
      </c>
      <c r="M29" s="15">
        <f>'Test Yr Actuals'!M29-'Test Yr Budget'!M29</f>
        <v>5</v>
      </c>
      <c r="N29" s="29">
        <f>SUM(B29:M29)</f>
        <v>-36</v>
      </c>
    </row>
    <row r="30" spans="1:14" ht="12.75">
      <c r="A30" t="s">
        <v>32</v>
      </c>
      <c r="B30" s="15">
        <f>'Test Yr Actuals'!B30-'Test Yr Budget'!B30</f>
        <v>3</v>
      </c>
      <c r="C30" s="15">
        <f>'Test Yr Actuals'!C30-'Test Yr Budget'!C30</f>
        <v>-1</v>
      </c>
      <c r="D30" s="15">
        <f>'Test Yr Actuals'!D30-'Test Yr Budget'!D30</f>
        <v>-8</v>
      </c>
      <c r="E30" s="15">
        <f>'Test Yr Actuals'!E30-'Test Yr Budget'!E30</f>
        <v>15</v>
      </c>
      <c r="F30" s="15">
        <f>'Test Yr Actuals'!F30-'Test Yr Budget'!F30</f>
        <v>-22</v>
      </c>
      <c r="G30" s="15">
        <f>'Test Yr Actuals'!G30-'Test Yr Budget'!G30</f>
        <v>13</v>
      </c>
      <c r="H30" s="15">
        <f>'Test Yr Actuals'!H30-'Test Yr Budget'!H30</f>
        <v>27</v>
      </c>
      <c r="I30" s="15">
        <f>'Test Yr Actuals'!I30-'Test Yr Budget'!I30</f>
        <v>34</v>
      </c>
      <c r="J30" s="15">
        <f>'Test Yr Actuals'!J30-'Test Yr Budget'!J30</f>
        <v>51</v>
      </c>
      <c r="K30" s="15">
        <f>'Test Yr Actuals'!K30-'Test Yr Budget'!K30</f>
        <v>4</v>
      </c>
      <c r="L30" s="15">
        <f>'Test Yr Actuals'!L30-'Test Yr Budget'!L30</f>
        <v>-5</v>
      </c>
      <c r="M30" s="15">
        <f>'Test Yr Actuals'!M30-'Test Yr Budget'!M30</f>
        <v>31</v>
      </c>
      <c r="N30" s="29">
        <f>SUM(B30:M30)</f>
        <v>142</v>
      </c>
    </row>
    <row r="31" spans="1:14" ht="12.75">
      <c r="A31" s="11" t="s">
        <v>33</v>
      </c>
      <c r="B31" s="15">
        <f>'Test Yr Actuals'!B31-'Test Yr Budget'!B31</f>
        <v>16</v>
      </c>
      <c r="C31" s="15">
        <f>'Test Yr Actuals'!C31-'Test Yr Budget'!C31</f>
        <v>5</v>
      </c>
      <c r="D31" s="15">
        <f>'Test Yr Actuals'!D31-'Test Yr Budget'!D31</f>
        <v>16</v>
      </c>
      <c r="E31" s="15">
        <f>'Test Yr Actuals'!E31-'Test Yr Budget'!E31</f>
        <v>-2</v>
      </c>
      <c r="F31" s="15">
        <f>'Test Yr Actuals'!F31-'Test Yr Budget'!F31</f>
        <v>22</v>
      </c>
      <c r="G31" s="15">
        <f>'Test Yr Actuals'!G31-'Test Yr Budget'!G31</f>
        <v>-11</v>
      </c>
      <c r="H31" s="15">
        <f>'Test Yr Actuals'!H31-'Test Yr Budget'!H31</f>
        <v>-14</v>
      </c>
      <c r="I31" s="15">
        <f>'Test Yr Actuals'!I31-'Test Yr Budget'!I31</f>
        <v>-25</v>
      </c>
      <c r="J31" s="15">
        <f>'Test Yr Actuals'!J31-'Test Yr Budget'!J31</f>
        <v>17</v>
      </c>
      <c r="K31" s="15">
        <f>'Test Yr Actuals'!K31-'Test Yr Budget'!K31</f>
        <v>7</v>
      </c>
      <c r="L31" s="15">
        <f>'Test Yr Actuals'!L31-'Test Yr Budget'!L31</f>
        <v>-22</v>
      </c>
      <c r="M31" s="15">
        <f>'Test Yr Actuals'!M31-'Test Yr Budget'!M31</f>
        <v>-26</v>
      </c>
      <c r="N31" s="29">
        <f>SUM(B31:M31)</f>
        <v>-17</v>
      </c>
    </row>
    <row r="32" spans="1:14" ht="12.75">
      <c r="A32" t="s">
        <v>34</v>
      </c>
      <c r="B32" s="16">
        <f>'Test Yr Actuals'!B32-'Test Yr Budget'!B32</f>
        <v>38</v>
      </c>
      <c r="C32" s="16">
        <f>'Test Yr Actuals'!C32-'Test Yr Budget'!C32</f>
        <v>-49</v>
      </c>
      <c r="D32" s="16">
        <f>'Test Yr Actuals'!D32-'Test Yr Budget'!D32</f>
        <v>4</v>
      </c>
      <c r="E32" s="16">
        <f>'Test Yr Actuals'!E32-'Test Yr Budget'!E32</f>
        <v>5</v>
      </c>
      <c r="F32" s="16">
        <f>'Test Yr Actuals'!F32-'Test Yr Budget'!F32</f>
        <v>6</v>
      </c>
      <c r="G32" s="16">
        <f>'Test Yr Actuals'!G32-'Test Yr Budget'!G32</f>
        <v>1</v>
      </c>
      <c r="H32" s="16">
        <f>'Test Yr Actuals'!H32-'Test Yr Budget'!H32</f>
        <v>-10</v>
      </c>
      <c r="I32" s="16">
        <f>'Test Yr Actuals'!I32-'Test Yr Budget'!I32</f>
        <v>1</v>
      </c>
      <c r="J32" s="16">
        <f>'Test Yr Actuals'!J32-'Test Yr Budget'!J32</f>
        <v>6</v>
      </c>
      <c r="K32" s="16">
        <f>'Test Yr Actuals'!K32-'Test Yr Budget'!K32</f>
        <v>13</v>
      </c>
      <c r="L32" s="16">
        <f>'Test Yr Actuals'!L32-'Test Yr Budget'!L32</f>
        <v>12</v>
      </c>
      <c r="M32" s="16">
        <f>'Test Yr Actuals'!M32-'Test Yr Budget'!M32</f>
        <v>11</v>
      </c>
      <c r="N32" s="31">
        <f>SUM(B32:M32)</f>
        <v>38</v>
      </c>
    </row>
    <row r="33" spans="1:14" ht="12.75">
      <c r="A33" s="32" t="s">
        <v>35</v>
      </c>
      <c r="B33" s="33">
        <f>SUM(B29:B32)</f>
        <v>58</v>
      </c>
      <c r="C33" s="33">
        <f aca="true" t="shared" si="4" ref="C33:M33">SUM(C29:C32)</f>
        <v>-53</v>
      </c>
      <c r="D33" s="33">
        <f t="shared" si="4"/>
        <v>0</v>
      </c>
      <c r="E33" s="33">
        <f t="shared" si="4"/>
        <v>17</v>
      </c>
      <c r="F33" s="33">
        <f t="shared" si="4"/>
        <v>6</v>
      </c>
      <c r="G33" s="33">
        <f t="shared" si="4"/>
        <v>3</v>
      </c>
      <c r="H33" s="33">
        <f t="shared" si="4"/>
        <v>3</v>
      </c>
      <c r="I33" s="33">
        <f t="shared" si="4"/>
        <v>-29</v>
      </c>
      <c r="J33" s="33">
        <f t="shared" si="4"/>
        <v>82</v>
      </c>
      <c r="K33" s="33">
        <f t="shared" si="4"/>
        <v>19</v>
      </c>
      <c r="L33" s="33">
        <f t="shared" si="4"/>
        <v>0</v>
      </c>
      <c r="M33" s="33">
        <f t="shared" si="4"/>
        <v>21</v>
      </c>
      <c r="N33" s="33">
        <f>SUM(N29:N32)</f>
        <v>127</v>
      </c>
    </row>
    <row r="34" ht="12.75">
      <c r="N34" s="34"/>
    </row>
    <row r="35" spans="1:14" ht="12.75">
      <c r="A35" s="32" t="s">
        <v>36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6"/>
    </row>
    <row r="36" spans="1:14" ht="12.75">
      <c r="A36" s="32"/>
      <c r="B36" s="15">
        <f>'Test Yr Actuals'!B36-'Test Yr Budget'!B36</f>
        <v>-24</v>
      </c>
      <c r="C36" s="15">
        <f>'Test Yr Actuals'!C36-'Test Yr Budget'!C36</f>
        <v>-2</v>
      </c>
      <c r="D36" s="15">
        <f>'Test Yr Actuals'!D36-'Test Yr Budget'!D36</f>
        <v>11</v>
      </c>
      <c r="E36" s="15">
        <f>'Test Yr Actuals'!E36-'Test Yr Budget'!E36</f>
        <v>21</v>
      </c>
      <c r="F36" s="15">
        <f>'Test Yr Actuals'!F36-'Test Yr Budget'!F36</f>
        <v>-29</v>
      </c>
      <c r="G36" s="15">
        <f>'Test Yr Actuals'!G36-'Test Yr Budget'!G36</f>
        <v>24</v>
      </c>
      <c r="H36" s="15">
        <f>'Test Yr Actuals'!H36-'Test Yr Budget'!H36</f>
        <v>11</v>
      </c>
      <c r="I36" s="15">
        <f>'Test Yr Actuals'!I36-'Test Yr Budget'!I36</f>
        <v>36</v>
      </c>
      <c r="J36" s="15">
        <f>'Test Yr Actuals'!J36-'Test Yr Budget'!J36</f>
        <v>11</v>
      </c>
      <c r="K36" s="15">
        <f>'Test Yr Actuals'!K36-'Test Yr Budget'!K36</f>
        <v>-1</v>
      </c>
      <c r="L36" s="15">
        <f>'Test Yr Actuals'!L36-'Test Yr Budget'!L36</f>
        <v>1</v>
      </c>
      <c r="M36" s="15">
        <f>'Test Yr Actuals'!M36-'Test Yr Budget'!M36</f>
        <v>21</v>
      </c>
      <c r="N36" s="38">
        <f>SUM(B36:M36)</f>
        <v>80</v>
      </c>
    </row>
    <row r="37" spans="1:14" ht="12.75">
      <c r="A37" s="3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2.75">
      <c r="A38" s="24" t="s">
        <v>37</v>
      </c>
      <c r="B38" s="18">
        <f>B36</f>
        <v>-24</v>
      </c>
      <c r="C38" s="18">
        <f aca="true" t="shared" si="5" ref="C38:M38">C36</f>
        <v>-2</v>
      </c>
      <c r="D38" s="18">
        <f t="shared" si="5"/>
        <v>11</v>
      </c>
      <c r="E38" s="18">
        <f t="shared" si="5"/>
        <v>21</v>
      </c>
      <c r="F38" s="18">
        <f t="shared" si="5"/>
        <v>-29</v>
      </c>
      <c r="G38" s="18">
        <f t="shared" si="5"/>
        <v>24</v>
      </c>
      <c r="H38" s="18">
        <f t="shared" si="5"/>
        <v>11</v>
      </c>
      <c r="I38" s="18">
        <f t="shared" si="5"/>
        <v>36</v>
      </c>
      <c r="J38" s="18">
        <f t="shared" si="5"/>
        <v>11</v>
      </c>
      <c r="K38" s="18">
        <f t="shared" si="5"/>
        <v>-1</v>
      </c>
      <c r="L38" s="18">
        <f t="shared" si="5"/>
        <v>1</v>
      </c>
      <c r="M38" s="18">
        <f t="shared" si="5"/>
        <v>21</v>
      </c>
      <c r="N38" s="18">
        <f>N36</f>
        <v>80</v>
      </c>
    </row>
    <row r="39" spans="1:14" ht="12.75">
      <c r="A39" s="4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3.5" thickBot="1">
      <c r="A40" s="11" t="s">
        <v>38</v>
      </c>
      <c r="B40" s="41">
        <f>B26+B33-B36</f>
        <v>294</v>
      </c>
      <c r="C40" s="41">
        <f aca="true" t="shared" si="6" ref="C40:M40">C26+C33-C36</f>
        <v>-288</v>
      </c>
      <c r="D40" s="41">
        <f t="shared" si="6"/>
        <v>-128</v>
      </c>
      <c r="E40" s="41">
        <f t="shared" si="6"/>
        <v>-269</v>
      </c>
      <c r="F40" s="41">
        <f t="shared" si="6"/>
        <v>241</v>
      </c>
      <c r="G40" s="41">
        <f t="shared" si="6"/>
        <v>513</v>
      </c>
      <c r="H40" s="41">
        <f t="shared" si="6"/>
        <v>-157</v>
      </c>
      <c r="I40" s="41">
        <f t="shared" si="6"/>
        <v>228</v>
      </c>
      <c r="J40" s="41">
        <f t="shared" si="6"/>
        <v>-532</v>
      </c>
      <c r="K40" s="41">
        <f t="shared" si="6"/>
        <v>114</v>
      </c>
      <c r="L40" s="41">
        <f t="shared" si="6"/>
        <v>140</v>
      </c>
      <c r="M40" s="41">
        <f t="shared" si="6"/>
        <v>-101</v>
      </c>
      <c r="N40" s="41">
        <f>N26+N33-N36</f>
        <v>55</v>
      </c>
    </row>
    <row r="41" ht="13.5" thickTop="1"/>
    <row r="42" ht="12.75">
      <c r="A42" t="s">
        <v>47</v>
      </c>
    </row>
  </sheetData>
  <mergeCells count="4">
    <mergeCell ref="A1:N1"/>
    <mergeCell ref="A3:N3"/>
    <mergeCell ref="A4:N4"/>
    <mergeCell ref="A5:N5"/>
  </mergeCells>
  <printOptions/>
  <pageMargins left="0.5" right="0" top="0.5" bottom="0" header="0.5" footer="0.5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1" sqref="A1:N1"/>
    </sheetView>
  </sheetViews>
  <sheetFormatPr defaultColWidth="9.140625" defaultRowHeight="12.75"/>
  <cols>
    <col min="1" max="1" width="29.28125" style="0" bestFit="1" customWidth="1"/>
  </cols>
  <sheetData>
    <row r="1" spans="1:14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 t="s">
        <v>42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5"/>
    </row>
    <row r="7" spans="1:14" ht="12.7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4" ht="12.75">
      <c r="A8" s="8" t="s">
        <v>14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</row>
    <row r="9" spans="1:14" ht="12.75">
      <c r="A9" s="11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3" t="s">
        <v>16</v>
      </c>
      <c r="B10" s="14">
        <v>9221</v>
      </c>
      <c r="C10" s="14">
        <v>14472</v>
      </c>
      <c r="D10" s="14">
        <v>29460</v>
      </c>
      <c r="E10" s="14">
        <v>38062</v>
      </c>
      <c r="F10" s="14">
        <v>30004</v>
      </c>
      <c r="G10" s="14">
        <v>19757</v>
      </c>
      <c r="H10" s="14">
        <v>11832</v>
      </c>
      <c r="I10" s="14">
        <v>6532</v>
      </c>
      <c r="J10" s="14">
        <v>5913</v>
      </c>
      <c r="K10" s="47">
        <v>6097</v>
      </c>
      <c r="L10" s="47">
        <v>5418</v>
      </c>
      <c r="M10" s="14">
        <v>6559</v>
      </c>
      <c r="N10" s="14">
        <f>SUM(B10:M10)</f>
        <v>183327</v>
      </c>
    </row>
    <row r="11" spans="1:14" ht="12.75">
      <c r="A11" s="13" t="s">
        <v>17</v>
      </c>
      <c r="B11" s="15">
        <v>717</v>
      </c>
      <c r="C11" s="15">
        <v>729</v>
      </c>
      <c r="D11" s="15">
        <v>812</v>
      </c>
      <c r="E11" s="15">
        <v>903</v>
      </c>
      <c r="F11" s="15">
        <v>837</v>
      </c>
      <c r="G11" s="15">
        <v>828</v>
      </c>
      <c r="H11" s="15">
        <v>919</v>
      </c>
      <c r="I11" s="15">
        <v>681</v>
      </c>
      <c r="J11" s="15">
        <v>667</v>
      </c>
      <c r="K11" s="48">
        <v>618</v>
      </c>
      <c r="L11" s="48">
        <v>684</v>
      </c>
      <c r="M11" s="15">
        <v>648</v>
      </c>
      <c r="N11" s="15">
        <f>SUM(B11:M11)</f>
        <v>9043</v>
      </c>
    </row>
    <row r="12" spans="1:14" ht="12.75">
      <c r="A12" s="13" t="s">
        <v>18</v>
      </c>
      <c r="B12" s="16">
        <f>52+124</f>
        <v>176</v>
      </c>
      <c r="C12" s="16">
        <f>69+116</f>
        <v>185</v>
      </c>
      <c r="D12" s="16">
        <f>153+91</f>
        <v>244</v>
      </c>
      <c r="E12" s="16">
        <f>218+80</f>
        <v>298</v>
      </c>
      <c r="F12" s="16">
        <f>317+96</f>
        <v>413</v>
      </c>
      <c r="G12" s="16">
        <v>444</v>
      </c>
      <c r="H12" s="16">
        <v>265</v>
      </c>
      <c r="I12" s="16">
        <f>131+83</f>
        <v>214</v>
      </c>
      <c r="J12" s="16">
        <f>58+72</f>
        <v>130</v>
      </c>
      <c r="K12" s="49">
        <v>61</v>
      </c>
      <c r="L12" s="49">
        <v>186</v>
      </c>
      <c r="M12" s="16">
        <v>130</v>
      </c>
      <c r="N12" s="16">
        <f>SUM(B12:M12)</f>
        <v>2746</v>
      </c>
    </row>
    <row r="13" spans="1:14" ht="12.75">
      <c r="A13" s="11" t="s">
        <v>19</v>
      </c>
      <c r="B13" s="15">
        <f aca="true" t="shared" si="0" ref="B13:M13">SUM(B10:B12)</f>
        <v>10114</v>
      </c>
      <c r="C13" s="15">
        <f t="shared" si="0"/>
        <v>15386</v>
      </c>
      <c r="D13" s="15">
        <f t="shared" si="0"/>
        <v>30516</v>
      </c>
      <c r="E13" s="15">
        <f t="shared" si="0"/>
        <v>39263</v>
      </c>
      <c r="F13" s="15">
        <f t="shared" si="0"/>
        <v>31254</v>
      </c>
      <c r="G13" s="15">
        <f t="shared" si="0"/>
        <v>21029</v>
      </c>
      <c r="H13" s="15">
        <f t="shared" si="0"/>
        <v>13016</v>
      </c>
      <c r="I13" s="15">
        <f t="shared" si="0"/>
        <v>7427</v>
      </c>
      <c r="J13" s="15">
        <f t="shared" si="0"/>
        <v>6710</v>
      </c>
      <c r="K13" s="48">
        <f t="shared" si="0"/>
        <v>6776</v>
      </c>
      <c r="L13" s="48">
        <f t="shared" si="0"/>
        <v>6288</v>
      </c>
      <c r="M13" s="15">
        <f t="shared" si="0"/>
        <v>7337</v>
      </c>
      <c r="N13" s="15">
        <f>SUM(B13:M13)</f>
        <v>195116</v>
      </c>
    </row>
    <row r="14" spans="1:14" ht="12.75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48"/>
      <c r="L14" s="48"/>
      <c r="M14" s="15"/>
      <c r="N14" s="15"/>
    </row>
    <row r="15" spans="1:14" ht="12.75">
      <c r="A15" s="13" t="s">
        <v>20</v>
      </c>
      <c r="B15" s="17">
        <v>6654</v>
      </c>
      <c r="C15" s="17">
        <v>10998</v>
      </c>
      <c r="D15" s="17">
        <v>24115</v>
      </c>
      <c r="E15" s="17">
        <v>31663</v>
      </c>
      <c r="F15" s="17">
        <v>24636</v>
      </c>
      <c r="G15" s="17">
        <v>15475</v>
      </c>
      <c r="H15" s="17">
        <v>8995</v>
      </c>
      <c r="I15" s="17">
        <v>4347</v>
      </c>
      <c r="J15" s="17">
        <v>3828</v>
      </c>
      <c r="K15" s="50">
        <v>3929</v>
      </c>
      <c r="L15" s="50">
        <v>3504</v>
      </c>
      <c r="M15" s="17">
        <v>4405</v>
      </c>
      <c r="N15" s="17">
        <f>SUM(B15:M15)</f>
        <v>142549</v>
      </c>
    </row>
    <row r="16" spans="1:14" ht="12.75">
      <c r="A16" s="11" t="s">
        <v>21</v>
      </c>
      <c r="B16" s="18">
        <f>B13-B15</f>
        <v>3460</v>
      </c>
      <c r="C16" s="18">
        <f aca="true" t="shared" si="1" ref="C16:N16">C13-C15</f>
        <v>4388</v>
      </c>
      <c r="D16" s="18">
        <f t="shared" si="1"/>
        <v>6401</v>
      </c>
      <c r="E16" s="18">
        <f t="shared" si="1"/>
        <v>7600</v>
      </c>
      <c r="F16" s="18">
        <f t="shared" si="1"/>
        <v>6618</v>
      </c>
      <c r="G16" s="18">
        <f t="shared" si="1"/>
        <v>5554</v>
      </c>
      <c r="H16" s="18">
        <f t="shared" si="1"/>
        <v>4021</v>
      </c>
      <c r="I16" s="18">
        <f t="shared" si="1"/>
        <v>3080</v>
      </c>
      <c r="J16" s="18">
        <f t="shared" si="1"/>
        <v>2882</v>
      </c>
      <c r="K16" s="51">
        <f t="shared" si="1"/>
        <v>2847</v>
      </c>
      <c r="L16" s="51">
        <f t="shared" si="1"/>
        <v>2784</v>
      </c>
      <c r="M16" s="18">
        <f t="shared" si="1"/>
        <v>2932</v>
      </c>
      <c r="N16" s="18">
        <f t="shared" si="1"/>
        <v>52567</v>
      </c>
    </row>
    <row r="17" spans="1:14" ht="12.75">
      <c r="A17" s="11"/>
      <c r="B17" s="18"/>
      <c r="C17" s="18"/>
      <c r="D17" s="18"/>
      <c r="E17" s="18"/>
      <c r="F17" s="18"/>
      <c r="G17" s="18"/>
      <c r="H17" s="18"/>
      <c r="I17" s="18"/>
      <c r="J17" s="18"/>
      <c r="K17" s="51"/>
      <c r="L17" s="51"/>
      <c r="M17" s="18"/>
      <c r="N17" s="18"/>
    </row>
    <row r="18" spans="1:14" ht="12.75">
      <c r="A18" s="11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52"/>
      <c r="L18" s="52"/>
      <c r="M18" s="19"/>
      <c r="N18" s="19"/>
    </row>
    <row r="19" spans="1:14" ht="12.75">
      <c r="A19" s="13" t="s">
        <v>23</v>
      </c>
      <c r="B19" s="18">
        <f>981+46</f>
        <v>1027</v>
      </c>
      <c r="C19" s="18">
        <f>941+85</f>
        <v>1026</v>
      </c>
      <c r="D19" s="18">
        <f>895+166</f>
        <v>1061</v>
      </c>
      <c r="E19" s="18">
        <f>1032+216</f>
        <v>1248</v>
      </c>
      <c r="F19" s="18">
        <f>971+168</f>
        <v>1139</v>
      </c>
      <c r="G19" s="18">
        <f>1282+111</f>
        <v>1393</v>
      </c>
      <c r="H19" s="18">
        <v>864</v>
      </c>
      <c r="I19" s="18">
        <f>842</f>
        <v>842</v>
      </c>
      <c r="J19" s="18">
        <v>707</v>
      </c>
      <c r="K19" s="51">
        <f>1341-388</f>
        <v>953</v>
      </c>
      <c r="L19" s="51">
        <v>1004</v>
      </c>
      <c r="M19" s="18">
        <f>181-32</f>
        <v>149</v>
      </c>
      <c r="N19" s="18">
        <f>SUM(B19:M19)</f>
        <v>11413</v>
      </c>
    </row>
    <row r="20" spans="1:14" ht="12.75">
      <c r="A20" s="13" t="s">
        <v>24</v>
      </c>
      <c r="B20" s="18">
        <v>370</v>
      </c>
      <c r="C20" s="18">
        <v>392</v>
      </c>
      <c r="D20" s="18">
        <v>402</v>
      </c>
      <c r="E20" s="18">
        <v>417</v>
      </c>
      <c r="F20" s="18">
        <v>384</v>
      </c>
      <c r="G20" s="18">
        <v>451</v>
      </c>
      <c r="H20" s="18">
        <v>432</v>
      </c>
      <c r="I20" s="18">
        <v>377</v>
      </c>
      <c r="J20" s="18">
        <v>359</v>
      </c>
      <c r="K20" s="51">
        <v>388</v>
      </c>
      <c r="L20" s="51">
        <v>395</v>
      </c>
      <c r="M20" s="18">
        <v>296</v>
      </c>
      <c r="N20" s="18">
        <f>SUM(B20:M20)</f>
        <v>4663</v>
      </c>
    </row>
    <row r="21" spans="1:14" ht="12.75">
      <c r="A21" s="13" t="s">
        <v>25</v>
      </c>
      <c r="B21" s="18">
        <v>912</v>
      </c>
      <c r="C21" s="18">
        <v>914</v>
      </c>
      <c r="D21" s="18">
        <v>903</v>
      </c>
      <c r="E21" s="18">
        <v>925</v>
      </c>
      <c r="F21" s="18">
        <v>943</v>
      </c>
      <c r="G21" s="18">
        <v>895</v>
      </c>
      <c r="H21" s="18">
        <v>880</v>
      </c>
      <c r="I21" s="18">
        <v>898</v>
      </c>
      <c r="J21" s="18">
        <v>875</v>
      </c>
      <c r="K21" s="51">
        <v>934</v>
      </c>
      <c r="L21" s="51">
        <v>922</v>
      </c>
      <c r="M21" s="18">
        <v>1024</v>
      </c>
      <c r="N21" s="18">
        <f>SUM(B21:M21)</f>
        <v>11025</v>
      </c>
    </row>
    <row r="22" spans="1:14" ht="12.75">
      <c r="A22" s="13" t="s">
        <v>26</v>
      </c>
      <c r="B22" s="20">
        <v>219</v>
      </c>
      <c r="C22" s="20">
        <v>240</v>
      </c>
      <c r="D22" s="20">
        <v>217</v>
      </c>
      <c r="E22" s="20">
        <v>233</v>
      </c>
      <c r="F22" s="20">
        <v>235</v>
      </c>
      <c r="G22" s="20">
        <v>266</v>
      </c>
      <c r="H22" s="20">
        <v>225</v>
      </c>
      <c r="I22" s="20">
        <v>215</v>
      </c>
      <c r="J22" s="20">
        <v>220</v>
      </c>
      <c r="K22" s="53">
        <v>223</v>
      </c>
      <c r="L22" s="53">
        <v>227</v>
      </c>
      <c r="M22" s="20">
        <v>208</v>
      </c>
      <c r="N22" s="18">
        <f>SUM(B22:M22)</f>
        <v>2728</v>
      </c>
    </row>
    <row r="23" spans="1:14" ht="12.75">
      <c r="A23" s="13" t="s">
        <v>27</v>
      </c>
      <c r="B23" s="21">
        <v>191</v>
      </c>
      <c r="C23" s="21">
        <v>546</v>
      </c>
      <c r="D23" s="21">
        <v>1306</v>
      </c>
      <c r="E23" s="21">
        <v>1692</v>
      </c>
      <c r="F23" s="21">
        <v>1371</v>
      </c>
      <c r="G23" s="21">
        <v>823</v>
      </c>
      <c r="H23" s="21">
        <v>480</v>
      </c>
      <c r="I23" s="21">
        <v>170</v>
      </c>
      <c r="J23" s="21">
        <v>64</v>
      </c>
      <c r="K23" s="54">
        <v>6</v>
      </c>
      <c r="L23" s="54">
        <v>-46</v>
      </c>
      <c r="M23" s="21">
        <v>486</v>
      </c>
      <c r="N23" s="17">
        <f>SUM(B23:M23)</f>
        <v>7089</v>
      </c>
    </row>
    <row r="24" spans="1:14" ht="12.75">
      <c r="A24" s="11" t="s">
        <v>28</v>
      </c>
      <c r="B24" s="18">
        <f>SUM(B19:B23)</f>
        <v>2719</v>
      </c>
      <c r="C24" s="18">
        <f aca="true" t="shared" si="2" ref="C24:M24">SUM(C19:C23)</f>
        <v>3118</v>
      </c>
      <c r="D24" s="18">
        <f t="shared" si="2"/>
        <v>3889</v>
      </c>
      <c r="E24" s="18">
        <f t="shared" si="2"/>
        <v>4515</v>
      </c>
      <c r="F24" s="18">
        <f t="shared" si="2"/>
        <v>4072</v>
      </c>
      <c r="G24" s="18">
        <f t="shared" si="2"/>
        <v>3828</v>
      </c>
      <c r="H24" s="18">
        <f t="shared" si="2"/>
        <v>2881</v>
      </c>
      <c r="I24" s="18">
        <f t="shared" si="2"/>
        <v>2502</v>
      </c>
      <c r="J24" s="18">
        <f t="shared" si="2"/>
        <v>2225</v>
      </c>
      <c r="K24" s="51">
        <f t="shared" si="2"/>
        <v>2504</v>
      </c>
      <c r="L24" s="51">
        <f t="shared" si="2"/>
        <v>2502</v>
      </c>
      <c r="M24" s="18">
        <f t="shared" si="2"/>
        <v>2163</v>
      </c>
      <c r="N24" s="18">
        <f>SUM(N19:N23)</f>
        <v>36918</v>
      </c>
    </row>
    <row r="25" spans="1:14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55"/>
      <c r="L25" s="55"/>
      <c r="M25" s="23"/>
      <c r="N25" s="23"/>
    </row>
    <row r="26" spans="1:14" ht="12.75">
      <c r="A26" s="11" t="s">
        <v>29</v>
      </c>
      <c r="B26" s="15">
        <f aca="true" t="shared" si="3" ref="B26:N26">B16-B24</f>
        <v>741</v>
      </c>
      <c r="C26" s="15">
        <f t="shared" si="3"/>
        <v>1270</v>
      </c>
      <c r="D26" s="15">
        <f t="shared" si="3"/>
        <v>2512</v>
      </c>
      <c r="E26" s="15">
        <f t="shared" si="3"/>
        <v>3085</v>
      </c>
      <c r="F26" s="15">
        <f t="shared" si="3"/>
        <v>2546</v>
      </c>
      <c r="G26" s="15">
        <f t="shared" si="3"/>
        <v>1726</v>
      </c>
      <c r="H26" s="15">
        <f t="shared" si="3"/>
        <v>1140</v>
      </c>
      <c r="I26" s="15">
        <f t="shared" si="3"/>
        <v>578</v>
      </c>
      <c r="J26" s="15">
        <f t="shared" si="3"/>
        <v>657</v>
      </c>
      <c r="K26" s="48">
        <f t="shared" si="3"/>
        <v>343</v>
      </c>
      <c r="L26" s="48">
        <f t="shared" si="3"/>
        <v>282</v>
      </c>
      <c r="M26" s="15">
        <f t="shared" si="3"/>
        <v>769</v>
      </c>
      <c r="N26" s="15">
        <f t="shared" si="3"/>
        <v>15649</v>
      </c>
    </row>
    <row r="27" spans="1:14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48"/>
      <c r="L27" s="48"/>
      <c r="M27" s="15"/>
      <c r="N27" s="15"/>
    </row>
    <row r="28" spans="1:14" ht="12.75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56"/>
      <c r="L28" s="56"/>
      <c r="M28" s="25"/>
      <c r="N28" s="25"/>
    </row>
    <row r="29" spans="1:14" ht="12.75">
      <c r="A29" s="26" t="s">
        <v>31</v>
      </c>
      <c r="B29" s="27">
        <v>67</v>
      </c>
      <c r="C29" s="27">
        <v>-8</v>
      </c>
      <c r="D29" s="27">
        <v>20</v>
      </c>
      <c r="E29" s="27">
        <v>15</v>
      </c>
      <c r="F29" s="27">
        <v>3</v>
      </c>
      <c r="G29" s="27">
        <v>13</v>
      </c>
      <c r="H29" s="27">
        <v>-16</v>
      </c>
      <c r="I29" s="27">
        <v>13</v>
      </c>
      <c r="J29" s="27">
        <v>-4</v>
      </c>
      <c r="K29" s="27">
        <v>27</v>
      </c>
      <c r="L29" s="27">
        <v>25</v>
      </c>
      <c r="M29" s="28">
        <v>-9</v>
      </c>
      <c r="N29" s="29">
        <f>SUM(B29:M29)</f>
        <v>146</v>
      </c>
    </row>
    <row r="30" spans="1:14" ht="12.75">
      <c r="A30" t="s">
        <v>32</v>
      </c>
      <c r="B30" s="29">
        <v>14</v>
      </c>
      <c r="C30" s="29">
        <v>16</v>
      </c>
      <c r="D30" s="29">
        <v>18</v>
      </c>
      <c r="E30" s="29">
        <v>38</v>
      </c>
      <c r="F30" s="29">
        <v>41</v>
      </c>
      <c r="G30" s="29">
        <v>31</v>
      </c>
      <c r="H30" s="29">
        <v>33</v>
      </c>
      <c r="I30" s="29">
        <v>27</v>
      </c>
      <c r="J30" s="29">
        <v>26</v>
      </c>
      <c r="K30" s="57">
        <v>31</v>
      </c>
      <c r="L30" s="57">
        <v>41</v>
      </c>
      <c r="M30" s="29">
        <v>38</v>
      </c>
      <c r="N30" s="29">
        <f>SUM(B30:M30)</f>
        <v>354</v>
      </c>
    </row>
    <row r="31" spans="1:14" ht="12.75">
      <c r="A31" s="11" t="s">
        <v>33</v>
      </c>
      <c r="B31" s="30">
        <v>-95</v>
      </c>
      <c r="C31" s="30">
        <v>-8</v>
      </c>
      <c r="D31" s="30">
        <v>-21</v>
      </c>
      <c r="E31" s="30">
        <v>-11</v>
      </c>
      <c r="F31" s="30">
        <v>-17</v>
      </c>
      <c r="G31" s="30">
        <v>-20</v>
      </c>
      <c r="H31" s="30">
        <v>-11</v>
      </c>
      <c r="I31" s="30">
        <v>-30</v>
      </c>
      <c r="J31" s="30">
        <v>-49</v>
      </c>
      <c r="K31" s="58">
        <v>-29</v>
      </c>
      <c r="L31" s="58">
        <v>-67</v>
      </c>
      <c r="M31" s="30">
        <v>-4</v>
      </c>
      <c r="N31" s="29">
        <f>SUM(B31:M31)</f>
        <v>-362</v>
      </c>
    </row>
    <row r="32" spans="1:14" ht="12.75">
      <c r="A32" t="s">
        <v>34</v>
      </c>
      <c r="B32" s="31">
        <v>32</v>
      </c>
      <c r="C32" s="31">
        <v>56</v>
      </c>
      <c r="D32" s="31">
        <v>68</v>
      </c>
      <c r="E32" s="31">
        <v>94</v>
      </c>
      <c r="F32" s="31">
        <v>85</v>
      </c>
      <c r="G32" s="31">
        <v>59</v>
      </c>
      <c r="H32" s="31">
        <v>91</v>
      </c>
      <c r="I32" s="31">
        <v>129</v>
      </c>
      <c r="J32" s="31">
        <v>131</v>
      </c>
      <c r="K32" s="59">
        <v>100</v>
      </c>
      <c r="L32" s="59">
        <v>66</v>
      </c>
      <c r="M32" s="31">
        <v>-9</v>
      </c>
      <c r="N32" s="31">
        <f>SUM(B32:M32)</f>
        <v>902</v>
      </c>
    </row>
    <row r="33" spans="1:14" ht="12.75">
      <c r="A33" s="32" t="s">
        <v>35</v>
      </c>
      <c r="B33" s="33">
        <f>SUM(B29:B32)</f>
        <v>18</v>
      </c>
      <c r="C33" s="33">
        <f aca="true" t="shared" si="4" ref="C33:N33">SUM(C29:C32)</f>
        <v>56</v>
      </c>
      <c r="D33" s="33">
        <f t="shared" si="4"/>
        <v>85</v>
      </c>
      <c r="E33" s="33">
        <f t="shared" si="4"/>
        <v>136</v>
      </c>
      <c r="F33" s="33">
        <f t="shared" si="4"/>
        <v>112</v>
      </c>
      <c r="G33" s="33">
        <f t="shared" si="4"/>
        <v>83</v>
      </c>
      <c r="H33" s="33">
        <f t="shared" si="4"/>
        <v>97</v>
      </c>
      <c r="I33" s="33">
        <f t="shared" si="4"/>
        <v>139</v>
      </c>
      <c r="J33" s="33">
        <f t="shared" si="4"/>
        <v>104</v>
      </c>
      <c r="K33" s="60">
        <f t="shared" si="4"/>
        <v>129</v>
      </c>
      <c r="L33" s="60">
        <f t="shared" si="4"/>
        <v>65</v>
      </c>
      <c r="M33" s="33">
        <f t="shared" si="4"/>
        <v>16</v>
      </c>
      <c r="N33" s="33">
        <f t="shared" si="4"/>
        <v>1040</v>
      </c>
    </row>
    <row r="34" spans="3:14" ht="12.75">
      <c r="C34" s="34"/>
      <c r="D34" s="34"/>
      <c r="E34" s="34"/>
      <c r="F34" s="34"/>
      <c r="G34" s="34"/>
      <c r="H34" s="34"/>
      <c r="I34" s="34"/>
      <c r="J34" s="34"/>
      <c r="K34" s="61"/>
      <c r="L34" s="61"/>
      <c r="M34" s="35"/>
      <c r="N34" s="34"/>
    </row>
    <row r="35" spans="1:14" ht="12.75">
      <c r="A35" s="32" t="s">
        <v>36</v>
      </c>
      <c r="B35" s="32"/>
      <c r="C35" s="36"/>
      <c r="D35" s="36"/>
      <c r="E35" s="36"/>
      <c r="F35" s="36"/>
      <c r="G35" s="36"/>
      <c r="H35" s="36"/>
      <c r="I35" s="36"/>
      <c r="J35" s="36"/>
      <c r="K35" s="62"/>
      <c r="L35" s="62"/>
      <c r="M35" s="37"/>
      <c r="N35" s="36"/>
    </row>
    <row r="36" spans="1:14" ht="12.75">
      <c r="A36" s="32"/>
      <c r="B36" s="38">
        <f>419+32</f>
        <v>451</v>
      </c>
      <c r="C36" s="38">
        <f>407+39</f>
        <v>446</v>
      </c>
      <c r="D36" s="38">
        <f>418+36</f>
        <v>454</v>
      </c>
      <c r="E36" s="38">
        <f>424+39</f>
        <v>463</v>
      </c>
      <c r="F36" s="38">
        <f>392+31</f>
        <v>423</v>
      </c>
      <c r="G36" s="38">
        <f>420+30</f>
        <v>450</v>
      </c>
      <c r="H36" s="38">
        <f>401+52</f>
        <v>453</v>
      </c>
      <c r="I36" s="38">
        <f>411+28</f>
        <v>439</v>
      </c>
      <c r="J36" s="38">
        <f>399+30</f>
        <v>429</v>
      </c>
      <c r="K36" s="28">
        <v>449</v>
      </c>
      <c r="L36" s="28">
        <v>434</v>
      </c>
      <c r="M36" s="38">
        <f>400+33</f>
        <v>433</v>
      </c>
      <c r="N36" s="38">
        <f>SUM(B36:M36)</f>
        <v>5324</v>
      </c>
    </row>
    <row r="37" spans="1:14" ht="12.75">
      <c r="A37" s="32"/>
      <c r="B37" s="39"/>
      <c r="C37" s="39"/>
      <c r="D37" s="39"/>
      <c r="E37" s="39"/>
      <c r="F37" s="39"/>
      <c r="G37" s="39"/>
      <c r="H37" s="39"/>
      <c r="I37" s="39"/>
      <c r="J37" s="39"/>
      <c r="K37" s="63"/>
      <c r="L37" s="63"/>
      <c r="M37" s="39"/>
      <c r="N37" s="39"/>
    </row>
    <row r="38" spans="1:14" ht="12.75">
      <c r="A38" s="24" t="s">
        <v>37</v>
      </c>
      <c r="B38" s="18">
        <f>B36</f>
        <v>451</v>
      </c>
      <c r="C38" s="18">
        <f aca="true" t="shared" si="5" ref="C38:N38">C36</f>
        <v>446</v>
      </c>
      <c r="D38" s="18">
        <f t="shared" si="5"/>
        <v>454</v>
      </c>
      <c r="E38" s="18">
        <f t="shared" si="5"/>
        <v>463</v>
      </c>
      <c r="F38" s="18">
        <f t="shared" si="5"/>
        <v>423</v>
      </c>
      <c r="G38" s="18">
        <f t="shared" si="5"/>
        <v>450</v>
      </c>
      <c r="H38" s="18">
        <f t="shared" si="5"/>
        <v>453</v>
      </c>
      <c r="I38" s="18">
        <f t="shared" si="5"/>
        <v>439</v>
      </c>
      <c r="J38" s="18">
        <f t="shared" si="5"/>
        <v>429</v>
      </c>
      <c r="K38" s="51">
        <f t="shared" si="5"/>
        <v>449</v>
      </c>
      <c r="L38" s="51">
        <f t="shared" si="5"/>
        <v>434</v>
      </c>
      <c r="M38" s="18">
        <f t="shared" si="5"/>
        <v>433</v>
      </c>
      <c r="N38" s="18">
        <f t="shared" si="5"/>
        <v>5324</v>
      </c>
    </row>
    <row r="39" spans="1:14" ht="12.75">
      <c r="A39" s="40"/>
      <c r="B39" s="39"/>
      <c r="C39" s="39"/>
      <c r="D39" s="39"/>
      <c r="E39" s="39"/>
      <c r="F39" s="39"/>
      <c r="G39" s="39"/>
      <c r="H39" s="39"/>
      <c r="I39" s="39"/>
      <c r="J39" s="39"/>
      <c r="K39" s="63"/>
      <c r="L39" s="63"/>
      <c r="M39" s="39"/>
      <c r="N39" s="39"/>
    </row>
    <row r="40" spans="1:14" ht="13.5" thickBot="1">
      <c r="A40" s="11" t="s">
        <v>38</v>
      </c>
      <c r="B40" s="41">
        <f aca="true" t="shared" si="6" ref="B40:N40">B26+B33-B36</f>
        <v>308</v>
      </c>
      <c r="C40" s="41">
        <f t="shared" si="6"/>
        <v>880</v>
      </c>
      <c r="D40" s="41">
        <f t="shared" si="6"/>
        <v>2143</v>
      </c>
      <c r="E40" s="41">
        <f t="shared" si="6"/>
        <v>2758</v>
      </c>
      <c r="F40" s="41">
        <f t="shared" si="6"/>
        <v>2235</v>
      </c>
      <c r="G40" s="41">
        <f t="shared" si="6"/>
        <v>1359</v>
      </c>
      <c r="H40" s="41">
        <f t="shared" si="6"/>
        <v>784</v>
      </c>
      <c r="I40" s="41">
        <f t="shared" si="6"/>
        <v>278</v>
      </c>
      <c r="J40" s="41">
        <f t="shared" si="6"/>
        <v>332</v>
      </c>
      <c r="K40" s="64">
        <f t="shared" si="6"/>
        <v>23</v>
      </c>
      <c r="L40" s="64">
        <f t="shared" si="6"/>
        <v>-87</v>
      </c>
      <c r="M40" s="41">
        <f t="shared" si="6"/>
        <v>352</v>
      </c>
      <c r="N40" s="41">
        <f t="shared" si="6"/>
        <v>11365</v>
      </c>
    </row>
    <row r="41" ht="13.5" thickTop="1"/>
  </sheetData>
  <mergeCells count="4">
    <mergeCell ref="A1:N1"/>
    <mergeCell ref="A5:N5"/>
    <mergeCell ref="A3:N3"/>
    <mergeCell ref="A4:N4"/>
  </mergeCells>
  <printOptions/>
  <pageMargins left="0.5" right="0" top="0.5" bottom="0" header="0.5" footer="0.5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1" sqref="A1:N1"/>
    </sheetView>
  </sheetViews>
  <sheetFormatPr defaultColWidth="9.140625" defaultRowHeight="12.75"/>
  <cols>
    <col min="1" max="1" width="29.28125" style="0" bestFit="1" customWidth="1"/>
  </cols>
  <sheetData>
    <row r="1" spans="1:14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 t="s">
        <v>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5"/>
    </row>
    <row r="7" spans="1:14" ht="12.7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4" ht="12.75">
      <c r="A8" s="8" t="s">
        <v>14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</row>
    <row r="9" spans="1:14" ht="12.75">
      <c r="A9" s="11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3" t="s">
        <v>16</v>
      </c>
      <c r="B10" s="14">
        <v>10636</v>
      </c>
      <c r="C10" s="14">
        <v>19520</v>
      </c>
      <c r="D10" s="14">
        <v>32216</v>
      </c>
      <c r="E10" s="14">
        <v>37577</v>
      </c>
      <c r="F10" s="14">
        <v>30673</v>
      </c>
      <c r="G10" s="14">
        <v>22834</v>
      </c>
      <c r="H10" s="14">
        <v>13097</v>
      </c>
      <c r="I10" s="14">
        <v>7707</v>
      </c>
      <c r="J10" s="14">
        <v>4643</v>
      </c>
      <c r="K10" s="14">
        <v>5493</v>
      </c>
      <c r="L10" s="14">
        <v>4843</v>
      </c>
      <c r="M10" s="14">
        <v>5630</v>
      </c>
      <c r="N10" s="14">
        <f>SUM(B10:M10)</f>
        <v>194869</v>
      </c>
    </row>
    <row r="11" spans="1:14" ht="12.75">
      <c r="A11" s="13" t="s">
        <v>17</v>
      </c>
      <c r="B11" s="15">
        <v>701</v>
      </c>
      <c r="C11" s="15">
        <v>701</v>
      </c>
      <c r="D11" s="15">
        <v>788</v>
      </c>
      <c r="E11" s="15">
        <v>835</v>
      </c>
      <c r="F11" s="15">
        <v>787</v>
      </c>
      <c r="G11" s="15">
        <v>748</v>
      </c>
      <c r="H11" s="15">
        <v>700</v>
      </c>
      <c r="I11" s="15">
        <v>657</v>
      </c>
      <c r="J11" s="15">
        <v>626</v>
      </c>
      <c r="K11" s="15">
        <v>608</v>
      </c>
      <c r="L11" s="15">
        <v>595</v>
      </c>
      <c r="M11" s="15">
        <v>631</v>
      </c>
      <c r="N11" s="15">
        <f>SUM(B11:M11)</f>
        <v>8377</v>
      </c>
    </row>
    <row r="12" spans="1:14" ht="12.75">
      <c r="A12" s="13" t="s">
        <v>18</v>
      </c>
      <c r="B12" s="16">
        <f>36+140</f>
        <v>176</v>
      </c>
      <c r="C12" s="16">
        <f>50+110</f>
        <v>160</v>
      </c>
      <c r="D12" s="16">
        <f>118+80</f>
        <v>198</v>
      </c>
      <c r="E12" s="16">
        <f>202+75</f>
        <v>277</v>
      </c>
      <c r="F12" s="16">
        <f>293+70</f>
        <v>363</v>
      </c>
      <c r="G12" s="16">
        <f>288+65</f>
        <v>353</v>
      </c>
      <c r="H12" s="16">
        <f>196+65</f>
        <v>261</v>
      </c>
      <c r="I12" s="16">
        <f>130+70</f>
        <v>200</v>
      </c>
      <c r="J12" s="16">
        <v>109</v>
      </c>
      <c r="K12" s="16">
        <f>49+76</f>
        <v>125</v>
      </c>
      <c r="L12" s="16">
        <f>29+70</f>
        <v>99</v>
      </c>
      <c r="M12" s="16">
        <f>40+80</f>
        <v>120</v>
      </c>
      <c r="N12" s="16">
        <f>SUM(B12:M12)</f>
        <v>2441</v>
      </c>
    </row>
    <row r="13" spans="1:14" ht="12.75">
      <c r="A13" s="11" t="s">
        <v>19</v>
      </c>
      <c r="B13" s="15">
        <f aca="true" t="shared" si="0" ref="B13:M13">SUM(B10:B12)</f>
        <v>11513</v>
      </c>
      <c r="C13" s="15">
        <f t="shared" si="0"/>
        <v>20381</v>
      </c>
      <c r="D13" s="15">
        <f t="shared" si="0"/>
        <v>33202</v>
      </c>
      <c r="E13" s="15">
        <f t="shared" si="0"/>
        <v>38689</v>
      </c>
      <c r="F13" s="15">
        <f t="shared" si="0"/>
        <v>31823</v>
      </c>
      <c r="G13" s="15">
        <f t="shared" si="0"/>
        <v>23935</v>
      </c>
      <c r="H13" s="15">
        <f t="shared" si="0"/>
        <v>14058</v>
      </c>
      <c r="I13" s="15">
        <f t="shared" si="0"/>
        <v>8564</v>
      </c>
      <c r="J13" s="15">
        <f t="shared" si="0"/>
        <v>5378</v>
      </c>
      <c r="K13" s="15">
        <f t="shared" si="0"/>
        <v>6226</v>
      </c>
      <c r="L13" s="15">
        <f t="shared" si="0"/>
        <v>5537</v>
      </c>
      <c r="M13" s="15">
        <f t="shared" si="0"/>
        <v>6381</v>
      </c>
      <c r="N13" s="15">
        <f>SUM(B13:M13)</f>
        <v>205687</v>
      </c>
    </row>
    <row r="14" spans="1:14" ht="12.75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3" t="s">
        <v>20</v>
      </c>
      <c r="B15" s="17">
        <v>7971</v>
      </c>
      <c r="C15" s="17">
        <v>15667</v>
      </c>
      <c r="D15" s="17">
        <v>26695</v>
      </c>
      <c r="E15" s="17">
        <v>31351</v>
      </c>
      <c r="F15" s="17">
        <v>25321</v>
      </c>
      <c r="G15" s="17">
        <v>18509</v>
      </c>
      <c r="H15" s="17">
        <v>10059</v>
      </c>
      <c r="I15" s="17">
        <v>5324</v>
      </c>
      <c r="J15" s="17">
        <v>2644</v>
      </c>
      <c r="K15" s="17">
        <v>3506</v>
      </c>
      <c r="L15" s="17">
        <v>2892</v>
      </c>
      <c r="M15" s="17">
        <v>3571</v>
      </c>
      <c r="N15" s="17">
        <f>SUM(B15:M15)</f>
        <v>153510</v>
      </c>
    </row>
    <row r="16" spans="1:14" ht="12.75">
      <c r="A16" s="11" t="s">
        <v>21</v>
      </c>
      <c r="B16" s="18">
        <f>B13-B15</f>
        <v>3542</v>
      </c>
      <c r="C16" s="18">
        <f aca="true" t="shared" si="1" ref="C16:N16">C13-C15</f>
        <v>4714</v>
      </c>
      <c r="D16" s="18">
        <f t="shared" si="1"/>
        <v>6507</v>
      </c>
      <c r="E16" s="18">
        <f t="shared" si="1"/>
        <v>7338</v>
      </c>
      <c r="F16" s="18">
        <f t="shared" si="1"/>
        <v>6502</v>
      </c>
      <c r="G16" s="18">
        <f t="shared" si="1"/>
        <v>5426</v>
      </c>
      <c r="H16" s="18">
        <f t="shared" si="1"/>
        <v>3999</v>
      </c>
      <c r="I16" s="18">
        <f t="shared" si="1"/>
        <v>3240</v>
      </c>
      <c r="J16" s="18">
        <f t="shared" si="1"/>
        <v>2734</v>
      </c>
      <c r="K16" s="18">
        <f t="shared" si="1"/>
        <v>2720</v>
      </c>
      <c r="L16" s="18">
        <f t="shared" si="1"/>
        <v>2645</v>
      </c>
      <c r="M16" s="18">
        <f t="shared" si="1"/>
        <v>2810</v>
      </c>
      <c r="N16" s="18">
        <f t="shared" si="1"/>
        <v>52177</v>
      </c>
    </row>
    <row r="17" spans="1:14" ht="12.75">
      <c r="A17" s="1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1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3" t="s">
        <v>23</v>
      </c>
      <c r="B19" s="18">
        <f>1067+57</f>
        <v>1124</v>
      </c>
      <c r="C19" s="18">
        <v>1114</v>
      </c>
      <c r="D19" s="18">
        <f>1091+182</f>
        <v>1273</v>
      </c>
      <c r="E19" s="18">
        <f>1111+213</f>
        <v>1324</v>
      </c>
      <c r="F19" s="18">
        <f>991+173</f>
        <v>1164</v>
      </c>
      <c r="G19" s="18">
        <f>1051+128</f>
        <v>1179</v>
      </c>
      <c r="H19" s="18">
        <f>1051+71</f>
        <v>1122</v>
      </c>
      <c r="I19" s="18">
        <f>978+41</f>
        <v>1019</v>
      </c>
      <c r="J19" s="18">
        <v>1003</v>
      </c>
      <c r="K19" s="18">
        <f>1036+37</f>
        <v>1073</v>
      </c>
      <c r="L19" s="18">
        <f>1022+26</f>
        <v>1048</v>
      </c>
      <c r="M19" s="18">
        <f>1018+30</f>
        <v>1048</v>
      </c>
      <c r="N19" s="18">
        <f>SUM(B19:M19)</f>
        <v>13491</v>
      </c>
    </row>
    <row r="20" spans="1:14" ht="12.75">
      <c r="A20" s="13" t="s">
        <v>24</v>
      </c>
      <c r="B20" s="18">
        <v>429</v>
      </c>
      <c r="C20" s="18">
        <v>380</v>
      </c>
      <c r="D20" s="18">
        <v>450</v>
      </c>
      <c r="E20" s="18">
        <v>456</v>
      </c>
      <c r="F20" s="18">
        <v>405</v>
      </c>
      <c r="G20" s="18">
        <v>391</v>
      </c>
      <c r="H20" s="18">
        <v>375</v>
      </c>
      <c r="I20" s="18">
        <v>351</v>
      </c>
      <c r="J20" s="18">
        <v>416</v>
      </c>
      <c r="K20" s="18">
        <v>318</v>
      </c>
      <c r="L20" s="18">
        <v>360</v>
      </c>
      <c r="M20" s="18">
        <v>372</v>
      </c>
      <c r="N20" s="18">
        <f>SUM(B20:M20)</f>
        <v>4703</v>
      </c>
    </row>
    <row r="21" spans="1:14" ht="12.75">
      <c r="A21" s="13" t="s">
        <v>25</v>
      </c>
      <c r="B21" s="18">
        <v>936</v>
      </c>
      <c r="C21" s="18">
        <v>945</v>
      </c>
      <c r="D21" s="18">
        <v>940</v>
      </c>
      <c r="E21" s="18">
        <v>946</v>
      </c>
      <c r="F21" s="18">
        <v>950</v>
      </c>
      <c r="G21" s="18">
        <v>943</v>
      </c>
      <c r="H21" s="18">
        <v>942</v>
      </c>
      <c r="I21" s="18">
        <v>943</v>
      </c>
      <c r="J21" s="18">
        <v>942</v>
      </c>
      <c r="K21" s="18">
        <v>951</v>
      </c>
      <c r="L21" s="18">
        <v>950</v>
      </c>
      <c r="M21" s="18">
        <v>955</v>
      </c>
      <c r="N21" s="18">
        <f>SUM(B21:M21)</f>
        <v>11343</v>
      </c>
    </row>
    <row r="22" spans="1:14" ht="12.75">
      <c r="A22" s="13" t="s">
        <v>26</v>
      </c>
      <c r="B22" s="20">
        <v>260</v>
      </c>
      <c r="C22" s="20">
        <v>266</v>
      </c>
      <c r="D22" s="20">
        <v>254</v>
      </c>
      <c r="E22" s="20">
        <v>283</v>
      </c>
      <c r="F22" s="20">
        <v>258</v>
      </c>
      <c r="G22" s="20">
        <v>260</v>
      </c>
      <c r="H22" s="20">
        <v>278</v>
      </c>
      <c r="I22" s="20">
        <v>251</v>
      </c>
      <c r="J22" s="20">
        <v>232</v>
      </c>
      <c r="K22" s="20">
        <v>269</v>
      </c>
      <c r="L22" s="20">
        <v>252</v>
      </c>
      <c r="M22" s="20">
        <v>250</v>
      </c>
      <c r="N22" s="18">
        <f>SUM(B22:M22)</f>
        <v>3113</v>
      </c>
    </row>
    <row r="23" spans="1:14" ht="12.75">
      <c r="A23" s="13" t="s">
        <v>27</v>
      </c>
      <c r="B23" s="21">
        <v>158</v>
      </c>
      <c r="C23" s="21">
        <v>631</v>
      </c>
      <c r="D23" s="21">
        <v>1241</v>
      </c>
      <c r="E23" s="21">
        <v>1530</v>
      </c>
      <c r="F23" s="21">
        <v>1288</v>
      </c>
      <c r="G23" s="21">
        <v>881</v>
      </c>
      <c r="H23" s="21">
        <v>382</v>
      </c>
      <c r="I23" s="21">
        <v>134</v>
      </c>
      <c r="J23" s="21">
        <v>-52</v>
      </c>
      <c r="K23" s="21">
        <v>-105</v>
      </c>
      <c r="L23" s="21">
        <v>-120</v>
      </c>
      <c r="M23" s="21">
        <v>-87</v>
      </c>
      <c r="N23" s="17">
        <f>SUM(B23:M23)</f>
        <v>5881</v>
      </c>
    </row>
    <row r="24" spans="1:14" ht="12.75">
      <c r="A24" s="11" t="s">
        <v>28</v>
      </c>
      <c r="B24" s="18">
        <f>SUM(B19:B23)</f>
        <v>2907</v>
      </c>
      <c r="C24" s="18">
        <f aca="true" t="shared" si="2" ref="C24:M24">SUM(C19:C23)</f>
        <v>3336</v>
      </c>
      <c r="D24" s="18">
        <f t="shared" si="2"/>
        <v>4158</v>
      </c>
      <c r="E24" s="18">
        <f t="shared" si="2"/>
        <v>4539</v>
      </c>
      <c r="F24" s="18">
        <f t="shared" si="2"/>
        <v>4065</v>
      </c>
      <c r="G24" s="18">
        <f t="shared" si="2"/>
        <v>3654</v>
      </c>
      <c r="H24" s="18">
        <f t="shared" si="2"/>
        <v>3099</v>
      </c>
      <c r="I24" s="18">
        <f t="shared" si="2"/>
        <v>2698</v>
      </c>
      <c r="J24" s="18">
        <f t="shared" si="2"/>
        <v>2541</v>
      </c>
      <c r="K24" s="18">
        <f t="shared" si="2"/>
        <v>2506</v>
      </c>
      <c r="L24" s="18">
        <f t="shared" si="2"/>
        <v>2490</v>
      </c>
      <c r="M24" s="18">
        <f t="shared" si="2"/>
        <v>2538</v>
      </c>
      <c r="N24" s="18">
        <f>SUM(N19:N23)</f>
        <v>38531</v>
      </c>
    </row>
    <row r="25" spans="1:14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1" t="s">
        <v>29</v>
      </c>
      <c r="B26" s="15">
        <f aca="true" t="shared" si="3" ref="B26:N26">B16-B24</f>
        <v>635</v>
      </c>
      <c r="C26" s="15">
        <f t="shared" si="3"/>
        <v>1378</v>
      </c>
      <c r="D26" s="15">
        <f t="shared" si="3"/>
        <v>2349</v>
      </c>
      <c r="E26" s="15">
        <f t="shared" si="3"/>
        <v>2799</v>
      </c>
      <c r="F26" s="15">
        <f t="shared" si="3"/>
        <v>2437</v>
      </c>
      <c r="G26" s="15">
        <f t="shared" si="3"/>
        <v>1772</v>
      </c>
      <c r="H26" s="15">
        <f t="shared" si="3"/>
        <v>900</v>
      </c>
      <c r="I26" s="15">
        <f t="shared" si="3"/>
        <v>542</v>
      </c>
      <c r="J26" s="15">
        <f t="shared" si="3"/>
        <v>193</v>
      </c>
      <c r="K26" s="15">
        <f t="shared" si="3"/>
        <v>214</v>
      </c>
      <c r="L26" s="15">
        <f t="shared" si="3"/>
        <v>155</v>
      </c>
      <c r="M26" s="15">
        <f t="shared" si="3"/>
        <v>272</v>
      </c>
      <c r="N26" s="15">
        <f t="shared" si="3"/>
        <v>13646</v>
      </c>
    </row>
    <row r="27" spans="1:14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6" t="s">
        <v>31</v>
      </c>
      <c r="B29" s="27">
        <v>15</v>
      </c>
      <c r="C29" s="27">
        <v>14</v>
      </c>
      <c r="D29" s="27">
        <v>14</v>
      </c>
      <c r="E29" s="27">
        <v>14</v>
      </c>
      <c r="F29" s="27">
        <v>14</v>
      </c>
      <c r="G29" s="27">
        <v>14</v>
      </c>
      <c r="H29" s="27">
        <v>15</v>
      </c>
      <c r="I29" s="27">
        <v>15</v>
      </c>
      <c r="J29" s="27">
        <v>4</v>
      </c>
      <c r="K29" s="27">
        <v>24</v>
      </c>
      <c r="L29" s="27">
        <v>14</v>
      </c>
      <c r="M29" s="28">
        <v>14</v>
      </c>
      <c r="N29" s="29">
        <f>SUM(B29:M29)</f>
        <v>171</v>
      </c>
    </row>
    <row r="30" spans="1:14" ht="12.75">
      <c r="A30" t="s">
        <v>32</v>
      </c>
      <c r="B30" s="29">
        <v>19</v>
      </c>
      <c r="C30" s="29">
        <v>19</v>
      </c>
      <c r="D30" s="29">
        <v>18</v>
      </c>
      <c r="E30" s="29">
        <v>18</v>
      </c>
      <c r="F30" s="29">
        <v>19</v>
      </c>
      <c r="G30" s="29">
        <v>20</v>
      </c>
      <c r="H30" s="29">
        <v>22</v>
      </c>
      <c r="I30" s="29">
        <v>23</v>
      </c>
      <c r="J30" s="29">
        <v>31</v>
      </c>
      <c r="K30" s="29">
        <v>20</v>
      </c>
      <c r="L30" s="29">
        <v>29</v>
      </c>
      <c r="M30" s="29">
        <v>31</v>
      </c>
      <c r="N30" s="29">
        <f>SUM(B30:M30)</f>
        <v>269</v>
      </c>
    </row>
    <row r="31" spans="1:14" ht="12.75">
      <c r="A31" s="11" t="s">
        <v>33</v>
      </c>
      <c r="B31" s="30">
        <v>-46</v>
      </c>
      <c r="C31" s="30">
        <v>-17</v>
      </c>
      <c r="D31" s="30">
        <v>-16</v>
      </c>
      <c r="E31" s="30">
        <v>-21</v>
      </c>
      <c r="F31" s="30">
        <v>-34</v>
      </c>
      <c r="G31" s="30">
        <v>-27</v>
      </c>
      <c r="H31" s="30">
        <v>16</v>
      </c>
      <c r="I31" s="30">
        <v>-22</v>
      </c>
      <c r="J31" s="30">
        <v>-9</v>
      </c>
      <c r="K31" s="30">
        <v>-16</v>
      </c>
      <c r="L31" s="30">
        <v>-17</v>
      </c>
      <c r="M31" s="30">
        <v>-66</v>
      </c>
      <c r="N31" s="29">
        <f>SUM(B31:M31)</f>
        <v>-275</v>
      </c>
    </row>
    <row r="32" spans="1:14" ht="12.75">
      <c r="A32" t="s">
        <v>34</v>
      </c>
      <c r="B32" s="31">
        <v>78</v>
      </c>
      <c r="C32" s="31">
        <v>64</v>
      </c>
      <c r="D32" s="31">
        <v>67</v>
      </c>
      <c r="E32" s="31">
        <v>85</v>
      </c>
      <c r="F32" s="31">
        <v>70</v>
      </c>
      <c r="G32" s="31">
        <v>74</v>
      </c>
      <c r="H32" s="31">
        <v>97</v>
      </c>
      <c r="I32" s="31">
        <v>95</v>
      </c>
      <c r="J32" s="31">
        <v>115</v>
      </c>
      <c r="K32" s="31">
        <v>67</v>
      </c>
      <c r="L32" s="31">
        <v>84</v>
      </c>
      <c r="M32" s="31">
        <v>76</v>
      </c>
      <c r="N32" s="31">
        <f>SUM(B32:M32)</f>
        <v>972</v>
      </c>
    </row>
    <row r="33" spans="1:14" ht="12.75">
      <c r="A33" s="32" t="s">
        <v>35</v>
      </c>
      <c r="B33" s="33">
        <f>SUM(B29:B32)</f>
        <v>66</v>
      </c>
      <c r="C33" s="33">
        <f aca="true" t="shared" si="4" ref="C33:N33">SUM(C29:C32)</f>
        <v>80</v>
      </c>
      <c r="D33" s="33">
        <f t="shared" si="4"/>
        <v>83</v>
      </c>
      <c r="E33" s="33">
        <f t="shared" si="4"/>
        <v>96</v>
      </c>
      <c r="F33" s="33">
        <f t="shared" si="4"/>
        <v>69</v>
      </c>
      <c r="G33" s="33">
        <f t="shared" si="4"/>
        <v>81</v>
      </c>
      <c r="H33" s="33">
        <f t="shared" si="4"/>
        <v>150</v>
      </c>
      <c r="I33" s="33">
        <f t="shared" si="4"/>
        <v>111</v>
      </c>
      <c r="J33" s="33">
        <f t="shared" si="4"/>
        <v>141</v>
      </c>
      <c r="K33" s="33">
        <f t="shared" si="4"/>
        <v>95</v>
      </c>
      <c r="L33" s="33">
        <f t="shared" si="4"/>
        <v>110</v>
      </c>
      <c r="M33" s="33">
        <f t="shared" si="4"/>
        <v>55</v>
      </c>
      <c r="N33" s="33">
        <f t="shared" si="4"/>
        <v>1137</v>
      </c>
    </row>
    <row r="34" spans="3:14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4"/>
    </row>
    <row r="35" spans="1:14" ht="12.75">
      <c r="A35" s="32" t="s">
        <v>36</v>
      </c>
      <c r="B35" s="3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6"/>
    </row>
    <row r="36" spans="1:14" ht="12.75">
      <c r="A36" s="32"/>
      <c r="B36" s="38">
        <f>419+30</f>
        <v>449</v>
      </c>
      <c r="C36" s="38">
        <f>417+32</f>
        <v>449</v>
      </c>
      <c r="D36" s="38">
        <f>416+34</f>
        <v>450</v>
      </c>
      <c r="E36" s="38">
        <f>416+34</f>
        <v>450</v>
      </c>
      <c r="F36" s="38">
        <f>416+32</f>
        <v>448</v>
      </c>
      <c r="G36" s="38">
        <f>416+30</f>
        <v>446</v>
      </c>
      <c r="H36" s="38">
        <f>416+25</f>
        <v>441</v>
      </c>
      <c r="I36" s="38">
        <f>414+25</f>
        <v>439</v>
      </c>
      <c r="J36" s="38">
        <v>418</v>
      </c>
      <c r="K36" s="38">
        <f>445+30</f>
        <v>475</v>
      </c>
      <c r="L36" s="38">
        <f>413+44</f>
        <v>457</v>
      </c>
      <c r="M36" s="38">
        <f>413+53</f>
        <v>466</v>
      </c>
      <c r="N36" s="38">
        <f>SUM(B36:M36)</f>
        <v>5388</v>
      </c>
    </row>
    <row r="37" spans="1:14" ht="12.75">
      <c r="A37" s="3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2.75">
      <c r="A38" s="24" t="s">
        <v>37</v>
      </c>
      <c r="B38" s="18">
        <f>B36</f>
        <v>449</v>
      </c>
      <c r="C38" s="18">
        <f aca="true" t="shared" si="5" ref="C38:N38">C36</f>
        <v>449</v>
      </c>
      <c r="D38" s="18">
        <f t="shared" si="5"/>
        <v>450</v>
      </c>
      <c r="E38" s="18">
        <f t="shared" si="5"/>
        <v>450</v>
      </c>
      <c r="F38" s="18">
        <f t="shared" si="5"/>
        <v>448</v>
      </c>
      <c r="G38" s="18">
        <f t="shared" si="5"/>
        <v>446</v>
      </c>
      <c r="H38" s="18">
        <f t="shared" si="5"/>
        <v>441</v>
      </c>
      <c r="I38" s="18">
        <f t="shared" si="5"/>
        <v>439</v>
      </c>
      <c r="J38" s="18">
        <f t="shared" si="5"/>
        <v>418</v>
      </c>
      <c r="K38" s="18">
        <f t="shared" si="5"/>
        <v>475</v>
      </c>
      <c r="L38" s="18">
        <f t="shared" si="5"/>
        <v>457</v>
      </c>
      <c r="M38" s="18">
        <f t="shared" si="5"/>
        <v>466</v>
      </c>
      <c r="N38" s="18">
        <f t="shared" si="5"/>
        <v>5388</v>
      </c>
    </row>
    <row r="39" spans="1:14" ht="12.75">
      <c r="A39" s="4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3.5" thickBot="1">
      <c r="A40" s="11" t="s">
        <v>38</v>
      </c>
      <c r="B40" s="41">
        <f aca="true" t="shared" si="6" ref="B40:N40">B26+B33-B36</f>
        <v>252</v>
      </c>
      <c r="C40" s="41">
        <f t="shared" si="6"/>
        <v>1009</v>
      </c>
      <c r="D40" s="41">
        <f t="shared" si="6"/>
        <v>1982</v>
      </c>
      <c r="E40" s="41">
        <f t="shared" si="6"/>
        <v>2445</v>
      </c>
      <c r="F40" s="41">
        <f t="shared" si="6"/>
        <v>2058</v>
      </c>
      <c r="G40" s="41">
        <f t="shared" si="6"/>
        <v>1407</v>
      </c>
      <c r="H40" s="41">
        <f t="shared" si="6"/>
        <v>609</v>
      </c>
      <c r="I40" s="41">
        <f t="shared" si="6"/>
        <v>214</v>
      </c>
      <c r="J40" s="41">
        <f t="shared" si="6"/>
        <v>-84</v>
      </c>
      <c r="K40" s="41">
        <f t="shared" si="6"/>
        <v>-166</v>
      </c>
      <c r="L40" s="41">
        <f t="shared" si="6"/>
        <v>-192</v>
      </c>
      <c r="M40" s="41">
        <f t="shared" si="6"/>
        <v>-139</v>
      </c>
      <c r="N40" s="41">
        <f t="shared" si="6"/>
        <v>9395</v>
      </c>
    </row>
    <row r="41" ht="13.5" thickTop="1"/>
  </sheetData>
  <mergeCells count="4">
    <mergeCell ref="A1:N1"/>
    <mergeCell ref="A5:N5"/>
    <mergeCell ref="A3:N3"/>
    <mergeCell ref="A4:N4"/>
  </mergeCells>
  <printOptions/>
  <pageMargins left="0.5" right="0" top="0.5" bottom="0" header="0.5" footer="0.5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A1" sqref="A1:N1"/>
    </sheetView>
  </sheetViews>
  <sheetFormatPr defaultColWidth="9.140625" defaultRowHeight="12.75"/>
  <cols>
    <col min="1" max="1" width="29.28125" style="0" bestFit="1" customWidth="1"/>
    <col min="15" max="15" width="2.8515625" style="0" customWidth="1"/>
  </cols>
  <sheetData>
    <row r="1" spans="1:14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>
      <c r="A4" s="66" t="s">
        <v>49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 t="s">
        <v>45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5"/>
    </row>
    <row r="7" spans="1:14" ht="12.7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4" ht="12.75">
      <c r="A8" s="8" t="s">
        <v>14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</row>
    <row r="9" spans="1:14" ht="12.75">
      <c r="A9" s="11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3" t="s">
        <v>16</v>
      </c>
      <c r="B10" s="14">
        <f>'FY 2004 Act'!B10-'FY 2004 Bud'!B10</f>
        <v>-1415</v>
      </c>
      <c r="C10" s="14">
        <f>'FY 2004 Act'!C10-'FY 2004 Bud'!C10</f>
        <v>-5048</v>
      </c>
      <c r="D10" s="14">
        <f>'FY 2004 Act'!D10-'FY 2004 Bud'!D10</f>
        <v>-2756</v>
      </c>
      <c r="E10" s="14">
        <f>'FY 2004 Act'!E10-'FY 2004 Bud'!E10</f>
        <v>485</v>
      </c>
      <c r="F10" s="14">
        <f>'FY 2004 Act'!F10-'FY 2004 Bud'!F10</f>
        <v>-669</v>
      </c>
      <c r="G10" s="14">
        <f>'FY 2004 Act'!G10-'FY 2004 Bud'!G10</f>
        <v>-3077</v>
      </c>
      <c r="H10" s="14">
        <f>'FY 2004 Act'!H10-'FY 2004 Bud'!H10</f>
        <v>-1265</v>
      </c>
      <c r="I10" s="14">
        <f>'FY 2004 Act'!I10-'FY 2004 Bud'!I10</f>
        <v>-1175</v>
      </c>
      <c r="J10" s="14">
        <f>'FY 2004 Act'!J10-'FY 2004 Bud'!J10</f>
        <v>1270</v>
      </c>
      <c r="K10" s="14">
        <f>'FY 2004 Act'!K10-'FY 2004 Bud'!K10</f>
        <v>604</v>
      </c>
      <c r="L10" s="14">
        <f>'FY 2004 Act'!L10-'FY 2004 Bud'!L10</f>
        <v>575</v>
      </c>
      <c r="M10" s="14">
        <f>'FY 2004 Act'!M10-'FY 2004 Bud'!M10</f>
        <v>929</v>
      </c>
      <c r="N10" s="14">
        <f>SUM(B10:M10)</f>
        <v>-11542</v>
      </c>
    </row>
    <row r="11" spans="1:14" ht="12.75">
      <c r="A11" s="13" t="s">
        <v>17</v>
      </c>
      <c r="B11" s="15">
        <f>'FY 2004 Act'!B11-'FY 2004 Bud'!B11</f>
        <v>16</v>
      </c>
      <c r="C11" s="15">
        <f>'FY 2004 Act'!C11-'FY 2004 Bud'!C11</f>
        <v>28</v>
      </c>
      <c r="D11" s="15">
        <f>'FY 2004 Act'!D11-'FY 2004 Bud'!D11</f>
        <v>24</v>
      </c>
      <c r="E11" s="15">
        <f>'FY 2004 Act'!E11-'FY 2004 Bud'!E11</f>
        <v>68</v>
      </c>
      <c r="F11" s="15">
        <f>'FY 2004 Act'!F11-'FY 2004 Bud'!F11</f>
        <v>50</v>
      </c>
      <c r="G11" s="15">
        <f>'FY 2004 Act'!G11-'FY 2004 Bud'!G11</f>
        <v>80</v>
      </c>
      <c r="H11" s="15">
        <f>'FY 2004 Act'!H11-'FY 2004 Bud'!H11</f>
        <v>219</v>
      </c>
      <c r="I11" s="15">
        <f>'FY 2004 Act'!I11-'FY 2004 Bud'!I11</f>
        <v>24</v>
      </c>
      <c r="J11" s="15">
        <f>'FY 2004 Act'!J11-'FY 2004 Bud'!J11</f>
        <v>41</v>
      </c>
      <c r="K11" s="15">
        <f>'FY 2004 Act'!K11-'FY 2004 Bud'!K11</f>
        <v>10</v>
      </c>
      <c r="L11" s="15">
        <f>'FY 2004 Act'!L11-'FY 2004 Bud'!L11</f>
        <v>89</v>
      </c>
      <c r="M11" s="15">
        <f>'FY 2004 Act'!M11-'FY 2004 Bud'!M11</f>
        <v>17</v>
      </c>
      <c r="N11" s="15">
        <f>SUM(B11:M11)</f>
        <v>666</v>
      </c>
    </row>
    <row r="12" spans="1:14" ht="12.75">
      <c r="A12" s="13" t="s">
        <v>18</v>
      </c>
      <c r="B12" s="16">
        <f>'FY 2004 Act'!B12-'FY 2004 Bud'!B12</f>
        <v>0</v>
      </c>
      <c r="C12" s="16">
        <f>'FY 2004 Act'!C12-'FY 2004 Bud'!C12</f>
        <v>25</v>
      </c>
      <c r="D12" s="16">
        <f>'FY 2004 Act'!D12-'FY 2004 Bud'!D12</f>
        <v>46</v>
      </c>
      <c r="E12" s="16">
        <f>'FY 2004 Act'!E12-'FY 2004 Bud'!E12</f>
        <v>21</v>
      </c>
      <c r="F12" s="16">
        <f>'FY 2004 Act'!F12-'FY 2004 Bud'!F12</f>
        <v>50</v>
      </c>
      <c r="G12" s="16">
        <f>'FY 2004 Act'!G12-'FY 2004 Bud'!G12</f>
        <v>91</v>
      </c>
      <c r="H12" s="16">
        <f>'FY 2004 Act'!H12-'FY 2004 Bud'!H12</f>
        <v>4</v>
      </c>
      <c r="I12" s="16">
        <f>'FY 2004 Act'!I12-'FY 2004 Bud'!I12</f>
        <v>14</v>
      </c>
      <c r="J12" s="16">
        <f>'FY 2004 Act'!J12-'FY 2004 Bud'!J12</f>
        <v>21</v>
      </c>
      <c r="K12" s="16">
        <f>'FY 2004 Act'!K12-'FY 2004 Bud'!K12</f>
        <v>-64</v>
      </c>
      <c r="L12" s="16">
        <f>'FY 2004 Act'!L12-'FY 2004 Bud'!L12</f>
        <v>87</v>
      </c>
      <c r="M12" s="16">
        <f>'FY 2004 Act'!M12-'FY 2004 Bud'!M12</f>
        <v>10</v>
      </c>
      <c r="N12" s="16">
        <f>SUM(B12:M12)</f>
        <v>305</v>
      </c>
    </row>
    <row r="13" spans="1:14" ht="12.75">
      <c r="A13" s="11" t="s">
        <v>19</v>
      </c>
      <c r="B13" s="15">
        <f aca="true" t="shared" si="0" ref="B13:M13">SUM(B10:B12)</f>
        <v>-1399</v>
      </c>
      <c r="C13" s="15">
        <f t="shared" si="0"/>
        <v>-4995</v>
      </c>
      <c r="D13" s="15">
        <f t="shared" si="0"/>
        <v>-2686</v>
      </c>
      <c r="E13" s="15">
        <f t="shared" si="0"/>
        <v>574</v>
      </c>
      <c r="F13" s="15">
        <f t="shared" si="0"/>
        <v>-569</v>
      </c>
      <c r="G13" s="15">
        <f t="shared" si="0"/>
        <v>-2906</v>
      </c>
      <c r="H13" s="15">
        <f t="shared" si="0"/>
        <v>-1042</v>
      </c>
      <c r="I13" s="15">
        <f t="shared" si="0"/>
        <v>-1137</v>
      </c>
      <c r="J13" s="15">
        <f t="shared" si="0"/>
        <v>1332</v>
      </c>
      <c r="K13" s="15">
        <f t="shared" si="0"/>
        <v>550</v>
      </c>
      <c r="L13" s="15">
        <f t="shared" si="0"/>
        <v>751</v>
      </c>
      <c r="M13" s="15">
        <f t="shared" si="0"/>
        <v>956</v>
      </c>
      <c r="N13" s="15">
        <f>SUM(B13:M13)</f>
        <v>-10571</v>
      </c>
    </row>
    <row r="14" spans="1:14" ht="12.75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3" t="s">
        <v>20</v>
      </c>
      <c r="B15" s="16">
        <f>'FY 2004 Act'!B15-'FY 2004 Bud'!B15</f>
        <v>-1317</v>
      </c>
      <c r="C15" s="16">
        <f>'FY 2004 Act'!C15-'FY 2004 Bud'!C15</f>
        <v>-4669</v>
      </c>
      <c r="D15" s="16">
        <f>'FY 2004 Act'!D15-'FY 2004 Bud'!D15</f>
        <v>-2580</v>
      </c>
      <c r="E15" s="16">
        <f>'FY 2004 Act'!E15-'FY 2004 Bud'!E15</f>
        <v>312</v>
      </c>
      <c r="F15" s="16">
        <f>'FY 2004 Act'!F15-'FY 2004 Bud'!F15</f>
        <v>-685</v>
      </c>
      <c r="G15" s="16">
        <f>'FY 2004 Act'!G15-'FY 2004 Bud'!G15</f>
        <v>-3034</v>
      </c>
      <c r="H15" s="16">
        <f>'FY 2004 Act'!H15-'FY 2004 Bud'!H15</f>
        <v>-1064</v>
      </c>
      <c r="I15" s="16">
        <f>'FY 2004 Act'!I15-'FY 2004 Bud'!I15</f>
        <v>-977</v>
      </c>
      <c r="J15" s="16">
        <f>'FY 2004 Act'!J15-'FY 2004 Bud'!J15</f>
        <v>1184</v>
      </c>
      <c r="K15" s="16">
        <f>'FY 2004 Act'!K15-'FY 2004 Bud'!K15</f>
        <v>423</v>
      </c>
      <c r="L15" s="16">
        <f>'FY 2004 Act'!L15-'FY 2004 Bud'!L15</f>
        <v>612</v>
      </c>
      <c r="M15" s="16">
        <f>'FY 2004 Act'!M15-'FY 2004 Bud'!M15</f>
        <v>834</v>
      </c>
      <c r="N15" s="17">
        <f>SUM(B15:M15)</f>
        <v>-10961</v>
      </c>
    </row>
    <row r="16" spans="1:14" ht="12.75">
      <c r="A16" s="11" t="s">
        <v>21</v>
      </c>
      <c r="B16" s="18">
        <f>B13-B15</f>
        <v>-82</v>
      </c>
      <c r="C16" s="18">
        <f aca="true" t="shared" si="1" ref="C16:M16">C13-C15</f>
        <v>-326</v>
      </c>
      <c r="D16" s="18">
        <f t="shared" si="1"/>
        <v>-106</v>
      </c>
      <c r="E16" s="18">
        <f t="shared" si="1"/>
        <v>262</v>
      </c>
      <c r="F16" s="18">
        <f t="shared" si="1"/>
        <v>116</v>
      </c>
      <c r="G16" s="18">
        <f t="shared" si="1"/>
        <v>128</v>
      </c>
      <c r="H16" s="18">
        <f t="shared" si="1"/>
        <v>22</v>
      </c>
      <c r="I16" s="18">
        <f t="shared" si="1"/>
        <v>-160</v>
      </c>
      <c r="J16" s="18">
        <f t="shared" si="1"/>
        <v>148</v>
      </c>
      <c r="K16" s="18">
        <f t="shared" si="1"/>
        <v>127</v>
      </c>
      <c r="L16" s="18">
        <f t="shared" si="1"/>
        <v>139</v>
      </c>
      <c r="M16" s="18">
        <f t="shared" si="1"/>
        <v>122</v>
      </c>
      <c r="N16" s="18">
        <f>N13-N15</f>
        <v>390</v>
      </c>
    </row>
    <row r="17" spans="1:14" ht="12.75">
      <c r="A17" s="1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1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5" ht="12.75">
      <c r="A19" s="13" t="s">
        <v>23</v>
      </c>
      <c r="B19" s="15">
        <f>'FY 2004 Act'!B19-'FY 2004 Bud'!B19</f>
        <v>-97</v>
      </c>
      <c r="C19" s="15">
        <f>'FY 2004 Act'!C19-'FY 2004 Bud'!C19</f>
        <v>-88</v>
      </c>
      <c r="D19" s="15">
        <f>'FY 2004 Act'!D19-'FY 2004 Bud'!D19</f>
        <v>-212</v>
      </c>
      <c r="E19" s="15">
        <f>'FY 2004 Act'!E19-'FY 2004 Bud'!E19</f>
        <v>-76</v>
      </c>
      <c r="F19" s="15">
        <f>'FY 2004 Act'!F19-'FY 2004 Bud'!F19</f>
        <v>-25</v>
      </c>
      <c r="G19" s="15">
        <f>'FY 2004 Act'!G19-'FY 2004 Bud'!G19</f>
        <v>214</v>
      </c>
      <c r="H19" s="15">
        <f>'FY 2004 Act'!H19-'FY 2004 Bud'!H19</f>
        <v>-258</v>
      </c>
      <c r="I19" s="15">
        <f>'FY 2004 Act'!I19-'FY 2004 Bud'!I19</f>
        <v>-177</v>
      </c>
      <c r="J19" s="15">
        <f>'FY 2004 Act'!J19-'FY 2004 Bud'!J19</f>
        <v>-296</v>
      </c>
      <c r="K19" s="15">
        <f>'FY 2004 Act'!K19-'FY 2004 Bud'!K19</f>
        <v>-120</v>
      </c>
      <c r="L19" s="15">
        <f>'FY 2004 Act'!L19-'FY 2004 Bud'!L19</f>
        <v>-44</v>
      </c>
      <c r="M19" s="15">
        <f>'FY 2004 Act'!M19-'FY 2004 Bud'!M19</f>
        <v>-899</v>
      </c>
      <c r="N19" s="18">
        <f>SUM(B19:M19)</f>
        <v>-2078</v>
      </c>
      <c r="O19" s="46" t="s">
        <v>50</v>
      </c>
    </row>
    <row r="20" spans="1:14" ht="12.75">
      <c r="A20" s="13" t="s">
        <v>24</v>
      </c>
      <c r="B20" s="15">
        <f>'FY 2004 Act'!B20-'FY 2004 Bud'!B20</f>
        <v>-59</v>
      </c>
      <c r="C20" s="15">
        <f>'FY 2004 Act'!C20-'FY 2004 Bud'!C20</f>
        <v>12</v>
      </c>
      <c r="D20" s="15">
        <f>'FY 2004 Act'!D20-'FY 2004 Bud'!D20</f>
        <v>-48</v>
      </c>
      <c r="E20" s="15">
        <f>'FY 2004 Act'!E20-'FY 2004 Bud'!E20</f>
        <v>-39</v>
      </c>
      <c r="F20" s="15">
        <f>'FY 2004 Act'!F20-'FY 2004 Bud'!F20</f>
        <v>-21</v>
      </c>
      <c r="G20" s="15">
        <f>'FY 2004 Act'!G20-'FY 2004 Bud'!G20</f>
        <v>60</v>
      </c>
      <c r="H20" s="15">
        <f>'FY 2004 Act'!H20-'FY 2004 Bud'!H20</f>
        <v>57</v>
      </c>
      <c r="I20" s="15">
        <f>'FY 2004 Act'!I20-'FY 2004 Bud'!I20</f>
        <v>26</v>
      </c>
      <c r="J20" s="15">
        <f>'FY 2004 Act'!J20-'FY 2004 Bud'!J20</f>
        <v>-57</v>
      </c>
      <c r="K20" s="15">
        <f>'FY 2004 Act'!K20-'FY 2004 Bud'!K20</f>
        <v>70</v>
      </c>
      <c r="L20" s="15">
        <f>'FY 2004 Act'!L20-'FY 2004 Bud'!L20</f>
        <v>35</v>
      </c>
      <c r="M20" s="15">
        <f>'FY 2004 Act'!M20-'FY 2004 Bud'!M20</f>
        <v>-76</v>
      </c>
      <c r="N20" s="18">
        <f>SUM(B20:M20)</f>
        <v>-40</v>
      </c>
    </row>
    <row r="21" spans="1:14" ht="12.75">
      <c r="A21" s="13" t="s">
        <v>25</v>
      </c>
      <c r="B21" s="15">
        <f>'FY 2004 Act'!B21-'FY 2004 Bud'!B21</f>
        <v>-24</v>
      </c>
      <c r="C21" s="15">
        <f>'FY 2004 Act'!C21-'FY 2004 Bud'!C21</f>
        <v>-31</v>
      </c>
      <c r="D21" s="15">
        <f>'FY 2004 Act'!D21-'FY 2004 Bud'!D21</f>
        <v>-37</v>
      </c>
      <c r="E21" s="15">
        <f>'FY 2004 Act'!E21-'FY 2004 Bud'!E21</f>
        <v>-21</v>
      </c>
      <c r="F21" s="15">
        <f>'FY 2004 Act'!F21-'FY 2004 Bud'!F21</f>
        <v>-7</v>
      </c>
      <c r="G21" s="15">
        <f>'FY 2004 Act'!G21-'FY 2004 Bud'!G21</f>
        <v>-48</v>
      </c>
      <c r="H21" s="15">
        <f>'FY 2004 Act'!H21-'FY 2004 Bud'!H21</f>
        <v>-62</v>
      </c>
      <c r="I21" s="15">
        <f>'FY 2004 Act'!I21-'FY 2004 Bud'!I21</f>
        <v>-45</v>
      </c>
      <c r="J21" s="15">
        <f>'FY 2004 Act'!J21-'FY 2004 Bud'!J21</f>
        <v>-67</v>
      </c>
      <c r="K21" s="15">
        <f>'FY 2004 Act'!K21-'FY 2004 Bud'!K21</f>
        <v>-17</v>
      </c>
      <c r="L21" s="15">
        <f>'FY 2004 Act'!L21-'FY 2004 Bud'!L21</f>
        <v>-28</v>
      </c>
      <c r="M21" s="15">
        <f>'FY 2004 Act'!M21-'FY 2004 Bud'!M21</f>
        <v>69</v>
      </c>
      <c r="N21" s="18">
        <f>SUM(B21:M21)</f>
        <v>-318</v>
      </c>
    </row>
    <row r="22" spans="1:14" ht="12.75">
      <c r="A22" s="13" t="s">
        <v>26</v>
      </c>
      <c r="B22" s="15">
        <f>'FY 2004 Act'!B22-'FY 2004 Bud'!B22</f>
        <v>-41</v>
      </c>
      <c r="C22" s="15">
        <f>'FY 2004 Act'!C22-'FY 2004 Bud'!C22</f>
        <v>-26</v>
      </c>
      <c r="D22" s="15">
        <f>'FY 2004 Act'!D22-'FY 2004 Bud'!D22</f>
        <v>-37</v>
      </c>
      <c r="E22" s="15">
        <f>'FY 2004 Act'!E22-'FY 2004 Bud'!E22</f>
        <v>-50</v>
      </c>
      <c r="F22" s="15">
        <f>'FY 2004 Act'!F22-'FY 2004 Bud'!F22</f>
        <v>-23</v>
      </c>
      <c r="G22" s="15">
        <f>'FY 2004 Act'!G22-'FY 2004 Bud'!G22</f>
        <v>6</v>
      </c>
      <c r="H22" s="15">
        <f>'FY 2004 Act'!H22-'FY 2004 Bud'!H22</f>
        <v>-53</v>
      </c>
      <c r="I22" s="15">
        <f>'FY 2004 Act'!I22-'FY 2004 Bud'!I22</f>
        <v>-36</v>
      </c>
      <c r="J22" s="15">
        <f>'FY 2004 Act'!J22-'FY 2004 Bud'!J22</f>
        <v>-12</v>
      </c>
      <c r="K22" s="15">
        <f>'FY 2004 Act'!K22-'FY 2004 Bud'!K22</f>
        <v>-46</v>
      </c>
      <c r="L22" s="15">
        <f>'FY 2004 Act'!L22-'FY 2004 Bud'!L22</f>
        <v>-25</v>
      </c>
      <c r="M22" s="15">
        <f>'FY 2004 Act'!M22-'FY 2004 Bud'!M22</f>
        <v>-42</v>
      </c>
      <c r="N22" s="18">
        <f>SUM(B22:M22)</f>
        <v>-385</v>
      </c>
    </row>
    <row r="23" spans="1:14" ht="12.75">
      <c r="A23" s="13" t="s">
        <v>27</v>
      </c>
      <c r="B23" s="16">
        <f>'FY 2004 Act'!B23-'FY 2004 Bud'!B23</f>
        <v>33</v>
      </c>
      <c r="C23" s="16">
        <f>'FY 2004 Act'!C23-'FY 2004 Bud'!C23</f>
        <v>-85</v>
      </c>
      <c r="D23" s="16">
        <f>'FY 2004 Act'!D23-'FY 2004 Bud'!D23</f>
        <v>65</v>
      </c>
      <c r="E23" s="16">
        <f>'FY 2004 Act'!E23-'FY 2004 Bud'!E23</f>
        <v>162</v>
      </c>
      <c r="F23" s="16">
        <f>'FY 2004 Act'!F23-'FY 2004 Bud'!F23</f>
        <v>83</v>
      </c>
      <c r="G23" s="16">
        <f>'FY 2004 Act'!G23-'FY 2004 Bud'!G23</f>
        <v>-58</v>
      </c>
      <c r="H23" s="16">
        <f>'FY 2004 Act'!H23-'FY 2004 Bud'!H23</f>
        <v>98</v>
      </c>
      <c r="I23" s="16">
        <f>'FY 2004 Act'!I23-'FY 2004 Bud'!I23</f>
        <v>36</v>
      </c>
      <c r="J23" s="16">
        <f>'FY 2004 Act'!J23-'FY 2004 Bud'!J23</f>
        <v>116</v>
      </c>
      <c r="K23" s="16">
        <f>'FY 2004 Act'!K23-'FY 2004 Bud'!K23</f>
        <v>111</v>
      </c>
      <c r="L23" s="16">
        <f>'FY 2004 Act'!L23-'FY 2004 Bud'!L23</f>
        <v>74</v>
      </c>
      <c r="M23" s="16">
        <f>'FY 2004 Act'!M23-'FY 2004 Bud'!M23</f>
        <v>573</v>
      </c>
      <c r="N23" s="17">
        <f>SUM(B23:M23)</f>
        <v>1208</v>
      </c>
    </row>
    <row r="24" spans="1:14" ht="12.75">
      <c r="A24" s="11" t="s">
        <v>28</v>
      </c>
      <c r="B24" s="18">
        <f>SUM(B19:B23)</f>
        <v>-188</v>
      </c>
      <c r="C24" s="18">
        <f aca="true" t="shared" si="2" ref="C24:M24">SUM(C19:C23)</f>
        <v>-218</v>
      </c>
      <c r="D24" s="18">
        <f t="shared" si="2"/>
        <v>-269</v>
      </c>
      <c r="E24" s="18">
        <f t="shared" si="2"/>
        <v>-24</v>
      </c>
      <c r="F24" s="18">
        <f t="shared" si="2"/>
        <v>7</v>
      </c>
      <c r="G24" s="18">
        <f t="shared" si="2"/>
        <v>174</v>
      </c>
      <c r="H24" s="18">
        <f t="shared" si="2"/>
        <v>-218</v>
      </c>
      <c r="I24" s="18">
        <f t="shared" si="2"/>
        <v>-196</v>
      </c>
      <c r="J24" s="18">
        <f t="shared" si="2"/>
        <v>-316</v>
      </c>
      <c r="K24" s="18">
        <f t="shared" si="2"/>
        <v>-2</v>
      </c>
      <c r="L24" s="18">
        <f t="shared" si="2"/>
        <v>12</v>
      </c>
      <c r="M24" s="18">
        <f t="shared" si="2"/>
        <v>-375</v>
      </c>
      <c r="N24" s="18">
        <f>SUM(N19:N23)</f>
        <v>-1613</v>
      </c>
    </row>
    <row r="25" spans="1:14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1" t="s">
        <v>29</v>
      </c>
      <c r="B26" s="15">
        <f>B16-B24</f>
        <v>106</v>
      </c>
      <c r="C26" s="15">
        <f aca="true" t="shared" si="3" ref="C26:M26">C16-C24</f>
        <v>-108</v>
      </c>
      <c r="D26" s="15">
        <f t="shared" si="3"/>
        <v>163</v>
      </c>
      <c r="E26" s="15">
        <f t="shared" si="3"/>
        <v>286</v>
      </c>
      <c r="F26" s="15">
        <f t="shared" si="3"/>
        <v>109</v>
      </c>
      <c r="G26" s="15">
        <f t="shared" si="3"/>
        <v>-46</v>
      </c>
      <c r="H26" s="15">
        <f t="shared" si="3"/>
        <v>240</v>
      </c>
      <c r="I26" s="15">
        <f t="shared" si="3"/>
        <v>36</v>
      </c>
      <c r="J26" s="15">
        <f t="shared" si="3"/>
        <v>464</v>
      </c>
      <c r="K26" s="15">
        <f t="shared" si="3"/>
        <v>129</v>
      </c>
      <c r="L26" s="15">
        <f t="shared" si="3"/>
        <v>127</v>
      </c>
      <c r="M26" s="15">
        <f t="shared" si="3"/>
        <v>497</v>
      </c>
      <c r="N26" s="15">
        <f>N16-N24</f>
        <v>2003</v>
      </c>
    </row>
    <row r="27" spans="1:14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6" t="s">
        <v>31</v>
      </c>
      <c r="B29" s="15">
        <f>'FY 2004 Act'!B29-'FY 2004 Bud'!B29</f>
        <v>52</v>
      </c>
      <c r="C29" s="15">
        <f>'FY 2004 Act'!C29-'FY 2004 Bud'!C29</f>
        <v>-22</v>
      </c>
      <c r="D29" s="15">
        <f>'FY 2004 Act'!D29-'FY 2004 Bud'!D29</f>
        <v>6</v>
      </c>
      <c r="E29" s="15">
        <f>'FY 2004 Act'!E29-'FY 2004 Bud'!E29</f>
        <v>1</v>
      </c>
      <c r="F29" s="15">
        <f>'FY 2004 Act'!F29-'FY 2004 Bud'!F29</f>
        <v>-11</v>
      </c>
      <c r="G29" s="15">
        <f>'FY 2004 Act'!G29-'FY 2004 Bud'!G29</f>
        <v>-1</v>
      </c>
      <c r="H29" s="15">
        <f>'FY 2004 Act'!H29-'FY 2004 Bud'!H29</f>
        <v>-31</v>
      </c>
      <c r="I29" s="15">
        <f>'FY 2004 Act'!I29-'FY 2004 Bud'!I29</f>
        <v>-2</v>
      </c>
      <c r="J29" s="15">
        <f>'FY 2004 Act'!J29-'FY 2004 Bud'!J29</f>
        <v>-8</v>
      </c>
      <c r="K29" s="15">
        <f>'FY 2004 Act'!K29-'FY 2004 Bud'!K29</f>
        <v>3</v>
      </c>
      <c r="L29" s="15">
        <f>'FY 2004 Act'!L29-'FY 2004 Bud'!L29</f>
        <v>11</v>
      </c>
      <c r="M29" s="15">
        <f>'FY 2004 Act'!M29-'FY 2004 Bud'!M29</f>
        <v>-23</v>
      </c>
      <c r="N29" s="29">
        <f>SUM(B29:M29)</f>
        <v>-25</v>
      </c>
    </row>
    <row r="30" spans="1:14" ht="12.75">
      <c r="A30" t="s">
        <v>32</v>
      </c>
      <c r="B30" s="15">
        <f>'FY 2004 Act'!B30-'FY 2004 Bud'!B30</f>
        <v>-5</v>
      </c>
      <c r="C30" s="15">
        <f>'FY 2004 Act'!C30-'FY 2004 Bud'!C30</f>
        <v>-3</v>
      </c>
      <c r="D30" s="15">
        <f>'FY 2004 Act'!D30-'FY 2004 Bud'!D30</f>
        <v>0</v>
      </c>
      <c r="E30" s="15">
        <f>'FY 2004 Act'!E30-'FY 2004 Bud'!E30</f>
        <v>20</v>
      </c>
      <c r="F30" s="15">
        <f>'FY 2004 Act'!F30-'FY 2004 Bud'!F30</f>
        <v>22</v>
      </c>
      <c r="G30" s="15">
        <f>'FY 2004 Act'!G30-'FY 2004 Bud'!G30</f>
        <v>11</v>
      </c>
      <c r="H30" s="15">
        <f>'FY 2004 Act'!H30-'FY 2004 Bud'!H30</f>
        <v>11</v>
      </c>
      <c r="I30" s="15">
        <f>'FY 2004 Act'!I30-'FY 2004 Bud'!I30</f>
        <v>4</v>
      </c>
      <c r="J30" s="15">
        <f>'FY 2004 Act'!J30-'FY 2004 Bud'!J30</f>
        <v>-5</v>
      </c>
      <c r="K30" s="15">
        <f>'FY 2004 Act'!K30-'FY 2004 Bud'!K30</f>
        <v>11</v>
      </c>
      <c r="L30" s="15">
        <f>'FY 2004 Act'!L30-'FY 2004 Bud'!L30</f>
        <v>12</v>
      </c>
      <c r="M30" s="15">
        <f>'FY 2004 Act'!M30-'FY 2004 Bud'!M30</f>
        <v>7</v>
      </c>
      <c r="N30" s="29">
        <f>SUM(B30:M30)</f>
        <v>85</v>
      </c>
    </row>
    <row r="31" spans="1:14" ht="12.75">
      <c r="A31" s="11" t="s">
        <v>33</v>
      </c>
      <c r="B31" s="15">
        <f>'FY 2004 Act'!B31-'FY 2004 Bud'!B31</f>
        <v>-49</v>
      </c>
      <c r="C31" s="15">
        <f>'FY 2004 Act'!C31-'FY 2004 Bud'!C31</f>
        <v>9</v>
      </c>
      <c r="D31" s="15">
        <f>'FY 2004 Act'!D31-'FY 2004 Bud'!D31</f>
        <v>-5</v>
      </c>
      <c r="E31" s="15">
        <f>'FY 2004 Act'!E31-'FY 2004 Bud'!E31</f>
        <v>10</v>
      </c>
      <c r="F31" s="15">
        <f>'FY 2004 Act'!F31-'FY 2004 Bud'!F31</f>
        <v>17</v>
      </c>
      <c r="G31" s="15">
        <f>'FY 2004 Act'!G31-'FY 2004 Bud'!G31</f>
        <v>7</v>
      </c>
      <c r="H31" s="15">
        <f>'FY 2004 Act'!H31-'FY 2004 Bud'!H31</f>
        <v>-27</v>
      </c>
      <c r="I31" s="15">
        <f>'FY 2004 Act'!I31-'FY 2004 Bud'!I31</f>
        <v>-8</v>
      </c>
      <c r="J31" s="15">
        <f>'FY 2004 Act'!J31-'FY 2004 Bud'!J31</f>
        <v>-40</v>
      </c>
      <c r="K31" s="15">
        <f>'FY 2004 Act'!K31-'FY 2004 Bud'!K31</f>
        <v>-13</v>
      </c>
      <c r="L31" s="15">
        <f>'FY 2004 Act'!L31-'FY 2004 Bud'!L31</f>
        <v>-50</v>
      </c>
      <c r="M31" s="15">
        <f>'FY 2004 Act'!M31-'FY 2004 Bud'!M31</f>
        <v>62</v>
      </c>
      <c r="N31" s="29">
        <f>SUM(B31:M31)</f>
        <v>-87</v>
      </c>
    </row>
    <row r="32" spans="1:14" ht="12.75">
      <c r="A32" t="s">
        <v>34</v>
      </c>
      <c r="B32" s="16">
        <f>'FY 2004 Act'!B32-'FY 2004 Bud'!B32</f>
        <v>-46</v>
      </c>
      <c r="C32" s="16">
        <f>'FY 2004 Act'!C32-'FY 2004 Bud'!C32</f>
        <v>-8</v>
      </c>
      <c r="D32" s="16">
        <f>'FY 2004 Act'!D32-'FY 2004 Bud'!D32</f>
        <v>1</v>
      </c>
      <c r="E32" s="16">
        <f>'FY 2004 Act'!E32-'FY 2004 Bud'!E32</f>
        <v>9</v>
      </c>
      <c r="F32" s="16">
        <f>'FY 2004 Act'!F32-'FY 2004 Bud'!F32</f>
        <v>15</v>
      </c>
      <c r="G32" s="16">
        <f>'FY 2004 Act'!G32-'FY 2004 Bud'!G32</f>
        <v>-15</v>
      </c>
      <c r="H32" s="16">
        <f>'FY 2004 Act'!H32-'FY 2004 Bud'!H32</f>
        <v>-6</v>
      </c>
      <c r="I32" s="16">
        <f>'FY 2004 Act'!I32-'FY 2004 Bud'!I32</f>
        <v>34</v>
      </c>
      <c r="J32" s="16">
        <f>'FY 2004 Act'!J32-'FY 2004 Bud'!J32</f>
        <v>16</v>
      </c>
      <c r="K32" s="16">
        <f>'FY 2004 Act'!K32-'FY 2004 Bud'!K32</f>
        <v>33</v>
      </c>
      <c r="L32" s="16">
        <f>'FY 2004 Act'!L32-'FY 2004 Bud'!L32</f>
        <v>-18</v>
      </c>
      <c r="M32" s="16">
        <f>'FY 2004 Act'!M32-'FY 2004 Bud'!M32</f>
        <v>-85</v>
      </c>
      <c r="N32" s="31">
        <f>SUM(B32:M32)</f>
        <v>-70</v>
      </c>
    </row>
    <row r="33" spans="1:14" ht="12.75">
      <c r="A33" s="32" t="s">
        <v>35</v>
      </c>
      <c r="B33" s="33">
        <f>SUM(B29:B32)</f>
        <v>-48</v>
      </c>
      <c r="C33" s="33">
        <f aca="true" t="shared" si="4" ref="C33:M33">SUM(C29:C32)</f>
        <v>-24</v>
      </c>
      <c r="D33" s="33">
        <f t="shared" si="4"/>
        <v>2</v>
      </c>
      <c r="E33" s="33">
        <f t="shared" si="4"/>
        <v>40</v>
      </c>
      <c r="F33" s="33">
        <f t="shared" si="4"/>
        <v>43</v>
      </c>
      <c r="G33" s="33">
        <f t="shared" si="4"/>
        <v>2</v>
      </c>
      <c r="H33" s="33">
        <f t="shared" si="4"/>
        <v>-53</v>
      </c>
      <c r="I33" s="33">
        <f t="shared" si="4"/>
        <v>28</v>
      </c>
      <c r="J33" s="33">
        <f t="shared" si="4"/>
        <v>-37</v>
      </c>
      <c r="K33" s="33">
        <f t="shared" si="4"/>
        <v>34</v>
      </c>
      <c r="L33" s="33">
        <f t="shared" si="4"/>
        <v>-45</v>
      </c>
      <c r="M33" s="33">
        <f t="shared" si="4"/>
        <v>-39</v>
      </c>
      <c r="N33" s="33">
        <f>SUM(N29:N32)</f>
        <v>-97</v>
      </c>
    </row>
    <row r="34" ht="12.75">
      <c r="N34" s="34"/>
    </row>
    <row r="35" spans="1:14" ht="12.75">
      <c r="A35" s="32" t="s">
        <v>36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6"/>
    </row>
    <row r="36" spans="1:14" ht="12.75">
      <c r="A36" s="32"/>
      <c r="B36" s="15">
        <f>'FY 2004 Act'!B36-'FY 2004 Bud'!B36</f>
        <v>2</v>
      </c>
      <c r="C36" s="15">
        <f>'FY 2004 Act'!C36-'FY 2004 Bud'!C36</f>
        <v>-3</v>
      </c>
      <c r="D36" s="15">
        <f>'FY 2004 Act'!D36-'FY 2004 Bud'!D36</f>
        <v>4</v>
      </c>
      <c r="E36" s="15">
        <f>'FY 2004 Act'!E36-'FY 2004 Bud'!E36</f>
        <v>13</v>
      </c>
      <c r="F36" s="15">
        <f>'FY 2004 Act'!F36-'FY 2004 Bud'!F36</f>
        <v>-25</v>
      </c>
      <c r="G36" s="15">
        <f>'FY 2004 Act'!G36-'FY 2004 Bud'!G36</f>
        <v>4</v>
      </c>
      <c r="H36" s="15">
        <f>'FY 2004 Act'!H36-'FY 2004 Bud'!H36</f>
        <v>12</v>
      </c>
      <c r="I36" s="15">
        <f>'FY 2004 Act'!I36-'FY 2004 Bud'!I36</f>
        <v>0</v>
      </c>
      <c r="J36" s="15">
        <f>'FY 2004 Act'!J36-'FY 2004 Bud'!J36</f>
        <v>11</v>
      </c>
      <c r="K36" s="15">
        <f>'FY 2004 Act'!K36-'FY 2004 Bud'!K36</f>
        <v>-26</v>
      </c>
      <c r="L36" s="15">
        <f>'FY 2004 Act'!L36-'FY 2004 Bud'!L36</f>
        <v>-23</v>
      </c>
      <c r="M36" s="15">
        <f>'FY 2004 Act'!M36-'FY 2004 Bud'!M36</f>
        <v>-33</v>
      </c>
      <c r="N36" s="38">
        <f>SUM(B36:M36)</f>
        <v>-64</v>
      </c>
    </row>
    <row r="37" spans="1:14" ht="12.75">
      <c r="A37" s="3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2.75">
      <c r="A38" s="24" t="s">
        <v>37</v>
      </c>
      <c r="B38" s="18">
        <f>B36</f>
        <v>2</v>
      </c>
      <c r="C38" s="18">
        <f aca="true" t="shared" si="5" ref="C38:M38">C36</f>
        <v>-3</v>
      </c>
      <c r="D38" s="18">
        <f t="shared" si="5"/>
        <v>4</v>
      </c>
      <c r="E38" s="18">
        <f t="shared" si="5"/>
        <v>13</v>
      </c>
      <c r="F38" s="18">
        <f t="shared" si="5"/>
        <v>-25</v>
      </c>
      <c r="G38" s="18">
        <f t="shared" si="5"/>
        <v>4</v>
      </c>
      <c r="H38" s="18">
        <f t="shared" si="5"/>
        <v>12</v>
      </c>
      <c r="I38" s="18">
        <f t="shared" si="5"/>
        <v>0</v>
      </c>
      <c r="J38" s="18">
        <f t="shared" si="5"/>
        <v>11</v>
      </c>
      <c r="K38" s="18">
        <f t="shared" si="5"/>
        <v>-26</v>
      </c>
      <c r="L38" s="18">
        <f t="shared" si="5"/>
        <v>-23</v>
      </c>
      <c r="M38" s="18">
        <f t="shared" si="5"/>
        <v>-33</v>
      </c>
      <c r="N38" s="18">
        <f>N36</f>
        <v>-64</v>
      </c>
    </row>
    <row r="39" spans="1:14" ht="12.75">
      <c r="A39" s="4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3.5" thickBot="1">
      <c r="A40" s="11" t="s">
        <v>38</v>
      </c>
      <c r="B40" s="41">
        <f>B26+B33-B36</f>
        <v>56</v>
      </c>
      <c r="C40" s="41">
        <f aca="true" t="shared" si="6" ref="C40:M40">C26+C33-C36</f>
        <v>-129</v>
      </c>
      <c r="D40" s="41">
        <f t="shared" si="6"/>
        <v>161</v>
      </c>
      <c r="E40" s="41">
        <f t="shared" si="6"/>
        <v>313</v>
      </c>
      <c r="F40" s="41">
        <f t="shared" si="6"/>
        <v>177</v>
      </c>
      <c r="G40" s="41">
        <f t="shared" si="6"/>
        <v>-48</v>
      </c>
      <c r="H40" s="41">
        <f t="shared" si="6"/>
        <v>175</v>
      </c>
      <c r="I40" s="41">
        <f t="shared" si="6"/>
        <v>64</v>
      </c>
      <c r="J40" s="41">
        <f t="shared" si="6"/>
        <v>416</v>
      </c>
      <c r="K40" s="41">
        <f t="shared" si="6"/>
        <v>189</v>
      </c>
      <c r="L40" s="41">
        <f t="shared" si="6"/>
        <v>105</v>
      </c>
      <c r="M40" s="41">
        <f t="shared" si="6"/>
        <v>491</v>
      </c>
      <c r="N40" s="41">
        <f>N26+N33-N36</f>
        <v>1970</v>
      </c>
    </row>
    <row r="41" ht="13.5" thickTop="1"/>
    <row r="42" ht="12.75">
      <c r="A42" s="46" t="s">
        <v>51</v>
      </c>
    </row>
  </sheetData>
  <mergeCells count="4">
    <mergeCell ref="A1:N1"/>
    <mergeCell ref="A5:N5"/>
    <mergeCell ref="A3:N3"/>
    <mergeCell ref="A4:N4"/>
  </mergeCells>
  <printOptions/>
  <pageMargins left="0.5" right="0" top="0.5" bottom="0" header="0.5" footer="0.5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A1" sqref="A1:H1"/>
    </sheetView>
  </sheetViews>
  <sheetFormatPr defaultColWidth="9.140625" defaultRowHeight="12.75"/>
  <cols>
    <col min="1" max="1" width="29.28125" style="0" bestFit="1" customWidth="1"/>
  </cols>
  <sheetData>
    <row r="1" spans="1:8" ht="18">
      <c r="A1" s="65" t="s">
        <v>0</v>
      </c>
      <c r="B1" s="65"/>
      <c r="C1" s="65"/>
      <c r="D1" s="65"/>
      <c r="E1" s="65"/>
      <c r="F1" s="65"/>
      <c r="G1" s="65"/>
      <c r="H1" s="65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67" t="s">
        <v>48</v>
      </c>
      <c r="B3" s="67"/>
      <c r="C3" s="67"/>
      <c r="D3" s="67"/>
      <c r="E3" s="67"/>
      <c r="F3" s="67"/>
      <c r="G3" s="67"/>
      <c r="H3" s="67"/>
    </row>
    <row r="4" spans="1:8" ht="12.75">
      <c r="A4" s="66" t="s">
        <v>49</v>
      </c>
      <c r="B4" s="66"/>
      <c r="C4" s="66"/>
      <c r="D4" s="66"/>
      <c r="E4" s="66"/>
      <c r="F4" s="66"/>
      <c r="G4" s="66"/>
      <c r="H4" s="66"/>
    </row>
    <row r="5" spans="1:8" ht="12.75">
      <c r="A5" s="66" t="s">
        <v>52</v>
      </c>
      <c r="B5" s="66"/>
      <c r="C5" s="66"/>
      <c r="D5" s="66"/>
      <c r="E5" s="66"/>
      <c r="F5" s="66"/>
      <c r="G5" s="66"/>
      <c r="H5" s="66"/>
    </row>
    <row r="6" spans="1:8" ht="12.75">
      <c r="A6" s="45"/>
      <c r="B6" s="45"/>
      <c r="C6" s="45"/>
      <c r="D6" s="45"/>
      <c r="E6" s="45"/>
      <c r="F6" s="45"/>
      <c r="G6" s="45"/>
      <c r="H6" s="45"/>
    </row>
    <row r="7" spans="1:8" ht="12.75">
      <c r="A7" s="2"/>
      <c r="B7" s="43" t="s">
        <v>44</v>
      </c>
      <c r="C7" s="43" t="s">
        <v>44</v>
      </c>
      <c r="D7" s="43" t="s">
        <v>44</v>
      </c>
      <c r="E7" s="43" t="s">
        <v>44</v>
      </c>
      <c r="F7" s="43" t="s">
        <v>44</v>
      </c>
      <c r="G7" s="43" t="s">
        <v>44</v>
      </c>
      <c r="H7" s="5"/>
    </row>
    <row r="8" spans="1:8" ht="12.75">
      <c r="A8" s="6"/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13</v>
      </c>
    </row>
    <row r="9" spans="1:8" ht="12.75">
      <c r="A9" s="8" t="s">
        <v>14</v>
      </c>
      <c r="B9" s="9"/>
      <c r="C9" s="10"/>
      <c r="D9" s="10"/>
      <c r="E9" s="10"/>
      <c r="F9" s="10"/>
      <c r="G9" s="10"/>
      <c r="H9" s="9"/>
    </row>
    <row r="10" spans="1:8" ht="12.75">
      <c r="A10" s="11" t="s">
        <v>15</v>
      </c>
      <c r="B10" s="12"/>
      <c r="C10" s="12"/>
      <c r="D10" s="12"/>
      <c r="E10" s="12"/>
      <c r="F10" s="12"/>
      <c r="G10" s="12"/>
      <c r="H10" s="12"/>
    </row>
    <row r="11" spans="1:9" ht="12.75">
      <c r="A11" s="13" t="s">
        <v>16</v>
      </c>
      <c r="B11" s="14">
        <v>16303</v>
      </c>
      <c r="C11" s="14">
        <v>26784</v>
      </c>
      <c r="D11" s="14">
        <v>49259</v>
      </c>
      <c r="E11" s="14">
        <v>36466</v>
      </c>
      <c r="F11" s="14">
        <v>42944</v>
      </c>
      <c r="G11" s="14">
        <v>24806</v>
      </c>
      <c r="H11" s="14">
        <f>SUM(B11:G11)</f>
        <v>196562</v>
      </c>
      <c r="I11" s="44"/>
    </row>
    <row r="12" spans="1:9" ht="12.75">
      <c r="A12" s="13" t="s">
        <v>17</v>
      </c>
      <c r="B12" s="15">
        <v>694</v>
      </c>
      <c r="C12" s="15">
        <v>794</v>
      </c>
      <c r="D12" s="15">
        <v>843</v>
      </c>
      <c r="E12" s="15">
        <v>1397</v>
      </c>
      <c r="F12" s="15">
        <v>1010</v>
      </c>
      <c r="G12" s="15">
        <v>759</v>
      </c>
      <c r="H12" s="15">
        <f>SUM(B12:G12)</f>
        <v>5497</v>
      </c>
      <c r="I12" s="44"/>
    </row>
    <row r="13" spans="1:9" ht="12.75">
      <c r="A13" s="13" t="s">
        <v>18</v>
      </c>
      <c r="B13" s="16">
        <f>47+109</f>
        <v>156</v>
      </c>
      <c r="C13" s="16">
        <f>82+113</f>
        <v>195</v>
      </c>
      <c r="D13" s="16">
        <f>254</f>
        <v>254</v>
      </c>
      <c r="E13" s="16">
        <v>389</v>
      </c>
      <c r="F13" s="16">
        <v>455</v>
      </c>
      <c r="G13" s="16">
        <v>418</v>
      </c>
      <c r="H13" s="16">
        <f>SUM(B13:G13)</f>
        <v>1867</v>
      </c>
      <c r="I13" s="44"/>
    </row>
    <row r="14" spans="1:9" ht="12.75">
      <c r="A14" s="11" t="s">
        <v>19</v>
      </c>
      <c r="B14" s="15">
        <f aca="true" t="shared" si="0" ref="B14:G14">SUM(B11:B13)</f>
        <v>17153</v>
      </c>
      <c r="C14" s="15">
        <f t="shared" si="0"/>
        <v>27773</v>
      </c>
      <c r="D14" s="15">
        <f t="shared" si="0"/>
        <v>50356</v>
      </c>
      <c r="E14" s="15">
        <f t="shared" si="0"/>
        <v>38252</v>
      </c>
      <c r="F14" s="15">
        <f t="shared" si="0"/>
        <v>44409</v>
      </c>
      <c r="G14" s="15">
        <f t="shared" si="0"/>
        <v>25983</v>
      </c>
      <c r="H14" s="15">
        <f>SUM(B14:G14)</f>
        <v>203926</v>
      </c>
      <c r="I14" s="44"/>
    </row>
    <row r="15" spans="1:9" ht="12.75">
      <c r="A15" s="13"/>
      <c r="B15" s="15"/>
      <c r="C15" s="15"/>
      <c r="D15" s="15"/>
      <c r="E15" s="15"/>
      <c r="F15" s="15"/>
      <c r="G15" s="15"/>
      <c r="H15" s="15"/>
      <c r="I15" s="44"/>
    </row>
    <row r="16" spans="1:9" ht="12.75">
      <c r="A16" s="13" t="s">
        <v>20</v>
      </c>
      <c r="B16" s="17">
        <v>12919</v>
      </c>
      <c r="C16" s="17">
        <v>23588</v>
      </c>
      <c r="D16" s="17">
        <v>43652</v>
      </c>
      <c r="E16" s="17">
        <v>31729</v>
      </c>
      <c r="F16" s="17">
        <v>37747</v>
      </c>
      <c r="G16" s="17">
        <v>20900</v>
      </c>
      <c r="H16" s="17">
        <f>SUM(B16:G16)</f>
        <v>170535</v>
      </c>
      <c r="I16" s="44"/>
    </row>
    <row r="17" spans="1:9" ht="12.75">
      <c r="A17" s="11" t="s">
        <v>21</v>
      </c>
      <c r="B17" s="18">
        <f aca="true" t="shared" si="1" ref="B17:H17">B14-B16</f>
        <v>4234</v>
      </c>
      <c r="C17" s="18">
        <f t="shared" si="1"/>
        <v>4185</v>
      </c>
      <c r="D17" s="18">
        <f t="shared" si="1"/>
        <v>6704</v>
      </c>
      <c r="E17" s="18">
        <f t="shared" si="1"/>
        <v>6523</v>
      </c>
      <c r="F17" s="18">
        <f t="shared" si="1"/>
        <v>6662</v>
      </c>
      <c r="G17" s="18">
        <f t="shared" si="1"/>
        <v>5083</v>
      </c>
      <c r="H17" s="18">
        <f t="shared" si="1"/>
        <v>33391</v>
      </c>
      <c r="I17" s="44"/>
    </row>
    <row r="18" spans="1:9" ht="12.75">
      <c r="A18" s="11"/>
      <c r="B18" s="18"/>
      <c r="C18" s="18"/>
      <c r="D18" s="18"/>
      <c r="E18" s="18"/>
      <c r="F18" s="18"/>
      <c r="G18" s="18"/>
      <c r="H18" s="18"/>
      <c r="I18" s="44"/>
    </row>
    <row r="19" spans="1:9" ht="12.75">
      <c r="A19" s="11" t="s">
        <v>22</v>
      </c>
      <c r="B19" s="19"/>
      <c r="C19" s="19"/>
      <c r="D19" s="19"/>
      <c r="E19" s="19"/>
      <c r="F19" s="19"/>
      <c r="G19" s="19"/>
      <c r="H19" s="19"/>
      <c r="I19" s="44"/>
    </row>
    <row r="20" spans="1:9" ht="12.75">
      <c r="A20" s="13" t="s">
        <v>23</v>
      </c>
      <c r="B20" s="18">
        <f>1149+112</f>
        <v>1261</v>
      </c>
      <c r="C20" s="18">
        <v>1377</v>
      </c>
      <c r="D20" s="18">
        <f>1122+206</f>
        <v>1328</v>
      </c>
      <c r="E20" s="18">
        <f>1329+152</f>
        <v>1481</v>
      </c>
      <c r="F20" s="18">
        <v>1459</v>
      </c>
      <c r="G20" s="18">
        <v>1425</v>
      </c>
      <c r="H20" s="18">
        <f>SUM(B20:G20)</f>
        <v>8331</v>
      </c>
      <c r="I20" s="44"/>
    </row>
    <row r="21" spans="1:9" ht="12.75">
      <c r="A21" s="13" t="s">
        <v>24</v>
      </c>
      <c r="B21" s="18">
        <v>324</v>
      </c>
      <c r="C21" s="18">
        <v>374</v>
      </c>
      <c r="D21" s="18">
        <v>450</v>
      </c>
      <c r="E21" s="18">
        <v>403</v>
      </c>
      <c r="F21" s="18">
        <v>359</v>
      </c>
      <c r="G21" s="18">
        <v>303</v>
      </c>
      <c r="H21" s="18">
        <f>SUM(B21:G21)</f>
        <v>2213</v>
      </c>
      <c r="I21" s="44"/>
    </row>
    <row r="22" spans="1:9" ht="12.75">
      <c r="A22" s="13" t="s">
        <v>25</v>
      </c>
      <c r="B22" s="18">
        <v>960</v>
      </c>
      <c r="C22" s="18">
        <v>967</v>
      </c>
      <c r="D22" s="18">
        <v>974</v>
      </c>
      <c r="E22" s="18">
        <v>949</v>
      </c>
      <c r="F22" s="18">
        <v>934</v>
      </c>
      <c r="G22" s="18">
        <v>939</v>
      </c>
      <c r="H22" s="18">
        <f>SUM(B22:G22)</f>
        <v>5723</v>
      </c>
      <c r="I22" s="44"/>
    </row>
    <row r="23" spans="1:9" ht="12.75">
      <c r="A23" s="13" t="s">
        <v>26</v>
      </c>
      <c r="B23" s="20">
        <v>291</v>
      </c>
      <c r="C23" s="20">
        <v>331</v>
      </c>
      <c r="D23" s="20">
        <v>295</v>
      </c>
      <c r="E23" s="20">
        <v>279</v>
      </c>
      <c r="F23" s="20">
        <v>385</v>
      </c>
      <c r="G23" s="20">
        <v>296</v>
      </c>
      <c r="H23" s="18">
        <f>SUM(B23:G23)</f>
        <v>1877</v>
      </c>
      <c r="I23" s="44"/>
    </row>
    <row r="24" spans="1:9" ht="12.75">
      <c r="A24" s="13" t="s">
        <v>27</v>
      </c>
      <c r="B24" s="21">
        <v>371</v>
      </c>
      <c r="C24" s="21">
        <v>284</v>
      </c>
      <c r="D24" s="21">
        <v>1243</v>
      </c>
      <c r="E24" s="21">
        <v>1165</v>
      </c>
      <c r="F24" s="21">
        <v>1214</v>
      </c>
      <c r="G24" s="21">
        <v>607</v>
      </c>
      <c r="H24" s="17">
        <f>SUM(B24:G24)</f>
        <v>4884</v>
      </c>
      <c r="I24" s="44"/>
    </row>
    <row r="25" spans="1:9" ht="12.75">
      <c r="A25" s="11" t="s">
        <v>28</v>
      </c>
      <c r="B25" s="18">
        <f aca="true" t="shared" si="2" ref="B25:H25">SUM(B20:B24)</f>
        <v>3207</v>
      </c>
      <c r="C25" s="18">
        <f t="shared" si="2"/>
        <v>3333</v>
      </c>
      <c r="D25" s="18">
        <f t="shared" si="2"/>
        <v>4290</v>
      </c>
      <c r="E25" s="18">
        <f t="shared" si="2"/>
        <v>4277</v>
      </c>
      <c r="F25" s="18">
        <f t="shared" si="2"/>
        <v>4351</v>
      </c>
      <c r="G25" s="18">
        <f t="shared" si="2"/>
        <v>3570</v>
      </c>
      <c r="H25" s="18">
        <f t="shared" si="2"/>
        <v>23028</v>
      </c>
      <c r="I25" s="44"/>
    </row>
    <row r="26" spans="1:9" ht="12.75">
      <c r="A26" s="22"/>
      <c r="B26" s="23"/>
      <c r="C26" s="23"/>
      <c r="D26" s="23"/>
      <c r="E26" s="23"/>
      <c r="F26" s="23"/>
      <c r="G26" s="23"/>
      <c r="H26" s="23"/>
      <c r="I26" s="44"/>
    </row>
    <row r="27" spans="1:9" ht="12.75">
      <c r="A27" s="11" t="s">
        <v>29</v>
      </c>
      <c r="B27" s="15">
        <f aca="true" t="shared" si="3" ref="B27:H27">B17-B25</f>
        <v>1027</v>
      </c>
      <c r="C27" s="15">
        <f t="shared" si="3"/>
        <v>852</v>
      </c>
      <c r="D27" s="15">
        <f t="shared" si="3"/>
        <v>2414</v>
      </c>
      <c r="E27" s="15">
        <f t="shared" si="3"/>
        <v>2246</v>
      </c>
      <c r="F27" s="15">
        <f t="shared" si="3"/>
        <v>2311</v>
      </c>
      <c r="G27" s="15">
        <f t="shared" si="3"/>
        <v>1513</v>
      </c>
      <c r="H27" s="15">
        <f t="shared" si="3"/>
        <v>10363</v>
      </c>
      <c r="I27" s="44"/>
    </row>
    <row r="28" spans="1:9" ht="12.75">
      <c r="A28" s="13"/>
      <c r="B28" s="15"/>
      <c r="C28" s="15"/>
      <c r="D28" s="15"/>
      <c r="E28" s="15"/>
      <c r="F28" s="15"/>
      <c r="G28" s="15"/>
      <c r="H28" s="15"/>
      <c r="I28" s="44"/>
    </row>
    <row r="29" spans="1:9" ht="12.75">
      <c r="A29" s="24" t="s">
        <v>30</v>
      </c>
      <c r="B29" s="25"/>
      <c r="C29" s="25"/>
      <c r="D29" s="25"/>
      <c r="E29" s="25"/>
      <c r="F29" s="25"/>
      <c r="G29" s="25"/>
      <c r="H29" s="25"/>
      <c r="I29" s="44"/>
    </row>
    <row r="30" spans="1:9" ht="12.75">
      <c r="A30" s="26" t="s">
        <v>31</v>
      </c>
      <c r="B30" s="27">
        <v>25</v>
      </c>
      <c r="C30" s="27">
        <v>41</v>
      </c>
      <c r="D30" s="27">
        <v>29</v>
      </c>
      <c r="E30" s="27">
        <v>26</v>
      </c>
      <c r="F30" s="27">
        <v>27</v>
      </c>
      <c r="G30" s="27">
        <v>15</v>
      </c>
      <c r="H30" s="29">
        <f>SUM(B30:G30)</f>
        <v>163</v>
      </c>
      <c r="I30" s="44"/>
    </row>
    <row r="31" spans="1:9" ht="12.75">
      <c r="A31" t="s">
        <v>32</v>
      </c>
      <c r="B31" s="29">
        <v>50</v>
      </c>
      <c r="C31" s="29">
        <v>49</v>
      </c>
      <c r="D31" s="29">
        <v>53</v>
      </c>
      <c r="E31" s="29">
        <v>57</v>
      </c>
      <c r="F31" s="29">
        <v>38</v>
      </c>
      <c r="G31" s="29">
        <v>54</v>
      </c>
      <c r="H31" s="29">
        <f>SUM(B31:G31)</f>
        <v>301</v>
      </c>
      <c r="I31" s="44"/>
    </row>
    <row r="32" spans="1:9" ht="12.75">
      <c r="A32" s="11" t="s">
        <v>33</v>
      </c>
      <c r="B32" s="30">
        <v>-64</v>
      </c>
      <c r="C32" s="30">
        <v>-7</v>
      </c>
      <c r="D32" s="30">
        <v>-32</v>
      </c>
      <c r="E32" s="30">
        <v>-12</v>
      </c>
      <c r="F32" s="30">
        <v>1</v>
      </c>
      <c r="G32" s="30">
        <v>-37</v>
      </c>
      <c r="H32" s="29">
        <f>SUM(B32:G32)</f>
        <v>-151</v>
      </c>
      <c r="I32" s="44"/>
    </row>
    <row r="33" spans="1:9" ht="12.75">
      <c r="A33" t="s">
        <v>34</v>
      </c>
      <c r="B33" s="31">
        <v>52</v>
      </c>
      <c r="C33" s="31">
        <v>30</v>
      </c>
      <c r="D33" s="31">
        <v>98</v>
      </c>
      <c r="E33" s="31">
        <v>83</v>
      </c>
      <c r="F33" s="31">
        <v>21</v>
      </c>
      <c r="G33" s="31">
        <v>17</v>
      </c>
      <c r="H33" s="31">
        <f>SUM(B33:G33)</f>
        <v>301</v>
      </c>
      <c r="I33" s="44"/>
    </row>
    <row r="34" spans="1:9" ht="12.75">
      <c r="A34" s="32" t="s">
        <v>35</v>
      </c>
      <c r="B34" s="33">
        <f aca="true" t="shared" si="4" ref="B34:H34">SUM(B30:B33)</f>
        <v>63</v>
      </c>
      <c r="C34" s="33">
        <f t="shared" si="4"/>
        <v>113</v>
      </c>
      <c r="D34" s="33">
        <f t="shared" si="4"/>
        <v>148</v>
      </c>
      <c r="E34" s="33">
        <f t="shared" si="4"/>
        <v>154</v>
      </c>
      <c r="F34" s="33">
        <f t="shared" si="4"/>
        <v>87</v>
      </c>
      <c r="G34" s="33">
        <f t="shared" si="4"/>
        <v>49</v>
      </c>
      <c r="H34" s="33">
        <f t="shared" si="4"/>
        <v>614</v>
      </c>
      <c r="I34" s="44"/>
    </row>
    <row r="35" spans="3:9" ht="12.75">
      <c r="C35" s="34"/>
      <c r="D35" s="34"/>
      <c r="E35" s="34"/>
      <c r="F35" s="34"/>
      <c r="G35" s="34"/>
      <c r="H35" s="34"/>
      <c r="I35" s="44"/>
    </row>
    <row r="36" spans="1:9" ht="12.75">
      <c r="A36" s="32" t="s">
        <v>36</v>
      </c>
      <c r="B36" s="32"/>
      <c r="C36" s="36"/>
      <c r="D36" s="36"/>
      <c r="E36" s="36"/>
      <c r="F36" s="36"/>
      <c r="G36" s="36"/>
      <c r="H36" s="36"/>
      <c r="I36" s="44"/>
    </row>
    <row r="37" spans="1:9" ht="12.75">
      <c r="A37" s="32"/>
      <c r="B37" s="38">
        <f>466+81</f>
        <v>547</v>
      </c>
      <c r="C37" s="38">
        <f>458+91</f>
        <v>549</v>
      </c>
      <c r="D37" s="38">
        <v>563</v>
      </c>
      <c r="E37" s="38">
        <v>584</v>
      </c>
      <c r="F37" s="38">
        <f>437+69</f>
        <v>506</v>
      </c>
      <c r="G37" s="38">
        <f>479+70</f>
        <v>549</v>
      </c>
      <c r="H37" s="38">
        <f>SUM(B37:G37)</f>
        <v>3298</v>
      </c>
      <c r="I37" s="44"/>
    </row>
    <row r="38" spans="1:9" ht="12.75">
      <c r="A38" s="32"/>
      <c r="B38" s="39"/>
      <c r="C38" s="39"/>
      <c r="D38" s="39"/>
      <c r="E38" s="39"/>
      <c r="F38" s="39"/>
      <c r="G38" s="39"/>
      <c r="H38" s="39"/>
      <c r="I38" s="44"/>
    </row>
    <row r="39" spans="1:9" ht="12.75">
      <c r="A39" s="24" t="s">
        <v>37</v>
      </c>
      <c r="B39" s="18">
        <f aca="true" t="shared" si="5" ref="B39:H39">B37</f>
        <v>547</v>
      </c>
      <c r="C39" s="18">
        <f t="shared" si="5"/>
        <v>549</v>
      </c>
      <c r="D39" s="18">
        <f t="shared" si="5"/>
        <v>563</v>
      </c>
      <c r="E39" s="18">
        <f t="shared" si="5"/>
        <v>584</v>
      </c>
      <c r="F39" s="18">
        <f t="shared" si="5"/>
        <v>506</v>
      </c>
      <c r="G39" s="18">
        <f t="shared" si="5"/>
        <v>549</v>
      </c>
      <c r="H39" s="18">
        <f t="shared" si="5"/>
        <v>3298</v>
      </c>
      <c r="I39" s="44"/>
    </row>
    <row r="40" spans="1:9" ht="12.75">
      <c r="A40" s="40"/>
      <c r="B40" s="39"/>
      <c r="C40" s="39"/>
      <c r="D40" s="39"/>
      <c r="E40" s="39"/>
      <c r="F40" s="39"/>
      <c r="G40" s="39"/>
      <c r="H40" s="39"/>
      <c r="I40" s="44"/>
    </row>
    <row r="41" spans="1:9" ht="13.5" thickBot="1">
      <c r="A41" s="11" t="s">
        <v>38</v>
      </c>
      <c r="B41" s="41">
        <f aca="true" t="shared" si="6" ref="B41:H41">B27+B34-B37</f>
        <v>543</v>
      </c>
      <c r="C41" s="41">
        <f t="shared" si="6"/>
        <v>416</v>
      </c>
      <c r="D41" s="41">
        <f t="shared" si="6"/>
        <v>1999</v>
      </c>
      <c r="E41" s="41">
        <f t="shared" si="6"/>
        <v>1816</v>
      </c>
      <c r="F41" s="41">
        <f t="shared" si="6"/>
        <v>1892</v>
      </c>
      <c r="G41" s="41">
        <f t="shared" si="6"/>
        <v>1013</v>
      </c>
      <c r="H41" s="41">
        <f t="shared" si="6"/>
        <v>7679</v>
      </c>
      <c r="I41" s="44"/>
    </row>
    <row r="42" ht="13.5" thickTop="1"/>
  </sheetData>
  <mergeCells count="4">
    <mergeCell ref="A1:H1"/>
    <mergeCell ref="A3:H3"/>
    <mergeCell ref="A4:H4"/>
    <mergeCell ref="A5:H5"/>
  </mergeCells>
  <printOptions/>
  <pageMargins left="0.5" right="0" top="0.5" bottom="0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:H1"/>
    </sheetView>
  </sheetViews>
  <sheetFormatPr defaultColWidth="9.140625" defaultRowHeight="12.75"/>
  <cols>
    <col min="1" max="1" width="29.28125" style="0" bestFit="1" customWidth="1"/>
  </cols>
  <sheetData>
    <row r="1" spans="1:8" ht="18">
      <c r="A1" s="65" t="s">
        <v>0</v>
      </c>
      <c r="B1" s="65"/>
      <c r="C1" s="65"/>
      <c r="D1" s="65"/>
      <c r="E1" s="65"/>
      <c r="F1" s="65"/>
      <c r="G1" s="65"/>
      <c r="H1" s="65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67" t="s">
        <v>48</v>
      </c>
      <c r="B3" s="67"/>
      <c r="C3" s="67"/>
      <c r="D3" s="67"/>
      <c r="E3" s="67"/>
      <c r="F3" s="67"/>
      <c r="G3" s="67"/>
      <c r="H3" s="67"/>
    </row>
    <row r="4" spans="1:8" ht="12.75">
      <c r="A4" s="66" t="s">
        <v>49</v>
      </c>
      <c r="B4" s="66"/>
      <c r="C4" s="66"/>
      <c r="D4" s="66"/>
      <c r="E4" s="66"/>
      <c r="F4" s="66"/>
      <c r="G4" s="66"/>
      <c r="H4" s="66"/>
    </row>
    <row r="5" spans="1:8" ht="12.75">
      <c r="A5" s="66" t="s">
        <v>53</v>
      </c>
      <c r="B5" s="66"/>
      <c r="C5" s="66"/>
      <c r="D5" s="66"/>
      <c r="E5" s="66"/>
      <c r="F5" s="66"/>
      <c r="G5" s="66"/>
      <c r="H5" s="66"/>
    </row>
    <row r="6" spans="1:8" ht="12.75">
      <c r="A6" s="2"/>
      <c r="B6" s="2"/>
      <c r="C6" s="3"/>
      <c r="D6" s="3"/>
      <c r="E6" s="3"/>
      <c r="F6" s="3"/>
      <c r="G6" s="3"/>
      <c r="H6" s="5"/>
    </row>
    <row r="7" spans="1:8" ht="12.7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13</v>
      </c>
    </row>
    <row r="8" spans="1:8" ht="12.75">
      <c r="A8" s="8" t="s">
        <v>14</v>
      </c>
      <c r="B8" s="9"/>
      <c r="C8" s="10"/>
      <c r="D8" s="10"/>
      <c r="E8" s="10"/>
      <c r="F8" s="10"/>
      <c r="G8" s="10"/>
      <c r="H8" s="9"/>
    </row>
    <row r="9" spans="1:8" ht="12.75">
      <c r="A9" s="11" t="s">
        <v>15</v>
      </c>
      <c r="B9" s="12"/>
      <c r="C9" s="12"/>
      <c r="D9" s="12"/>
      <c r="E9" s="12"/>
      <c r="F9" s="12"/>
      <c r="G9" s="12"/>
      <c r="H9" s="12"/>
    </row>
    <row r="10" spans="1:10" ht="12.75">
      <c r="A10" s="13" t="s">
        <v>16</v>
      </c>
      <c r="B10" s="14">
        <v>11721</v>
      </c>
      <c r="C10" s="14">
        <v>21484</v>
      </c>
      <c r="D10" s="14">
        <v>36813</v>
      </c>
      <c r="E10" s="14">
        <v>42162</v>
      </c>
      <c r="F10" s="14">
        <v>34716</v>
      </c>
      <c r="G10" s="14">
        <v>25288</v>
      </c>
      <c r="H10" s="14">
        <f>SUM(B10:G10)</f>
        <v>172184</v>
      </c>
      <c r="J10" s="44"/>
    </row>
    <row r="11" spans="1:10" ht="12.75">
      <c r="A11" s="13" t="s">
        <v>17</v>
      </c>
      <c r="B11" s="15">
        <v>671</v>
      </c>
      <c r="C11" s="15">
        <v>722</v>
      </c>
      <c r="D11" s="15">
        <v>714</v>
      </c>
      <c r="E11" s="15">
        <v>817</v>
      </c>
      <c r="F11" s="15">
        <v>771</v>
      </c>
      <c r="G11" s="15">
        <v>777</v>
      </c>
      <c r="H11" s="15">
        <f>SUM(B11:G11)</f>
        <v>4472</v>
      </c>
      <c r="J11" s="44"/>
    </row>
    <row r="12" spans="1:10" ht="12.75">
      <c r="A12" s="13" t="s">
        <v>18</v>
      </c>
      <c r="B12" s="16">
        <f>44+115</f>
        <v>159</v>
      </c>
      <c r="C12" s="16">
        <f>65+115</f>
        <v>180</v>
      </c>
      <c r="D12" s="16">
        <f>119+95</f>
        <v>214</v>
      </c>
      <c r="E12" s="16">
        <f>235+70</f>
        <v>305</v>
      </c>
      <c r="F12" s="16">
        <f>336+80</f>
        <v>416</v>
      </c>
      <c r="G12" s="16">
        <v>407</v>
      </c>
      <c r="H12" s="16">
        <f>SUM(B12:G12)</f>
        <v>1681</v>
      </c>
      <c r="J12" s="44"/>
    </row>
    <row r="13" spans="1:10" ht="12.75">
      <c r="A13" s="11" t="s">
        <v>19</v>
      </c>
      <c r="B13" s="15">
        <f aca="true" t="shared" si="0" ref="B13:G13">SUM(B10:B12)</f>
        <v>12551</v>
      </c>
      <c r="C13" s="15">
        <f t="shared" si="0"/>
        <v>22386</v>
      </c>
      <c r="D13" s="15">
        <f t="shared" si="0"/>
        <v>37741</v>
      </c>
      <c r="E13" s="15">
        <f t="shared" si="0"/>
        <v>43284</v>
      </c>
      <c r="F13" s="15">
        <f t="shared" si="0"/>
        <v>35903</v>
      </c>
      <c r="G13" s="15">
        <f t="shared" si="0"/>
        <v>26472</v>
      </c>
      <c r="H13" s="15">
        <f>SUM(B13:G13)</f>
        <v>178337</v>
      </c>
      <c r="J13" s="44"/>
    </row>
    <row r="14" spans="1:10" ht="12.75">
      <c r="A14" s="13"/>
      <c r="B14" s="15"/>
      <c r="C14" s="15"/>
      <c r="D14" s="15"/>
      <c r="E14" s="15"/>
      <c r="F14" s="15"/>
      <c r="G14" s="15"/>
      <c r="H14" s="15"/>
      <c r="J14" s="44"/>
    </row>
    <row r="15" spans="1:10" ht="12.75">
      <c r="A15" s="13" t="s">
        <v>20</v>
      </c>
      <c r="B15" s="17">
        <v>9122</v>
      </c>
      <c r="C15" s="17">
        <v>17790</v>
      </c>
      <c r="D15" s="17">
        <v>31417</v>
      </c>
      <c r="E15" s="17">
        <v>36173</v>
      </c>
      <c r="F15" s="17">
        <v>29585</v>
      </c>
      <c r="G15" s="17">
        <v>21168</v>
      </c>
      <c r="H15" s="17">
        <f>SUM(B15:G15)</f>
        <v>145255</v>
      </c>
      <c r="J15" s="44"/>
    </row>
    <row r="16" spans="1:10" ht="12.75">
      <c r="A16" s="11" t="s">
        <v>21</v>
      </c>
      <c r="B16" s="18">
        <f aca="true" t="shared" si="1" ref="B16:H16">B13-B15</f>
        <v>3429</v>
      </c>
      <c r="C16" s="18">
        <f t="shared" si="1"/>
        <v>4596</v>
      </c>
      <c r="D16" s="18">
        <f t="shared" si="1"/>
        <v>6324</v>
      </c>
      <c r="E16" s="18">
        <f t="shared" si="1"/>
        <v>7111</v>
      </c>
      <c r="F16" s="18">
        <f t="shared" si="1"/>
        <v>6318</v>
      </c>
      <c r="G16" s="18">
        <f t="shared" si="1"/>
        <v>5304</v>
      </c>
      <c r="H16" s="18">
        <f t="shared" si="1"/>
        <v>33082</v>
      </c>
      <c r="J16" s="44"/>
    </row>
    <row r="17" spans="1:10" ht="12.75">
      <c r="A17" s="11"/>
      <c r="B17" s="18"/>
      <c r="C17" s="18"/>
      <c r="D17" s="18"/>
      <c r="E17" s="18"/>
      <c r="F17" s="18"/>
      <c r="G17" s="18"/>
      <c r="H17" s="18"/>
      <c r="J17" s="44"/>
    </row>
    <row r="18" spans="1:10" ht="12.75">
      <c r="A18" s="11" t="s">
        <v>22</v>
      </c>
      <c r="B18" s="19"/>
      <c r="C18" s="19"/>
      <c r="D18" s="19"/>
      <c r="E18" s="19"/>
      <c r="F18" s="19"/>
      <c r="G18" s="19"/>
      <c r="H18" s="19"/>
      <c r="J18" s="44"/>
    </row>
    <row r="19" spans="1:10" ht="12.75">
      <c r="A19" s="13" t="s">
        <v>23</v>
      </c>
      <c r="B19" s="18">
        <f>1157+48</f>
        <v>1205</v>
      </c>
      <c r="C19" s="18">
        <f>1167+91</f>
        <v>1258</v>
      </c>
      <c r="D19" s="18">
        <f>1177+157</f>
        <v>1334</v>
      </c>
      <c r="E19" s="18">
        <v>1419</v>
      </c>
      <c r="F19" s="18">
        <v>1255</v>
      </c>
      <c r="G19" s="18">
        <v>1271</v>
      </c>
      <c r="H19" s="18">
        <f>SUM(B19:G19)</f>
        <v>7742</v>
      </c>
      <c r="J19" s="44"/>
    </row>
    <row r="20" spans="1:10" ht="12.75">
      <c r="A20" s="13" t="s">
        <v>24</v>
      </c>
      <c r="B20" s="18">
        <v>363</v>
      </c>
      <c r="C20" s="18">
        <v>371</v>
      </c>
      <c r="D20" s="18">
        <v>392</v>
      </c>
      <c r="E20" s="18">
        <v>400</v>
      </c>
      <c r="F20" s="18">
        <v>365</v>
      </c>
      <c r="G20" s="18">
        <v>368</v>
      </c>
      <c r="H20" s="18">
        <f>SUM(B20:G20)</f>
        <v>2259</v>
      </c>
      <c r="J20" s="44"/>
    </row>
    <row r="21" spans="1:10" ht="12.75">
      <c r="A21" s="13" t="s">
        <v>25</v>
      </c>
      <c r="B21" s="18">
        <v>1026</v>
      </c>
      <c r="C21" s="18">
        <v>1025</v>
      </c>
      <c r="D21" s="18">
        <v>1026</v>
      </c>
      <c r="E21" s="18">
        <v>1027</v>
      </c>
      <c r="F21" s="18">
        <v>1027</v>
      </c>
      <c r="G21" s="18">
        <v>1027</v>
      </c>
      <c r="H21" s="18">
        <f>SUM(B21:G21)</f>
        <v>6158</v>
      </c>
      <c r="J21" s="44"/>
    </row>
    <row r="22" spans="1:10" ht="12.75">
      <c r="A22" s="13" t="s">
        <v>26</v>
      </c>
      <c r="B22" s="20">
        <v>297</v>
      </c>
      <c r="C22" s="20">
        <v>297</v>
      </c>
      <c r="D22" s="20">
        <v>297</v>
      </c>
      <c r="E22" s="20">
        <v>271</v>
      </c>
      <c r="F22" s="20">
        <v>271</v>
      </c>
      <c r="G22" s="20">
        <v>271</v>
      </c>
      <c r="H22" s="18">
        <f>SUM(B22:G22)</f>
        <v>1704</v>
      </c>
      <c r="J22" s="44"/>
    </row>
    <row r="23" spans="1:10" ht="12.75">
      <c r="A23" s="13" t="s">
        <v>27</v>
      </c>
      <c r="B23" s="21">
        <v>33</v>
      </c>
      <c r="C23" s="21">
        <v>476</v>
      </c>
      <c r="D23" s="21">
        <v>1142</v>
      </c>
      <c r="E23" s="21">
        <v>1440</v>
      </c>
      <c r="F23" s="21">
        <v>1205</v>
      </c>
      <c r="G23" s="21">
        <v>784</v>
      </c>
      <c r="H23" s="17">
        <f>SUM(B23:G23)</f>
        <v>5080</v>
      </c>
      <c r="J23" s="44"/>
    </row>
    <row r="24" spans="1:10" ht="12.75">
      <c r="A24" s="11" t="s">
        <v>28</v>
      </c>
      <c r="B24" s="18">
        <f aca="true" t="shared" si="2" ref="B24:H24">SUM(B19:B23)</f>
        <v>2924</v>
      </c>
      <c r="C24" s="18">
        <f t="shared" si="2"/>
        <v>3427</v>
      </c>
      <c r="D24" s="18">
        <f t="shared" si="2"/>
        <v>4191</v>
      </c>
      <c r="E24" s="18">
        <f t="shared" si="2"/>
        <v>4557</v>
      </c>
      <c r="F24" s="18">
        <f t="shared" si="2"/>
        <v>4123</v>
      </c>
      <c r="G24" s="18">
        <f t="shared" si="2"/>
        <v>3721</v>
      </c>
      <c r="H24" s="18">
        <f t="shared" si="2"/>
        <v>22943</v>
      </c>
      <c r="J24" s="44"/>
    </row>
    <row r="25" spans="1:10" ht="12.75">
      <c r="A25" s="22"/>
      <c r="B25" s="23"/>
      <c r="C25" s="23"/>
      <c r="D25" s="23"/>
      <c r="E25" s="23"/>
      <c r="F25" s="23"/>
      <c r="G25" s="23"/>
      <c r="H25" s="23"/>
      <c r="J25" s="44"/>
    </row>
    <row r="26" spans="1:10" ht="12.75">
      <c r="A26" s="11" t="s">
        <v>29</v>
      </c>
      <c r="B26" s="15">
        <f aca="true" t="shared" si="3" ref="B26:H26">B16-B24</f>
        <v>505</v>
      </c>
      <c r="C26" s="15">
        <f t="shared" si="3"/>
        <v>1169</v>
      </c>
      <c r="D26" s="15">
        <f t="shared" si="3"/>
        <v>2133</v>
      </c>
      <c r="E26" s="15">
        <f t="shared" si="3"/>
        <v>2554</v>
      </c>
      <c r="F26" s="15">
        <f t="shared" si="3"/>
        <v>2195</v>
      </c>
      <c r="G26" s="15">
        <f t="shared" si="3"/>
        <v>1583</v>
      </c>
      <c r="H26" s="15">
        <f t="shared" si="3"/>
        <v>10139</v>
      </c>
      <c r="J26" s="44"/>
    </row>
    <row r="27" spans="1:10" ht="12.75">
      <c r="A27" s="13"/>
      <c r="B27" s="15"/>
      <c r="C27" s="15"/>
      <c r="D27" s="15"/>
      <c r="E27" s="15"/>
      <c r="F27" s="15"/>
      <c r="G27" s="15"/>
      <c r="H27" s="15"/>
      <c r="J27" s="44"/>
    </row>
    <row r="28" spans="1:10" ht="12.75">
      <c r="A28" s="24" t="s">
        <v>30</v>
      </c>
      <c r="B28" s="25"/>
      <c r="C28" s="25"/>
      <c r="D28" s="25"/>
      <c r="E28" s="25"/>
      <c r="F28" s="25"/>
      <c r="G28" s="25"/>
      <c r="H28" s="25"/>
      <c r="J28" s="44"/>
    </row>
    <row r="29" spans="1:10" ht="12.75">
      <c r="A29" s="26" t="s">
        <v>31</v>
      </c>
      <c r="B29" s="27">
        <v>20</v>
      </c>
      <c r="C29" s="27">
        <v>20</v>
      </c>
      <c r="D29" s="27">
        <v>20</v>
      </c>
      <c r="E29" s="27">
        <v>20</v>
      </c>
      <c r="F29" s="27">
        <v>20</v>
      </c>
      <c r="G29" s="27">
        <v>20</v>
      </c>
      <c r="H29" s="29">
        <f>SUM(B29:G29)</f>
        <v>120</v>
      </c>
      <c r="J29" s="44"/>
    </row>
    <row r="30" spans="1:10" ht="12.75">
      <c r="A30" t="s">
        <v>32</v>
      </c>
      <c r="B30" s="29">
        <v>16</v>
      </c>
      <c r="C30" s="29">
        <v>21</v>
      </c>
      <c r="D30" s="29">
        <v>17</v>
      </c>
      <c r="E30" s="29">
        <v>9</v>
      </c>
      <c r="F30" s="29">
        <v>16</v>
      </c>
      <c r="G30" s="29">
        <v>21</v>
      </c>
      <c r="H30" s="29">
        <f>SUM(B30:G30)</f>
        <v>100</v>
      </c>
      <c r="J30" s="44"/>
    </row>
    <row r="31" spans="1:10" ht="12.75">
      <c r="A31" s="11" t="s">
        <v>33</v>
      </c>
      <c r="B31" s="30">
        <v>-53</v>
      </c>
      <c r="C31" s="30">
        <v>-5</v>
      </c>
      <c r="D31" s="30">
        <v>-15</v>
      </c>
      <c r="E31" s="30">
        <v>-16</v>
      </c>
      <c r="F31" s="30">
        <v>-7</v>
      </c>
      <c r="G31" s="30">
        <v>-16</v>
      </c>
      <c r="H31" s="29">
        <f>SUM(B31:G31)</f>
        <v>-112</v>
      </c>
      <c r="J31" s="44"/>
    </row>
    <row r="32" spans="1:10" ht="12.75">
      <c r="A32" t="s">
        <v>34</v>
      </c>
      <c r="B32" s="31">
        <v>83</v>
      </c>
      <c r="C32" s="31">
        <v>17</v>
      </c>
      <c r="D32" s="31">
        <v>40</v>
      </c>
      <c r="E32" s="31">
        <v>55</v>
      </c>
      <c r="F32" s="31">
        <v>40</v>
      </c>
      <c r="G32" s="31">
        <v>35</v>
      </c>
      <c r="H32" s="31">
        <f>SUM(B32:G32)</f>
        <v>270</v>
      </c>
      <c r="J32" s="44"/>
    </row>
    <row r="33" spans="1:10" ht="12.75">
      <c r="A33" s="32" t="s">
        <v>35</v>
      </c>
      <c r="B33" s="33">
        <f aca="true" t="shared" si="4" ref="B33:H33">SUM(B29:B32)</f>
        <v>66</v>
      </c>
      <c r="C33" s="33">
        <f t="shared" si="4"/>
        <v>53</v>
      </c>
      <c r="D33" s="33">
        <f t="shared" si="4"/>
        <v>62</v>
      </c>
      <c r="E33" s="33">
        <f t="shared" si="4"/>
        <v>68</v>
      </c>
      <c r="F33" s="33">
        <f t="shared" si="4"/>
        <v>69</v>
      </c>
      <c r="G33" s="33">
        <f t="shared" si="4"/>
        <v>60</v>
      </c>
      <c r="H33" s="33">
        <f t="shared" si="4"/>
        <v>378</v>
      </c>
      <c r="J33" s="44"/>
    </row>
    <row r="34" spans="3:10" ht="12.75">
      <c r="C34" s="34"/>
      <c r="D34" s="34"/>
      <c r="E34" s="34"/>
      <c r="F34" s="34"/>
      <c r="G34" s="34"/>
      <c r="H34" s="34"/>
      <c r="J34" s="44"/>
    </row>
    <row r="35" spans="1:10" ht="12.75">
      <c r="A35" s="32" t="s">
        <v>36</v>
      </c>
      <c r="B35" s="32"/>
      <c r="C35" s="36"/>
      <c r="D35" s="36"/>
      <c r="E35" s="36"/>
      <c r="F35" s="36"/>
      <c r="G35" s="36"/>
      <c r="H35" s="36"/>
      <c r="J35" s="44"/>
    </row>
    <row r="36" spans="1:10" ht="12.75">
      <c r="A36" s="32"/>
      <c r="B36" s="38">
        <f>454+69</f>
        <v>523</v>
      </c>
      <c r="C36" s="38">
        <f>453+71</f>
        <v>524</v>
      </c>
      <c r="D36" s="38">
        <f>454+68</f>
        <v>522</v>
      </c>
      <c r="E36" s="38">
        <f>451+61</f>
        <v>512</v>
      </c>
      <c r="F36" s="38">
        <f>447+52</f>
        <v>499</v>
      </c>
      <c r="G36" s="38">
        <f>451+44</f>
        <v>495</v>
      </c>
      <c r="H36" s="38">
        <f>SUM(B36:G36)</f>
        <v>3075</v>
      </c>
      <c r="J36" s="44"/>
    </row>
    <row r="37" spans="1:10" ht="12.75">
      <c r="A37" s="32"/>
      <c r="B37" s="39"/>
      <c r="C37" s="39"/>
      <c r="D37" s="39"/>
      <c r="E37" s="39"/>
      <c r="F37" s="39"/>
      <c r="G37" s="39"/>
      <c r="H37" s="39"/>
      <c r="J37" s="44"/>
    </row>
    <row r="38" spans="1:10" ht="12.75">
      <c r="A38" s="24" t="s">
        <v>37</v>
      </c>
      <c r="B38" s="18">
        <f aca="true" t="shared" si="5" ref="B38:H38">B36</f>
        <v>523</v>
      </c>
      <c r="C38" s="18">
        <f t="shared" si="5"/>
        <v>524</v>
      </c>
      <c r="D38" s="18">
        <f t="shared" si="5"/>
        <v>522</v>
      </c>
      <c r="E38" s="18">
        <f t="shared" si="5"/>
        <v>512</v>
      </c>
      <c r="F38" s="18">
        <f t="shared" si="5"/>
        <v>499</v>
      </c>
      <c r="G38" s="18">
        <f t="shared" si="5"/>
        <v>495</v>
      </c>
      <c r="H38" s="18">
        <f t="shared" si="5"/>
        <v>3075</v>
      </c>
      <c r="J38" s="44"/>
    </row>
    <row r="39" spans="1:10" ht="12.75">
      <c r="A39" s="40"/>
      <c r="B39" s="39"/>
      <c r="C39" s="39"/>
      <c r="D39" s="39"/>
      <c r="E39" s="39"/>
      <c r="F39" s="39"/>
      <c r="G39" s="39"/>
      <c r="H39" s="39"/>
      <c r="J39" s="44"/>
    </row>
    <row r="40" spans="1:10" ht="13.5" thickBot="1">
      <c r="A40" s="11" t="s">
        <v>38</v>
      </c>
      <c r="B40" s="41">
        <f aca="true" t="shared" si="6" ref="B40:H40">B26+B33-B36</f>
        <v>48</v>
      </c>
      <c r="C40" s="41">
        <f t="shared" si="6"/>
        <v>698</v>
      </c>
      <c r="D40" s="41">
        <f t="shared" si="6"/>
        <v>1673</v>
      </c>
      <c r="E40" s="41">
        <f t="shared" si="6"/>
        <v>2110</v>
      </c>
      <c r="F40" s="41">
        <f t="shared" si="6"/>
        <v>1765</v>
      </c>
      <c r="G40" s="41">
        <f t="shared" si="6"/>
        <v>1148</v>
      </c>
      <c r="H40" s="41">
        <f t="shared" si="6"/>
        <v>7442</v>
      </c>
      <c r="J40" s="44"/>
    </row>
    <row r="41" ht="13.5" thickTop="1"/>
  </sheetData>
  <mergeCells count="4">
    <mergeCell ref="A1:H1"/>
    <mergeCell ref="A3:H3"/>
    <mergeCell ref="A4:H4"/>
    <mergeCell ref="A5:H5"/>
  </mergeCells>
  <printOptions/>
  <pageMargins left="0.5" right="0" top="0.5" bottom="0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C15" sqref="C15"/>
    </sheetView>
  </sheetViews>
  <sheetFormatPr defaultColWidth="9.140625" defaultRowHeight="12.75"/>
  <cols>
    <col min="1" max="1" width="29.28125" style="0" bestFit="1" customWidth="1"/>
  </cols>
  <sheetData>
    <row r="1" spans="1:14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5"/>
    </row>
    <row r="5" spans="1:14" ht="12.75">
      <c r="A5" s="6"/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2.75">
      <c r="A6" s="8" t="s">
        <v>14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9"/>
    </row>
    <row r="7" spans="1:14" ht="12.75">
      <c r="A7" s="11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3" t="s">
        <v>16</v>
      </c>
      <c r="B8" s="14">
        <f>'FY 2006 Bud + Act'!B11-'FY 2006 Bud'!B10</f>
        <v>4582</v>
      </c>
      <c r="C8" s="14">
        <f>'FY 2006 Bud + Act'!C11-'FY 2006 Bud'!C10</f>
        <v>5300</v>
      </c>
      <c r="D8" s="14">
        <f>'FY 2006 Bud + Act'!D11-'FY 2006 Bud'!D10</f>
        <v>12446</v>
      </c>
      <c r="E8" s="14" t="e">
        <f>'FY 2006 Bud + Act'!#REF!-'FY 2006 Bud'!#REF!</f>
        <v>#REF!</v>
      </c>
      <c r="F8" s="14" t="e">
        <f>'FY 2006 Bud + Act'!#REF!-'FY 2006 Bud'!#REF!</f>
        <v>#REF!</v>
      </c>
      <c r="G8" s="14" t="e">
        <f>'FY 2006 Bud + Act'!#REF!-'FY 2006 Bud'!#REF!</f>
        <v>#REF!</v>
      </c>
      <c r="H8" s="14" t="e">
        <f>'FY 2006 Bud + Act'!#REF!-'FY 2006 Bud'!#REF!</f>
        <v>#REF!</v>
      </c>
      <c r="I8" s="14" t="e">
        <f>'FY 2006 Bud + Act'!#REF!-'FY 2006 Bud'!#REF!</f>
        <v>#REF!</v>
      </c>
      <c r="J8" s="14" t="e">
        <f>'FY 2006 Bud + Act'!#REF!-'FY 2006 Bud'!#REF!</f>
        <v>#REF!</v>
      </c>
      <c r="K8" s="14" t="e">
        <f>'FY 2006 Bud + Act'!#REF!-'FY 2006 Bud'!#REF!</f>
        <v>#REF!</v>
      </c>
      <c r="L8" s="14" t="e">
        <f>'FY 2006 Bud + Act'!#REF!-'FY 2006 Bud'!#REF!</f>
        <v>#REF!</v>
      </c>
      <c r="M8" s="14" t="e">
        <f>'FY 2006 Bud + Act'!#REF!-'FY 2006 Bud'!#REF!</f>
        <v>#REF!</v>
      </c>
      <c r="N8" s="14" t="e">
        <f>SUM(B8:M8)</f>
        <v>#REF!</v>
      </c>
    </row>
    <row r="9" spans="1:14" ht="12.75">
      <c r="A9" s="13" t="s">
        <v>17</v>
      </c>
      <c r="B9" s="15">
        <f>'FY 2006 Bud + Act'!B12-'FY 2006 Bud'!B11</f>
        <v>23</v>
      </c>
      <c r="C9" s="15">
        <f>'FY 2006 Bud + Act'!C12-'FY 2006 Bud'!C11</f>
        <v>72</v>
      </c>
      <c r="D9" s="15">
        <f>'FY 2006 Bud + Act'!D12-'FY 2006 Bud'!D11</f>
        <v>129</v>
      </c>
      <c r="E9" s="15" t="e">
        <f>'FY 2006 Bud + Act'!#REF!-'FY 2006 Bud'!#REF!</f>
        <v>#REF!</v>
      </c>
      <c r="F9" s="15" t="e">
        <f>'FY 2006 Bud + Act'!#REF!-'FY 2006 Bud'!#REF!</f>
        <v>#REF!</v>
      </c>
      <c r="G9" s="15" t="e">
        <f>'FY 2006 Bud + Act'!#REF!-'FY 2006 Bud'!#REF!</f>
        <v>#REF!</v>
      </c>
      <c r="H9" s="15" t="e">
        <f>'FY 2006 Bud + Act'!#REF!-'FY 2006 Bud'!#REF!</f>
        <v>#REF!</v>
      </c>
      <c r="I9" s="15" t="e">
        <f>'FY 2006 Bud + Act'!#REF!-'FY 2006 Bud'!#REF!</f>
        <v>#REF!</v>
      </c>
      <c r="J9" s="15" t="e">
        <f>'FY 2006 Bud + Act'!#REF!-'FY 2006 Bud'!#REF!</f>
        <v>#REF!</v>
      </c>
      <c r="K9" s="15" t="e">
        <f>'FY 2006 Bud + Act'!#REF!-'FY 2006 Bud'!#REF!</f>
        <v>#REF!</v>
      </c>
      <c r="L9" s="15" t="e">
        <f>'FY 2006 Bud + Act'!#REF!-'FY 2006 Bud'!#REF!</f>
        <v>#REF!</v>
      </c>
      <c r="M9" s="15" t="e">
        <f>'FY 2006 Bud + Act'!#REF!-'FY 2006 Bud'!#REF!</f>
        <v>#REF!</v>
      </c>
      <c r="N9" s="15" t="e">
        <f>SUM(B9:M9)</f>
        <v>#REF!</v>
      </c>
    </row>
    <row r="10" spans="1:14" ht="12.75">
      <c r="A10" s="13" t="s">
        <v>18</v>
      </c>
      <c r="B10" s="16">
        <f>'FY 2006 Bud + Act'!B13-'FY 2006 Bud'!B12</f>
        <v>-3</v>
      </c>
      <c r="C10" s="16">
        <f>'FY 2006 Bud + Act'!C13-'FY 2006 Bud'!C12</f>
        <v>15</v>
      </c>
      <c r="D10" s="16">
        <f>'FY 2006 Bud + Act'!D13-'FY 2006 Bud'!D12</f>
        <v>40</v>
      </c>
      <c r="E10" s="16" t="e">
        <f>'FY 2006 Bud + Act'!#REF!-'FY 2006 Bud'!#REF!</f>
        <v>#REF!</v>
      </c>
      <c r="F10" s="16" t="e">
        <f>'FY 2006 Bud + Act'!#REF!-'FY 2006 Bud'!#REF!</f>
        <v>#REF!</v>
      </c>
      <c r="G10" s="16" t="e">
        <f>'FY 2006 Bud + Act'!#REF!-'FY 2006 Bud'!#REF!</f>
        <v>#REF!</v>
      </c>
      <c r="H10" s="16" t="e">
        <f>'FY 2006 Bud + Act'!#REF!-'FY 2006 Bud'!#REF!</f>
        <v>#REF!</v>
      </c>
      <c r="I10" s="16" t="e">
        <f>'FY 2006 Bud + Act'!#REF!-'FY 2006 Bud'!#REF!</f>
        <v>#REF!</v>
      </c>
      <c r="J10" s="16" t="e">
        <f>'FY 2006 Bud + Act'!#REF!-'FY 2006 Bud'!#REF!</f>
        <v>#REF!</v>
      </c>
      <c r="K10" s="16" t="e">
        <f>'FY 2006 Bud + Act'!#REF!-'FY 2006 Bud'!#REF!</f>
        <v>#REF!</v>
      </c>
      <c r="L10" s="16" t="e">
        <f>'FY 2006 Bud + Act'!#REF!-'FY 2006 Bud'!#REF!</f>
        <v>#REF!</v>
      </c>
      <c r="M10" s="16" t="e">
        <f>'FY 2006 Bud + Act'!#REF!-'FY 2006 Bud'!#REF!</f>
        <v>#REF!</v>
      </c>
      <c r="N10" s="16" t="e">
        <f>SUM(B10:M10)</f>
        <v>#REF!</v>
      </c>
    </row>
    <row r="11" spans="1:14" ht="12.75">
      <c r="A11" s="11" t="s">
        <v>19</v>
      </c>
      <c r="B11" s="15">
        <f aca="true" t="shared" si="0" ref="B11:M11">SUM(B8:B10)</f>
        <v>4602</v>
      </c>
      <c r="C11" s="15">
        <f t="shared" si="0"/>
        <v>5387</v>
      </c>
      <c r="D11" s="15">
        <f t="shared" si="0"/>
        <v>12615</v>
      </c>
      <c r="E11" s="15" t="e">
        <f t="shared" si="0"/>
        <v>#REF!</v>
      </c>
      <c r="F11" s="15" t="e">
        <f t="shared" si="0"/>
        <v>#REF!</v>
      </c>
      <c r="G11" s="15" t="e">
        <f t="shared" si="0"/>
        <v>#REF!</v>
      </c>
      <c r="H11" s="15" t="e">
        <f t="shared" si="0"/>
        <v>#REF!</v>
      </c>
      <c r="I11" s="15" t="e">
        <f t="shared" si="0"/>
        <v>#REF!</v>
      </c>
      <c r="J11" s="15" t="e">
        <f t="shared" si="0"/>
        <v>#REF!</v>
      </c>
      <c r="K11" s="15" t="e">
        <f t="shared" si="0"/>
        <v>#REF!</v>
      </c>
      <c r="L11" s="15" t="e">
        <f t="shared" si="0"/>
        <v>#REF!</v>
      </c>
      <c r="M11" s="15" t="e">
        <f t="shared" si="0"/>
        <v>#REF!</v>
      </c>
      <c r="N11" s="15" t="e">
        <f>SUM(B11:M11)</f>
        <v>#REF!</v>
      </c>
    </row>
    <row r="12" spans="1:14" ht="12.75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3" t="s">
        <v>20</v>
      </c>
      <c r="B13" s="16">
        <f>'FY 2006 Bud + Act'!B16-'FY 2006 Bud'!B15</f>
        <v>3797</v>
      </c>
      <c r="C13" s="16">
        <f>'FY 2006 Bud + Act'!C16-'FY 2006 Bud'!C15</f>
        <v>5798</v>
      </c>
      <c r="D13" s="16">
        <f>'FY 2006 Bud + Act'!D16-'FY 2006 Bud'!D15</f>
        <v>12235</v>
      </c>
      <c r="E13" s="16" t="e">
        <f>'FY 2006 Bud + Act'!#REF!-'FY 2006 Bud'!#REF!</f>
        <v>#REF!</v>
      </c>
      <c r="F13" s="16" t="e">
        <f>'FY 2006 Bud + Act'!#REF!-'FY 2006 Bud'!#REF!</f>
        <v>#REF!</v>
      </c>
      <c r="G13" s="16" t="e">
        <f>'FY 2006 Bud + Act'!#REF!-'FY 2006 Bud'!#REF!</f>
        <v>#REF!</v>
      </c>
      <c r="H13" s="16" t="e">
        <f>'FY 2006 Bud + Act'!#REF!-'FY 2006 Bud'!#REF!</f>
        <v>#REF!</v>
      </c>
      <c r="I13" s="16" t="e">
        <f>'FY 2006 Bud + Act'!#REF!-'FY 2006 Bud'!#REF!</f>
        <v>#REF!</v>
      </c>
      <c r="J13" s="16" t="e">
        <f>'FY 2006 Bud + Act'!#REF!-'FY 2006 Bud'!#REF!</f>
        <v>#REF!</v>
      </c>
      <c r="K13" s="16" t="e">
        <f>'FY 2006 Bud + Act'!#REF!-'FY 2006 Bud'!#REF!</f>
        <v>#REF!</v>
      </c>
      <c r="L13" s="16" t="e">
        <f>'FY 2006 Bud + Act'!#REF!-'FY 2006 Bud'!#REF!</f>
        <v>#REF!</v>
      </c>
      <c r="M13" s="16" t="e">
        <f>'FY 2006 Bud + Act'!#REF!-'FY 2006 Bud'!#REF!</f>
        <v>#REF!</v>
      </c>
      <c r="N13" s="17" t="e">
        <f>SUM(B13:M13)</f>
        <v>#REF!</v>
      </c>
    </row>
    <row r="14" spans="1:14" ht="12.75">
      <c r="A14" s="11" t="s">
        <v>21</v>
      </c>
      <c r="B14" s="18">
        <f>B11-B13</f>
        <v>805</v>
      </c>
      <c r="C14" s="18">
        <f aca="true" t="shared" si="1" ref="C14:M14">C11-C13</f>
        <v>-411</v>
      </c>
      <c r="D14" s="18">
        <f t="shared" si="1"/>
        <v>380</v>
      </c>
      <c r="E14" s="18" t="e">
        <f t="shared" si="1"/>
        <v>#REF!</v>
      </c>
      <c r="F14" s="18" t="e">
        <f t="shared" si="1"/>
        <v>#REF!</v>
      </c>
      <c r="G14" s="18" t="e">
        <f t="shared" si="1"/>
        <v>#REF!</v>
      </c>
      <c r="H14" s="18" t="e">
        <f t="shared" si="1"/>
        <v>#REF!</v>
      </c>
      <c r="I14" s="18" t="e">
        <f t="shared" si="1"/>
        <v>#REF!</v>
      </c>
      <c r="J14" s="18" t="e">
        <f t="shared" si="1"/>
        <v>#REF!</v>
      </c>
      <c r="K14" s="18" t="e">
        <f t="shared" si="1"/>
        <v>#REF!</v>
      </c>
      <c r="L14" s="18" t="e">
        <f t="shared" si="1"/>
        <v>#REF!</v>
      </c>
      <c r="M14" s="18" t="e">
        <f t="shared" si="1"/>
        <v>#REF!</v>
      </c>
      <c r="N14" s="18" t="e">
        <f>N11-N13</f>
        <v>#REF!</v>
      </c>
    </row>
    <row r="15" spans="1:14" ht="12.75">
      <c r="A15" s="1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2.75">
      <c r="A16" s="11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13" t="s">
        <v>23</v>
      </c>
      <c r="B17" s="15">
        <f>'FY 2006 Bud + Act'!B20-'FY 2006 Bud'!B19</f>
        <v>56</v>
      </c>
      <c r="C17" s="15">
        <f>'FY 2006 Bud + Act'!C20-'FY 2006 Bud'!C19</f>
        <v>119</v>
      </c>
      <c r="D17" s="15">
        <f>'FY 2006 Bud + Act'!D20-'FY 2006 Bud'!D19</f>
        <v>-6</v>
      </c>
      <c r="E17" s="15" t="e">
        <f>'FY 2006 Bud + Act'!#REF!-'FY 2006 Bud'!#REF!</f>
        <v>#REF!</v>
      </c>
      <c r="F17" s="15" t="e">
        <f>'FY 2006 Bud + Act'!#REF!-'FY 2006 Bud'!#REF!</f>
        <v>#REF!</v>
      </c>
      <c r="G17" s="15" t="e">
        <f>'FY 2006 Bud + Act'!#REF!-'FY 2006 Bud'!#REF!</f>
        <v>#REF!</v>
      </c>
      <c r="H17" s="15" t="e">
        <f>'FY 2006 Bud + Act'!#REF!-'FY 2006 Bud'!#REF!</f>
        <v>#REF!</v>
      </c>
      <c r="I17" s="15" t="e">
        <f>'FY 2006 Bud + Act'!#REF!-'FY 2006 Bud'!#REF!</f>
        <v>#REF!</v>
      </c>
      <c r="J17" s="15" t="e">
        <f>'FY 2006 Bud + Act'!#REF!-'FY 2006 Bud'!#REF!</f>
        <v>#REF!</v>
      </c>
      <c r="K17" s="15" t="e">
        <f>'FY 2006 Bud + Act'!#REF!-'FY 2006 Bud'!#REF!</f>
        <v>#REF!</v>
      </c>
      <c r="L17" s="15" t="e">
        <f>'FY 2006 Bud + Act'!#REF!-'FY 2006 Bud'!#REF!</f>
        <v>#REF!</v>
      </c>
      <c r="M17" s="15" t="e">
        <f>'FY 2006 Bud + Act'!#REF!-'FY 2006 Bud'!#REF!</f>
        <v>#REF!</v>
      </c>
      <c r="N17" s="18" t="e">
        <f>SUM(B17:M17)</f>
        <v>#REF!</v>
      </c>
    </row>
    <row r="18" spans="1:14" ht="12.75">
      <c r="A18" s="13" t="s">
        <v>24</v>
      </c>
      <c r="B18" s="15">
        <f>'FY 2006 Bud + Act'!B21-'FY 2006 Bud'!B20</f>
        <v>-39</v>
      </c>
      <c r="C18" s="15">
        <f>'FY 2006 Bud + Act'!C21-'FY 2006 Bud'!C20</f>
        <v>3</v>
      </c>
      <c r="D18" s="15">
        <f>'FY 2006 Bud + Act'!D21-'FY 2006 Bud'!D20</f>
        <v>58</v>
      </c>
      <c r="E18" s="15" t="e">
        <f>'FY 2006 Bud + Act'!#REF!-'FY 2006 Bud'!#REF!</f>
        <v>#REF!</v>
      </c>
      <c r="F18" s="15" t="e">
        <f>'FY 2006 Bud + Act'!#REF!-'FY 2006 Bud'!#REF!</f>
        <v>#REF!</v>
      </c>
      <c r="G18" s="15" t="e">
        <f>'FY 2006 Bud + Act'!#REF!-'FY 2006 Bud'!#REF!</f>
        <v>#REF!</v>
      </c>
      <c r="H18" s="15" t="e">
        <f>'FY 2006 Bud + Act'!#REF!-'FY 2006 Bud'!#REF!</f>
        <v>#REF!</v>
      </c>
      <c r="I18" s="15" t="e">
        <f>'FY 2006 Bud + Act'!#REF!-'FY 2006 Bud'!#REF!</f>
        <v>#REF!</v>
      </c>
      <c r="J18" s="15" t="e">
        <f>'FY 2006 Bud + Act'!#REF!-'FY 2006 Bud'!#REF!</f>
        <v>#REF!</v>
      </c>
      <c r="K18" s="15" t="e">
        <f>'FY 2006 Bud + Act'!#REF!-'FY 2006 Bud'!#REF!</f>
        <v>#REF!</v>
      </c>
      <c r="L18" s="15" t="e">
        <f>'FY 2006 Bud + Act'!#REF!-'FY 2006 Bud'!#REF!</f>
        <v>#REF!</v>
      </c>
      <c r="M18" s="15" t="e">
        <f>'FY 2006 Bud + Act'!#REF!-'FY 2006 Bud'!#REF!</f>
        <v>#REF!</v>
      </c>
      <c r="N18" s="18" t="e">
        <f>SUM(B18:M18)</f>
        <v>#REF!</v>
      </c>
    </row>
    <row r="19" spans="1:14" ht="12.75">
      <c r="A19" s="13" t="s">
        <v>25</v>
      </c>
      <c r="B19" s="15">
        <f>'FY 2006 Bud + Act'!B22-'FY 2006 Bud'!B21</f>
        <v>-66</v>
      </c>
      <c r="C19" s="15">
        <f>'FY 2006 Bud + Act'!C22-'FY 2006 Bud'!C21</f>
        <v>-58</v>
      </c>
      <c r="D19" s="15">
        <f>'FY 2006 Bud + Act'!D22-'FY 2006 Bud'!D21</f>
        <v>-52</v>
      </c>
      <c r="E19" s="15" t="e">
        <f>'FY 2006 Bud + Act'!#REF!-'FY 2006 Bud'!#REF!</f>
        <v>#REF!</v>
      </c>
      <c r="F19" s="15" t="e">
        <f>'FY 2006 Bud + Act'!#REF!-'FY 2006 Bud'!#REF!</f>
        <v>#REF!</v>
      </c>
      <c r="G19" s="15" t="e">
        <f>'FY 2006 Bud + Act'!#REF!-'FY 2006 Bud'!#REF!</f>
        <v>#REF!</v>
      </c>
      <c r="H19" s="15" t="e">
        <f>'FY 2006 Bud + Act'!#REF!-'FY 2006 Bud'!#REF!</f>
        <v>#REF!</v>
      </c>
      <c r="I19" s="15" t="e">
        <f>'FY 2006 Bud + Act'!#REF!-'FY 2006 Bud'!#REF!</f>
        <v>#REF!</v>
      </c>
      <c r="J19" s="15" t="e">
        <f>'FY 2006 Bud + Act'!#REF!-'FY 2006 Bud'!#REF!</f>
        <v>#REF!</v>
      </c>
      <c r="K19" s="15" t="e">
        <f>'FY 2006 Bud + Act'!#REF!-'FY 2006 Bud'!#REF!</f>
        <v>#REF!</v>
      </c>
      <c r="L19" s="15" t="e">
        <f>'FY 2006 Bud + Act'!#REF!-'FY 2006 Bud'!#REF!</f>
        <v>#REF!</v>
      </c>
      <c r="M19" s="15" t="e">
        <f>'FY 2006 Bud + Act'!#REF!-'FY 2006 Bud'!#REF!</f>
        <v>#REF!</v>
      </c>
      <c r="N19" s="18" t="e">
        <f>SUM(B19:M19)</f>
        <v>#REF!</v>
      </c>
    </row>
    <row r="20" spans="1:14" ht="12.75">
      <c r="A20" s="13" t="s">
        <v>26</v>
      </c>
      <c r="B20" s="15">
        <f>'FY 2006 Bud + Act'!B23-'FY 2006 Bud'!B22</f>
        <v>-6</v>
      </c>
      <c r="C20" s="15">
        <f>'FY 2006 Bud + Act'!C23-'FY 2006 Bud'!C22</f>
        <v>34</v>
      </c>
      <c r="D20" s="15">
        <f>'FY 2006 Bud + Act'!D23-'FY 2006 Bud'!D22</f>
        <v>-2</v>
      </c>
      <c r="E20" s="15" t="e">
        <f>'FY 2006 Bud + Act'!#REF!-'FY 2006 Bud'!#REF!</f>
        <v>#REF!</v>
      </c>
      <c r="F20" s="15" t="e">
        <f>'FY 2006 Bud + Act'!#REF!-'FY 2006 Bud'!#REF!</f>
        <v>#REF!</v>
      </c>
      <c r="G20" s="15" t="e">
        <f>'FY 2006 Bud + Act'!#REF!-'FY 2006 Bud'!#REF!</f>
        <v>#REF!</v>
      </c>
      <c r="H20" s="15" t="e">
        <f>'FY 2006 Bud + Act'!#REF!-'FY 2006 Bud'!#REF!</f>
        <v>#REF!</v>
      </c>
      <c r="I20" s="15" t="e">
        <f>'FY 2006 Bud + Act'!#REF!-'FY 2006 Bud'!#REF!</f>
        <v>#REF!</v>
      </c>
      <c r="J20" s="15" t="e">
        <f>'FY 2006 Bud + Act'!#REF!-'FY 2006 Bud'!#REF!</f>
        <v>#REF!</v>
      </c>
      <c r="K20" s="15" t="e">
        <f>'FY 2006 Bud + Act'!#REF!-'FY 2006 Bud'!#REF!</f>
        <v>#REF!</v>
      </c>
      <c r="L20" s="15" t="e">
        <f>'FY 2006 Bud + Act'!#REF!-'FY 2006 Bud'!#REF!</f>
        <v>#REF!</v>
      </c>
      <c r="M20" s="15" t="e">
        <f>'FY 2006 Bud + Act'!#REF!-'FY 2006 Bud'!#REF!</f>
        <v>#REF!</v>
      </c>
      <c r="N20" s="18" t="e">
        <f>SUM(B20:M20)</f>
        <v>#REF!</v>
      </c>
    </row>
    <row r="21" spans="1:14" ht="12.75">
      <c r="A21" s="13" t="s">
        <v>27</v>
      </c>
      <c r="B21" s="16">
        <f>'FY 2006 Bud + Act'!B24-'FY 2006 Bud'!B23</f>
        <v>338</v>
      </c>
      <c r="C21" s="16">
        <f>'FY 2006 Bud + Act'!C24-'FY 2006 Bud'!C23</f>
        <v>-192</v>
      </c>
      <c r="D21" s="16">
        <f>'FY 2006 Bud + Act'!D24-'FY 2006 Bud'!D23</f>
        <v>101</v>
      </c>
      <c r="E21" s="16" t="e">
        <f>'FY 2006 Bud + Act'!#REF!-'FY 2006 Bud'!#REF!</f>
        <v>#REF!</v>
      </c>
      <c r="F21" s="16" t="e">
        <f>'FY 2006 Bud + Act'!#REF!-'FY 2006 Bud'!#REF!</f>
        <v>#REF!</v>
      </c>
      <c r="G21" s="16" t="e">
        <f>'FY 2006 Bud + Act'!#REF!-'FY 2006 Bud'!#REF!</f>
        <v>#REF!</v>
      </c>
      <c r="H21" s="16" t="e">
        <f>'FY 2006 Bud + Act'!#REF!-'FY 2006 Bud'!#REF!</f>
        <v>#REF!</v>
      </c>
      <c r="I21" s="16" t="e">
        <f>'FY 2006 Bud + Act'!#REF!-'FY 2006 Bud'!#REF!</f>
        <v>#REF!</v>
      </c>
      <c r="J21" s="16" t="e">
        <f>'FY 2006 Bud + Act'!#REF!-'FY 2006 Bud'!#REF!</f>
        <v>#REF!</v>
      </c>
      <c r="K21" s="16" t="e">
        <f>'FY 2006 Bud + Act'!#REF!-'FY 2006 Bud'!#REF!</f>
        <v>#REF!</v>
      </c>
      <c r="L21" s="16" t="e">
        <f>'FY 2006 Bud + Act'!#REF!-'FY 2006 Bud'!#REF!</f>
        <v>#REF!</v>
      </c>
      <c r="M21" s="16" t="e">
        <f>'FY 2006 Bud + Act'!#REF!-'FY 2006 Bud'!#REF!</f>
        <v>#REF!</v>
      </c>
      <c r="N21" s="17" t="e">
        <f>SUM(B21:M21)</f>
        <v>#REF!</v>
      </c>
    </row>
    <row r="22" spans="1:14" ht="12.75">
      <c r="A22" s="11" t="s">
        <v>28</v>
      </c>
      <c r="B22" s="18">
        <f>SUM(B17:B21)</f>
        <v>283</v>
      </c>
      <c r="C22" s="18">
        <f aca="true" t="shared" si="2" ref="C22:M22">SUM(C17:C21)</f>
        <v>-94</v>
      </c>
      <c r="D22" s="18">
        <f t="shared" si="2"/>
        <v>99</v>
      </c>
      <c r="E22" s="18" t="e">
        <f t="shared" si="2"/>
        <v>#REF!</v>
      </c>
      <c r="F22" s="18" t="e">
        <f t="shared" si="2"/>
        <v>#REF!</v>
      </c>
      <c r="G22" s="18" t="e">
        <f t="shared" si="2"/>
        <v>#REF!</v>
      </c>
      <c r="H22" s="18" t="e">
        <f t="shared" si="2"/>
        <v>#REF!</v>
      </c>
      <c r="I22" s="18" t="e">
        <f t="shared" si="2"/>
        <v>#REF!</v>
      </c>
      <c r="J22" s="18" t="e">
        <f t="shared" si="2"/>
        <v>#REF!</v>
      </c>
      <c r="K22" s="18" t="e">
        <f t="shared" si="2"/>
        <v>#REF!</v>
      </c>
      <c r="L22" s="18" t="e">
        <f t="shared" si="2"/>
        <v>#REF!</v>
      </c>
      <c r="M22" s="18" t="e">
        <f t="shared" si="2"/>
        <v>#REF!</v>
      </c>
      <c r="N22" s="18" t="e">
        <f>SUM(N17:N21)</f>
        <v>#REF!</v>
      </c>
    </row>
    <row r="23" spans="1:14" ht="12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2.75">
      <c r="A24" s="11" t="s">
        <v>29</v>
      </c>
      <c r="B24" s="15">
        <f>B14-B22</f>
        <v>522</v>
      </c>
      <c r="C24" s="15">
        <f aca="true" t="shared" si="3" ref="C24:M24">C14-C22</f>
        <v>-317</v>
      </c>
      <c r="D24" s="15">
        <f t="shared" si="3"/>
        <v>281</v>
      </c>
      <c r="E24" s="15" t="e">
        <f t="shared" si="3"/>
        <v>#REF!</v>
      </c>
      <c r="F24" s="15" t="e">
        <f t="shared" si="3"/>
        <v>#REF!</v>
      </c>
      <c r="G24" s="15" t="e">
        <f t="shared" si="3"/>
        <v>#REF!</v>
      </c>
      <c r="H24" s="15" t="e">
        <f t="shared" si="3"/>
        <v>#REF!</v>
      </c>
      <c r="I24" s="15" t="e">
        <f t="shared" si="3"/>
        <v>#REF!</v>
      </c>
      <c r="J24" s="15" t="e">
        <f t="shared" si="3"/>
        <v>#REF!</v>
      </c>
      <c r="K24" s="15" t="e">
        <f t="shared" si="3"/>
        <v>#REF!</v>
      </c>
      <c r="L24" s="15" t="e">
        <f t="shared" si="3"/>
        <v>#REF!</v>
      </c>
      <c r="M24" s="15" t="e">
        <f t="shared" si="3"/>
        <v>#REF!</v>
      </c>
      <c r="N24" s="15" t="e">
        <f>N14-N22</f>
        <v>#REF!</v>
      </c>
    </row>
    <row r="25" spans="1:14" ht="12.75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24" t="s">
        <v>30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26" t="s">
        <v>31</v>
      </c>
      <c r="B27" s="15">
        <f>'FY 2006 Bud + Act'!B30-'FY 2006 Bud'!B29</f>
        <v>5</v>
      </c>
      <c r="C27" s="15">
        <f>'FY 2006 Bud + Act'!C30-'FY 2006 Bud'!C29</f>
        <v>21</v>
      </c>
      <c r="D27" s="15">
        <f>'FY 2006 Bud + Act'!D30-'FY 2006 Bud'!D29</f>
        <v>9</v>
      </c>
      <c r="E27" s="15" t="e">
        <f>'FY 2006 Bud + Act'!#REF!-'FY 2006 Bud'!#REF!</f>
        <v>#REF!</v>
      </c>
      <c r="F27" s="15" t="e">
        <f>'FY 2006 Bud + Act'!#REF!-'FY 2006 Bud'!#REF!</f>
        <v>#REF!</v>
      </c>
      <c r="G27" s="15" t="e">
        <f>'FY 2006 Bud + Act'!#REF!-'FY 2006 Bud'!#REF!</f>
        <v>#REF!</v>
      </c>
      <c r="H27" s="15" t="e">
        <f>'FY 2006 Bud + Act'!#REF!-'FY 2006 Bud'!#REF!</f>
        <v>#REF!</v>
      </c>
      <c r="I27" s="15" t="e">
        <f>'FY 2006 Bud + Act'!#REF!-'FY 2006 Bud'!#REF!</f>
        <v>#REF!</v>
      </c>
      <c r="J27" s="15" t="e">
        <f>'FY 2006 Bud + Act'!#REF!-'FY 2006 Bud'!#REF!</f>
        <v>#REF!</v>
      </c>
      <c r="K27" s="15" t="e">
        <f>'FY 2006 Bud + Act'!#REF!-'FY 2006 Bud'!#REF!</f>
        <v>#REF!</v>
      </c>
      <c r="L27" s="15" t="e">
        <f>'FY 2006 Bud + Act'!#REF!-'FY 2006 Bud'!#REF!</f>
        <v>#REF!</v>
      </c>
      <c r="M27" s="15" t="e">
        <f>'FY 2006 Bud + Act'!#REF!-'FY 2006 Bud'!#REF!</f>
        <v>#REF!</v>
      </c>
      <c r="N27" s="29" t="e">
        <f>SUM(B27:M27)</f>
        <v>#REF!</v>
      </c>
    </row>
    <row r="28" spans="1:14" ht="12.75">
      <c r="A28" t="s">
        <v>32</v>
      </c>
      <c r="B28" s="15">
        <f>'FY 2006 Bud + Act'!B31-'FY 2006 Bud'!B30</f>
        <v>34</v>
      </c>
      <c r="C28" s="15">
        <f>'FY 2006 Bud + Act'!C31-'FY 2006 Bud'!C30</f>
        <v>28</v>
      </c>
      <c r="D28" s="15">
        <f>'FY 2006 Bud + Act'!D31-'FY 2006 Bud'!D30</f>
        <v>36</v>
      </c>
      <c r="E28" s="15" t="e">
        <f>'FY 2006 Bud + Act'!#REF!-'FY 2006 Bud'!#REF!</f>
        <v>#REF!</v>
      </c>
      <c r="F28" s="15" t="e">
        <f>'FY 2006 Bud + Act'!#REF!-'FY 2006 Bud'!#REF!</f>
        <v>#REF!</v>
      </c>
      <c r="G28" s="15" t="e">
        <f>'FY 2006 Bud + Act'!#REF!-'FY 2006 Bud'!#REF!</f>
        <v>#REF!</v>
      </c>
      <c r="H28" s="15" t="e">
        <f>'FY 2006 Bud + Act'!#REF!-'FY 2006 Bud'!#REF!</f>
        <v>#REF!</v>
      </c>
      <c r="I28" s="15" t="e">
        <f>'FY 2006 Bud + Act'!#REF!-'FY 2006 Bud'!#REF!</f>
        <v>#REF!</v>
      </c>
      <c r="J28" s="15" t="e">
        <f>'FY 2006 Bud + Act'!#REF!-'FY 2006 Bud'!#REF!</f>
        <v>#REF!</v>
      </c>
      <c r="K28" s="15" t="e">
        <f>'FY 2006 Bud + Act'!#REF!-'FY 2006 Bud'!#REF!</f>
        <v>#REF!</v>
      </c>
      <c r="L28" s="15" t="e">
        <f>'FY 2006 Bud + Act'!#REF!-'FY 2006 Bud'!#REF!</f>
        <v>#REF!</v>
      </c>
      <c r="M28" s="15" t="e">
        <f>'FY 2006 Bud + Act'!#REF!-'FY 2006 Bud'!#REF!</f>
        <v>#REF!</v>
      </c>
      <c r="N28" s="29" t="e">
        <f>SUM(B28:M28)</f>
        <v>#REF!</v>
      </c>
    </row>
    <row r="29" spans="1:14" ht="12.75">
      <c r="A29" s="11" t="s">
        <v>33</v>
      </c>
      <c r="B29" s="15">
        <f>'FY 2006 Bud + Act'!B32-'FY 2006 Bud'!B31</f>
        <v>-11</v>
      </c>
      <c r="C29" s="15">
        <f>'FY 2006 Bud + Act'!C32-'FY 2006 Bud'!C31</f>
        <v>-2</v>
      </c>
      <c r="D29" s="15">
        <f>'FY 2006 Bud + Act'!D32-'FY 2006 Bud'!D31</f>
        <v>-17</v>
      </c>
      <c r="E29" s="15" t="e">
        <f>'FY 2006 Bud + Act'!#REF!-'FY 2006 Bud'!#REF!</f>
        <v>#REF!</v>
      </c>
      <c r="F29" s="15" t="e">
        <f>'FY 2006 Bud + Act'!#REF!-'FY 2006 Bud'!#REF!</f>
        <v>#REF!</v>
      </c>
      <c r="G29" s="15" t="e">
        <f>'FY 2006 Bud + Act'!#REF!-'FY 2006 Bud'!#REF!</f>
        <v>#REF!</v>
      </c>
      <c r="H29" s="15" t="e">
        <f>'FY 2006 Bud + Act'!#REF!-'FY 2006 Bud'!#REF!</f>
        <v>#REF!</v>
      </c>
      <c r="I29" s="15" t="e">
        <f>'FY 2006 Bud + Act'!#REF!-'FY 2006 Bud'!#REF!</f>
        <v>#REF!</v>
      </c>
      <c r="J29" s="15" t="e">
        <f>'FY 2006 Bud + Act'!#REF!-'FY 2006 Bud'!#REF!</f>
        <v>#REF!</v>
      </c>
      <c r="K29" s="15" t="e">
        <f>'FY 2006 Bud + Act'!#REF!-'FY 2006 Bud'!#REF!</f>
        <v>#REF!</v>
      </c>
      <c r="L29" s="15" t="e">
        <f>'FY 2006 Bud + Act'!#REF!-'FY 2006 Bud'!#REF!</f>
        <v>#REF!</v>
      </c>
      <c r="M29" s="15" t="e">
        <f>'FY 2006 Bud + Act'!#REF!-'FY 2006 Bud'!#REF!</f>
        <v>#REF!</v>
      </c>
      <c r="N29" s="29" t="e">
        <f>SUM(B29:M29)</f>
        <v>#REF!</v>
      </c>
    </row>
    <row r="30" spans="1:14" ht="12.75">
      <c r="A30" t="s">
        <v>34</v>
      </c>
      <c r="B30" s="16">
        <f>'FY 2006 Bud + Act'!B33-'FY 2006 Bud'!B32</f>
        <v>-31</v>
      </c>
      <c r="C30" s="16">
        <f>'FY 2006 Bud + Act'!C33-'FY 2006 Bud'!C32</f>
        <v>13</v>
      </c>
      <c r="D30" s="16">
        <f>'FY 2006 Bud + Act'!D33-'FY 2006 Bud'!D32</f>
        <v>58</v>
      </c>
      <c r="E30" s="16" t="e">
        <f>'FY 2006 Bud + Act'!#REF!-'FY 2006 Bud'!#REF!</f>
        <v>#REF!</v>
      </c>
      <c r="F30" s="16" t="e">
        <f>'FY 2006 Bud + Act'!#REF!-'FY 2006 Bud'!#REF!</f>
        <v>#REF!</v>
      </c>
      <c r="G30" s="16" t="e">
        <f>'FY 2006 Bud + Act'!#REF!-'FY 2006 Bud'!#REF!</f>
        <v>#REF!</v>
      </c>
      <c r="H30" s="16" t="e">
        <f>'FY 2006 Bud + Act'!#REF!-'FY 2006 Bud'!#REF!</f>
        <v>#REF!</v>
      </c>
      <c r="I30" s="16" t="e">
        <f>'FY 2006 Bud + Act'!#REF!-'FY 2006 Bud'!#REF!</f>
        <v>#REF!</v>
      </c>
      <c r="J30" s="16" t="e">
        <f>'FY 2006 Bud + Act'!#REF!-'FY 2006 Bud'!#REF!</f>
        <v>#REF!</v>
      </c>
      <c r="K30" s="16" t="e">
        <f>'FY 2006 Bud + Act'!#REF!-'FY 2006 Bud'!#REF!</f>
        <v>#REF!</v>
      </c>
      <c r="L30" s="16" t="e">
        <f>'FY 2006 Bud + Act'!#REF!-'FY 2006 Bud'!#REF!</f>
        <v>#REF!</v>
      </c>
      <c r="M30" s="16" t="e">
        <f>'FY 2006 Bud + Act'!#REF!-'FY 2006 Bud'!#REF!</f>
        <v>#REF!</v>
      </c>
      <c r="N30" s="31" t="e">
        <f>SUM(B30:M30)</f>
        <v>#REF!</v>
      </c>
    </row>
    <row r="31" spans="1:14" ht="12.75">
      <c r="A31" s="32" t="s">
        <v>35</v>
      </c>
      <c r="B31" s="33">
        <f>SUM(B27:B30)</f>
        <v>-3</v>
      </c>
      <c r="C31" s="33">
        <f aca="true" t="shared" si="4" ref="C31:M31">SUM(C27:C30)</f>
        <v>60</v>
      </c>
      <c r="D31" s="33">
        <f t="shared" si="4"/>
        <v>86</v>
      </c>
      <c r="E31" s="33" t="e">
        <f t="shared" si="4"/>
        <v>#REF!</v>
      </c>
      <c r="F31" s="33" t="e">
        <f t="shared" si="4"/>
        <v>#REF!</v>
      </c>
      <c r="G31" s="33" t="e">
        <f t="shared" si="4"/>
        <v>#REF!</v>
      </c>
      <c r="H31" s="33" t="e">
        <f t="shared" si="4"/>
        <v>#REF!</v>
      </c>
      <c r="I31" s="33" t="e">
        <f t="shared" si="4"/>
        <v>#REF!</v>
      </c>
      <c r="J31" s="33" t="e">
        <f t="shared" si="4"/>
        <v>#REF!</v>
      </c>
      <c r="K31" s="33" t="e">
        <f t="shared" si="4"/>
        <v>#REF!</v>
      </c>
      <c r="L31" s="33" t="e">
        <f t="shared" si="4"/>
        <v>#REF!</v>
      </c>
      <c r="M31" s="33" t="e">
        <f t="shared" si="4"/>
        <v>#REF!</v>
      </c>
      <c r="N31" s="33" t="e">
        <f>SUM(N27:N30)</f>
        <v>#REF!</v>
      </c>
    </row>
    <row r="32" ht="12.75">
      <c r="N32" s="34"/>
    </row>
    <row r="33" spans="1:14" ht="12.75">
      <c r="A33" s="32" t="s">
        <v>36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6"/>
    </row>
    <row r="34" spans="1:14" ht="12.75">
      <c r="A34" s="32"/>
      <c r="B34" s="15">
        <f>'FY 2006 Bud + Act'!B37-'FY 2006 Bud'!B36</f>
        <v>24</v>
      </c>
      <c r="C34" s="15">
        <f>'FY 2006 Bud + Act'!C37-'FY 2006 Bud'!C36</f>
        <v>25</v>
      </c>
      <c r="D34" s="15">
        <f>'FY 2006 Bud + Act'!D37-'FY 2006 Bud'!D36</f>
        <v>41</v>
      </c>
      <c r="E34" s="15" t="e">
        <f>'FY 2006 Bud + Act'!#REF!-'FY 2006 Bud'!#REF!</f>
        <v>#REF!</v>
      </c>
      <c r="F34" s="15" t="e">
        <f>'FY 2006 Bud + Act'!#REF!-'FY 2006 Bud'!#REF!</f>
        <v>#REF!</v>
      </c>
      <c r="G34" s="15" t="e">
        <f>'FY 2006 Bud + Act'!#REF!-'FY 2006 Bud'!#REF!</f>
        <v>#REF!</v>
      </c>
      <c r="H34" s="15" t="e">
        <f>'FY 2006 Bud + Act'!#REF!-'FY 2006 Bud'!#REF!</f>
        <v>#REF!</v>
      </c>
      <c r="I34" s="15" t="e">
        <f>'FY 2006 Bud + Act'!#REF!-'FY 2006 Bud'!#REF!</f>
        <v>#REF!</v>
      </c>
      <c r="J34" s="15" t="e">
        <f>'FY 2006 Bud + Act'!#REF!-'FY 2006 Bud'!#REF!</f>
        <v>#REF!</v>
      </c>
      <c r="K34" s="15" t="e">
        <f>'FY 2006 Bud + Act'!#REF!-'FY 2006 Bud'!#REF!</f>
        <v>#REF!</v>
      </c>
      <c r="L34" s="15" t="e">
        <f>'FY 2006 Bud + Act'!#REF!-'FY 2006 Bud'!#REF!</f>
        <v>#REF!</v>
      </c>
      <c r="M34" s="15" t="e">
        <f>'FY 2006 Bud + Act'!#REF!-'FY 2006 Bud'!#REF!</f>
        <v>#REF!</v>
      </c>
      <c r="N34" s="38" t="e">
        <f>SUM(B34:M34)</f>
        <v>#REF!</v>
      </c>
    </row>
    <row r="35" spans="1:14" ht="12.75">
      <c r="A35" s="3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2.75">
      <c r="A36" s="24" t="s">
        <v>37</v>
      </c>
      <c r="B36" s="18">
        <f>B34</f>
        <v>24</v>
      </c>
      <c r="C36" s="18">
        <f aca="true" t="shared" si="5" ref="C36:M36">C34</f>
        <v>25</v>
      </c>
      <c r="D36" s="18">
        <f t="shared" si="5"/>
        <v>41</v>
      </c>
      <c r="E36" s="18" t="e">
        <f t="shared" si="5"/>
        <v>#REF!</v>
      </c>
      <c r="F36" s="18" t="e">
        <f t="shared" si="5"/>
        <v>#REF!</v>
      </c>
      <c r="G36" s="18" t="e">
        <f t="shared" si="5"/>
        <v>#REF!</v>
      </c>
      <c r="H36" s="18" t="e">
        <f t="shared" si="5"/>
        <v>#REF!</v>
      </c>
      <c r="I36" s="18" t="e">
        <f t="shared" si="5"/>
        <v>#REF!</v>
      </c>
      <c r="J36" s="18" t="e">
        <f t="shared" si="5"/>
        <v>#REF!</v>
      </c>
      <c r="K36" s="18" t="e">
        <f t="shared" si="5"/>
        <v>#REF!</v>
      </c>
      <c r="L36" s="18" t="e">
        <f t="shared" si="5"/>
        <v>#REF!</v>
      </c>
      <c r="M36" s="18" t="e">
        <f t="shared" si="5"/>
        <v>#REF!</v>
      </c>
      <c r="N36" s="18" t="e">
        <f>N34</f>
        <v>#REF!</v>
      </c>
    </row>
    <row r="37" spans="1:14" ht="12.75">
      <c r="A37" s="4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3.5" thickBot="1">
      <c r="A38" s="11" t="s">
        <v>38</v>
      </c>
      <c r="B38" s="41">
        <f>B24+B31-B34</f>
        <v>495</v>
      </c>
      <c r="C38" s="41">
        <f aca="true" t="shared" si="6" ref="C38:M38">C24+C31-C34</f>
        <v>-282</v>
      </c>
      <c r="D38" s="41">
        <f t="shared" si="6"/>
        <v>326</v>
      </c>
      <c r="E38" s="41" t="e">
        <f t="shared" si="6"/>
        <v>#REF!</v>
      </c>
      <c r="F38" s="41" t="e">
        <f t="shared" si="6"/>
        <v>#REF!</v>
      </c>
      <c r="G38" s="41" t="e">
        <f t="shared" si="6"/>
        <v>#REF!</v>
      </c>
      <c r="H38" s="41" t="e">
        <f t="shared" si="6"/>
        <v>#REF!</v>
      </c>
      <c r="I38" s="41" t="e">
        <f t="shared" si="6"/>
        <v>#REF!</v>
      </c>
      <c r="J38" s="41" t="e">
        <f t="shared" si="6"/>
        <v>#REF!</v>
      </c>
      <c r="K38" s="41" t="e">
        <f t="shared" si="6"/>
        <v>#REF!</v>
      </c>
      <c r="L38" s="41" t="e">
        <f t="shared" si="6"/>
        <v>#REF!</v>
      </c>
      <c r="M38" s="41" t="e">
        <f t="shared" si="6"/>
        <v>#REF!</v>
      </c>
      <c r="N38" s="41" t="e">
        <f>N24+N31-N34</f>
        <v>#REF!</v>
      </c>
    </row>
    <row r="39" ht="13.5" thickTop="1"/>
  </sheetData>
  <mergeCells count="2">
    <mergeCell ref="A1:N1"/>
    <mergeCell ref="A3:N3"/>
  </mergeCells>
  <printOptions/>
  <pageMargins left="0.5" right="0" top="1" bottom="0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SHudson</dc:creator>
  <cp:keywords/>
  <dc:description/>
  <cp:lastModifiedBy>gsmith</cp:lastModifiedBy>
  <cp:lastPrinted>2006-05-23T19:22:42Z</cp:lastPrinted>
  <dcterms:created xsi:type="dcterms:W3CDTF">2006-04-21T19:07:36Z</dcterms:created>
  <dcterms:modified xsi:type="dcterms:W3CDTF">2006-05-30T21:38:38Z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-1641429182</vt:i4>
  </property>
  <property fmtid="{D5CDD505-2E9C-101B-9397-08002B2CF9AE}" pid="3" name="_EmailSubject">
    <vt:lpwstr>KY PSC Order of May 22, 2006</vt:lpwstr>
  </property>
  <property fmtid="{D5CDD505-2E9C-101B-9397-08002B2CF9AE}" pid="4" name="_AuthorEmail">
    <vt:lpwstr>Sidney.Hudson@atmosenergy.com</vt:lpwstr>
  </property>
  <property fmtid="{D5CDD505-2E9C-101B-9397-08002B2CF9AE}" pid="5" name="_AuthorEmailDisplayName">
    <vt:lpwstr>Hudson, Sidney W.</vt:lpwstr>
  </property>
  <property fmtid="{D5CDD505-2E9C-101B-9397-08002B2CF9AE}" pid="6" name="_ReviewingToolsShownOnce">
    <vt:lpwstr/>
  </property>
</Properties>
</file>