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24226"/>
  <xr:revisionPtr revIDLastSave="0" documentId="8_{2070BD1D-F648-4A50-8DF9-5E0A7923700A}" xr6:coauthVersionLast="47" xr6:coauthVersionMax="47" xr10:uidLastSave="{00000000-0000-0000-0000-000000000000}"/>
  <bookViews>
    <workbookView xWindow="-110" yWindow="-110" windowWidth="22780" windowHeight="14540" tabRatio="856" activeTab="1" xr2:uid="{B41A50C4-146F-4517-82B2-E8008CF44B0E}"/>
  </bookViews>
  <sheets>
    <sheet name="Table of Contents" sheetId="15" r:id="rId1"/>
    <sheet name="1.0 SMRP Rider Calc " sheetId="7" r:id="rId2"/>
    <sheet name="1.1 Projected Volumes" sheetId="8" r:id="rId3"/>
    <sheet name="2.0 Revenue Req." sheetId="5" r:id="rId4"/>
    <sheet name="2.1 ROR " sheetId="6" r:id="rId5"/>
    <sheet name="2.2 Conversion Factor " sheetId="19" r:id="rId6"/>
    <sheet name="3.0 Plant in Service" sheetId="20" r:id="rId7"/>
    <sheet name="4.0 Accumulated Depr" sheetId="21" r:id="rId8"/>
    <sheet name="5.0 Depr Expense" sheetId="22" r:id="rId9"/>
    <sheet name="6.0 ADIT Normalized " sheetId="23" r:id="rId10"/>
    <sheet name="6.1 ADIT Calculated p.1" sheetId="4" r:id="rId11"/>
    <sheet name="6.1 ADIT Calcluated p.2" sheetId="9" r:id="rId12"/>
    <sheet name="6.1 ADIT Calcluated p.3" sheetId="10" r:id="rId13"/>
    <sheet name="7.0 Property Tax" sheetId="31" r:id="rId14"/>
    <sheet name="8.0 O&amp;M Savings " sheetId="12" r:id="rId15"/>
  </sheets>
  <definedNames>
    <definedName name="case">#REF!</definedName>
    <definedName name="co">#REF!</definedName>
    <definedName name="f">#REF!</definedName>
    <definedName name="_xlnm.Print_Area" localSheetId="1">#N/A</definedName>
    <definedName name="_xlnm.Print_Area" localSheetId="2">#N/A</definedName>
    <definedName name="_xlnm.Print_Area" localSheetId="3">#N/A</definedName>
    <definedName name="_xlnm.Print_Area" localSheetId="6">#N/A</definedName>
    <definedName name="_xlnm.Print_Area" localSheetId="7">#N/A</definedName>
    <definedName name="_xlnm.Print_Area" localSheetId="8">#N/A</definedName>
    <definedName name="_xlnm.Print_Area" localSheetId="9">#N/A</definedName>
    <definedName name="_xlnm.Print_Area" localSheetId="11">#N/A</definedName>
    <definedName name="_xlnm.Print_Area" localSheetId="12">#N/A</definedName>
    <definedName name="_xlnm.Print_Area" localSheetId="10">#N/A</definedName>
    <definedName name="_xlnm.Print_Area" localSheetId="14">#N/A</definedName>
    <definedName name="_xlnm.Print_Area" localSheetId="0">#N/A</definedName>
    <definedName name="_xlnm.Print_Titles" localSheetId="11">#N/A</definedName>
    <definedName name="_xlnm.Print_Titles" localSheetId="12">#N/A</definedName>
    <definedName name="_xlnm.Print_Titles" localSheetId="10">#N/A</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4" i="4" l="1"/>
  <c r="F44" i="4"/>
  <c r="G44" i="4"/>
  <c r="H44" i="4"/>
  <c r="D44" i="4"/>
  <c r="D20" i="4"/>
  <c r="E20" i="4"/>
  <c r="D21" i="4"/>
  <c r="E21" i="4"/>
  <c r="F21" i="4"/>
  <c r="D22" i="4"/>
  <c r="E22" i="4"/>
  <c r="F22" i="4"/>
  <c r="G22" i="4"/>
  <c r="D23" i="4"/>
  <c r="E23" i="4"/>
  <c r="F23" i="4"/>
  <c r="G23" i="4"/>
  <c r="H23" i="4"/>
  <c r="D24" i="4"/>
  <c r="E24" i="4"/>
  <c r="F24" i="4"/>
  <c r="G24" i="4"/>
  <c r="H24" i="4"/>
  <c r="D25" i="4"/>
  <c r="E25" i="4"/>
  <c r="F25" i="4"/>
  <c r="G25" i="4"/>
  <c r="H25" i="4"/>
  <c r="D26" i="4"/>
  <c r="E26" i="4"/>
  <c r="F26" i="4"/>
  <c r="G26" i="4"/>
  <c r="H26" i="4"/>
  <c r="D27" i="4"/>
  <c r="E27" i="4"/>
  <c r="F27" i="4"/>
  <c r="G27" i="4"/>
  <c r="H27" i="4"/>
  <c r="D28" i="4"/>
  <c r="E28" i="4"/>
  <c r="F28" i="4"/>
  <c r="G28" i="4"/>
  <c r="H28" i="4"/>
  <c r="D29" i="4"/>
  <c r="E29" i="4"/>
  <c r="F29" i="4"/>
  <c r="G29" i="4"/>
  <c r="H29" i="4"/>
  <c r="D30" i="4"/>
  <c r="E30" i="4"/>
  <c r="F30" i="4"/>
  <c r="G30" i="4"/>
  <c r="H30" i="4"/>
  <c r="D31" i="4"/>
  <c r="E31" i="4"/>
  <c r="F31" i="4"/>
  <c r="G31" i="4"/>
  <c r="H31" i="4"/>
  <c r="D32" i="4"/>
  <c r="E32" i="4"/>
  <c r="F32" i="4"/>
  <c r="G32" i="4"/>
  <c r="H32" i="4"/>
  <c r="D33" i="4"/>
  <c r="E33" i="4"/>
  <c r="F33" i="4"/>
  <c r="G33" i="4"/>
  <c r="H33" i="4"/>
  <c r="D34" i="4"/>
  <c r="E34" i="4"/>
  <c r="F34" i="4"/>
  <c r="G34" i="4"/>
  <c r="H34" i="4"/>
  <c r="D35" i="4"/>
  <c r="E35" i="4"/>
  <c r="F35" i="4"/>
  <c r="G35" i="4"/>
  <c r="H35" i="4"/>
  <c r="D36" i="4"/>
  <c r="E36" i="4"/>
  <c r="F36" i="4"/>
  <c r="G36" i="4"/>
  <c r="H36" i="4"/>
  <c r="D37" i="4"/>
  <c r="E37" i="4"/>
  <c r="F37" i="4"/>
  <c r="G37" i="4"/>
  <c r="H37" i="4"/>
  <c r="D38" i="4"/>
  <c r="E38" i="4"/>
  <c r="F38" i="4"/>
  <c r="G38" i="4"/>
  <c r="H38" i="4"/>
  <c r="D39" i="4"/>
  <c r="E39" i="4"/>
  <c r="F39" i="4"/>
  <c r="G39" i="4"/>
  <c r="H39" i="4"/>
  <c r="D40" i="4"/>
  <c r="E40" i="4"/>
  <c r="F40" i="4"/>
  <c r="G40" i="4"/>
  <c r="H40" i="4"/>
  <c r="D41" i="4"/>
  <c r="E41" i="4"/>
  <c r="F41" i="4"/>
  <c r="G41" i="4"/>
  <c r="H41" i="4"/>
  <c r="D42" i="4"/>
  <c r="E42" i="4"/>
  <c r="F42" i="4"/>
  <c r="G42" i="4"/>
  <c r="H42" i="4"/>
  <c r="D43" i="4"/>
  <c r="E43" i="4"/>
  <c r="F43" i="4"/>
  <c r="G43" i="4"/>
  <c r="H43" i="4"/>
  <c r="D19" i="4"/>
  <c r="E349" i="21"/>
  <c r="F349" i="21"/>
  <c r="G349" i="21"/>
  <c r="H349" i="21"/>
  <c r="I349" i="21"/>
  <c r="J349" i="21"/>
  <c r="K349" i="21"/>
  <c r="L349" i="21"/>
  <c r="M349" i="21"/>
  <c r="N349" i="21"/>
  <c r="O349" i="21"/>
  <c r="E350" i="21"/>
  <c r="F350" i="21"/>
  <c r="G350" i="21"/>
  <c r="H350" i="21"/>
  <c r="I350" i="21"/>
  <c r="J350" i="21"/>
  <c r="K350" i="21"/>
  <c r="L350" i="21"/>
  <c r="M350" i="21"/>
  <c r="N350" i="21"/>
  <c r="O350" i="21"/>
  <c r="E351" i="21"/>
  <c r="F351" i="21"/>
  <c r="G351" i="21"/>
  <c r="H351" i="21"/>
  <c r="I351" i="21"/>
  <c r="J351" i="21"/>
  <c r="K351" i="21"/>
  <c r="L351" i="21"/>
  <c r="M351" i="21"/>
  <c r="N351" i="21"/>
  <c r="O351" i="21"/>
  <c r="E352" i="21"/>
  <c r="F352" i="21"/>
  <c r="G352" i="21"/>
  <c r="H352" i="21"/>
  <c r="I352" i="21"/>
  <c r="J352" i="21"/>
  <c r="K352" i="21"/>
  <c r="L352" i="21"/>
  <c r="M352" i="21"/>
  <c r="N352" i="21"/>
  <c r="O352" i="21"/>
  <c r="E353" i="21"/>
  <c r="F353" i="21"/>
  <c r="G353" i="21"/>
  <c r="H353" i="21"/>
  <c r="I353" i="21"/>
  <c r="J353" i="21"/>
  <c r="K353" i="21"/>
  <c r="L353" i="21"/>
  <c r="M353" i="21"/>
  <c r="N353" i="21"/>
  <c r="O353" i="21"/>
  <c r="D353" i="21"/>
  <c r="D352" i="21"/>
  <c r="D351" i="21"/>
  <c r="D350" i="21"/>
  <c r="D349" i="21"/>
  <c r="E340" i="21"/>
  <c r="F340" i="21"/>
  <c r="G340" i="21"/>
  <c r="H340" i="21"/>
  <c r="I340" i="21"/>
  <c r="J340" i="21"/>
  <c r="K340" i="21"/>
  <c r="L340" i="21"/>
  <c r="M340" i="21"/>
  <c r="N340" i="21"/>
  <c r="O340" i="21"/>
  <c r="E341" i="21"/>
  <c r="F341" i="21"/>
  <c r="G341" i="21"/>
  <c r="H341" i="21"/>
  <c r="I341" i="21"/>
  <c r="J341" i="21"/>
  <c r="K341" i="21"/>
  <c r="L341" i="21"/>
  <c r="M341" i="21"/>
  <c r="N341" i="21"/>
  <c r="O341" i="21"/>
  <c r="E342" i="21"/>
  <c r="F342" i="21"/>
  <c r="G342" i="21"/>
  <c r="H342" i="21"/>
  <c r="I342" i="21"/>
  <c r="J342" i="21"/>
  <c r="K342" i="21"/>
  <c r="L342" i="21"/>
  <c r="M342" i="21"/>
  <c r="N342" i="21"/>
  <c r="O342" i="21"/>
  <c r="E343" i="21"/>
  <c r="F343" i="21"/>
  <c r="G343" i="21"/>
  <c r="H343" i="21"/>
  <c r="I343" i="21"/>
  <c r="J343" i="21"/>
  <c r="K343" i="21"/>
  <c r="L343" i="21"/>
  <c r="M343" i="21"/>
  <c r="N343" i="21"/>
  <c r="O343" i="21"/>
  <c r="E344" i="21"/>
  <c r="F344" i="21"/>
  <c r="G344" i="21"/>
  <c r="H344" i="21"/>
  <c r="I344" i="21"/>
  <c r="J344" i="21"/>
  <c r="K344" i="21"/>
  <c r="L344" i="21"/>
  <c r="M344" i="21"/>
  <c r="N344" i="21"/>
  <c r="O344" i="21"/>
  <c r="D344" i="21"/>
  <c r="D343" i="21"/>
  <c r="D342" i="21"/>
  <c r="D341" i="21"/>
  <c r="D340" i="21"/>
  <c r="E268" i="21"/>
  <c r="F268" i="21"/>
  <c r="G268" i="21"/>
  <c r="H268" i="21"/>
  <c r="I268" i="21"/>
  <c r="J268" i="21"/>
  <c r="K268" i="21"/>
  <c r="L268" i="21"/>
  <c r="M268" i="21"/>
  <c r="N268" i="21"/>
  <c r="O268" i="21"/>
  <c r="E269" i="21"/>
  <c r="F269" i="21"/>
  <c r="G269" i="21"/>
  <c r="H269" i="21"/>
  <c r="I269" i="21"/>
  <c r="J269" i="21"/>
  <c r="K269" i="21"/>
  <c r="L269" i="21"/>
  <c r="M269" i="21"/>
  <c r="N269" i="21"/>
  <c r="O269" i="21"/>
  <c r="E270" i="21"/>
  <c r="F270" i="21"/>
  <c r="G270" i="21"/>
  <c r="H270" i="21"/>
  <c r="I270" i="21"/>
  <c r="J270" i="21"/>
  <c r="K270" i="21"/>
  <c r="L270" i="21"/>
  <c r="M270" i="21"/>
  <c r="N270" i="21"/>
  <c r="O270" i="21"/>
  <c r="E271" i="21"/>
  <c r="F271" i="21"/>
  <c r="G271" i="21"/>
  <c r="H271" i="21"/>
  <c r="I271" i="21"/>
  <c r="J271" i="21"/>
  <c r="K271" i="21"/>
  <c r="L271" i="21"/>
  <c r="M271" i="21"/>
  <c r="N271" i="21"/>
  <c r="O271" i="21"/>
  <c r="E272" i="21"/>
  <c r="F272" i="21"/>
  <c r="G272" i="21"/>
  <c r="H272" i="21"/>
  <c r="I272" i="21"/>
  <c r="J272" i="21"/>
  <c r="K272" i="21"/>
  <c r="L272" i="21"/>
  <c r="M272" i="21"/>
  <c r="N272" i="21"/>
  <c r="O272" i="21"/>
  <c r="D272" i="21"/>
  <c r="D271" i="21"/>
  <c r="D270" i="21"/>
  <c r="D269" i="21"/>
  <c r="D268" i="21"/>
  <c r="E259" i="21"/>
  <c r="F259" i="21"/>
  <c r="G259" i="21"/>
  <c r="H259" i="21"/>
  <c r="I259" i="21"/>
  <c r="J259" i="21"/>
  <c r="K259" i="21"/>
  <c r="L259" i="21"/>
  <c r="M259" i="21"/>
  <c r="N259" i="21"/>
  <c r="O259" i="21"/>
  <c r="E260" i="21"/>
  <c r="F260" i="21"/>
  <c r="G260" i="21"/>
  <c r="H260" i="21"/>
  <c r="I260" i="21"/>
  <c r="J260" i="21"/>
  <c r="K260" i="21"/>
  <c r="L260" i="21"/>
  <c r="M260" i="21"/>
  <c r="N260" i="21"/>
  <c r="O260" i="21"/>
  <c r="E261" i="21"/>
  <c r="F261" i="21"/>
  <c r="G261" i="21"/>
  <c r="H261" i="21"/>
  <c r="I261" i="21"/>
  <c r="J261" i="21"/>
  <c r="K261" i="21"/>
  <c r="L261" i="21"/>
  <c r="M261" i="21"/>
  <c r="N261" i="21"/>
  <c r="O261" i="21"/>
  <c r="E262" i="21"/>
  <c r="F262" i="21"/>
  <c r="G262" i="21"/>
  <c r="H262" i="21"/>
  <c r="I262" i="21"/>
  <c r="J262" i="21"/>
  <c r="K262" i="21"/>
  <c r="L262" i="21"/>
  <c r="M262" i="21"/>
  <c r="N262" i="21"/>
  <c r="O262" i="21"/>
  <c r="E263" i="21"/>
  <c r="F263" i="21"/>
  <c r="G263" i="21"/>
  <c r="H263" i="21"/>
  <c r="I263" i="21"/>
  <c r="J263" i="21"/>
  <c r="K263" i="21"/>
  <c r="L263" i="21"/>
  <c r="M263" i="21"/>
  <c r="N263" i="21"/>
  <c r="O263" i="21"/>
  <c r="D263" i="21"/>
  <c r="D262" i="21"/>
  <c r="D261" i="21"/>
  <c r="D260" i="21"/>
  <c r="D259" i="21"/>
  <c r="E187" i="21"/>
  <c r="F187" i="21"/>
  <c r="G187" i="21"/>
  <c r="H187" i="21"/>
  <c r="I187" i="21"/>
  <c r="J187" i="21"/>
  <c r="K187" i="21"/>
  <c r="L187" i="21"/>
  <c r="M187" i="21"/>
  <c r="N187" i="21"/>
  <c r="O187" i="21"/>
  <c r="E188" i="21"/>
  <c r="F188" i="21"/>
  <c r="G188" i="21"/>
  <c r="H188" i="21"/>
  <c r="I188" i="21"/>
  <c r="J188" i="21"/>
  <c r="K188" i="21"/>
  <c r="L188" i="21"/>
  <c r="M188" i="21"/>
  <c r="N188" i="21"/>
  <c r="O188" i="21"/>
  <c r="E189" i="21"/>
  <c r="F189" i="21"/>
  <c r="G189" i="21"/>
  <c r="H189" i="21"/>
  <c r="I189" i="21"/>
  <c r="J189" i="21"/>
  <c r="K189" i="21"/>
  <c r="L189" i="21"/>
  <c r="M189" i="21"/>
  <c r="N189" i="21"/>
  <c r="O189" i="21"/>
  <c r="E190" i="21"/>
  <c r="F190" i="21"/>
  <c r="G190" i="21"/>
  <c r="H190" i="21"/>
  <c r="I190" i="21"/>
  <c r="J190" i="21"/>
  <c r="K190" i="21"/>
  <c r="L190" i="21"/>
  <c r="M190" i="21"/>
  <c r="N190" i="21"/>
  <c r="O190" i="21"/>
  <c r="E191" i="21"/>
  <c r="F191" i="21"/>
  <c r="G191" i="21"/>
  <c r="H191" i="21"/>
  <c r="I191" i="21"/>
  <c r="J191" i="21"/>
  <c r="K191" i="21"/>
  <c r="L191" i="21"/>
  <c r="M191" i="21"/>
  <c r="N191" i="21"/>
  <c r="O191" i="21"/>
  <c r="D191" i="21"/>
  <c r="D190" i="21"/>
  <c r="D189" i="21"/>
  <c r="D188" i="21"/>
  <c r="D187" i="21"/>
  <c r="E178" i="21"/>
  <c r="F178" i="21"/>
  <c r="G178" i="21"/>
  <c r="H178" i="21"/>
  <c r="I178" i="21"/>
  <c r="J178" i="21"/>
  <c r="K178" i="21"/>
  <c r="L178" i="21"/>
  <c r="M178" i="21"/>
  <c r="N178" i="21"/>
  <c r="O178" i="21"/>
  <c r="E179" i="21"/>
  <c r="F179" i="21"/>
  <c r="G179" i="21"/>
  <c r="H179" i="21"/>
  <c r="I179" i="21"/>
  <c r="J179" i="21"/>
  <c r="K179" i="21"/>
  <c r="L179" i="21"/>
  <c r="M179" i="21"/>
  <c r="N179" i="21"/>
  <c r="O179" i="21"/>
  <c r="E180" i="21"/>
  <c r="F180" i="21"/>
  <c r="G180" i="21"/>
  <c r="H180" i="21"/>
  <c r="I180" i="21"/>
  <c r="J180" i="21"/>
  <c r="K180" i="21"/>
  <c r="L180" i="21"/>
  <c r="M180" i="21"/>
  <c r="N180" i="21"/>
  <c r="O180" i="21"/>
  <c r="E181" i="21"/>
  <c r="F181" i="21"/>
  <c r="G181" i="21"/>
  <c r="H181" i="21"/>
  <c r="I181" i="21"/>
  <c r="J181" i="21"/>
  <c r="K181" i="21"/>
  <c r="L181" i="21"/>
  <c r="M181" i="21"/>
  <c r="N181" i="21"/>
  <c r="O181" i="21"/>
  <c r="E182" i="21"/>
  <c r="F182" i="21"/>
  <c r="G182" i="21"/>
  <c r="H182" i="21"/>
  <c r="I182" i="21"/>
  <c r="J182" i="21"/>
  <c r="K182" i="21"/>
  <c r="L182" i="21"/>
  <c r="M182" i="21"/>
  <c r="N182" i="21"/>
  <c r="O182" i="21"/>
  <c r="D182" i="21"/>
  <c r="D181" i="21"/>
  <c r="D180" i="21"/>
  <c r="D179" i="21"/>
  <c r="D178" i="21"/>
  <c r="E106" i="21"/>
  <c r="F106" i="21"/>
  <c r="G106" i="21"/>
  <c r="H106" i="21"/>
  <c r="I106" i="21"/>
  <c r="J106" i="21"/>
  <c r="K106" i="21"/>
  <c r="L106" i="21"/>
  <c r="M106" i="21"/>
  <c r="N106" i="21"/>
  <c r="O106" i="21"/>
  <c r="E107" i="21"/>
  <c r="F107" i="21"/>
  <c r="G107" i="21"/>
  <c r="H107" i="21"/>
  <c r="I107" i="21"/>
  <c r="J107" i="21"/>
  <c r="K107" i="21"/>
  <c r="L107" i="21"/>
  <c r="M107" i="21"/>
  <c r="N107" i="21"/>
  <c r="O107" i="21"/>
  <c r="E108" i="21"/>
  <c r="F108" i="21"/>
  <c r="G108" i="21"/>
  <c r="H108" i="21"/>
  <c r="I108" i="21"/>
  <c r="J108" i="21"/>
  <c r="K108" i="21"/>
  <c r="L108" i="21"/>
  <c r="M108" i="21"/>
  <c r="N108" i="21"/>
  <c r="O108" i="21"/>
  <c r="E109" i="21"/>
  <c r="F109" i="21"/>
  <c r="G109" i="21"/>
  <c r="H109" i="21"/>
  <c r="I109" i="21"/>
  <c r="J109" i="21"/>
  <c r="K109" i="21"/>
  <c r="L109" i="21"/>
  <c r="M109" i="21"/>
  <c r="N109" i="21"/>
  <c r="O109" i="21"/>
  <c r="E110" i="21"/>
  <c r="F110" i="21"/>
  <c r="G110" i="21"/>
  <c r="H110" i="21"/>
  <c r="I110" i="21"/>
  <c r="J110" i="21"/>
  <c r="K110" i="21"/>
  <c r="L110" i="21"/>
  <c r="M110" i="21"/>
  <c r="N110" i="21"/>
  <c r="O110" i="21"/>
  <c r="D110" i="21"/>
  <c r="D109" i="21"/>
  <c r="D108" i="21"/>
  <c r="D107" i="21"/>
  <c r="D106" i="21"/>
  <c r="E101" i="21"/>
  <c r="F101" i="21"/>
  <c r="G101" i="21"/>
  <c r="H101" i="21"/>
  <c r="I101" i="21"/>
  <c r="J101" i="21"/>
  <c r="K101" i="21"/>
  <c r="L101" i="21"/>
  <c r="M101" i="21"/>
  <c r="N101" i="21"/>
  <c r="O101" i="21"/>
  <c r="D101" i="21"/>
  <c r="E100" i="21"/>
  <c r="F100" i="21"/>
  <c r="G100" i="21"/>
  <c r="H100" i="21"/>
  <c r="I100" i="21"/>
  <c r="J100" i="21"/>
  <c r="K100" i="21"/>
  <c r="L100" i="21"/>
  <c r="M100" i="21"/>
  <c r="N100" i="21"/>
  <c r="O100" i="21"/>
  <c r="D100" i="21"/>
  <c r="E99" i="21"/>
  <c r="F99" i="21"/>
  <c r="G99" i="21"/>
  <c r="H99" i="21"/>
  <c r="I99" i="21"/>
  <c r="J99" i="21"/>
  <c r="K99" i="21"/>
  <c r="L99" i="21"/>
  <c r="M99" i="21"/>
  <c r="N99" i="21"/>
  <c r="O99" i="21"/>
  <c r="D99" i="21"/>
  <c r="E98" i="21"/>
  <c r="F98" i="21"/>
  <c r="G98" i="21"/>
  <c r="H98" i="21"/>
  <c r="I98" i="21"/>
  <c r="J98" i="21"/>
  <c r="K98" i="21"/>
  <c r="L98" i="21"/>
  <c r="M98" i="21"/>
  <c r="N98" i="21"/>
  <c r="O98" i="21"/>
  <c r="D98" i="21"/>
  <c r="E97" i="21"/>
  <c r="F97" i="21"/>
  <c r="G97" i="21"/>
  <c r="H97" i="21"/>
  <c r="I97" i="21"/>
  <c r="J97" i="21"/>
  <c r="K97" i="21"/>
  <c r="L97" i="21"/>
  <c r="M97" i="21"/>
  <c r="N97" i="21"/>
  <c r="O97" i="21"/>
  <c r="D97" i="21"/>
  <c r="E29" i="21"/>
  <c r="F29" i="21"/>
  <c r="G29" i="21"/>
  <c r="H29" i="21"/>
  <c r="I29" i="21"/>
  <c r="J29" i="21"/>
  <c r="K29" i="21"/>
  <c r="L29" i="21"/>
  <c r="M29" i="21"/>
  <c r="N29" i="21"/>
  <c r="O29" i="21"/>
  <c r="D29" i="21"/>
  <c r="E28" i="21"/>
  <c r="F28" i="21"/>
  <c r="G28" i="21"/>
  <c r="H28" i="21"/>
  <c r="I28" i="21"/>
  <c r="J28" i="21"/>
  <c r="K28" i="21"/>
  <c r="L28" i="21"/>
  <c r="M28" i="21"/>
  <c r="N28" i="21"/>
  <c r="O28" i="21"/>
  <c r="D28" i="21"/>
  <c r="E27" i="21"/>
  <c r="F27" i="21"/>
  <c r="G27" i="21"/>
  <c r="H27" i="21"/>
  <c r="I27" i="21"/>
  <c r="J27" i="21"/>
  <c r="K27" i="21"/>
  <c r="L27" i="21"/>
  <c r="M27" i="21"/>
  <c r="N27" i="21"/>
  <c r="O27" i="21"/>
  <c r="D27" i="21"/>
  <c r="E26" i="21"/>
  <c r="F26" i="21"/>
  <c r="G26" i="21"/>
  <c r="H26" i="21"/>
  <c r="I26" i="21"/>
  <c r="J26" i="21"/>
  <c r="K26" i="21"/>
  <c r="L26" i="21"/>
  <c r="M26" i="21"/>
  <c r="N26" i="21"/>
  <c r="O26" i="21"/>
  <c r="D26" i="21"/>
  <c r="E25" i="21"/>
  <c r="F25" i="21"/>
  <c r="G25" i="21"/>
  <c r="H25" i="21"/>
  <c r="I25" i="21"/>
  <c r="J25" i="21"/>
  <c r="K25" i="21"/>
  <c r="L25" i="21"/>
  <c r="M25" i="21"/>
  <c r="N25" i="21"/>
  <c r="O25" i="21"/>
  <c r="D25" i="21"/>
  <c r="E20" i="21"/>
  <c r="F20" i="21"/>
  <c r="G20" i="21"/>
  <c r="H20" i="21"/>
  <c r="I20" i="21"/>
  <c r="J20" i="21"/>
  <c r="K20" i="21"/>
  <c r="L20" i="21"/>
  <c r="M20" i="21"/>
  <c r="N20" i="21"/>
  <c r="O20" i="21"/>
  <c r="D20" i="21"/>
  <c r="E19" i="21"/>
  <c r="F19" i="21"/>
  <c r="G19" i="21"/>
  <c r="H19" i="21"/>
  <c r="I19" i="21"/>
  <c r="J19" i="21"/>
  <c r="K19" i="21"/>
  <c r="L19" i="21"/>
  <c r="M19" i="21"/>
  <c r="N19" i="21"/>
  <c r="O19" i="21"/>
  <c r="D19" i="21"/>
  <c r="E18" i="21"/>
  <c r="F18" i="21"/>
  <c r="G18" i="21"/>
  <c r="H18" i="21"/>
  <c r="I18" i="21"/>
  <c r="J18" i="21"/>
  <c r="K18" i="21"/>
  <c r="L18" i="21"/>
  <c r="M18" i="21"/>
  <c r="N18" i="21"/>
  <c r="O18" i="21"/>
  <c r="D18" i="21"/>
  <c r="E17" i="21"/>
  <c r="F17" i="21"/>
  <c r="G17" i="21"/>
  <c r="H17" i="21"/>
  <c r="I17" i="21"/>
  <c r="J17" i="21"/>
  <c r="K17" i="21"/>
  <c r="L17" i="21"/>
  <c r="M17" i="21"/>
  <c r="N17" i="21"/>
  <c r="O17" i="21"/>
  <c r="D17" i="21"/>
  <c r="E16" i="21"/>
  <c r="F16" i="21"/>
  <c r="G16" i="21"/>
  <c r="H16" i="21"/>
  <c r="I16" i="21"/>
  <c r="J16" i="21"/>
  <c r="K16" i="21"/>
  <c r="L16" i="21"/>
  <c r="M16" i="21"/>
  <c r="N16" i="21"/>
  <c r="O16" i="21"/>
  <c r="D16" i="21"/>
  <c r="G43" i="10" l="1"/>
  <c r="AK20" i="4"/>
  <c r="N24" i="23" s="1"/>
  <c r="AK19" i="4"/>
  <c r="N15" i="23" s="1"/>
  <c r="AJ20" i="4"/>
  <c r="AJ19" i="4"/>
  <c r="AF20" i="4"/>
  <c r="AF19" i="4"/>
  <c r="AI20" i="4"/>
  <c r="AI19" i="4"/>
  <c r="AG22" i="4"/>
  <c r="AG21" i="4"/>
  <c r="AG20" i="4"/>
  <c r="AG19" i="4"/>
  <c r="AH20" i="4"/>
  <c r="AH19" i="4"/>
  <c r="C96" i="22" l="1"/>
  <c r="C106" i="22"/>
  <c r="C116" i="22"/>
  <c r="C126" i="22"/>
  <c r="J133" i="22" s="1"/>
  <c r="C136" i="22"/>
  <c r="C12" i="22"/>
  <c r="C22" i="22"/>
  <c r="C32" i="22"/>
  <c r="C42" i="22"/>
  <c r="C52" i="22"/>
  <c r="N29" i="22"/>
  <c r="K103" i="22"/>
  <c r="C371" i="22"/>
  <c r="C361" i="22"/>
  <c r="C351" i="22"/>
  <c r="C341" i="22"/>
  <c r="C331" i="22"/>
  <c r="G1" i="12"/>
  <c r="I1" i="31"/>
  <c r="AK1" i="10"/>
  <c r="AK1" i="9"/>
  <c r="AK1" i="4"/>
  <c r="Q1" i="23"/>
  <c r="Q1" i="22"/>
  <c r="Q1" i="21"/>
  <c r="Q1" i="20"/>
  <c r="I1" i="19"/>
  <c r="H1" i="6"/>
  <c r="K1" i="5"/>
  <c r="C1" i="8"/>
  <c r="I1" i="7"/>
  <c r="E20" i="7"/>
  <c r="E18" i="7"/>
  <c r="E14" i="7"/>
  <c r="AG21" i="10"/>
  <c r="AG20" i="10"/>
  <c r="AG19" i="10"/>
  <c r="AG18" i="10"/>
  <c r="AG21" i="9"/>
  <c r="AG20" i="9"/>
  <c r="AG19" i="9"/>
  <c r="AG18" i="9"/>
  <c r="E14" i="10"/>
  <c r="E15" i="4" s="1"/>
  <c r="D14" i="10"/>
  <c r="D35" i="10" s="1"/>
  <c r="E14" i="9"/>
  <c r="D14" i="9"/>
  <c r="D30" i="9" s="1"/>
  <c r="G23" i="5"/>
  <c r="I17" i="5"/>
  <c r="P373" i="22"/>
  <c r="O373" i="22"/>
  <c r="N373" i="22"/>
  <c r="M373" i="22"/>
  <c r="L373" i="22"/>
  <c r="L374" i="22" s="1"/>
  <c r="L378" i="22" s="1"/>
  <c r="K373" i="22"/>
  <c r="K374" i="22" s="1"/>
  <c r="K378" i="22" s="1"/>
  <c r="J373" i="22"/>
  <c r="I373" i="22"/>
  <c r="H373" i="22"/>
  <c r="G373" i="22"/>
  <c r="F373" i="22"/>
  <c r="P372" i="22"/>
  <c r="O372" i="22"/>
  <c r="O374" i="22" s="1"/>
  <c r="O378" i="22" s="1"/>
  <c r="N372" i="22"/>
  <c r="N374" i="22" s="1"/>
  <c r="N378" i="22" s="1"/>
  <c r="M372" i="22"/>
  <c r="L372" i="22"/>
  <c r="K372" i="22"/>
  <c r="J372" i="22"/>
  <c r="I372" i="22"/>
  <c r="H372" i="22"/>
  <c r="G372" i="22"/>
  <c r="G374" i="22" s="1"/>
  <c r="G378" i="22" s="1"/>
  <c r="F372" i="22"/>
  <c r="F374" i="22" s="1"/>
  <c r="F378" i="22" s="1"/>
  <c r="E373" i="22"/>
  <c r="E372" i="22"/>
  <c r="P363" i="22"/>
  <c r="O363" i="22"/>
  <c r="N363" i="22"/>
  <c r="M363" i="22"/>
  <c r="L363" i="22"/>
  <c r="L364" i="22" s="1"/>
  <c r="L368" i="22" s="1"/>
  <c r="K363" i="22"/>
  <c r="K364" i="22" s="1"/>
  <c r="K368" i="22" s="1"/>
  <c r="J363" i="22"/>
  <c r="I363" i="22"/>
  <c r="H363" i="22"/>
  <c r="G363" i="22"/>
  <c r="F363" i="22"/>
  <c r="P362" i="22"/>
  <c r="O362" i="22"/>
  <c r="O364" i="22" s="1"/>
  <c r="O368" i="22" s="1"/>
  <c r="N362" i="22"/>
  <c r="M362" i="22"/>
  <c r="L362" i="22"/>
  <c r="K362" i="22"/>
  <c r="J362" i="22"/>
  <c r="I362" i="22"/>
  <c r="H362" i="22"/>
  <c r="G362" i="22"/>
  <c r="G364" i="22" s="1"/>
  <c r="G368" i="22" s="1"/>
  <c r="F362" i="22"/>
  <c r="E363" i="22"/>
  <c r="E364" i="22" s="1"/>
  <c r="E368" i="22" s="1"/>
  <c r="E362" i="22"/>
  <c r="P353" i="22"/>
  <c r="O353" i="22"/>
  <c r="N353" i="22"/>
  <c r="M353" i="22"/>
  <c r="L353" i="22"/>
  <c r="L354" i="22" s="1"/>
  <c r="L358" i="22" s="1"/>
  <c r="K353" i="22"/>
  <c r="K354" i="22" s="1"/>
  <c r="K358" i="22" s="1"/>
  <c r="J353" i="22"/>
  <c r="I353" i="22"/>
  <c r="H353" i="22"/>
  <c r="G353" i="22"/>
  <c r="F353" i="22"/>
  <c r="P352" i="22"/>
  <c r="O352" i="22"/>
  <c r="O354" i="22" s="1"/>
  <c r="O358" i="22" s="1"/>
  <c r="N352" i="22"/>
  <c r="M352" i="22"/>
  <c r="L352" i="22"/>
  <c r="K352" i="22"/>
  <c r="J352" i="22"/>
  <c r="I352" i="22"/>
  <c r="H352" i="22"/>
  <c r="H354" i="22" s="1"/>
  <c r="H358" i="22" s="1"/>
  <c r="G352" i="22"/>
  <c r="G354" i="22" s="1"/>
  <c r="G358" i="22" s="1"/>
  <c r="F352" i="22"/>
  <c r="E353" i="22"/>
  <c r="E352" i="22"/>
  <c r="P343" i="22"/>
  <c r="O343" i="22"/>
  <c r="N343" i="22"/>
  <c r="M343" i="22"/>
  <c r="L343" i="22"/>
  <c r="K343" i="22"/>
  <c r="K344" i="22" s="1"/>
  <c r="K348" i="22" s="1"/>
  <c r="J343" i="22"/>
  <c r="I343" i="22"/>
  <c r="H343" i="22"/>
  <c r="G343" i="22"/>
  <c r="F343" i="22"/>
  <c r="P342" i="22"/>
  <c r="O342" i="22"/>
  <c r="N342" i="22"/>
  <c r="N344" i="22" s="1"/>
  <c r="N348" i="22" s="1"/>
  <c r="M342" i="22"/>
  <c r="L342" i="22"/>
  <c r="K342" i="22"/>
  <c r="J342" i="22"/>
  <c r="I342" i="22"/>
  <c r="H342" i="22"/>
  <c r="G342" i="22"/>
  <c r="G344" i="22" s="1"/>
  <c r="G348" i="22" s="1"/>
  <c r="F342" i="22"/>
  <c r="I344" i="22"/>
  <c r="I348" i="22" s="1"/>
  <c r="E343" i="22"/>
  <c r="E342" i="22"/>
  <c r="P333" i="22"/>
  <c r="O333" i="22"/>
  <c r="N333" i="22"/>
  <c r="M333" i="22"/>
  <c r="L333" i="22"/>
  <c r="K333" i="22"/>
  <c r="J333" i="22"/>
  <c r="I333" i="22"/>
  <c r="H333" i="22"/>
  <c r="G333" i="22"/>
  <c r="F333" i="22"/>
  <c r="P332" i="22"/>
  <c r="P334" i="22" s="1"/>
  <c r="P338" i="22" s="1"/>
  <c r="O332" i="22"/>
  <c r="N332" i="22"/>
  <c r="N334" i="22" s="1"/>
  <c r="N338" i="22" s="1"/>
  <c r="M332" i="22"/>
  <c r="L332" i="22"/>
  <c r="K332" i="22"/>
  <c r="J332" i="22"/>
  <c r="I332" i="22"/>
  <c r="H332" i="22"/>
  <c r="G332" i="22"/>
  <c r="F332" i="22"/>
  <c r="Q332" i="22" s="1"/>
  <c r="E333" i="22"/>
  <c r="E332" i="22"/>
  <c r="P292" i="22"/>
  <c r="O292" i="22"/>
  <c r="N292" i="22"/>
  <c r="M292" i="22"/>
  <c r="L292" i="22"/>
  <c r="K292" i="22"/>
  <c r="J292" i="22"/>
  <c r="I292" i="22"/>
  <c r="I293" i="22" s="1"/>
  <c r="I297" i="22" s="1"/>
  <c r="H292" i="22"/>
  <c r="G292" i="22"/>
  <c r="F292" i="22"/>
  <c r="P291" i="22"/>
  <c r="O291" i="22"/>
  <c r="N291" i="22"/>
  <c r="M291" i="22"/>
  <c r="L291" i="22"/>
  <c r="Q291" i="22" s="1"/>
  <c r="K291" i="22"/>
  <c r="J291" i="22"/>
  <c r="I291" i="22"/>
  <c r="H291" i="22"/>
  <c r="G291" i="22"/>
  <c r="F291" i="22"/>
  <c r="M293" i="22"/>
  <c r="M297" i="22" s="1"/>
  <c r="L293" i="22"/>
  <c r="L297" i="22" s="1"/>
  <c r="E292" i="22"/>
  <c r="E291" i="22"/>
  <c r="P282" i="22"/>
  <c r="O282" i="22"/>
  <c r="N282" i="22"/>
  <c r="M282" i="22"/>
  <c r="L282" i="22"/>
  <c r="K282" i="22"/>
  <c r="J282" i="22"/>
  <c r="J283" i="22" s="1"/>
  <c r="J287" i="22" s="1"/>
  <c r="I282" i="22"/>
  <c r="I283" i="22" s="1"/>
  <c r="I287" i="22" s="1"/>
  <c r="H282" i="22"/>
  <c r="H283" i="22" s="1"/>
  <c r="H287" i="22" s="1"/>
  <c r="G282" i="22"/>
  <c r="F282" i="22"/>
  <c r="P281" i="22"/>
  <c r="O281" i="22"/>
  <c r="O283" i="22" s="1"/>
  <c r="O287" i="22" s="1"/>
  <c r="N281" i="22"/>
  <c r="M281" i="22"/>
  <c r="M283" i="22" s="1"/>
  <c r="M287" i="22" s="1"/>
  <c r="L281" i="22"/>
  <c r="Q281" i="22" s="1"/>
  <c r="K281" i="22"/>
  <c r="K283" i="22" s="1"/>
  <c r="K287" i="22" s="1"/>
  <c r="J281" i="22"/>
  <c r="I281" i="22"/>
  <c r="H281" i="22"/>
  <c r="G281" i="22"/>
  <c r="F281" i="22"/>
  <c r="E282" i="22"/>
  <c r="E281" i="22"/>
  <c r="P272" i="22"/>
  <c r="O272" i="22"/>
  <c r="N272" i="22"/>
  <c r="M272" i="22"/>
  <c r="L272" i="22"/>
  <c r="K272" i="22"/>
  <c r="J272" i="22"/>
  <c r="I272" i="22"/>
  <c r="I273" i="22" s="1"/>
  <c r="I277" i="22" s="1"/>
  <c r="H272" i="22"/>
  <c r="G272" i="22"/>
  <c r="G273" i="22" s="1"/>
  <c r="G277" i="22" s="1"/>
  <c r="F272" i="22"/>
  <c r="P271" i="22"/>
  <c r="P273" i="22" s="1"/>
  <c r="P277" i="22" s="1"/>
  <c r="O271" i="22"/>
  <c r="N271" i="22"/>
  <c r="M271" i="22"/>
  <c r="L271" i="22"/>
  <c r="L273" i="22" s="1"/>
  <c r="L277" i="22" s="1"/>
  <c r="K271" i="22"/>
  <c r="J271" i="22"/>
  <c r="J273" i="22" s="1"/>
  <c r="J277" i="22" s="1"/>
  <c r="I271" i="22"/>
  <c r="H271" i="22"/>
  <c r="H273" i="22" s="1"/>
  <c r="H277" i="22" s="1"/>
  <c r="G271" i="22"/>
  <c r="F271" i="22"/>
  <c r="E272" i="22"/>
  <c r="E271" i="22"/>
  <c r="P262" i="22"/>
  <c r="O262" i="22"/>
  <c r="O263" i="22" s="1"/>
  <c r="O267" i="22" s="1"/>
  <c r="N262" i="22"/>
  <c r="M262" i="22"/>
  <c r="M263" i="22" s="1"/>
  <c r="M267" i="22" s="1"/>
  <c r="L262" i="22"/>
  <c r="K262" i="22"/>
  <c r="J262" i="22"/>
  <c r="I262" i="22"/>
  <c r="H262" i="22"/>
  <c r="G262" i="22"/>
  <c r="G263" i="22" s="1"/>
  <c r="G267" i="22" s="1"/>
  <c r="F262" i="22"/>
  <c r="F263" i="22" s="1"/>
  <c r="F267" i="22" s="1"/>
  <c r="P261" i="22"/>
  <c r="O261" i="22"/>
  <c r="N261" i="22"/>
  <c r="M261" i="22"/>
  <c r="L261" i="22"/>
  <c r="L263" i="22" s="1"/>
  <c r="L267" i="22" s="1"/>
  <c r="K261" i="22"/>
  <c r="K263" i="22" s="1"/>
  <c r="K267" i="22" s="1"/>
  <c r="J261" i="22"/>
  <c r="I261" i="22"/>
  <c r="I263" i="22" s="1"/>
  <c r="I267" i="22" s="1"/>
  <c r="H261" i="22"/>
  <c r="H263" i="22" s="1"/>
  <c r="H267" i="22" s="1"/>
  <c r="G261" i="22"/>
  <c r="F261" i="22"/>
  <c r="E262" i="22"/>
  <c r="E261" i="22"/>
  <c r="P252" i="22"/>
  <c r="O252" i="22"/>
  <c r="N252" i="22"/>
  <c r="M252" i="22"/>
  <c r="L252" i="22"/>
  <c r="K252" i="22"/>
  <c r="J252" i="22"/>
  <c r="I252" i="22"/>
  <c r="I253" i="22" s="1"/>
  <c r="I257" i="22" s="1"/>
  <c r="H252" i="22"/>
  <c r="G252" i="22"/>
  <c r="F252" i="22"/>
  <c r="P251" i="22"/>
  <c r="O251" i="22"/>
  <c r="O253" i="22" s="1"/>
  <c r="O257" i="22" s="1"/>
  <c r="N251" i="22"/>
  <c r="M251" i="22"/>
  <c r="L251" i="22"/>
  <c r="L253" i="22" s="1"/>
  <c r="L257" i="22" s="1"/>
  <c r="K251" i="22"/>
  <c r="J251" i="22"/>
  <c r="J253" i="22" s="1"/>
  <c r="J257" i="22" s="1"/>
  <c r="I251" i="22"/>
  <c r="H251" i="22"/>
  <c r="G251" i="22"/>
  <c r="F251" i="22"/>
  <c r="E252" i="22"/>
  <c r="E251" i="22"/>
  <c r="P211" i="22"/>
  <c r="O211" i="22"/>
  <c r="N211" i="22"/>
  <c r="M211" i="22"/>
  <c r="L211" i="22"/>
  <c r="K211" i="22"/>
  <c r="J211" i="22"/>
  <c r="I211" i="22"/>
  <c r="I212" i="22" s="1"/>
  <c r="I216" i="22" s="1"/>
  <c r="H211" i="22"/>
  <c r="G211" i="22"/>
  <c r="F211" i="22"/>
  <c r="P210" i="22"/>
  <c r="O210" i="22"/>
  <c r="N210" i="22"/>
  <c r="M210" i="22"/>
  <c r="L210" i="22"/>
  <c r="L212" i="22" s="1"/>
  <c r="L216" i="22" s="1"/>
  <c r="K210" i="22"/>
  <c r="J210" i="22"/>
  <c r="I210" i="22"/>
  <c r="H210" i="22"/>
  <c r="G210" i="22"/>
  <c r="F210" i="22"/>
  <c r="E211" i="22"/>
  <c r="E210" i="22"/>
  <c r="E212" i="22" s="1"/>
  <c r="E216" i="22" s="1"/>
  <c r="P201" i="22"/>
  <c r="O201" i="22"/>
  <c r="O202" i="22" s="1"/>
  <c r="O206" i="22" s="1"/>
  <c r="N201" i="22"/>
  <c r="M201" i="22"/>
  <c r="L201" i="22"/>
  <c r="K201" i="22"/>
  <c r="J201" i="22"/>
  <c r="I201" i="22"/>
  <c r="I202" i="22" s="1"/>
  <c r="I206" i="22" s="1"/>
  <c r="H201" i="22"/>
  <c r="G201" i="22"/>
  <c r="F201" i="22"/>
  <c r="P200" i="22"/>
  <c r="O200" i="22"/>
  <c r="N200" i="22"/>
  <c r="M200" i="22"/>
  <c r="M202" i="22" s="1"/>
  <c r="M206" i="22" s="1"/>
  <c r="L200" i="22"/>
  <c r="L202" i="22" s="1"/>
  <c r="L206" i="22" s="1"/>
  <c r="K200" i="22"/>
  <c r="K202" i="22" s="1"/>
  <c r="K206" i="22" s="1"/>
  <c r="J200" i="22"/>
  <c r="J202" i="22" s="1"/>
  <c r="J206" i="22" s="1"/>
  <c r="I200" i="22"/>
  <c r="H200" i="22"/>
  <c r="H202" i="22" s="1"/>
  <c r="H206" i="22" s="1"/>
  <c r="G200" i="22"/>
  <c r="F200" i="22"/>
  <c r="E201" i="22"/>
  <c r="E200" i="22"/>
  <c r="P191" i="22"/>
  <c r="O191" i="22"/>
  <c r="N191" i="22"/>
  <c r="M191" i="22"/>
  <c r="L191" i="22"/>
  <c r="K191" i="22"/>
  <c r="J191" i="22"/>
  <c r="I191" i="22"/>
  <c r="I192" i="22" s="1"/>
  <c r="I196" i="22" s="1"/>
  <c r="H191" i="22"/>
  <c r="H192" i="22" s="1"/>
  <c r="H196" i="22" s="1"/>
  <c r="G191" i="22"/>
  <c r="F191" i="22"/>
  <c r="P190" i="22"/>
  <c r="O190" i="22"/>
  <c r="N190" i="22"/>
  <c r="N192" i="22" s="1"/>
  <c r="N196" i="22" s="1"/>
  <c r="M190" i="22"/>
  <c r="L190" i="22"/>
  <c r="L192" i="22" s="1"/>
  <c r="L196" i="22" s="1"/>
  <c r="K190" i="22"/>
  <c r="J190" i="22"/>
  <c r="J192" i="22" s="1"/>
  <c r="J196" i="22" s="1"/>
  <c r="I190" i="22"/>
  <c r="H190" i="22"/>
  <c r="G190" i="22"/>
  <c r="G192" i="22" s="1"/>
  <c r="G196" i="22" s="1"/>
  <c r="F190" i="22"/>
  <c r="Q190" i="22" s="1"/>
  <c r="E191" i="22"/>
  <c r="E192" i="22" s="1"/>
  <c r="E196" i="22" s="1"/>
  <c r="E190" i="22"/>
  <c r="P181" i="22"/>
  <c r="O181" i="22"/>
  <c r="N181" i="22"/>
  <c r="M181" i="22"/>
  <c r="L181" i="22"/>
  <c r="K181" i="22"/>
  <c r="J181" i="22"/>
  <c r="I181" i="22"/>
  <c r="H181" i="22"/>
  <c r="G181" i="22"/>
  <c r="F181" i="22"/>
  <c r="P180" i="22"/>
  <c r="O180" i="22"/>
  <c r="N180" i="22"/>
  <c r="M180" i="22"/>
  <c r="L180" i="22"/>
  <c r="L182" i="22" s="1"/>
  <c r="L186" i="22" s="1"/>
  <c r="K180" i="22"/>
  <c r="J180" i="22"/>
  <c r="I180" i="22"/>
  <c r="I182" i="22" s="1"/>
  <c r="I186" i="22" s="1"/>
  <c r="H180" i="22"/>
  <c r="G180" i="22"/>
  <c r="F180" i="22"/>
  <c r="E181" i="22"/>
  <c r="E180" i="22"/>
  <c r="Q180" i="22" s="1"/>
  <c r="P171" i="22"/>
  <c r="O171" i="22"/>
  <c r="N171" i="22"/>
  <c r="M171" i="22"/>
  <c r="M172" i="22" s="1"/>
  <c r="M176" i="22" s="1"/>
  <c r="L171" i="22"/>
  <c r="K171" i="22"/>
  <c r="J171" i="22"/>
  <c r="I171" i="22"/>
  <c r="I172" i="22" s="1"/>
  <c r="I176" i="22" s="1"/>
  <c r="H171" i="22"/>
  <c r="G171" i="22"/>
  <c r="F171" i="22"/>
  <c r="P170" i="22"/>
  <c r="O170" i="22"/>
  <c r="N170" i="22"/>
  <c r="M170" i="22"/>
  <c r="L170" i="22"/>
  <c r="L172" i="22" s="1"/>
  <c r="L176" i="22" s="1"/>
  <c r="K170" i="22"/>
  <c r="J170" i="22"/>
  <c r="I170" i="22"/>
  <c r="H170" i="22"/>
  <c r="Q170" i="22" s="1"/>
  <c r="F14" i="9" s="1"/>
  <c r="G170" i="22"/>
  <c r="F170" i="22"/>
  <c r="E171" i="22"/>
  <c r="E170" i="22"/>
  <c r="P138" i="22"/>
  <c r="O138" i="22"/>
  <c r="N138" i="22"/>
  <c r="M138" i="22"/>
  <c r="L138" i="22"/>
  <c r="K138" i="22"/>
  <c r="K139" i="22" s="1"/>
  <c r="K143" i="22" s="1"/>
  <c r="J138" i="22"/>
  <c r="I138" i="22"/>
  <c r="H138" i="22"/>
  <c r="G138" i="22"/>
  <c r="F138" i="22"/>
  <c r="P137" i="22"/>
  <c r="O137" i="22"/>
  <c r="N137" i="22"/>
  <c r="M137" i="22"/>
  <c r="L137" i="22"/>
  <c r="K137" i="22"/>
  <c r="J137" i="22"/>
  <c r="I137" i="22"/>
  <c r="H137" i="22"/>
  <c r="G137" i="22"/>
  <c r="F137" i="22"/>
  <c r="Q137" i="22" s="1"/>
  <c r="E138" i="22"/>
  <c r="E137" i="22"/>
  <c r="P128" i="22"/>
  <c r="O128" i="22"/>
  <c r="N128" i="22"/>
  <c r="M128" i="22"/>
  <c r="L128" i="22"/>
  <c r="K128" i="22"/>
  <c r="J128" i="22"/>
  <c r="I128" i="22"/>
  <c r="I129" i="22" s="1"/>
  <c r="H128" i="22"/>
  <c r="G128" i="22"/>
  <c r="F128" i="22"/>
  <c r="P127" i="22"/>
  <c r="O127" i="22"/>
  <c r="O129" i="22" s="1"/>
  <c r="N127" i="22"/>
  <c r="M127" i="22"/>
  <c r="L127" i="22"/>
  <c r="K127" i="22"/>
  <c r="K129" i="22" s="1"/>
  <c r="J127" i="22"/>
  <c r="I127" i="22"/>
  <c r="H127" i="22"/>
  <c r="H129" i="22" s="1"/>
  <c r="G127" i="22"/>
  <c r="F127" i="22"/>
  <c r="E128" i="22"/>
  <c r="E127" i="22"/>
  <c r="P118" i="22"/>
  <c r="O118" i="22"/>
  <c r="N118" i="22"/>
  <c r="M118" i="22"/>
  <c r="L118" i="22"/>
  <c r="K118" i="22"/>
  <c r="J118" i="22"/>
  <c r="I118" i="22"/>
  <c r="I119" i="22" s="1"/>
  <c r="H118" i="22"/>
  <c r="G118" i="22"/>
  <c r="F118" i="22"/>
  <c r="P117" i="22"/>
  <c r="O117" i="22"/>
  <c r="N117" i="22"/>
  <c r="M117" i="22"/>
  <c r="L117" i="22"/>
  <c r="Q117" i="22" s="1"/>
  <c r="K117" i="22"/>
  <c r="J117" i="22"/>
  <c r="I117" i="22"/>
  <c r="H117" i="22"/>
  <c r="G117" i="22"/>
  <c r="F117" i="22"/>
  <c r="E118" i="22"/>
  <c r="E117" i="22"/>
  <c r="P108" i="22"/>
  <c r="P109" i="22" s="1"/>
  <c r="O108" i="22"/>
  <c r="N108" i="22"/>
  <c r="N109" i="22" s="1"/>
  <c r="N113" i="22" s="1"/>
  <c r="M108" i="22"/>
  <c r="L108" i="22"/>
  <c r="K108" i="22"/>
  <c r="J108" i="22"/>
  <c r="I108" i="22"/>
  <c r="H108" i="22"/>
  <c r="H109" i="22" s="1"/>
  <c r="G108" i="22"/>
  <c r="F108" i="22"/>
  <c r="F109" i="22" s="1"/>
  <c r="F113" i="22" s="1"/>
  <c r="P107" i="22"/>
  <c r="O107" i="22"/>
  <c r="N107" i="22"/>
  <c r="M107" i="22"/>
  <c r="L107" i="22"/>
  <c r="L109" i="22" s="1"/>
  <c r="L113" i="22" s="1"/>
  <c r="K107" i="22"/>
  <c r="J107" i="22"/>
  <c r="I107" i="22"/>
  <c r="Q107" i="22" s="1"/>
  <c r="H107" i="22"/>
  <c r="G107" i="22"/>
  <c r="F107" i="22"/>
  <c r="E108" i="22"/>
  <c r="E107" i="22"/>
  <c r="P98" i="22"/>
  <c r="O98" i="22"/>
  <c r="N98" i="22"/>
  <c r="M98" i="22"/>
  <c r="L98" i="22"/>
  <c r="K98" i="22"/>
  <c r="J98" i="22"/>
  <c r="J99" i="22" s="1"/>
  <c r="I98" i="22"/>
  <c r="I99" i="22" s="1"/>
  <c r="H98" i="22"/>
  <c r="G98" i="22"/>
  <c r="F98" i="22"/>
  <c r="P97" i="22"/>
  <c r="O97" i="22"/>
  <c r="N97" i="22"/>
  <c r="M97" i="22"/>
  <c r="M99" i="22" s="1"/>
  <c r="L97" i="22"/>
  <c r="L99" i="22" s="1"/>
  <c r="L103" i="22" s="1"/>
  <c r="K97" i="22"/>
  <c r="J97" i="22"/>
  <c r="I97" i="22"/>
  <c r="H97" i="22"/>
  <c r="G97" i="22"/>
  <c r="F97" i="22"/>
  <c r="E98" i="22"/>
  <c r="E97" i="22"/>
  <c r="P54" i="22"/>
  <c r="O54" i="22"/>
  <c r="N54" i="22"/>
  <c r="M54" i="22"/>
  <c r="L54" i="22"/>
  <c r="K54" i="22"/>
  <c r="J54" i="22"/>
  <c r="I54" i="22"/>
  <c r="H54" i="22"/>
  <c r="G54" i="22"/>
  <c r="F54" i="22"/>
  <c r="P53" i="22"/>
  <c r="O53" i="22"/>
  <c r="N53" i="22"/>
  <c r="M53" i="22"/>
  <c r="L53" i="22"/>
  <c r="L55" i="22" s="1"/>
  <c r="K53" i="22"/>
  <c r="J53" i="22"/>
  <c r="I53" i="22"/>
  <c r="I55" i="22" s="1"/>
  <c r="I59" i="22" s="1"/>
  <c r="H53" i="22"/>
  <c r="G53" i="22"/>
  <c r="F53" i="22"/>
  <c r="E54" i="22"/>
  <c r="E53" i="22"/>
  <c r="P44" i="22"/>
  <c r="O44" i="22"/>
  <c r="N44" i="22"/>
  <c r="M44" i="22"/>
  <c r="L44" i="22"/>
  <c r="K44" i="22"/>
  <c r="J44" i="22"/>
  <c r="I44" i="22"/>
  <c r="H44" i="22"/>
  <c r="G44" i="22"/>
  <c r="F44" i="22"/>
  <c r="P43" i="22"/>
  <c r="O43" i="22"/>
  <c r="N43" i="22"/>
  <c r="N45" i="22" s="1"/>
  <c r="M43" i="22"/>
  <c r="L43" i="22"/>
  <c r="L45" i="22" s="1"/>
  <c r="K43" i="22"/>
  <c r="K45" i="22" s="1"/>
  <c r="J43" i="22"/>
  <c r="I43" i="22"/>
  <c r="H43" i="22"/>
  <c r="G43" i="22"/>
  <c r="F43" i="22"/>
  <c r="F45" i="22" s="1"/>
  <c r="E44" i="22"/>
  <c r="E43" i="22"/>
  <c r="P34" i="22"/>
  <c r="O34" i="22"/>
  <c r="N34" i="22"/>
  <c r="M34" i="22"/>
  <c r="L34" i="22"/>
  <c r="K34" i="22"/>
  <c r="J34" i="22"/>
  <c r="I34" i="22"/>
  <c r="I35" i="22" s="1"/>
  <c r="H34" i="22"/>
  <c r="G34" i="22"/>
  <c r="F34" i="22"/>
  <c r="P33" i="22"/>
  <c r="O33" i="22"/>
  <c r="N33" i="22"/>
  <c r="M33" i="22"/>
  <c r="L33" i="22"/>
  <c r="L35" i="22" s="1"/>
  <c r="K33" i="22"/>
  <c r="J33" i="22"/>
  <c r="I33" i="22"/>
  <c r="H33" i="22"/>
  <c r="G33" i="22"/>
  <c r="F33" i="22"/>
  <c r="E34" i="22"/>
  <c r="E33" i="22"/>
  <c r="E35" i="22" s="1"/>
  <c r="P24" i="22"/>
  <c r="O24" i="22"/>
  <c r="N24" i="22"/>
  <c r="M24" i="22"/>
  <c r="L24" i="22"/>
  <c r="K24" i="22"/>
  <c r="J24" i="22"/>
  <c r="I24" i="22"/>
  <c r="H24" i="22"/>
  <c r="G24" i="22"/>
  <c r="F24" i="22"/>
  <c r="P23" i="22"/>
  <c r="O23" i="22"/>
  <c r="N23" i="22"/>
  <c r="M23" i="22"/>
  <c r="L23" i="22"/>
  <c r="K23" i="22"/>
  <c r="J23" i="22"/>
  <c r="I23" i="22"/>
  <c r="H23" i="22"/>
  <c r="G23" i="22"/>
  <c r="Q23" i="22" s="1"/>
  <c r="F23" i="22"/>
  <c r="E24" i="22"/>
  <c r="E23" i="22"/>
  <c r="P14" i="22"/>
  <c r="O14" i="22"/>
  <c r="N14" i="22"/>
  <c r="M14" i="22"/>
  <c r="L14" i="22"/>
  <c r="K14" i="22"/>
  <c r="J14" i="22"/>
  <c r="J15" i="22" s="1"/>
  <c r="J19" i="22" s="1"/>
  <c r="I14" i="22"/>
  <c r="H14" i="22"/>
  <c r="G14" i="22"/>
  <c r="F14" i="22"/>
  <c r="P13" i="22"/>
  <c r="O13" i="22"/>
  <c r="N13" i="22"/>
  <c r="M13" i="22"/>
  <c r="M15" i="22" s="1"/>
  <c r="M19" i="22" s="1"/>
  <c r="L13" i="22"/>
  <c r="L15" i="22" s="1"/>
  <c r="L19" i="22" s="1"/>
  <c r="K13" i="22"/>
  <c r="J13" i="22"/>
  <c r="I13" i="22"/>
  <c r="H13" i="22"/>
  <c r="G13" i="22"/>
  <c r="F13" i="22"/>
  <c r="E14" i="22"/>
  <c r="E13" i="22"/>
  <c r="C18" i="8"/>
  <c r="E16" i="7" s="1"/>
  <c r="E22" i="7" s="1"/>
  <c r="C17" i="8"/>
  <c r="F369" i="21"/>
  <c r="D48" i="23"/>
  <c r="E48" i="23"/>
  <c r="F48" i="23"/>
  <c r="G48" i="23"/>
  <c r="H48" i="23"/>
  <c r="I48" i="23"/>
  <c r="J48" i="23"/>
  <c r="K48" i="23"/>
  <c r="L48" i="23"/>
  <c r="M48" i="23"/>
  <c r="N48" i="23"/>
  <c r="O48" i="23"/>
  <c r="P48" i="23"/>
  <c r="Q48" i="23"/>
  <c r="C48" i="23"/>
  <c r="B48" i="23"/>
  <c r="D327" i="22"/>
  <c r="E327" i="22" s="1"/>
  <c r="F327" i="22" s="1"/>
  <c r="G327" i="22" s="1"/>
  <c r="H327" i="22" s="1"/>
  <c r="I327" i="22" s="1"/>
  <c r="J327" i="22" s="1"/>
  <c r="K327" i="22" s="1"/>
  <c r="L327" i="22" s="1"/>
  <c r="M327" i="22" s="1"/>
  <c r="N327" i="22" s="1"/>
  <c r="O327" i="22" s="1"/>
  <c r="P327" i="22" s="1"/>
  <c r="Q327" i="22" s="1"/>
  <c r="Q321" i="22"/>
  <c r="O363" i="21"/>
  <c r="N363" i="21"/>
  <c r="M363" i="21"/>
  <c r="L363" i="21"/>
  <c r="K363" i="21"/>
  <c r="J363" i="21"/>
  <c r="I363" i="21"/>
  <c r="H363" i="21"/>
  <c r="G363" i="21"/>
  <c r="F363" i="21"/>
  <c r="E363" i="21"/>
  <c r="D363" i="21"/>
  <c r="D364" i="21" s="1"/>
  <c r="E364" i="21" s="1"/>
  <c r="C335" i="21"/>
  <c r="D335" i="21"/>
  <c r="E335" i="21"/>
  <c r="F335" i="21"/>
  <c r="G335" i="21"/>
  <c r="H335" i="21"/>
  <c r="I335" i="21"/>
  <c r="J335" i="21"/>
  <c r="K335" i="21"/>
  <c r="L335" i="21"/>
  <c r="M335" i="21"/>
  <c r="N335" i="21"/>
  <c r="O335" i="21"/>
  <c r="P335" i="21"/>
  <c r="Q335" i="21"/>
  <c r="Q326" i="21"/>
  <c r="O326" i="20"/>
  <c r="N326" i="20"/>
  <c r="M326" i="20"/>
  <c r="L326" i="20"/>
  <c r="K326" i="20"/>
  <c r="J326" i="20"/>
  <c r="I326" i="20"/>
  <c r="H326" i="20"/>
  <c r="P326" i="20" s="1"/>
  <c r="G326" i="20"/>
  <c r="F326" i="20"/>
  <c r="E326" i="20"/>
  <c r="D326" i="20"/>
  <c r="O325" i="20"/>
  <c r="N325" i="20"/>
  <c r="M325" i="20"/>
  <c r="L325" i="20"/>
  <c r="K325" i="20"/>
  <c r="J325" i="20"/>
  <c r="I325" i="20"/>
  <c r="H325" i="20"/>
  <c r="G325" i="20"/>
  <c r="F325" i="20"/>
  <c r="F327" i="20" s="1"/>
  <c r="E325" i="20"/>
  <c r="D325" i="20"/>
  <c r="O324" i="20"/>
  <c r="N324" i="20"/>
  <c r="M324" i="20"/>
  <c r="L324" i="20"/>
  <c r="K324" i="20"/>
  <c r="J324" i="20"/>
  <c r="I324" i="20"/>
  <c r="H324" i="20"/>
  <c r="G324" i="20"/>
  <c r="F324" i="20"/>
  <c r="E324" i="20"/>
  <c r="D324" i="20"/>
  <c r="O323" i="20"/>
  <c r="N323" i="20"/>
  <c r="M323" i="20"/>
  <c r="L323" i="20"/>
  <c r="K323" i="20"/>
  <c r="J323" i="20"/>
  <c r="I323" i="20"/>
  <c r="H323" i="20"/>
  <c r="G323" i="20"/>
  <c r="F323" i="20"/>
  <c r="E323" i="20"/>
  <c r="D323" i="20"/>
  <c r="P323" i="20" s="1"/>
  <c r="O322" i="20"/>
  <c r="O327" i="20" s="1"/>
  <c r="N322" i="20"/>
  <c r="M322" i="20"/>
  <c r="L322" i="20"/>
  <c r="K322" i="20"/>
  <c r="J322" i="20"/>
  <c r="I322" i="20"/>
  <c r="H322" i="20"/>
  <c r="H327" i="20" s="1"/>
  <c r="G322" i="20"/>
  <c r="F322" i="20"/>
  <c r="E322" i="20"/>
  <c r="D322" i="20"/>
  <c r="O318" i="20"/>
  <c r="N318" i="20"/>
  <c r="M318" i="20"/>
  <c r="L318" i="20"/>
  <c r="K318" i="20"/>
  <c r="J318" i="20"/>
  <c r="I318" i="20"/>
  <c r="H318" i="20"/>
  <c r="G318" i="20"/>
  <c r="F318" i="20"/>
  <c r="F319" i="20" s="1"/>
  <c r="G319" i="20" s="1"/>
  <c r="H319" i="20" s="1"/>
  <c r="I319" i="20" s="1"/>
  <c r="J319" i="20" s="1"/>
  <c r="K319" i="20" s="1"/>
  <c r="L319" i="20" s="1"/>
  <c r="M319" i="20" s="1"/>
  <c r="E318" i="20"/>
  <c r="D318" i="20"/>
  <c r="O309" i="20"/>
  <c r="N309" i="20"/>
  <c r="M309" i="20"/>
  <c r="L309" i="20"/>
  <c r="K309" i="20"/>
  <c r="J309" i="20"/>
  <c r="I309" i="20"/>
  <c r="H309" i="20"/>
  <c r="G309" i="20"/>
  <c r="F309" i="20"/>
  <c r="E309" i="20"/>
  <c r="D309" i="20"/>
  <c r="D310" i="20" s="1"/>
  <c r="E11" i="12"/>
  <c r="B39" i="23"/>
  <c r="C39" i="23"/>
  <c r="D39" i="23"/>
  <c r="E39" i="23"/>
  <c r="F39" i="23"/>
  <c r="G39" i="23"/>
  <c r="H39" i="23"/>
  <c r="I39" i="23"/>
  <c r="J39" i="23"/>
  <c r="K39" i="23"/>
  <c r="L39" i="23"/>
  <c r="M39" i="23"/>
  <c r="N39" i="23"/>
  <c r="O39" i="23"/>
  <c r="P39" i="23"/>
  <c r="Q39" i="23"/>
  <c r="J273" i="21"/>
  <c r="M273" i="21"/>
  <c r="I273" i="21"/>
  <c r="H273" i="21"/>
  <c r="L273" i="21"/>
  <c r="K273" i="21"/>
  <c r="O273" i="21"/>
  <c r="N273" i="21"/>
  <c r="G273" i="21"/>
  <c r="G293" i="22"/>
  <c r="G297" i="22" s="1"/>
  <c r="O273" i="22"/>
  <c r="O277" i="22" s="1"/>
  <c r="J293" i="22"/>
  <c r="J297" i="22" s="1"/>
  <c r="N283" i="22"/>
  <c r="N287" i="22" s="1"/>
  <c r="N263" i="22"/>
  <c r="N267" i="22" s="1"/>
  <c r="C290" i="22"/>
  <c r="C280" i="22"/>
  <c r="C270" i="22"/>
  <c r="C260" i="22"/>
  <c r="C250" i="22"/>
  <c r="O282" i="21"/>
  <c r="N282" i="21"/>
  <c r="M282" i="21"/>
  <c r="L282" i="21"/>
  <c r="K282" i="21"/>
  <c r="J282" i="21"/>
  <c r="I282" i="21"/>
  <c r="H282" i="21"/>
  <c r="G282" i="21"/>
  <c r="F282" i="21"/>
  <c r="E282" i="21"/>
  <c r="D282" i="21"/>
  <c r="O253" i="20"/>
  <c r="N253" i="20"/>
  <c r="M253" i="20"/>
  <c r="L253" i="20"/>
  <c r="K253" i="20"/>
  <c r="J253" i="20"/>
  <c r="I253" i="20"/>
  <c r="H253" i="20"/>
  <c r="G253" i="20"/>
  <c r="F253" i="20"/>
  <c r="E253" i="20"/>
  <c r="D253" i="20"/>
  <c r="O252" i="20"/>
  <c r="N252" i="20"/>
  <c r="M252" i="20"/>
  <c r="L252" i="20"/>
  <c r="K252" i="20"/>
  <c r="J252" i="20"/>
  <c r="I252" i="20"/>
  <c r="H252" i="20"/>
  <c r="G252" i="20"/>
  <c r="F252" i="20"/>
  <c r="E252" i="20"/>
  <c r="D252" i="20"/>
  <c r="O251" i="20"/>
  <c r="N251" i="20"/>
  <c r="M251" i="20"/>
  <c r="L251" i="20"/>
  <c r="K251" i="20"/>
  <c r="J251" i="20"/>
  <c r="I251" i="20"/>
  <c r="H251" i="20"/>
  <c r="G251" i="20"/>
  <c r="F251" i="20"/>
  <c r="E251" i="20"/>
  <c r="D251" i="20"/>
  <c r="O250" i="20"/>
  <c r="N250" i="20"/>
  <c r="M250" i="20"/>
  <c r="L250" i="20"/>
  <c r="K250" i="20"/>
  <c r="K254" i="20"/>
  <c r="J250" i="20"/>
  <c r="I250" i="20"/>
  <c r="H250" i="20"/>
  <c r="G250" i="20"/>
  <c r="F250" i="20"/>
  <c r="E250" i="20"/>
  <c r="D250" i="20"/>
  <c r="O249" i="20"/>
  <c r="O254" i="20"/>
  <c r="N249" i="20"/>
  <c r="M249" i="20"/>
  <c r="L249" i="20"/>
  <c r="K249" i="20"/>
  <c r="J249" i="20"/>
  <c r="I249" i="20"/>
  <c r="H249" i="20"/>
  <c r="G249" i="20"/>
  <c r="F249" i="20"/>
  <c r="E249" i="20"/>
  <c r="D249" i="20"/>
  <c r="O245" i="20"/>
  <c r="N245" i="20"/>
  <c r="M245" i="20"/>
  <c r="L245" i="20"/>
  <c r="K245" i="20"/>
  <c r="J245" i="20"/>
  <c r="I245" i="20"/>
  <c r="H245" i="20"/>
  <c r="G245" i="20"/>
  <c r="F245" i="20"/>
  <c r="E245" i="20"/>
  <c r="D245" i="20"/>
  <c r="O236" i="20"/>
  <c r="N236" i="20"/>
  <c r="M236" i="20"/>
  <c r="L236" i="20"/>
  <c r="K236" i="20"/>
  <c r="J236" i="20"/>
  <c r="I236" i="20"/>
  <c r="H236" i="20"/>
  <c r="G236" i="20"/>
  <c r="F236" i="20"/>
  <c r="E236" i="20"/>
  <c r="D236" i="20"/>
  <c r="Q218" i="20"/>
  <c r="Q291" i="20"/>
  <c r="E18" i="6"/>
  <c r="E20" i="6"/>
  <c r="F18" i="6"/>
  <c r="F20" i="6"/>
  <c r="E17" i="6"/>
  <c r="E16" i="6"/>
  <c r="F17" i="6"/>
  <c r="F16" i="6"/>
  <c r="C209" i="22"/>
  <c r="C199" i="22"/>
  <c r="C189" i="22"/>
  <c r="C179" i="22"/>
  <c r="C169" i="22"/>
  <c r="E20" i="19"/>
  <c r="E22" i="19"/>
  <c r="C16" i="19"/>
  <c r="C18" i="19"/>
  <c r="C20" i="19"/>
  <c r="C22" i="19"/>
  <c r="E201" i="21"/>
  <c r="F201" i="21"/>
  <c r="G201" i="21"/>
  <c r="H201" i="21"/>
  <c r="I201" i="21"/>
  <c r="J201" i="21"/>
  <c r="K201" i="21"/>
  <c r="L201" i="21"/>
  <c r="M201" i="21"/>
  <c r="N201" i="21"/>
  <c r="O201" i="21"/>
  <c r="D201" i="21"/>
  <c r="D39" i="21"/>
  <c r="E39" i="21"/>
  <c r="F39" i="21"/>
  <c r="G39" i="21"/>
  <c r="H39" i="21"/>
  <c r="I39" i="21"/>
  <c r="J39" i="21"/>
  <c r="K39" i="21"/>
  <c r="L39" i="21"/>
  <c r="M39" i="21"/>
  <c r="N39" i="21"/>
  <c r="O39" i="21"/>
  <c r="O180" i="20"/>
  <c r="N180" i="20"/>
  <c r="M180" i="20"/>
  <c r="L180" i="20"/>
  <c r="K180" i="20"/>
  <c r="J180" i="20"/>
  <c r="I180" i="20"/>
  <c r="H180" i="20"/>
  <c r="G180" i="20"/>
  <c r="F180" i="20"/>
  <c r="E180" i="20"/>
  <c r="D180" i="20"/>
  <c r="O179" i="20"/>
  <c r="N179" i="20"/>
  <c r="M179" i="20"/>
  <c r="L179" i="20"/>
  <c r="K179" i="20"/>
  <c r="J179" i="20"/>
  <c r="I179" i="20"/>
  <c r="H179" i="20"/>
  <c r="G179" i="20"/>
  <c r="F179" i="20"/>
  <c r="E179" i="20"/>
  <c r="D179" i="20"/>
  <c r="O178" i="20"/>
  <c r="N178" i="20"/>
  <c r="M178" i="20"/>
  <c r="L178" i="20"/>
  <c r="K178" i="20"/>
  <c r="J178" i="20"/>
  <c r="I178" i="20"/>
  <c r="H178" i="20"/>
  <c r="G178" i="20"/>
  <c r="F178" i="20"/>
  <c r="E178" i="20"/>
  <c r="D178" i="20"/>
  <c r="O177" i="20"/>
  <c r="N177" i="20"/>
  <c r="M177" i="20"/>
  <c r="M181" i="20"/>
  <c r="L177" i="20"/>
  <c r="K177" i="20"/>
  <c r="J177" i="20"/>
  <c r="I177" i="20"/>
  <c r="H177" i="20"/>
  <c r="G177" i="20"/>
  <c r="F177" i="20"/>
  <c r="E177" i="20"/>
  <c r="E181" i="20"/>
  <c r="D177" i="20"/>
  <c r="O176" i="20"/>
  <c r="O181" i="20"/>
  <c r="N176" i="20"/>
  <c r="N181" i="20"/>
  <c r="M176" i="20"/>
  <c r="L176" i="20"/>
  <c r="K176" i="20"/>
  <c r="J176" i="20"/>
  <c r="I176" i="20"/>
  <c r="H176" i="20"/>
  <c r="G176" i="20"/>
  <c r="G181" i="20"/>
  <c r="F176" i="20"/>
  <c r="F181" i="20"/>
  <c r="E176" i="20"/>
  <c r="D176" i="20"/>
  <c r="C47" i="21"/>
  <c r="C46" i="21"/>
  <c r="C45" i="21"/>
  <c r="C44" i="21"/>
  <c r="C43" i="21"/>
  <c r="C40" i="21"/>
  <c r="D40" i="21"/>
  <c r="P38" i="21"/>
  <c r="C119" i="21"/>
  <c r="P119" i="21"/>
  <c r="C200" i="21"/>
  <c r="P37" i="21"/>
  <c r="C118" i="21"/>
  <c r="P118" i="21"/>
  <c r="C199" i="21"/>
  <c r="P36" i="21"/>
  <c r="P35" i="21"/>
  <c r="C116" i="21"/>
  <c r="P116" i="21"/>
  <c r="C197" i="21"/>
  <c r="P34" i="21"/>
  <c r="C115" i="21"/>
  <c r="C31" i="21"/>
  <c r="C22" i="21"/>
  <c r="D11" i="21"/>
  <c r="E11" i="21"/>
  <c r="F11" i="21"/>
  <c r="G11" i="21"/>
  <c r="H11" i="21"/>
  <c r="I11" i="21"/>
  <c r="J11" i="21"/>
  <c r="K11" i="21"/>
  <c r="L11" i="21"/>
  <c r="M11" i="21"/>
  <c r="N11" i="21"/>
  <c r="O11" i="21"/>
  <c r="P11" i="21"/>
  <c r="Q11" i="21"/>
  <c r="D35" i="22"/>
  <c r="D25" i="22"/>
  <c r="D15" i="22"/>
  <c r="D55" i="22"/>
  <c r="E58" i="22"/>
  <c r="D45" i="22"/>
  <c r="E48" i="22"/>
  <c r="E38" i="22"/>
  <c r="E28" i="22"/>
  <c r="E8" i="22"/>
  <c r="F8" i="22"/>
  <c r="G8" i="22"/>
  <c r="H8" i="22"/>
  <c r="I8" i="22"/>
  <c r="J8" i="22"/>
  <c r="K8" i="22"/>
  <c r="L8" i="22"/>
  <c r="M8" i="22"/>
  <c r="N8" i="22"/>
  <c r="O8" i="22"/>
  <c r="P8" i="22"/>
  <c r="Q8" i="22"/>
  <c r="O37" i="20"/>
  <c r="N37" i="20"/>
  <c r="M37" i="20"/>
  <c r="L37" i="20"/>
  <c r="K37" i="20"/>
  <c r="J37" i="20"/>
  <c r="I37" i="20"/>
  <c r="H37" i="20"/>
  <c r="G37" i="20"/>
  <c r="F37" i="20"/>
  <c r="E37" i="20"/>
  <c r="D37" i="20"/>
  <c r="C37" i="20"/>
  <c r="O36" i="20"/>
  <c r="N36" i="20"/>
  <c r="M36" i="20"/>
  <c r="L36" i="20"/>
  <c r="K36" i="20"/>
  <c r="J36" i="20"/>
  <c r="I36" i="20"/>
  <c r="H36" i="20"/>
  <c r="G36" i="20"/>
  <c r="F36" i="20"/>
  <c r="E36" i="20"/>
  <c r="D36" i="20"/>
  <c r="C36" i="20"/>
  <c r="O35" i="20"/>
  <c r="N35" i="20"/>
  <c r="M35" i="20"/>
  <c r="L35" i="20"/>
  <c r="K35" i="20"/>
  <c r="J35" i="20"/>
  <c r="I35" i="20"/>
  <c r="H35" i="20"/>
  <c r="G35" i="20"/>
  <c r="F35" i="20"/>
  <c r="E35" i="20"/>
  <c r="D35" i="20"/>
  <c r="C35" i="20"/>
  <c r="O34" i="20"/>
  <c r="N34" i="20"/>
  <c r="M34" i="20"/>
  <c r="L34" i="20"/>
  <c r="K34" i="20"/>
  <c r="J34" i="20"/>
  <c r="I34" i="20"/>
  <c r="H34" i="20"/>
  <c r="G34" i="20"/>
  <c r="F34" i="20"/>
  <c r="E34" i="20"/>
  <c r="D34" i="20"/>
  <c r="C34" i="20"/>
  <c r="O33" i="20"/>
  <c r="N33" i="20"/>
  <c r="M33" i="20"/>
  <c r="L33" i="20"/>
  <c r="K33" i="20"/>
  <c r="J33" i="20"/>
  <c r="I33" i="20"/>
  <c r="H33" i="20"/>
  <c r="G33" i="20"/>
  <c r="F33" i="20"/>
  <c r="E33" i="20"/>
  <c r="D33" i="20"/>
  <c r="C33" i="20"/>
  <c r="O29" i="20"/>
  <c r="N29" i="20"/>
  <c r="M29" i="20"/>
  <c r="L29" i="20"/>
  <c r="K29" i="20"/>
  <c r="J29" i="20"/>
  <c r="I29" i="20"/>
  <c r="H29" i="20"/>
  <c r="G29" i="20"/>
  <c r="F29" i="20"/>
  <c r="E29" i="20"/>
  <c r="D29" i="20"/>
  <c r="C29" i="20"/>
  <c r="C30" i="20"/>
  <c r="P28" i="20"/>
  <c r="C98" i="20"/>
  <c r="P98" i="20"/>
  <c r="P27" i="20"/>
  <c r="C97" i="20"/>
  <c r="P26" i="20"/>
  <c r="C96" i="20"/>
  <c r="P96" i="20"/>
  <c r="C169" i="20"/>
  <c r="P169" i="20"/>
  <c r="C242" i="20"/>
  <c r="P242" i="20"/>
  <c r="C315" i="20"/>
  <c r="P25" i="20"/>
  <c r="C95" i="20"/>
  <c r="P24" i="20"/>
  <c r="C94" i="20"/>
  <c r="P94" i="20"/>
  <c r="C167" i="20"/>
  <c r="P167" i="20"/>
  <c r="O20" i="20"/>
  <c r="N20" i="20"/>
  <c r="M20" i="20"/>
  <c r="L20" i="20"/>
  <c r="K20" i="20"/>
  <c r="J20" i="20"/>
  <c r="I20" i="20"/>
  <c r="H20" i="20"/>
  <c r="G20" i="20"/>
  <c r="F20" i="20"/>
  <c r="E20" i="20"/>
  <c r="D20" i="20"/>
  <c r="C20" i="20"/>
  <c r="C21" i="20"/>
  <c r="P19" i="20"/>
  <c r="C89" i="20"/>
  <c r="P89" i="20"/>
  <c r="C162" i="20"/>
  <c r="P162" i="20"/>
  <c r="C235" i="20"/>
  <c r="P235" i="20"/>
  <c r="C308" i="20"/>
  <c r="P308" i="20"/>
  <c r="P310" i="20" s="1"/>
  <c r="P18" i="20"/>
  <c r="C88" i="20"/>
  <c r="P88" i="20"/>
  <c r="C161" i="20"/>
  <c r="P161" i="20"/>
  <c r="C234" i="20"/>
  <c r="P234" i="20"/>
  <c r="C307" i="20"/>
  <c r="P307" i="20"/>
  <c r="P17" i="20"/>
  <c r="C87" i="20"/>
  <c r="P16" i="20"/>
  <c r="C86" i="20"/>
  <c r="P15" i="20"/>
  <c r="C85" i="20"/>
  <c r="D10" i="20"/>
  <c r="E10" i="20"/>
  <c r="F10" i="20"/>
  <c r="G10" i="20"/>
  <c r="H10" i="20"/>
  <c r="I10" i="20"/>
  <c r="J10" i="20"/>
  <c r="K10" i="20"/>
  <c r="L10" i="20"/>
  <c r="M10" i="20"/>
  <c r="N10" i="20"/>
  <c r="O10" i="20"/>
  <c r="P10" i="20"/>
  <c r="Q10" i="20"/>
  <c r="N90" i="20"/>
  <c r="O105" i="20"/>
  <c r="O103" i="20"/>
  <c r="M103" i="20"/>
  <c r="D90" i="20"/>
  <c r="D91" i="20"/>
  <c r="E90" i="20"/>
  <c r="E91" i="20"/>
  <c r="F91" i="20"/>
  <c r="G91" i="20"/>
  <c r="H91" i="20"/>
  <c r="I91" i="20"/>
  <c r="J91" i="20"/>
  <c r="F90" i="20"/>
  <c r="G90" i="20"/>
  <c r="H90" i="20"/>
  <c r="I90" i="20"/>
  <c r="J90" i="20"/>
  <c r="K90" i="20"/>
  <c r="D99" i="20"/>
  <c r="D100" i="20"/>
  <c r="E99" i="20"/>
  <c r="F99" i="20"/>
  <c r="G99" i="20"/>
  <c r="H99" i="20"/>
  <c r="I99" i="20"/>
  <c r="J99" i="20"/>
  <c r="K99" i="20"/>
  <c r="D103" i="20"/>
  <c r="D108" i="20"/>
  <c r="D109" i="20"/>
  <c r="E103" i="20"/>
  <c r="F103" i="20"/>
  <c r="G103" i="20"/>
  <c r="H103" i="20"/>
  <c r="I103" i="20"/>
  <c r="J103" i="20"/>
  <c r="K103" i="20"/>
  <c r="O107" i="20"/>
  <c r="N107" i="20"/>
  <c r="M107" i="20"/>
  <c r="L107" i="20"/>
  <c r="K107" i="20"/>
  <c r="J107" i="20"/>
  <c r="I107" i="20"/>
  <c r="P107" i="20"/>
  <c r="C180" i="20"/>
  <c r="H107" i="20"/>
  <c r="G107" i="20"/>
  <c r="F107" i="20"/>
  <c r="E107" i="20"/>
  <c r="D107" i="20"/>
  <c r="O106" i="20"/>
  <c r="N106" i="20"/>
  <c r="N108" i="20"/>
  <c r="M106" i="20"/>
  <c r="L106" i="20"/>
  <c r="K106" i="20"/>
  <c r="J106" i="20"/>
  <c r="I106" i="20"/>
  <c r="H106" i="20"/>
  <c r="G106" i="20"/>
  <c r="F106" i="20"/>
  <c r="E106" i="20"/>
  <c r="D106" i="20"/>
  <c r="K105" i="20"/>
  <c r="J105" i="20"/>
  <c r="I105" i="20"/>
  <c r="H105" i="20"/>
  <c r="G105" i="20"/>
  <c r="G108" i="20"/>
  <c r="F105" i="20"/>
  <c r="F108" i="20"/>
  <c r="E105" i="20"/>
  <c r="D105" i="20"/>
  <c r="O104" i="20"/>
  <c r="N104" i="20"/>
  <c r="M104" i="20"/>
  <c r="L104" i="20"/>
  <c r="K104" i="20"/>
  <c r="J104" i="20"/>
  <c r="J108" i="20"/>
  <c r="I104" i="20"/>
  <c r="H104" i="20"/>
  <c r="G104" i="20"/>
  <c r="F104" i="20"/>
  <c r="E104" i="20"/>
  <c r="D104" i="20"/>
  <c r="O99" i="20"/>
  <c r="N99" i="20"/>
  <c r="M99" i="20"/>
  <c r="L99" i="20"/>
  <c r="D80" i="20"/>
  <c r="E80" i="20"/>
  <c r="F80" i="20"/>
  <c r="G80" i="20"/>
  <c r="H80" i="20"/>
  <c r="I80" i="20"/>
  <c r="J80" i="20"/>
  <c r="K80" i="20"/>
  <c r="L80" i="20"/>
  <c r="M80" i="20"/>
  <c r="N80" i="20"/>
  <c r="O80" i="20"/>
  <c r="P80" i="20"/>
  <c r="Q80" i="20"/>
  <c r="C153" i="20"/>
  <c r="D153" i="20"/>
  <c r="E153" i="20"/>
  <c r="F153" i="20"/>
  <c r="G153" i="20"/>
  <c r="H153" i="20"/>
  <c r="I153" i="20"/>
  <c r="J153" i="20"/>
  <c r="K153" i="20"/>
  <c r="L153" i="20"/>
  <c r="M153" i="20"/>
  <c r="N153" i="20"/>
  <c r="O153" i="20"/>
  <c r="P153" i="20"/>
  <c r="Q153" i="20"/>
  <c r="Q159" i="22"/>
  <c r="Q240" i="22"/>
  <c r="Q164" i="21"/>
  <c r="Q245" i="21"/>
  <c r="J11" i="10"/>
  <c r="K11" i="10"/>
  <c r="L11" i="10"/>
  <c r="M11" i="10"/>
  <c r="N11" i="10"/>
  <c r="O11" i="10"/>
  <c r="P11" i="10"/>
  <c r="Q11" i="10"/>
  <c r="R11" i="10"/>
  <c r="S11" i="10"/>
  <c r="T11" i="10"/>
  <c r="U11" i="10"/>
  <c r="V11" i="10"/>
  <c r="W11" i="10"/>
  <c r="X11" i="10"/>
  <c r="Y11" i="10"/>
  <c r="Z11" i="10"/>
  <c r="AA11" i="10"/>
  <c r="AB11" i="10"/>
  <c r="AC11" i="10"/>
  <c r="AD11" i="10"/>
  <c r="AE11" i="10"/>
  <c r="J11" i="9"/>
  <c r="K11" i="9"/>
  <c r="L11" i="9"/>
  <c r="M11" i="9"/>
  <c r="N11" i="9"/>
  <c r="O11" i="9"/>
  <c r="P11" i="9"/>
  <c r="Q11" i="9"/>
  <c r="R11" i="9"/>
  <c r="S11" i="9"/>
  <c r="T11" i="9"/>
  <c r="U11" i="9"/>
  <c r="V11" i="9"/>
  <c r="W11" i="9"/>
  <c r="X11" i="9"/>
  <c r="Y11" i="9"/>
  <c r="Z11" i="9"/>
  <c r="AA11" i="9"/>
  <c r="AB11" i="9"/>
  <c r="AC11" i="9"/>
  <c r="AD11" i="9"/>
  <c r="AE11" i="9"/>
  <c r="C22" i="7"/>
  <c r="E13" i="12"/>
  <c r="A17" i="31"/>
  <c r="A23" i="5"/>
  <c r="A24" i="5"/>
  <c r="A26" i="5"/>
  <c r="A28" i="5"/>
  <c r="A30" i="5"/>
  <c r="B17" i="23"/>
  <c r="C9" i="23"/>
  <c r="D9" i="23"/>
  <c r="E9" i="23"/>
  <c r="F9" i="23"/>
  <c r="G9" i="23"/>
  <c r="H9" i="23"/>
  <c r="I9" i="23"/>
  <c r="J9" i="23"/>
  <c r="K9" i="23"/>
  <c r="L9" i="23"/>
  <c r="M9" i="23"/>
  <c r="N9" i="23"/>
  <c r="AJ11" i="4"/>
  <c r="E53" i="10"/>
  <c r="E55" i="10"/>
  <c r="E16" i="10"/>
  <c r="F53" i="10"/>
  <c r="F55" i="10"/>
  <c r="G53" i="10"/>
  <c r="G55" i="10"/>
  <c r="H53" i="10"/>
  <c r="H55" i="10"/>
  <c r="I53" i="10"/>
  <c r="I55" i="10"/>
  <c r="D53" i="10"/>
  <c r="D55" i="10"/>
  <c r="D16" i="10"/>
  <c r="E54" i="9"/>
  <c r="E50" i="9"/>
  <c r="F50" i="9"/>
  <c r="G50" i="9"/>
  <c r="E10" i="4"/>
  <c r="F10" i="4"/>
  <c r="G10" i="4"/>
  <c r="O212" i="22"/>
  <c r="O216" i="22" s="1"/>
  <c r="H212" i="22"/>
  <c r="H216" i="22" s="1"/>
  <c r="G212" i="22"/>
  <c r="G216" i="22" s="1"/>
  <c r="N212" i="22"/>
  <c r="N216" i="22" s="1"/>
  <c r="K212" i="22"/>
  <c r="K216" i="22" s="1"/>
  <c r="Q210" i="22"/>
  <c r="F202" i="22"/>
  <c r="F206" i="22" s="1"/>
  <c r="O192" i="22"/>
  <c r="O196" i="22"/>
  <c r="M182" i="22"/>
  <c r="M186" i="22" s="1"/>
  <c r="J182" i="22"/>
  <c r="J186" i="22" s="1"/>
  <c r="P182" i="22"/>
  <c r="P186" i="22" s="1"/>
  <c r="P172" i="22"/>
  <c r="P176" i="22" s="1"/>
  <c r="O172" i="22"/>
  <c r="O176" i="22" s="1"/>
  <c r="G172" i="22"/>
  <c r="G176" i="22" s="1"/>
  <c r="K172" i="22"/>
  <c r="K176" i="22" s="1"/>
  <c r="G139" i="22"/>
  <c r="O139" i="22"/>
  <c r="L139" i="22"/>
  <c r="L143" i="22"/>
  <c r="P129" i="22"/>
  <c r="P133" i="22" s="1"/>
  <c r="F129" i="22"/>
  <c r="M129" i="22"/>
  <c r="N129" i="22"/>
  <c r="D139" i="22"/>
  <c r="D129" i="22"/>
  <c r="D119" i="22"/>
  <c r="M109" i="22"/>
  <c r="M113" i="22"/>
  <c r="E109" i="22"/>
  <c r="D109" i="22"/>
  <c r="K99" i="22"/>
  <c r="H99" i="22"/>
  <c r="D99" i="22"/>
  <c r="E92" i="22"/>
  <c r="F92" i="22"/>
  <c r="G92" i="22"/>
  <c r="H92" i="22"/>
  <c r="I92" i="22"/>
  <c r="J92" i="22"/>
  <c r="K92" i="22"/>
  <c r="L92" i="22"/>
  <c r="M92" i="22"/>
  <c r="N92" i="22"/>
  <c r="O92" i="22"/>
  <c r="P92" i="22"/>
  <c r="Q92" i="22"/>
  <c r="D165" i="22"/>
  <c r="O192" i="21"/>
  <c r="N192" i="21"/>
  <c r="L192" i="21"/>
  <c r="K192" i="21"/>
  <c r="G192" i="21"/>
  <c r="F192" i="21"/>
  <c r="O120" i="21"/>
  <c r="N120" i="21"/>
  <c r="M120" i="21"/>
  <c r="L120" i="21"/>
  <c r="K120" i="21"/>
  <c r="J120" i="21"/>
  <c r="I120" i="21"/>
  <c r="H120" i="21"/>
  <c r="G120" i="21"/>
  <c r="F120" i="21"/>
  <c r="E120" i="21"/>
  <c r="E121" i="21"/>
  <c r="F121" i="21"/>
  <c r="G121" i="21"/>
  <c r="H121" i="21"/>
  <c r="I121" i="21"/>
  <c r="J121" i="21"/>
  <c r="K121" i="21"/>
  <c r="D92" i="21"/>
  <c r="E92" i="21"/>
  <c r="F92" i="21"/>
  <c r="G92" i="21"/>
  <c r="H92" i="21"/>
  <c r="I92" i="21"/>
  <c r="J92" i="21"/>
  <c r="K92" i="21"/>
  <c r="L92" i="21"/>
  <c r="M92" i="21"/>
  <c r="N92" i="21"/>
  <c r="O92" i="21"/>
  <c r="P92" i="21"/>
  <c r="O172" i="20"/>
  <c r="N172" i="20"/>
  <c r="M172" i="20"/>
  <c r="L172" i="20"/>
  <c r="K172" i="20"/>
  <c r="J172" i="20"/>
  <c r="I172" i="20"/>
  <c r="H172" i="20"/>
  <c r="G172" i="20"/>
  <c r="F172" i="20"/>
  <c r="E172" i="20"/>
  <c r="D172" i="20"/>
  <c r="O163" i="20"/>
  <c r="N163" i="20"/>
  <c r="M163" i="20"/>
  <c r="L163" i="20"/>
  <c r="K163" i="20"/>
  <c r="J163" i="20"/>
  <c r="I163" i="20"/>
  <c r="H163" i="20"/>
  <c r="G163" i="20"/>
  <c r="F163" i="20"/>
  <c r="E163" i="20"/>
  <c r="D163" i="20"/>
  <c r="D111" i="21"/>
  <c r="G111" i="21"/>
  <c r="I111" i="21"/>
  <c r="K111" i="21"/>
  <c r="E111" i="21"/>
  <c r="F111" i="21"/>
  <c r="N111" i="21"/>
  <c r="O111" i="21"/>
  <c r="J44" i="4"/>
  <c r="K44" i="4"/>
  <c r="L44" i="4"/>
  <c r="M44" i="4"/>
  <c r="N44" i="4"/>
  <c r="O44" i="4"/>
  <c r="P44" i="4"/>
  <c r="Q44" i="4"/>
  <c r="R44" i="4"/>
  <c r="S44" i="4"/>
  <c r="T44" i="4"/>
  <c r="U44" i="4"/>
  <c r="V44" i="4"/>
  <c r="W44" i="4"/>
  <c r="X44" i="4"/>
  <c r="Y44" i="4"/>
  <c r="Z44" i="4"/>
  <c r="AA44" i="4"/>
  <c r="AB44" i="4"/>
  <c r="AC44" i="4"/>
  <c r="AD44" i="4"/>
  <c r="AE44" i="4"/>
  <c r="J43" i="9"/>
  <c r="K43" i="9"/>
  <c r="L43" i="9"/>
  <c r="M43" i="9"/>
  <c r="N43" i="9"/>
  <c r="O43" i="9"/>
  <c r="P43" i="9"/>
  <c r="Q43" i="9"/>
  <c r="R43" i="9"/>
  <c r="S43" i="9"/>
  <c r="T43" i="9"/>
  <c r="U43" i="9"/>
  <c r="V43" i="9"/>
  <c r="W43" i="9"/>
  <c r="X43" i="9"/>
  <c r="Y43" i="9"/>
  <c r="Z43" i="9"/>
  <c r="AA43" i="9"/>
  <c r="AB43" i="9"/>
  <c r="AC43" i="9"/>
  <c r="AD43" i="9"/>
  <c r="AE43" i="9"/>
  <c r="K8" i="10"/>
  <c r="L8" i="10"/>
  <c r="M8" i="10"/>
  <c r="N8" i="10"/>
  <c r="O8" i="10"/>
  <c r="P8" i="10"/>
  <c r="Q8" i="10"/>
  <c r="R8" i="10"/>
  <c r="S8" i="10"/>
  <c r="T8" i="10"/>
  <c r="U8" i="10"/>
  <c r="V8" i="10"/>
  <c r="W8" i="10"/>
  <c r="X8" i="10"/>
  <c r="Y8" i="10"/>
  <c r="Z8" i="10"/>
  <c r="AA8" i="10"/>
  <c r="AB8" i="10"/>
  <c r="AC8" i="10"/>
  <c r="AD8" i="10"/>
  <c r="AE8" i="10"/>
  <c r="J14" i="10"/>
  <c r="K14" i="10"/>
  <c r="L14" i="10"/>
  <c r="M14" i="10"/>
  <c r="N14" i="10"/>
  <c r="O14" i="10"/>
  <c r="P14" i="10"/>
  <c r="Q14" i="10"/>
  <c r="R14" i="10"/>
  <c r="S14" i="10"/>
  <c r="T14" i="10"/>
  <c r="U14" i="10"/>
  <c r="V14" i="10"/>
  <c r="W14" i="10"/>
  <c r="X14" i="10"/>
  <c r="Y14" i="10"/>
  <c r="Z14" i="10"/>
  <c r="AA14" i="10"/>
  <c r="AB14" i="10"/>
  <c r="AC14" i="10"/>
  <c r="AD14" i="10"/>
  <c r="AE14" i="10"/>
  <c r="A16"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C19" i="10"/>
  <c r="C20" i="10"/>
  <c r="C21" i="10"/>
  <c r="C22" i="10"/>
  <c r="C23" i="10"/>
  <c r="C24" i="10"/>
  <c r="C25" i="10"/>
  <c r="C26" i="10"/>
  <c r="C27" i="10"/>
  <c r="C28" i="10"/>
  <c r="C29" i="10"/>
  <c r="C30" i="10"/>
  <c r="C31" i="10"/>
  <c r="C32" i="10"/>
  <c r="C33" i="10"/>
  <c r="C34" i="10"/>
  <c r="C35" i="10"/>
  <c r="C36" i="10"/>
  <c r="C37" i="10"/>
  <c r="C38" i="10"/>
  <c r="C39" i="10"/>
  <c r="C40" i="10"/>
  <c r="C41" i="10"/>
  <c r="J43" i="10"/>
  <c r="K43" i="10"/>
  <c r="L43" i="10"/>
  <c r="M43" i="10"/>
  <c r="N43" i="10"/>
  <c r="O43" i="10"/>
  <c r="P43" i="10"/>
  <c r="Q43" i="10"/>
  <c r="R43" i="10"/>
  <c r="S43" i="10"/>
  <c r="T43" i="10"/>
  <c r="U43" i="10"/>
  <c r="V43" i="10"/>
  <c r="W43" i="10"/>
  <c r="X43" i="10"/>
  <c r="Y43" i="10"/>
  <c r="Z43" i="10"/>
  <c r="AA43" i="10"/>
  <c r="AB43" i="10"/>
  <c r="AC43" i="10"/>
  <c r="AD43" i="10"/>
  <c r="AE43" i="10"/>
  <c r="J53" i="10"/>
  <c r="K53" i="10"/>
  <c r="L53" i="10"/>
  <c r="M53" i="10"/>
  <c r="N53" i="10"/>
  <c r="O53" i="10"/>
  <c r="P53" i="10"/>
  <c r="Q53" i="10"/>
  <c r="R53" i="10"/>
  <c r="S53" i="10"/>
  <c r="T53" i="10"/>
  <c r="U53" i="10"/>
  <c r="V53" i="10"/>
  <c r="W53" i="10"/>
  <c r="X53" i="10"/>
  <c r="Y53" i="10"/>
  <c r="Z53" i="10"/>
  <c r="AA53" i="10"/>
  <c r="AB53" i="10"/>
  <c r="AC53" i="10"/>
  <c r="AD53" i="10"/>
  <c r="AE53" i="10"/>
  <c r="J8" i="9"/>
  <c r="K8" i="9"/>
  <c r="L8" i="9"/>
  <c r="M8" i="9"/>
  <c r="N8" i="9"/>
  <c r="O8" i="9"/>
  <c r="P8" i="9"/>
  <c r="Q8" i="9"/>
  <c r="R8" i="9"/>
  <c r="S8" i="9"/>
  <c r="T8" i="9"/>
  <c r="U8" i="9"/>
  <c r="V8" i="9"/>
  <c r="W8" i="9"/>
  <c r="X8" i="9"/>
  <c r="Y8" i="9"/>
  <c r="Z8" i="9"/>
  <c r="AA8" i="9"/>
  <c r="AB8" i="9"/>
  <c r="AC8" i="9"/>
  <c r="AD8" i="9"/>
  <c r="AE8" i="9"/>
  <c r="J14" i="9"/>
  <c r="K14" i="9"/>
  <c r="L14" i="9"/>
  <c r="M14" i="9"/>
  <c r="N14" i="9"/>
  <c r="O14" i="9"/>
  <c r="P14" i="9"/>
  <c r="Q14" i="9"/>
  <c r="R14" i="9"/>
  <c r="S14" i="9"/>
  <c r="T14" i="9"/>
  <c r="U14" i="9"/>
  <c r="V14" i="9"/>
  <c r="W14" i="9"/>
  <c r="X14" i="9"/>
  <c r="Y14" i="9"/>
  <c r="Z14" i="9"/>
  <c r="AA14" i="9"/>
  <c r="AB14" i="9"/>
  <c r="AC14" i="9"/>
  <c r="AD14" i="9"/>
  <c r="AE14" i="9"/>
  <c r="A16" i="9"/>
  <c r="A18" i="9"/>
  <c r="A19" i="9"/>
  <c r="A20" i="9"/>
  <c r="A21" i="9"/>
  <c r="A22" i="9"/>
  <c r="A23" i="9"/>
  <c r="A24" i="9"/>
  <c r="A25" i="9"/>
  <c r="A26" i="9"/>
  <c r="A27" i="9"/>
  <c r="A28" i="9"/>
  <c r="A29" i="9"/>
  <c r="A30" i="9"/>
  <c r="A31" i="9"/>
  <c r="A32" i="9"/>
  <c r="A33" i="9"/>
  <c r="A34" i="9"/>
  <c r="A35" i="9"/>
  <c r="A36" i="9"/>
  <c r="A37" i="9"/>
  <c r="A38" i="9"/>
  <c r="A39" i="9"/>
  <c r="A40" i="9"/>
  <c r="A41" i="9"/>
  <c r="A42" i="9"/>
  <c r="A43" i="9"/>
  <c r="C19" i="9"/>
  <c r="C20" i="9"/>
  <c r="C21" i="9"/>
  <c r="C22" i="9"/>
  <c r="C23" i="9"/>
  <c r="C24" i="9"/>
  <c r="C25" i="9"/>
  <c r="C26" i="9"/>
  <c r="C27" i="9"/>
  <c r="C28" i="9"/>
  <c r="C29" i="9"/>
  <c r="C30" i="9"/>
  <c r="C31" i="9"/>
  <c r="C32" i="9"/>
  <c r="C33" i="9"/>
  <c r="C34" i="9"/>
  <c r="C35" i="9"/>
  <c r="C36" i="9"/>
  <c r="C37" i="9"/>
  <c r="C38" i="9"/>
  <c r="C39" i="9"/>
  <c r="C40" i="9"/>
  <c r="C41" i="9"/>
  <c r="D53" i="9"/>
  <c r="D55" i="9"/>
  <c r="D16" i="9"/>
  <c r="J53" i="9"/>
  <c r="K53" i="9"/>
  <c r="L53" i="9"/>
  <c r="M53" i="9"/>
  <c r="N53" i="9"/>
  <c r="O53" i="9"/>
  <c r="P53" i="9"/>
  <c r="Q53" i="9"/>
  <c r="R53" i="9"/>
  <c r="S53" i="9"/>
  <c r="T53" i="9"/>
  <c r="U53" i="9"/>
  <c r="V53" i="9"/>
  <c r="W53" i="9"/>
  <c r="X53" i="9"/>
  <c r="Y53" i="9"/>
  <c r="Z53" i="9"/>
  <c r="AA53" i="9"/>
  <c r="AB53" i="9"/>
  <c r="AC53" i="9"/>
  <c r="AD53" i="9"/>
  <c r="AE53" i="9"/>
  <c r="K9" i="4"/>
  <c r="L9" i="4"/>
  <c r="M9" i="4"/>
  <c r="N9" i="4"/>
  <c r="O9" i="4"/>
  <c r="P9" i="4"/>
  <c r="Q9" i="4"/>
  <c r="R9" i="4"/>
  <c r="S9" i="4"/>
  <c r="T9" i="4"/>
  <c r="U9" i="4"/>
  <c r="V9" i="4"/>
  <c r="W9" i="4"/>
  <c r="X9" i="4"/>
  <c r="Y9" i="4"/>
  <c r="Z9" i="4"/>
  <c r="AA9" i="4"/>
  <c r="AB9" i="4"/>
  <c r="AC9" i="4"/>
  <c r="AD9" i="4"/>
  <c r="AE9" i="4"/>
  <c r="A17" i="4"/>
  <c r="A19" i="4"/>
  <c r="A20" i="4"/>
  <c r="A21" i="4"/>
  <c r="A22" i="4"/>
  <c r="A23" i="4"/>
  <c r="A24" i="4"/>
  <c r="A25" i="4"/>
  <c r="A26" i="4"/>
  <c r="A27" i="4"/>
  <c r="A28" i="4"/>
  <c r="A29" i="4"/>
  <c r="A30" i="4"/>
  <c r="A31" i="4"/>
  <c r="A32" i="4"/>
  <c r="A33" i="4"/>
  <c r="A34" i="4"/>
  <c r="A35" i="4"/>
  <c r="A36" i="4"/>
  <c r="A37" i="4"/>
  <c r="A38" i="4"/>
  <c r="A39" i="4"/>
  <c r="A40" i="4"/>
  <c r="A41" i="4"/>
  <c r="A42" i="4"/>
  <c r="A43" i="4"/>
  <c r="A44" i="4"/>
  <c r="C20" i="4"/>
  <c r="C21" i="4"/>
  <c r="C22" i="4"/>
  <c r="C23" i="4"/>
  <c r="C24" i="4"/>
  <c r="C25" i="4"/>
  <c r="C26" i="4"/>
  <c r="C27" i="4"/>
  <c r="C28" i="4"/>
  <c r="C29" i="4"/>
  <c r="C30" i="4"/>
  <c r="C31" i="4"/>
  <c r="C32" i="4"/>
  <c r="C33" i="4"/>
  <c r="C34" i="4"/>
  <c r="C35" i="4"/>
  <c r="C36" i="4"/>
  <c r="C37" i="4"/>
  <c r="C38" i="4"/>
  <c r="C39" i="4"/>
  <c r="C40" i="4"/>
  <c r="C41" i="4"/>
  <c r="C42" i="4"/>
  <c r="A17" i="6"/>
  <c r="A18" i="6"/>
  <c r="A20" i="6"/>
  <c r="C20" i="6"/>
  <c r="A13" i="5"/>
  <c r="A16" i="7"/>
  <c r="A18" i="7"/>
  <c r="A20" i="7"/>
  <c r="A22" i="7"/>
  <c r="J12" i="4"/>
  <c r="K12" i="4"/>
  <c r="L12" i="4"/>
  <c r="M12" i="4"/>
  <c r="N12" i="4"/>
  <c r="O12" i="4"/>
  <c r="P12" i="4"/>
  <c r="Q12" i="4"/>
  <c r="R12" i="4"/>
  <c r="S12" i="4"/>
  <c r="T12" i="4"/>
  <c r="U12" i="4"/>
  <c r="V12" i="4"/>
  <c r="W12" i="4"/>
  <c r="X12" i="4"/>
  <c r="Y12" i="4"/>
  <c r="Z12" i="4"/>
  <c r="AA12" i="4"/>
  <c r="AB12" i="4"/>
  <c r="AC12" i="4"/>
  <c r="AD12" i="4"/>
  <c r="AE12" i="4"/>
  <c r="N105" i="20"/>
  <c r="M119" i="22"/>
  <c r="L105" i="20"/>
  <c r="L108" i="20"/>
  <c r="L103" i="20"/>
  <c r="L90" i="20"/>
  <c r="O90" i="20"/>
  <c r="N103" i="20"/>
  <c r="M105" i="20"/>
  <c r="M108" i="20"/>
  <c r="M90" i="20"/>
  <c r="D120" i="21"/>
  <c r="E18" i="22"/>
  <c r="F53" i="9"/>
  <c r="F55" i="9"/>
  <c r="E53" i="9"/>
  <c r="E55" i="9"/>
  <c r="E16" i="9"/>
  <c r="H51" i="9"/>
  <c r="H53" i="9"/>
  <c r="H55" i="9"/>
  <c r="I51" i="9"/>
  <c r="I53" i="9"/>
  <c r="I55" i="9"/>
  <c r="G53" i="9"/>
  <c r="G54" i="9"/>
  <c r="G16" i="9"/>
  <c r="G55" i="9"/>
  <c r="H16" i="10"/>
  <c r="H10" i="4"/>
  <c r="H50" i="9"/>
  <c r="I10" i="4"/>
  <c r="I50" i="9"/>
  <c r="B21" i="23"/>
  <c r="C21" i="23"/>
  <c r="D21" i="23"/>
  <c r="E21" i="23"/>
  <c r="F21" i="23"/>
  <c r="G21" i="23"/>
  <c r="H21" i="23"/>
  <c r="I21" i="23"/>
  <c r="J21" i="23"/>
  <c r="K21" i="23"/>
  <c r="L21" i="23"/>
  <c r="M21" i="23"/>
  <c r="N21" i="23"/>
  <c r="O9" i="23"/>
  <c r="P9" i="23"/>
  <c r="Q9" i="23"/>
  <c r="C117" i="21"/>
  <c r="P117" i="21"/>
  <c r="C198" i="21"/>
  <c r="O21" i="23"/>
  <c r="P21" i="23"/>
  <c r="Q21" i="23"/>
  <c r="B30" i="23"/>
  <c r="C30" i="23"/>
  <c r="D30" i="23"/>
  <c r="E30" i="23"/>
  <c r="F30" i="23"/>
  <c r="G30" i="23"/>
  <c r="H30" i="23"/>
  <c r="I30" i="23"/>
  <c r="J30" i="23"/>
  <c r="K30" i="23"/>
  <c r="L30" i="23"/>
  <c r="M30" i="23"/>
  <c r="N30" i="23"/>
  <c r="O30" i="23"/>
  <c r="P30" i="23"/>
  <c r="Q30" i="23"/>
  <c r="K15" i="22"/>
  <c r="K19" i="22" s="1"/>
  <c r="L181" i="20"/>
  <c r="O99" i="22"/>
  <c r="G119" i="22"/>
  <c r="G123" i="22" s="1"/>
  <c r="E15" i="22"/>
  <c r="E16" i="22" s="1"/>
  <c r="O30" i="21"/>
  <c r="L334" i="22"/>
  <c r="L338" i="22" s="1"/>
  <c r="P344" i="22"/>
  <c r="P348" i="22" s="1"/>
  <c r="H344" i="22"/>
  <c r="H348" i="22" s="1"/>
  <c r="P354" i="22"/>
  <c r="P358" i="22" s="1"/>
  <c r="P364" i="22"/>
  <c r="P368" i="22" s="1"/>
  <c r="H364" i="22"/>
  <c r="H368" i="22" s="1"/>
  <c r="F344" i="22"/>
  <c r="F348" i="22" s="1"/>
  <c r="J344" i="22"/>
  <c r="J348" i="22" s="1"/>
  <c r="N354" i="22"/>
  <c r="N358" i="22" s="1"/>
  <c r="J354" i="22"/>
  <c r="J358" i="22" s="1"/>
  <c r="N364" i="22"/>
  <c r="F364" i="22"/>
  <c r="F368" i="22" s="1"/>
  <c r="J364" i="22"/>
  <c r="J368" i="22" s="1"/>
  <c r="F15" i="22"/>
  <c r="E374" i="22"/>
  <c r="E378" i="22" s="1"/>
  <c r="O334" i="22"/>
  <c r="O338" i="22" s="1"/>
  <c r="K334" i="22"/>
  <c r="K338" i="22" s="1"/>
  <c r="O344" i="22"/>
  <c r="O348" i="22" s="1"/>
  <c r="I254" i="20"/>
  <c r="E254" i="20"/>
  <c r="E334" i="22"/>
  <c r="E338" i="22" s="1"/>
  <c r="E354" i="22"/>
  <c r="E358" i="22" s="1"/>
  <c r="I364" i="22"/>
  <c r="I368" i="22" s="1"/>
  <c r="H119" i="22"/>
  <c r="J374" i="22"/>
  <c r="J378" i="22" s="1"/>
  <c r="D45" i="21"/>
  <c r="H181" i="20"/>
  <c r="M273" i="22"/>
  <c r="M277" i="22" s="1"/>
  <c r="D354" i="21"/>
  <c r="H55" i="22"/>
  <c r="H59" i="22" s="1"/>
  <c r="P55" i="22"/>
  <c r="P59" i="22" s="1"/>
  <c r="N254" i="20"/>
  <c r="H354" i="21"/>
  <c r="J334" i="22"/>
  <c r="J338" i="22" s="1"/>
  <c r="H334" i="22"/>
  <c r="H338" i="22" s="1"/>
  <c r="D38" i="20"/>
  <c r="L38" i="20"/>
  <c r="G38" i="20"/>
  <c r="N30" i="21"/>
  <c r="P253" i="22"/>
  <c r="P257" i="22" s="1"/>
  <c r="H253" i="22"/>
  <c r="H257" i="22" s="1"/>
  <c r="P293" i="22"/>
  <c r="P297" i="22" s="1"/>
  <c r="H293" i="22"/>
  <c r="H297" i="22" s="1"/>
  <c r="G334" i="22"/>
  <c r="G338" i="22" s="1"/>
  <c r="H374" i="22"/>
  <c r="H378" i="22" s="1"/>
  <c r="L129" i="22"/>
  <c r="F182" i="22"/>
  <c r="F186" i="22"/>
  <c r="N182" i="22"/>
  <c r="N186" i="22" s="1"/>
  <c r="P192" i="22"/>
  <c r="N38" i="20"/>
  <c r="M55" i="22"/>
  <c r="M59" i="22"/>
  <c r="D181" i="20"/>
  <c r="E354" i="21"/>
  <c r="M354" i="21"/>
  <c r="J354" i="21"/>
  <c r="G354" i="21"/>
  <c r="O354" i="21"/>
  <c r="F354" i="21"/>
  <c r="K354" i="21"/>
  <c r="E25" i="22"/>
  <c r="E26" i="22" s="1"/>
  <c r="H370" i="21"/>
  <c r="I354" i="22"/>
  <c r="I358" i="22" s="1"/>
  <c r="E344" i="22"/>
  <c r="E348" i="22" s="1"/>
  <c r="O293" i="22"/>
  <c r="O297" i="22" s="1"/>
  <c r="G182" i="22"/>
  <c r="G186" i="22" s="1"/>
  <c r="I25" i="22"/>
  <c r="I29" i="22" s="1"/>
  <c r="G55" i="22"/>
  <c r="G59" i="22"/>
  <c r="O55" i="22"/>
  <c r="O59" i="22" s="1"/>
  <c r="F119" i="22"/>
  <c r="F123" i="22" s="1"/>
  <c r="F25" i="22"/>
  <c r="J45" i="22"/>
  <c r="J49" i="22" s="1"/>
  <c r="L119" i="22"/>
  <c r="L123" i="22" s="1"/>
  <c r="K119" i="22"/>
  <c r="P283" i="22"/>
  <c r="P287" i="22" s="1"/>
  <c r="K25" i="22"/>
  <c r="M35" i="22"/>
  <c r="M39" i="22" s="1"/>
  <c r="O45" i="22"/>
  <c r="O49" i="22"/>
  <c r="N55" i="22"/>
  <c r="N59" i="22" s="1"/>
  <c r="J172" i="22"/>
  <c r="J176" i="22" s="1"/>
  <c r="N99" i="22"/>
  <c r="N103" i="22" s="1"/>
  <c r="O15" i="22"/>
  <c r="O19" i="22"/>
  <c r="N25" i="22"/>
  <c r="E253" i="22"/>
  <c r="E257" i="22" s="1"/>
  <c r="H182" i="22"/>
  <c r="H186" i="22" s="1"/>
  <c r="H15" i="22"/>
  <c r="H19" i="22" s="1"/>
  <c r="K273" i="22"/>
  <c r="K277" i="22" s="1"/>
  <c r="G109" i="22"/>
  <c r="G113" i="22"/>
  <c r="P196" i="22"/>
  <c r="E139" i="22"/>
  <c r="E143" i="22" s="1"/>
  <c r="D128" i="21"/>
  <c r="P139" i="22"/>
  <c r="P143" i="22" s="1"/>
  <c r="F172" i="22"/>
  <c r="F176" i="22" s="1"/>
  <c r="G253" i="22"/>
  <c r="G257" i="22" s="1"/>
  <c r="M139" i="22"/>
  <c r="M143" i="22" s="1"/>
  <c r="F212" i="22"/>
  <c r="F216" i="22" s="1"/>
  <c r="G25" i="22"/>
  <c r="F35" i="22"/>
  <c r="F39" i="22"/>
  <c r="P45" i="22"/>
  <c r="P49" i="22" s="1"/>
  <c r="E99" i="22"/>
  <c r="E103" i="22" s="1"/>
  <c r="P25" i="22"/>
  <c r="E293" i="22"/>
  <c r="E297" i="22" s="1"/>
  <c r="E165" i="22"/>
  <c r="F165" i="22" s="1"/>
  <c r="G165" i="22" s="1"/>
  <c r="H165" i="22" s="1"/>
  <c r="I165" i="22" s="1"/>
  <c r="J165" i="22" s="1"/>
  <c r="K165" i="22" s="1"/>
  <c r="L165" i="22" s="1"/>
  <c r="M165" i="22" s="1"/>
  <c r="N165" i="22" s="1"/>
  <c r="O165" i="22" s="1"/>
  <c r="P165" i="22" s="1"/>
  <c r="Q165" i="22" s="1"/>
  <c r="D246" i="22"/>
  <c r="E246" i="22"/>
  <c r="F246" i="22"/>
  <c r="G246" i="22" s="1"/>
  <c r="H246" i="22" s="1"/>
  <c r="I246" i="22" s="1"/>
  <c r="J246" i="22" s="1"/>
  <c r="K246" i="22" s="1"/>
  <c r="L246" i="22" s="1"/>
  <c r="M246" i="22" s="1"/>
  <c r="N246" i="22" s="1"/>
  <c r="O246" i="22" s="1"/>
  <c r="P246" i="22" s="1"/>
  <c r="Q246" i="22" s="1"/>
  <c r="I139" i="22"/>
  <c r="I143" i="22"/>
  <c r="O182" i="22"/>
  <c r="O186" i="22"/>
  <c r="P15" i="22"/>
  <c r="P19" i="22"/>
  <c r="O35" i="22"/>
  <c r="O39" i="22" s="1"/>
  <c r="K182" i="22"/>
  <c r="K186" i="22" s="1"/>
  <c r="M212" i="22"/>
  <c r="M216" i="22" s="1"/>
  <c r="L25" i="22"/>
  <c r="P263" i="22"/>
  <c r="P267" i="22" s="1"/>
  <c r="N139" i="22"/>
  <c r="N143" i="22" s="1"/>
  <c r="H172" i="22"/>
  <c r="H176" i="22" s="1"/>
  <c r="H35" i="22"/>
  <c r="H39" i="22"/>
  <c r="I354" i="21"/>
  <c r="L354" i="21"/>
  <c r="N354" i="21"/>
  <c r="E40" i="21"/>
  <c r="F40" i="21"/>
  <c r="G40" i="21"/>
  <c r="M192" i="21"/>
  <c r="H40" i="21"/>
  <c r="I40" i="21"/>
  <c r="F30" i="21"/>
  <c r="C49" i="21"/>
  <c r="J40" i="21"/>
  <c r="K40" i="21"/>
  <c r="L40" i="21"/>
  <c r="M40" i="21"/>
  <c r="N40" i="21"/>
  <c r="O40" i="21"/>
  <c r="H30" i="21"/>
  <c r="P39" i="21"/>
  <c r="E30" i="21"/>
  <c r="M30" i="21"/>
  <c r="I192" i="21"/>
  <c r="J192" i="21"/>
  <c r="C173" i="21"/>
  <c r="D173" i="21"/>
  <c r="E173" i="21"/>
  <c r="F173" i="21"/>
  <c r="G173" i="21"/>
  <c r="H173" i="21"/>
  <c r="I173" i="21"/>
  <c r="J173" i="21"/>
  <c r="K173" i="21"/>
  <c r="L173" i="21"/>
  <c r="M173" i="21"/>
  <c r="N173" i="21"/>
  <c r="O173" i="21"/>
  <c r="P173" i="21"/>
  <c r="Q92" i="21"/>
  <c r="P115" i="21"/>
  <c r="C121" i="21"/>
  <c r="D121" i="21"/>
  <c r="M111" i="21"/>
  <c r="J30" i="21"/>
  <c r="G30" i="21"/>
  <c r="P97" i="20"/>
  <c r="C170" i="20"/>
  <c r="P170" i="20"/>
  <c r="C243" i="20"/>
  <c r="P243" i="20"/>
  <c r="C316" i="20"/>
  <c r="P316" i="20"/>
  <c r="C106" i="20"/>
  <c r="P99" i="22"/>
  <c r="P103" i="22" s="1"/>
  <c r="H108" i="20"/>
  <c r="E55" i="22"/>
  <c r="E56" i="22" s="1"/>
  <c r="P35" i="22"/>
  <c r="P39" i="22"/>
  <c r="L30" i="21"/>
  <c r="D192" i="21"/>
  <c r="J38" i="20"/>
  <c r="J212" i="22"/>
  <c r="J216" i="22" s="1"/>
  <c r="O119" i="22"/>
  <c r="O123" i="22"/>
  <c r="K109" i="22"/>
  <c r="K113" i="22" s="1"/>
  <c r="P119" i="22"/>
  <c r="P123" i="22"/>
  <c r="F192" i="22"/>
  <c r="F196" i="22"/>
  <c r="M38" i="20"/>
  <c r="K38" i="20"/>
  <c r="P36" i="20"/>
  <c r="J35" i="22"/>
  <c r="J39" i="22"/>
  <c r="F55" i="22"/>
  <c r="F59" i="22"/>
  <c r="E192" i="21"/>
  <c r="M25" i="22"/>
  <c r="M29" i="22"/>
  <c r="N35" i="22"/>
  <c r="N39" i="22"/>
  <c r="H45" i="22"/>
  <c r="K181" i="20"/>
  <c r="M254" i="20"/>
  <c r="G99" i="22"/>
  <c r="O38" i="20"/>
  <c r="F254" i="20"/>
  <c r="J254" i="20"/>
  <c r="M253" i="22"/>
  <c r="M257" i="22" s="1"/>
  <c r="E263" i="22"/>
  <c r="E267" i="22" s="1"/>
  <c r="L111" i="21"/>
  <c r="F99" i="22"/>
  <c r="F103" i="22"/>
  <c r="G15" i="22"/>
  <c r="G19" i="22" s="1"/>
  <c r="E283" i="22"/>
  <c r="E287" i="22" s="1"/>
  <c r="P95" i="20"/>
  <c r="C168" i="20"/>
  <c r="C100" i="20"/>
  <c r="P87" i="20"/>
  <c r="C160" i="20"/>
  <c r="P160" i="20"/>
  <c r="C233" i="20"/>
  <c r="P233" i="20"/>
  <c r="C306" i="20"/>
  <c r="P306" i="20"/>
  <c r="C105" i="20"/>
  <c r="K30" i="21"/>
  <c r="K253" i="22"/>
  <c r="K257" i="22" s="1"/>
  <c r="O109" i="22"/>
  <c r="O113" i="22"/>
  <c r="O108" i="20"/>
  <c r="P33" i="20"/>
  <c r="E38" i="20"/>
  <c r="H38" i="20"/>
  <c r="P27" i="21"/>
  <c r="C108" i="21" s="1"/>
  <c r="P108" i="21" s="1"/>
  <c r="C189" i="21" s="1"/>
  <c r="P189" i="21" s="1"/>
  <c r="C270" i="21" s="1"/>
  <c r="P270" i="21" s="1"/>
  <c r="C351" i="21" s="1"/>
  <c r="P351" i="21" s="1"/>
  <c r="P28" i="21"/>
  <c r="C109" i="21" s="1"/>
  <c r="P109" i="21" s="1"/>
  <c r="C190" i="21" s="1"/>
  <c r="P190" i="21" s="1"/>
  <c r="C271" i="21" s="1"/>
  <c r="P271" i="21" s="1"/>
  <c r="C352" i="21" s="1"/>
  <c r="P352" i="21" s="1"/>
  <c r="J129" i="22"/>
  <c r="N172" i="22"/>
  <c r="N176" i="22" s="1"/>
  <c r="P202" i="22"/>
  <c r="P206" i="22" s="1"/>
  <c r="K293" i="22"/>
  <c r="K297" i="22" s="1"/>
  <c r="P21" i="20"/>
  <c r="N119" i="22"/>
  <c r="N123" i="22" s="1"/>
  <c r="O25" i="22"/>
  <c r="O29" i="22"/>
  <c r="K35" i="22"/>
  <c r="K39" i="22"/>
  <c r="E273" i="22"/>
  <c r="E277" i="22" s="1"/>
  <c r="H192" i="21"/>
  <c r="G129" i="22"/>
  <c r="N202" i="22"/>
  <c r="N206" i="22"/>
  <c r="N15" i="22"/>
  <c r="N19" i="22" s="1"/>
  <c r="I45" i="22"/>
  <c r="I49" i="22" s="1"/>
  <c r="M45" i="22"/>
  <c r="M49" i="22" s="1"/>
  <c r="J55" i="22"/>
  <c r="J59" i="22"/>
  <c r="D273" i="21"/>
  <c r="C107" i="20"/>
  <c r="P30" i="20"/>
  <c r="P212" i="22"/>
  <c r="P216" i="22" s="1"/>
  <c r="G45" i="22"/>
  <c r="J111" i="21"/>
  <c r="J109" i="22"/>
  <c r="M192" i="22"/>
  <c r="M196" i="22"/>
  <c r="J25" i="22"/>
  <c r="I30" i="21"/>
  <c r="I181" i="20"/>
  <c r="C103" i="20"/>
  <c r="P85" i="20"/>
  <c r="C91" i="20"/>
  <c r="H139" i="22"/>
  <c r="E172" i="22"/>
  <c r="E176" i="22" s="1"/>
  <c r="K192" i="22"/>
  <c r="K196" i="22"/>
  <c r="C171" i="20"/>
  <c r="P171" i="20"/>
  <c r="C244" i="20"/>
  <c r="P244" i="20"/>
  <c r="P26" i="21"/>
  <c r="C107" i="21"/>
  <c r="P107" i="21" s="1"/>
  <c r="C188" i="21" s="1"/>
  <c r="P188" i="21" s="1"/>
  <c r="C269" i="21" s="1"/>
  <c r="P269" i="21" s="1"/>
  <c r="C350" i="21" s="1"/>
  <c r="P350" i="21" s="1"/>
  <c r="D30" i="21"/>
  <c r="D31" i="21" s="1"/>
  <c r="C226" i="20"/>
  <c r="D226" i="20"/>
  <c r="E226" i="20"/>
  <c r="F226" i="20"/>
  <c r="G226" i="20"/>
  <c r="H226" i="20"/>
  <c r="I226" i="20"/>
  <c r="J226" i="20"/>
  <c r="K226" i="20"/>
  <c r="L226" i="20"/>
  <c r="M226" i="20"/>
  <c r="N226" i="20"/>
  <c r="O226" i="20"/>
  <c r="P226" i="20"/>
  <c r="I15" i="22"/>
  <c r="I19" i="22" s="1"/>
  <c r="H25" i="22"/>
  <c r="G35" i="22"/>
  <c r="G39" i="22" s="1"/>
  <c r="Q33" i="22"/>
  <c r="P29" i="21"/>
  <c r="C110" i="21"/>
  <c r="P110" i="21" s="1"/>
  <c r="C191" i="21" s="1"/>
  <c r="P191" i="21" s="1"/>
  <c r="C272" i="21" s="1"/>
  <c r="P272" i="21" s="1"/>
  <c r="C353" i="21" s="1"/>
  <c r="P353" i="21" s="1"/>
  <c r="P35" i="20"/>
  <c r="C38" i="20"/>
  <c r="C39" i="20"/>
  <c r="C104" i="20"/>
  <c r="P86" i="20"/>
  <c r="C159" i="20"/>
  <c r="P159" i="20"/>
  <c r="C232" i="20"/>
  <c r="P232" i="20"/>
  <c r="C305" i="20"/>
  <c r="P305" i="20"/>
  <c r="D30" i="20"/>
  <c r="E30" i="20"/>
  <c r="F30" i="20"/>
  <c r="G30" i="20"/>
  <c r="H30" i="20"/>
  <c r="I30" i="20"/>
  <c r="J30" i="20"/>
  <c r="K30" i="20"/>
  <c r="L30" i="20"/>
  <c r="M30" i="20"/>
  <c r="N30" i="20"/>
  <c r="O30" i="20"/>
  <c r="K55" i="22"/>
  <c r="G283" i="22"/>
  <c r="G287" i="22" s="1"/>
  <c r="P37" i="20"/>
  <c r="I38" i="20"/>
  <c r="P34" i="20"/>
  <c r="F38" i="20"/>
  <c r="G202" i="22"/>
  <c r="G206" i="22" s="1"/>
  <c r="D21" i="20"/>
  <c r="P25" i="21"/>
  <c r="C106" i="21" s="1"/>
  <c r="G254" i="20"/>
  <c r="E19" i="22"/>
  <c r="E20" i="22" s="1"/>
  <c r="D43" i="21"/>
  <c r="F19" i="22"/>
  <c r="Q226" i="20"/>
  <c r="C299" i="20"/>
  <c r="D299" i="20"/>
  <c r="E299" i="20"/>
  <c r="F299" i="20"/>
  <c r="G299" i="20"/>
  <c r="H299" i="20"/>
  <c r="I299" i="20"/>
  <c r="J299" i="20"/>
  <c r="K299" i="20"/>
  <c r="L299" i="20"/>
  <c r="M299" i="20"/>
  <c r="N299" i="20"/>
  <c r="O299" i="20"/>
  <c r="P299" i="20"/>
  <c r="Q299" i="20"/>
  <c r="E45" i="21"/>
  <c r="E43" i="21"/>
  <c r="D28" i="10"/>
  <c r="P120" i="21"/>
  <c r="C196" i="21"/>
  <c r="Q173" i="21"/>
  <c r="C254" i="21"/>
  <c r="D254" i="21"/>
  <c r="E254" i="21"/>
  <c r="F254" i="21"/>
  <c r="G254" i="21"/>
  <c r="H254" i="21"/>
  <c r="I254" i="21"/>
  <c r="J254" i="21"/>
  <c r="K254" i="21"/>
  <c r="L254" i="21"/>
  <c r="M254" i="21"/>
  <c r="N254" i="21"/>
  <c r="O254" i="21"/>
  <c r="P254" i="21"/>
  <c r="Q254" i="21"/>
  <c r="D47" i="21"/>
  <c r="D22" i="9"/>
  <c r="F43" i="21"/>
  <c r="D46" i="21"/>
  <c r="P100" i="20"/>
  <c r="G49" i="22"/>
  <c r="C109" i="20"/>
  <c r="Q30" i="20"/>
  <c r="P39" i="20"/>
  <c r="K59" i="22"/>
  <c r="D39" i="20"/>
  <c r="E39" i="20"/>
  <c r="F39" i="20"/>
  <c r="E21" i="20"/>
  <c r="F21" i="20"/>
  <c r="G21" i="20"/>
  <c r="H21" i="20"/>
  <c r="I21" i="20"/>
  <c r="J21" i="20"/>
  <c r="K21" i="20"/>
  <c r="L21" i="20"/>
  <c r="M21" i="20"/>
  <c r="N21" i="20"/>
  <c r="O21" i="20"/>
  <c r="D25" i="10"/>
  <c r="D29" i="10"/>
  <c r="D19" i="10"/>
  <c r="D20" i="10"/>
  <c r="D18" i="10"/>
  <c r="D36" i="10"/>
  <c r="D23" i="10"/>
  <c r="D28" i="9"/>
  <c r="D37" i="9"/>
  <c r="D21" i="9"/>
  <c r="D31" i="9"/>
  <c r="D27" i="9"/>
  <c r="D32" i="9"/>
  <c r="P196" i="21"/>
  <c r="C277" i="21"/>
  <c r="E47" i="21"/>
  <c r="F46" i="21"/>
  <c r="D29" i="9"/>
  <c r="D23" i="9"/>
  <c r="G43" i="21"/>
  <c r="G39" i="20"/>
  <c r="H39" i="20"/>
  <c r="I39" i="20"/>
  <c r="J39" i="20"/>
  <c r="K39" i="20"/>
  <c r="L39" i="20"/>
  <c r="M39" i="20"/>
  <c r="N39" i="20"/>
  <c r="O39" i="20"/>
  <c r="E44" i="21"/>
  <c r="D44" i="21"/>
  <c r="D21" i="21"/>
  <c r="D22" i="21"/>
  <c r="Q21" i="20"/>
  <c r="G45" i="21"/>
  <c r="Q39" i="20"/>
  <c r="G46" i="21"/>
  <c r="F47" i="21"/>
  <c r="H43" i="21"/>
  <c r="F45" i="21"/>
  <c r="H46" i="21"/>
  <c r="G47" i="21"/>
  <c r="I43" i="21"/>
  <c r="E46" i="21"/>
  <c r="E21" i="21"/>
  <c r="I45" i="21"/>
  <c r="F44" i="21"/>
  <c r="F21" i="21"/>
  <c r="H47" i="21"/>
  <c r="I46" i="21"/>
  <c r="J43" i="21"/>
  <c r="H45" i="21"/>
  <c r="G44" i="21"/>
  <c r="G21" i="21"/>
  <c r="I47" i="21"/>
  <c r="K43" i="21"/>
  <c r="J46" i="21"/>
  <c r="H44" i="21"/>
  <c r="H21" i="21"/>
  <c r="K45" i="21"/>
  <c r="J47" i="21"/>
  <c r="K46" i="21"/>
  <c r="L43" i="21"/>
  <c r="J45" i="21"/>
  <c r="I44" i="21"/>
  <c r="I21" i="21"/>
  <c r="K47" i="21"/>
  <c r="M43" i="21"/>
  <c r="L45" i="21"/>
  <c r="M45" i="21"/>
  <c r="J44" i="21"/>
  <c r="J21" i="21"/>
  <c r="L47" i="21"/>
  <c r="M46" i="21"/>
  <c r="N43" i="21"/>
  <c r="K44" i="21"/>
  <c r="K21" i="21"/>
  <c r="N45" i="21"/>
  <c r="M47" i="21"/>
  <c r="L46" i="21"/>
  <c r="L44" i="21"/>
  <c r="L21" i="21"/>
  <c r="O46" i="21"/>
  <c r="M44" i="21"/>
  <c r="M21" i="21"/>
  <c r="O47" i="21"/>
  <c r="N21" i="21"/>
  <c r="N46" i="21"/>
  <c r="P19" i="21"/>
  <c r="C100" i="21"/>
  <c r="P100" i="21" s="1"/>
  <c r="C181" i="21" s="1"/>
  <c r="O43" i="21"/>
  <c r="P16" i="21"/>
  <c r="C97" i="21"/>
  <c r="P97" i="21" s="1"/>
  <c r="N44" i="21"/>
  <c r="O45" i="21"/>
  <c r="P18" i="21"/>
  <c r="C99" i="21"/>
  <c r="P99" i="21" s="1"/>
  <c r="C180" i="21" s="1"/>
  <c r="N47" i="21"/>
  <c r="P20" i="21"/>
  <c r="C101" i="21"/>
  <c r="P101" i="21" s="1"/>
  <c r="C182" i="21" s="1"/>
  <c r="O44" i="21"/>
  <c r="O21" i="21"/>
  <c r="P17" i="21"/>
  <c r="C98" i="21"/>
  <c r="P98" i="21" s="1"/>
  <c r="C179" i="21" s="1"/>
  <c r="I16" i="10"/>
  <c r="G16" i="10"/>
  <c r="F54" i="9"/>
  <c r="F16" i="10"/>
  <c r="J181" i="20"/>
  <c r="P180" i="20"/>
  <c r="C253" i="20"/>
  <c r="P168" i="20"/>
  <c r="C241" i="20"/>
  <c r="P241" i="20"/>
  <c r="C314" i="20"/>
  <c r="P314" i="20"/>
  <c r="C173" i="20"/>
  <c r="C317" i="20"/>
  <c r="P317" i="20"/>
  <c r="E100" i="20"/>
  <c r="F100" i="20"/>
  <c r="G100" i="20"/>
  <c r="H100" i="20"/>
  <c r="I100" i="20"/>
  <c r="J100" i="20"/>
  <c r="K100" i="20"/>
  <c r="L100" i="20"/>
  <c r="M100" i="20"/>
  <c r="C240" i="20"/>
  <c r="H111" i="21"/>
  <c r="J119" i="22"/>
  <c r="J123" i="22"/>
  <c r="G103" i="22"/>
  <c r="P106" i="20"/>
  <c r="C179" i="20"/>
  <c r="P179" i="20"/>
  <c r="C252" i="20"/>
  <c r="E108" i="20"/>
  <c r="E109" i="20"/>
  <c r="F109" i="20"/>
  <c r="G109" i="20"/>
  <c r="H109" i="20"/>
  <c r="P91" i="20"/>
  <c r="C158" i="20"/>
  <c r="H123" i="22"/>
  <c r="P103" i="20"/>
  <c r="E119" i="22"/>
  <c r="E123" i="22" s="1"/>
  <c r="K123" i="22"/>
  <c r="J113" i="22"/>
  <c r="I108" i="20"/>
  <c r="P104" i="20"/>
  <c r="C177" i="20"/>
  <c r="P177" i="20"/>
  <c r="C250" i="20"/>
  <c r="P105" i="20"/>
  <c r="C178" i="20"/>
  <c r="P178" i="20"/>
  <c r="C251" i="20"/>
  <c r="P251" i="20"/>
  <c r="C324" i="20"/>
  <c r="H143" i="22"/>
  <c r="M123" i="22"/>
  <c r="H103" i="22"/>
  <c r="F128" i="21"/>
  <c r="E129" i="22"/>
  <c r="E133" i="22" s="1"/>
  <c r="Q127" i="22"/>
  <c r="J139" i="22"/>
  <c r="J143" i="22" s="1"/>
  <c r="K108" i="20"/>
  <c r="K91" i="20"/>
  <c r="L91" i="20"/>
  <c r="M91" i="20"/>
  <c r="N91" i="20"/>
  <c r="O91" i="20"/>
  <c r="P277" i="21"/>
  <c r="C358" i="21"/>
  <c r="P200" i="21"/>
  <c r="C281" i="21"/>
  <c r="P197" i="21"/>
  <c r="C202" i="21"/>
  <c r="D202" i="21"/>
  <c r="E202" i="21"/>
  <c r="F202" i="21"/>
  <c r="G202" i="21"/>
  <c r="H202" i="21"/>
  <c r="I202" i="21"/>
  <c r="J202" i="21"/>
  <c r="K202" i="21"/>
  <c r="L202" i="21"/>
  <c r="M202" i="21"/>
  <c r="N202" i="21"/>
  <c r="O202" i="21"/>
  <c r="P199" i="21"/>
  <c r="C280" i="21"/>
  <c r="P198" i="21"/>
  <c r="C279" i="21"/>
  <c r="L121" i="21"/>
  <c r="M121" i="21"/>
  <c r="N121" i="21"/>
  <c r="O121" i="21"/>
  <c r="P358" i="21"/>
  <c r="AG22" i="9" s="1"/>
  <c r="P315" i="20"/>
  <c r="F273" i="21"/>
  <c r="L254" i="20"/>
  <c r="P253" i="20"/>
  <c r="C326" i="20"/>
  <c r="N253" i="22"/>
  <c r="N257" i="22" s="1"/>
  <c r="F253" i="22"/>
  <c r="F257" i="22" s="1"/>
  <c r="J263" i="22"/>
  <c r="J267" i="22" s="1"/>
  <c r="N273" i="22"/>
  <c r="N277" i="22" s="1"/>
  <c r="N293" i="22"/>
  <c r="N297" i="22" s="1"/>
  <c r="E273" i="21"/>
  <c r="D254" i="20"/>
  <c r="F273" i="22"/>
  <c r="F277" i="22" s="1"/>
  <c r="F293" i="22"/>
  <c r="F297" i="22" s="1"/>
  <c r="H254" i="20"/>
  <c r="P250" i="20"/>
  <c r="C323" i="20"/>
  <c r="P252" i="20"/>
  <c r="C325" i="20"/>
  <c r="F283" i="22"/>
  <c r="F287" i="22" s="1"/>
  <c r="I31" i="10"/>
  <c r="I24" i="10"/>
  <c r="I22" i="10"/>
  <c r="I32" i="10"/>
  <c r="I34" i="10"/>
  <c r="I42" i="10"/>
  <c r="I38" i="10"/>
  <c r="I33" i="10"/>
  <c r="I37" i="10"/>
  <c r="I39" i="10"/>
  <c r="I25" i="10"/>
  <c r="I30" i="10"/>
  <c r="I26" i="10"/>
  <c r="I41" i="10"/>
  <c r="I23" i="10"/>
  <c r="I40" i="10"/>
  <c r="I36" i="10"/>
  <c r="I35" i="10"/>
  <c r="I28" i="10"/>
  <c r="I29" i="10"/>
  <c r="I27" i="10"/>
  <c r="F16" i="9"/>
  <c r="P173" i="20"/>
  <c r="N100" i="20"/>
  <c r="O100" i="20"/>
  <c r="D173" i="20"/>
  <c r="E173" i="20"/>
  <c r="F173" i="20"/>
  <c r="G173" i="20"/>
  <c r="H173" i="20"/>
  <c r="I173" i="20"/>
  <c r="J173" i="20"/>
  <c r="K173" i="20"/>
  <c r="L173" i="20"/>
  <c r="M173" i="20"/>
  <c r="N173" i="20"/>
  <c r="O173" i="20"/>
  <c r="C246" i="20"/>
  <c r="D246" i="20"/>
  <c r="E246" i="20"/>
  <c r="F246" i="20"/>
  <c r="G246" i="20"/>
  <c r="H246" i="20"/>
  <c r="I246" i="20"/>
  <c r="J246" i="20"/>
  <c r="K246" i="20"/>
  <c r="L246" i="20"/>
  <c r="M246" i="20"/>
  <c r="N246" i="20"/>
  <c r="O246" i="20"/>
  <c r="P240" i="20"/>
  <c r="E29" i="9"/>
  <c r="E19" i="9"/>
  <c r="E23" i="9"/>
  <c r="E20" i="9"/>
  <c r="E24" i="9"/>
  <c r="E28" i="9"/>
  <c r="E37" i="9"/>
  <c r="E33" i="9"/>
  <c r="E22" i="9"/>
  <c r="E35" i="9"/>
  <c r="E34" i="9"/>
  <c r="E38" i="9"/>
  <c r="E26" i="9"/>
  <c r="E21" i="9"/>
  <c r="E32" i="9"/>
  <c r="E43" i="9" s="1"/>
  <c r="E36" i="9"/>
  <c r="E31" i="9"/>
  <c r="E30" i="9"/>
  <c r="E27" i="9"/>
  <c r="E25" i="9"/>
  <c r="E39" i="9"/>
  <c r="C176" i="20"/>
  <c r="P109" i="20"/>
  <c r="I109" i="20"/>
  <c r="J109" i="20"/>
  <c r="K109" i="20"/>
  <c r="L109" i="20"/>
  <c r="M109" i="20"/>
  <c r="N109" i="20"/>
  <c r="O109" i="20"/>
  <c r="D124" i="21"/>
  <c r="C164" i="20"/>
  <c r="P158" i="20"/>
  <c r="E124" i="21"/>
  <c r="Q91" i="20"/>
  <c r="P201" i="21"/>
  <c r="C278" i="21"/>
  <c r="P280" i="21"/>
  <c r="C361" i="21"/>
  <c r="P361" i="21"/>
  <c r="P281" i="21"/>
  <c r="C362" i="21"/>
  <c r="P362" i="21"/>
  <c r="P363" i="21" s="1"/>
  <c r="P279" i="21"/>
  <c r="Q246" i="20"/>
  <c r="I43" i="10"/>
  <c r="C313" i="20"/>
  <c r="P246" i="20"/>
  <c r="Q173" i="20"/>
  <c r="Q100" i="20"/>
  <c r="E128" i="21"/>
  <c r="E126" i="21"/>
  <c r="E127" i="21"/>
  <c r="Q164" i="20"/>
  <c r="D164" i="20"/>
  <c r="E164" i="20"/>
  <c r="F164" i="20"/>
  <c r="G164" i="20"/>
  <c r="H164" i="20"/>
  <c r="I164" i="20"/>
  <c r="J164" i="20"/>
  <c r="K164" i="20"/>
  <c r="L164" i="20"/>
  <c r="M164" i="20"/>
  <c r="N164" i="20"/>
  <c r="O164" i="20"/>
  <c r="D125" i="21"/>
  <c r="C182" i="20"/>
  <c r="P176" i="20"/>
  <c r="E34" i="10"/>
  <c r="E25" i="10"/>
  <c r="E35" i="10"/>
  <c r="E30" i="10"/>
  <c r="E37" i="10"/>
  <c r="E19" i="10"/>
  <c r="AF19" i="10" s="1"/>
  <c r="E33" i="10"/>
  <c r="E29" i="10"/>
  <c r="E38" i="10"/>
  <c r="E36" i="10"/>
  <c r="E28" i="10"/>
  <c r="E27" i="10"/>
  <c r="E24" i="10"/>
  <c r="E21" i="10"/>
  <c r="E43" i="10" s="1"/>
  <c r="E20" i="10"/>
  <c r="E32" i="10"/>
  <c r="E26" i="10"/>
  <c r="E31" i="10"/>
  <c r="E23" i="10"/>
  <c r="E39" i="10"/>
  <c r="E22" i="10"/>
  <c r="F124" i="21"/>
  <c r="P164" i="20"/>
  <c r="C231" i="20"/>
  <c r="Q109" i="20"/>
  <c r="P278" i="21"/>
  <c r="C283" i="21"/>
  <c r="D283" i="21"/>
  <c r="E283" i="21"/>
  <c r="F283" i="21"/>
  <c r="G283" i="21"/>
  <c r="H283" i="21"/>
  <c r="I283" i="21"/>
  <c r="J283" i="21"/>
  <c r="K283" i="21"/>
  <c r="L283" i="21"/>
  <c r="M283" i="21"/>
  <c r="N283" i="21"/>
  <c r="O283" i="21"/>
  <c r="C360" i="21"/>
  <c r="P360" i="21"/>
  <c r="I44" i="4"/>
  <c r="P313" i="20"/>
  <c r="P319" i="20" s="1"/>
  <c r="C319" i="20"/>
  <c r="C249" i="20"/>
  <c r="P182" i="20"/>
  <c r="D126" i="21"/>
  <c r="H124" i="21"/>
  <c r="F126" i="21"/>
  <c r="F127" i="21"/>
  <c r="D182" i="20"/>
  <c r="E182" i="20"/>
  <c r="F182" i="20"/>
  <c r="G182" i="20"/>
  <c r="H182" i="20"/>
  <c r="I182" i="20"/>
  <c r="J182" i="20"/>
  <c r="K182" i="20"/>
  <c r="L182" i="20"/>
  <c r="M182" i="20"/>
  <c r="N182" i="20"/>
  <c r="O182" i="20"/>
  <c r="H128" i="21"/>
  <c r="E125" i="21"/>
  <c r="E102" i="21"/>
  <c r="P231" i="20"/>
  <c r="C237" i="20"/>
  <c r="D102" i="21"/>
  <c r="E129" i="21"/>
  <c r="G124" i="21"/>
  <c r="D127" i="21"/>
  <c r="C359" i="21"/>
  <c r="P282" i="21"/>
  <c r="Q182" i="20"/>
  <c r="D319" i="20"/>
  <c r="E319" i="20"/>
  <c r="F125" i="21"/>
  <c r="F102" i="21"/>
  <c r="G126" i="21"/>
  <c r="I128" i="21"/>
  <c r="I124" i="21"/>
  <c r="I129" i="21" s="1"/>
  <c r="G128" i="21"/>
  <c r="C255" i="20"/>
  <c r="P249" i="20"/>
  <c r="D237" i="20"/>
  <c r="E237" i="20"/>
  <c r="F237" i="20"/>
  <c r="G237" i="20"/>
  <c r="H237" i="20"/>
  <c r="I237" i="20"/>
  <c r="J237" i="20"/>
  <c r="K237" i="20"/>
  <c r="L237" i="20"/>
  <c r="M237" i="20"/>
  <c r="N237" i="20"/>
  <c r="O237" i="20"/>
  <c r="P237" i="20"/>
  <c r="C304" i="20"/>
  <c r="P359" i="21"/>
  <c r="C364" i="21"/>
  <c r="N17" i="23"/>
  <c r="B24" i="23" s="1"/>
  <c r="O15" i="23"/>
  <c r="P15" i="23" s="1"/>
  <c r="C17" i="23" s="1"/>
  <c r="G125" i="21"/>
  <c r="J124" i="21"/>
  <c r="C322" i="20"/>
  <c r="P255" i="20"/>
  <c r="G102" i="21"/>
  <c r="H127" i="21"/>
  <c r="Q237" i="20"/>
  <c r="D255" i="20"/>
  <c r="E255" i="20"/>
  <c r="F255" i="20"/>
  <c r="G255" i="20"/>
  <c r="H255" i="20"/>
  <c r="I255" i="20"/>
  <c r="J255" i="20"/>
  <c r="K255" i="20"/>
  <c r="L255" i="20"/>
  <c r="M255" i="20"/>
  <c r="N255" i="20"/>
  <c r="O255" i="20"/>
  <c r="C310" i="20"/>
  <c r="P304" i="20"/>
  <c r="Q255" i="20"/>
  <c r="I127" i="21"/>
  <c r="K124" i="21"/>
  <c r="C328" i="20"/>
  <c r="H102" i="21"/>
  <c r="K128" i="21"/>
  <c r="G127" i="21"/>
  <c r="I126" i="21"/>
  <c r="H125" i="21"/>
  <c r="L124" i="21"/>
  <c r="I125" i="21"/>
  <c r="I102" i="21"/>
  <c r="H126" i="21"/>
  <c r="H129" i="21"/>
  <c r="J128" i="21"/>
  <c r="L128" i="21"/>
  <c r="K127" i="21"/>
  <c r="M124" i="21"/>
  <c r="M128" i="21"/>
  <c r="K126" i="21"/>
  <c r="J125" i="21"/>
  <c r="N128" i="21"/>
  <c r="J126" i="21"/>
  <c r="N124" i="21"/>
  <c r="J127" i="21"/>
  <c r="L126" i="21"/>
  <c r="K125" i="21"/>
  <c r="K102" i="21"/>
  <c r="J102" i="21"/>
  <c r="L127" i="21"/>
  <c r="L129" i="21" s="1"/>
  <c r="O124" i="21"/>
  <c r="M127" i="21"/>
  <c r="M126" i="21"/>
  <c r="L125" i="21"/>
  <c r="L102" i="21"/>
  <c r="D205" i="21"/>
  <c r="N126" i="21"/>
  <c r="M125" i="21"/>
  <c r="M102" i="21"/>
  <c r="E209" i="21"/>
  <c r="D209" i="21"/>
  <c r="N125" i="21"/>
  <c r="N102" i="21"/>
  <c r="O128" i="21"/>
  <c r="N127" i="21"/>
  <c r="E205" i="21"/>
  <c r="E210" i="21" s="1"/>
  <c r="F205" i="21"/>
  <c r="F210" i="21" s="1"/>
  <c r="O125" i="21"/>
  <c r="O102" i="21"/>
  <c r="E208" i="21"/>
  <c r="G205" i="21"/>
  <c r="D206" i="21"/>
  <c r="D208" i="21"/>
  <c r="G209" i="21"/>
  <c r="D207" i="21"/>
  <c r="E207" i="21"/>
  <c r="O127" i="21"/>
  <c r="O126" i="21"/>
  <c r="D183" i="21"/>
  <c r="H209" i="21"/>
  <c r="F209" i="21"/>
  <c r="H205" i="21"/>
  <c r="E206" i="21"/>
  <c r="E183" i="21"/>
  <c r="G208" i="21"/>
  <c r="I209" i="21"/>
  <c r="F206" i="21"/>
  <c r="I205" i="21"/>
  <c r="G207" i="21"/>
  <c r="G210" i="21" s="1"/>
  <c r="F207" i="21"/>
  <c r="F183" i="21"/>
  <c r="J205" i="21"/>
  <c r="H208" i="21"/>
  <c r="G206" i="21"/>
  <c r="G183" i="21"/>
  <c r="F208" i="21"/>
  <c r="I207" i="21"/>
  <c r="K209" i="21"/>
  <c r="H206" i="21"/>
  <c r="K205" i="21"/>
  <c r="J208" i="21"/>
  <c r="J209" i="21"/>
  <c r="L209" i="21"/>
  <c r="L205" i="21"/>
  <c r="H207" i="21"/>
  <c r="I206" i="21"/>
  <c r="I183" i="21"/>
  <c r="H183" i="21"/>
  <c r="J207" i="21"/>
  <c r="K207" i="21"/>
  <c r="J206" i="21"/>
  <c r="J183" i="21"/>
  <c r="M209" i="21"/>
  <c r="M210" i="21" s="1"/>
  <c r="M205" i="21"/>
  <c r="I208" i="21"/>
  <c r="L207" i="21"/>
  <c r="K206" i="21"/>
  <c r="N205" i="21"/>
  <c r="L208" i="21"/>
  <c r="N209" i="21"/>
  <c r="L206" i="21"/>
  <c r="L183" i="21"/>
  <c r="M207" i="21"/>
  <c r="O205" i="21"/>
  <c r="K208" i="21"/>
  <c r="K210" i="21"/>
  <c r="K183" i="21"/>
  <c r="M208" i="21"/>
  <c r="N207" i="21"/>
  <c r="N208" i="21"/>
  <c r="D286" i="21"/>
  <c r="D291" i="21" s="1"/>
  <c r="M206" i="21"/>
  <c r="M183" i="21"/>
  <c r="E290" i="21"/>
  <c r="E286" i="21"/>
  <c r="D290" i="21"/>
  <c r="N206" i="21"/>
  <c r="N183" i="21"/>
  <c r="O209" i="21"/>
  <c r="F286" i="21"/>
  <c r="O206" i="21"/>
  <c r="O208" i="21"/>
  <c r="E288" i="21"/>
  <c r="G286" i="21"/>
  <c r="O207" i="21"/>
  <c r="E289" i="21"/>
  <c r="G290" i="21"/>
  <c r="G291" i="21" s="1"/>
  <c r="D288" i="21"/>
  <c r="D287" i="21"/>
  <c r="O183" i="21"/>
  <c r="D289" i="21"/>
  <c r="D264" i="21"/>
  <c r="E287" i="21"/>
  <c r="E291" i="21"/>
  <c r="E264" i="21"/>
  <c r="F288" i="21"/>
  <c r="H286" i="21"/>
  <c r="H290" i="21"/>
  <c r="F290" i="21"/>
  <c r="I286" i="21"/>
  <c r="I291" i="21" s="1"/>
  <c r="G289" i="21"/>
  <c r="G288" i="21"/>
  <c r="F287" i="21"/>
  <c r="F264" i="21"/>
  <c r="J290" i="21"/>
  <c r="J286" i="21"/>
  <c r="F289" i="21"/>
  <c r="K286" i="21"/>
  <c r="G287" i="21"/>
  <c r="G264" i="21"/>
  <c r="I288" i="21"/>
  <c r="H287" i="21"/>
  <c r="I290" i="21"/>
  <c r="I289" i="21"/>
  <c r="H288" i="21"/>
  <c r="H264" i="21"/>
  <c r="L290" i="21"/>
  <c r="L286" i="21"/>
  <c r="L291" i="21" s="1"/>
  <c r="I287" i="21"/>
  <c r="H289" i="21"/>
  <c r="I264" i="21"/>
  <c r="M286" i="21"/>
  <c r="K289" i="21"/>
  <c r="J264" i="21"/>
  <c r="K288" i="21"/>
  <c r="K287" i="21"/>
  <c r="K291" i="21" s="1"/>
  <c r="J287" i="21"/>
  <c r="M290" i="21"/>
  <c r="K290" i="21"/>
  <c r="J288" i="21"/>
  <c r="N286" i="21"/>
  <c r="J289" i="21"/>
  <c r="N290" i="21"/>
  <c r="K264" i="21"/>
  <c r="L287" i="21"/>
  <c r="L264" i="21"/>
  <c r="M289" i="21"/>
  <c r="M288" i="21"/>
  <c r="O286" i="21"/>
  <c r="O291" i="21" s="1"/>
  <c r="L288" i="21"/>
  <c r="N289" i="21"/>
  <c r="M287" i="21"/>
  <c r="M264" i="21"/>
  <c r="N288" i="21"/>
  <c r="L289" i="21"/>
  <c r="O290" i="21"/>
  <c r="N287" i="21"/>
  <c r="N264" i="21"/>
  <c r="E368" i="21"/>
  <c r="O287" i="21"/>
  <c r="F371" i="21"/>
  <c r="G371" i="21"/>
  <c r="O289" i="21"/>
  <c r="O264" i="21"/>
  <c r="E369" i="21"/>
  <c r="F368" i="21"/>
  <c r="O288" i="21"/>
  <c r="F370" i="21"/>
  <c r="H371" i="21"/>
  <c r="G369" i="21"/>
  <c r="G370" i="21"/>
  <c r="I371" i="21"/>
  <c r="H368" i="21"/>
  <c r="I368" i="21"/>
  <c r="G368" i="21"/>
  <c r="I369" i="21"/>
  <c r="K371" i="21"/>
  <c r="I370" i="21"/>
  <c r="J368" i="21"/>
  <c r="L371" i="21"/>
  <c r="J369" i="21"/>
  <c r="K369" i="21"/>
  <c r="J370" i="21"/>
  <c r="M368" i="21"/>
  <c r="L370" i="21"/>
  <c r="N371" i="21"/>
  <c r="L369" i="21"/>
  <c r="L368" i="21"/>
  <c r="O371" i="21"/>
  <c r="M369" i="21"/>
  <c r="N369" i="21"/>
  <c r="N370" i="21"/>
  <c r="N368" i="21"/>
  <c r="O369" i="21"/>
  <c r="O370" i="21"/>
  <c r="O368" i="21"/>
  <c r="K367" i="21"/>
  <c r="D371" i="21"/>
  <c r="K368" i="21"/>
  <c r="N345" i="21"/>
  <c r="N367" i="21"/>
  <c r="F367" i="21"/>
  <c r="F345" i="21"/>
  <c r="E371" i="21"/>
  <c r="J371" i="21"/>
  <c r="M371" i="21"/>
  <c r="N368" i="22"/>
  <c r="M370" i="21"/>
  <c r="H369" i="21"/>
  <c r="K370" i="21"/>
  <c r="E370" i="21"/>
  <c r="G367" i="21"/>
  <c r="G345" i="21"/>
  <c r="D367" i="21"/>
  <c r="D345" i="21"/>
  <c r="E367" i="21"/>
  <c r="E345" i="21"/>
  <c r="D368" i="21"/>
  <c r="I367" i="21"/>
  <c r="I345" i="21"/>
  <c r="H345" i="21"/>
  <c r="H367" i="21"/>
  <c r="M367" i="21"/>
  <c r="M345" i="21"/>
  <c r="L367" i="21"/>
  <c r="L345" i="21"/>
  <c r="O345" i="21"/>
  <c r="O367" i="21"/>
  <c r="D369" i="21"/>
  <c r="J345" i="21"/>
  <c r="J367" i="21"/>
  <c r="K345" i="21"/>
  <c r="D370" i="21"/>
  <c r="Q82" i="21"/>
  <c r="Q163" i="21" s="1"/>
  <c r="Q244" i="21" s="1"/>
  <c r="Q325" i="21" s="1"/>
  <c r="Q71" i="20"/>
  <c r="Q144" i="20"/>
  <c r="Q217" i="20" s="1"/>
  <c r="Q290" i="20" s="1"/>
  <c r="Q85" i="22"/>
  <c r="Q158" i="22" s="1"/>
  <c r="Q239" i="22" s="1"/>
  <c r="Q320" i="22" s="1"/>
  <c r="I54" i="9"/>
  <c r="I16" i="9"/>
  <c r="H54" i="9"/>
  <c r="H16" i="9"/>
  <c r="I36" i="9"/>
  <c r="I33" i="9"/>
  <c r="I41" i="9"/>
  <c r="I26" i="9"/>
  <c r="I23" i="9"/>
  <c r="I24" i="9"/>
  <c r="I32" i="9"/>
  <c r="I35" i="9"/>
  <c r="I39" i="9"/>
  <c r="I29" i="9"/>
  <c r="I42" i="9"/>
  <c r="I37" i="9"/>
  <c r="I31" i="9"/>
  <c r="I38" i="9"/>
  <c r="I28" i="9"/>
  <c r="I22" i="9"/>
  <c r="I40" i="9"/>
  <c r="I25" i="9"/>
  <c r="I30" i="9"/>
  <c r="I34" i="9"/>
  <c r="I27" i="9"/>
  <c r="I43" i="9"/>
  <c r="N291" i="21" l="1"/>
  <c r="M291" i="21"/>
  <c r="H291" i="21"/>
  <c r="J291" i="21"/>
  <c r="F291" i="21"/>
  <c r="L210" i="21"/>
  <c r="H210" i="21"/>
  <c r="O210" i="21"/>
  <c r="I210" i="21"/>
  <c r="N210" i="21"/>
  <c r="J210" i="21"/>
  <c r="D210" i="21"/>
  <c r="K129" i="21"/>
  <c r="F129" i="21"/>
  <c r="M129" i="21"/>
  <c r="G129" i="21"/>
  <c r="N129" i="21"/>
  <c r="O129" i="21"/>
  <c r="D129" i="21"/>
  <c r="J129" i="21"/>
  <c r="C209" i="21"/>
  <c r="P209" i="21" s="1"/>
  <c r="G48" i="21"/>
  <c r="P45" i="21"/>
  <c r="C126" i="21" s="1"/>
  <c r="P126" i="21" s="1"/>
  <c r="H48" i="21"/>
  <c r="P44" i="21"/>
  <c r="C125" i="21" s="1"/>
  <c r="P125" i="21" s="1"/>
  <c r="M48" i="21"/>
  <c r="E31" i="21"/>
  <c r="F31" i="21" s="1"/>
  <c r="G31" i="21" s="1"/>
  <c r="H31" i="21" s="1"/>
  <c r="I31" i="21" s="1"/>
  <c r="J31" i="21" s="1"/>
  <c r="K31" i="21" s="1"/>
  <c r="L31" i="21" s="1"/>
  <c r="M31" i="21" s="1"/>
  <c r="N31" i="21" s="1"/>
  <c r="O31" i="21" s="1"/>
  <c r="E48" i="21"/>
  <c r="J48" i="21"/>
  <c r="P106" i="21"/>
  <c r="C112" i="21"/>
  <c r="D112" i="21" s="1"/>
  <c r="E112" i="21" s="1"/>
  <c r="F112" i="21" s="1"/>
  <c r="G112" i="21" s="1"/>
  <c r="H112" i="21" s="1"/>
  <c r="I112" i="21" s="1"/>
  <c r="J112" i="21" s="1"/>
  <c r="K112" i="21" s="1"/>
  <c r="L112" i="21" s="1"/>
  <c r="M112" i="21" s="1"/>
  <c r="N112" i="21" s="1"/>
  <c r="O112" i="21" s="1"/>
  <c r="P30" i="21"/>
  <c r="P47" i="21"/>
  <c r="C128" i="21" s="1"/>
  <c r="P128" i="21" s="1"/>
  <c r="P182" i="21"/>
  <c r="C263" i="21" s="1"/>
  <c r="P46" i="21"/>
  <c r="C127" i="21" s="1"/>
  <c r="P127" i="21" s="1"/>
  <c r="K48" i="21"/>
  <c r="N48" i="21"/>
  <c r="P181" i="21"/>
  <c r="C262" i="21" s="1"/>
  <c r="C208" i="21"/>
  <c r="P208" i="21" s="1"/>
  <c r="D48" i="21"/>
  <c r="D49" i="21" s="1"/>
  <c r="P180" i="21"/>
  <c r="C261" i="21" s="1"/>
  <c r="P261" i="21" s="1"/>
  <c r="C342" i="21" s="1"/>
  <c r="C207" i="21"/>
  <c r="P207" i="21" s="1"/>
  <c r="L48" i="21"/>
  <c r="I48" i="21"/>
  <c r="O48" i="21"/>
  <c r="P21" i="21"/>
  <c r="E22" i="21"/>
  <c r="F22" i="21" s="1"/>
  <c r="G22" i="21" s="1"/>
  <c r="H22" i="21" s="1"/>
  <c r="I22" i="21" s="1"/>
  <c r="J22" i="21" s="1"/>
  <c r="K22" i="21" s="1"/>
  <c r="L22" i="21" s="1"/>
  <c r="M22" i="21" s="1"/>
  <c r="N22" i="21" s="1"/>
  <c r="O22" i="21" s="1"/>
  <c r="F48" i="21"/>
  <c r="P179" i="21"/>
  <c r="C260" i="21" s="1"/>
  <c r="C206" i="21"/>
  <c r="P206" i="21" s="1"/>
  <c r="C103" i="21"/>
  <c r="D103" i="21" s="1"/>
  <c r="E103" i="21" s="1"/>
  <c r="F103" i="21" s="1"/>
  <c r="G103" i="21" s="1"/>
  <c r="H103" i="21" s="1"/>
  <c r="I103" i="21" s="1"/>
  <c r="J103" i="21" s="1"/>
  <c r="K103" i="21" s="1"/>
  <c r="L103" i="21" s="1"/>
  <c r="M103" i="21" s="1"/>
  <c r="N103" i="21" s="1"/>
  <c r="O103" i="21" s="1"/>
  <c r="P43" i="21"/>
  <c r="C124" i="21"/>
  <c r="C178" i="21"/>
  <c r="P102" i="21"/>
  <c r="E310" i="20"/>
  <c r="F310" i="20" s="1"/>
  <c r="G310" i="20" s="1"/>
  <c r="H310" i="20" s="1"/>
  <c r="I327" i="20"/>
  <c r="Q352" i="22"/>
  <c r="H14" i="9" s="1"/>
  <c r="D327" i="20"/>
  <c r="D328" i="20" s="1"/>
  <c r="K327" i="20"/>
  <c r="G327" i="20"/>
  <c r="F334" i="22"/>
  <c r="F338" i="22" s="1"/>
  <c r="M344" i="22"/>
  <c r="M348" i="22" s="1"/>
  <c r="M354" i="22"/>
  <c r="M358" i="22" s="1"/>
  <c r="M374" i="22"/>
  <c r="M378" i="22" s="1"/>
  <c r="L327" i="20"/>
  <c r="E327" i="20"/>
  <c r="M327" i="20"/>
  <c r="J327" i="20"/>
  <c r="N327" i="20"/>
  <c r="I334" i="22"/>
  <c r="I338" i="22" s="1"/>
  <c r="P374" i="22"/>
  <c r="Q362" i="22"/>
  <c r="Q372" i="22"/>
  <c r="I374" i="22"/>
  <c r="N319" i="20"/>
  <c r="O319" i="20" s="1"/>
  <c r="E328" i="20"/>
  <c r="F328" i="20" s="1"/>
  <c r="G328" i="20" s="1"/>
  <c r="H328" i="20" s="1"/>
  <c r="I328" i="20" s="1"/>
  <c r="J328" i="20" s="1"/>
  <c r="K328" i="20" s="1"/>
  <c r="L328" i="20" s="1"/>
  <c r="M328" i="20" s="1"/>
  <c r="N328" i="20" s="1"/>
  <c r="O328" i="20" s="1"/>
  <c r="P325" i="20"/>
  <c r="P324" i="20"/>
  <c r="P322" i="20"/>
  <c r="M334" i="22"/>
  <c r="M338" i="22" s="1"/>
  <c r="L344" i="22"/>
  <c r="L348" i="22" s="1"/>
  <c r="M364" i="22"/>
  <c r="M368" i="22" s="1"/>
  <c r="F364" i="21"/>
  <c r="K372" i="21"/>
  <c r="H372" i="21"/>
  <c r="AG22" i="10"/>
  <c r="G364" i="21"/>
  <c r="H364" i="21" s="1"/>
  <c r="I364" i="21" s="1"/>
  <c r="J364" i="21" s="1"/>
  <c r="K364" i="21" s="1"/>
  <c r="L364" i="21" s="1"/>
  <c r="M364" i="21" s="1"/>
  <c r="N364" i="21" s="1"/>
  <c r="O364" i="21" s="1"/>
  <c r="F372" i="21"/>
  <c r="O372" i="21"/>
  <c r="I372" i="21"/>
  <c r="M372" i="21"/>
  <c r="N372" i="21"/>
  <c r="G372" i="21"/>
  <c r="E372" i="21"/>
  <c r="L372" i="21"/>
  <c r="J372" i="21"/>
  <c r="D372" i="21"/>
  <c r="AG23" i="4"/>
  <c r="AG44" i="4" s="1"/>
  <c r="F27" i="9"/>
  <c r="F28" i="9"/>
  <c r="F34" i="9"/>
  <c r="F40" i="9"/>
  <c r="F32" i="9"/>
  <c r="F24" i="9"/>
  <c r="F21" i="9"/>
  <c r="F33" i="9"/>
  <c r="F39" i="9"/>
  <c r="F36" i="9"/>
  <c r="F25" i="9"/>
  <c r="F26" i="9"/>
  <c r="F35" i="9"/>
  <c r="F20" i="9"/>
  <c r="F22" i="9"/>
  <c r="F29" i="9"/>
  <c r="F23" i="9"/>
  <c r="F30" i="9"/>
  <c r="F37" i="9"/>
  <c r="F38" i="9"/>
  <c r="F31" i="9"/>
  <c r="C21" i="8"/>
  <c r="B26" i="23"/>
  <c r="O24" i="23"/>
  <c r="P24" i="23" s="1"/>
  <c r="D17" i="23"/>
  <c r="E17" i="23" s="1"/>
  <c r="F17" i="23" s="1"/>
  <c r="G17" i="23" s="1"/>
  <c r="H17" i="23" s="1"/>
  <c r="I17" i="23" s="1"/>
  <c r="J17" i="23" s="1"/>
  <c r="K17" i="23" s="1"/>
  <c r="L17" i="23" s="1"/>
  <c r="M17" i="23" s="1"/>
  <c r="Q17" i="23"/>
  <c r="F133" i="22"/>
  <c r="L133" i="22"/>
  <c r="I133" i="22"/>
  <c r="G133" i="22"/>
  <c r="N133" i="22"/>
  <c r="H29" i="22"/>
  <c r="P29" i="22"/>
  <c r="K29" i="22"/>
  <c r="J29" i="22"/>
  <c r="K49" i="22"/>
  <c r="L29" i="22"/>
  <c r="L39" i="22"/>
  <c r="I39" i="22"/>
  <c r="L49" i="22"/>
  <c r="L59" i="22"/>
  <c r="H49" i="22"/>
  <c r="F49" i="22"/>
  <c r="N49" i="22"/>
  <c r="G29" i="22"/>
  <c r="F29" i="22"/>
  <c r="O103" i="22"/>
  <c r="O143" i="22"/>
  <c r="O133" i="22"/>
  <c r="G143" i="22"/>
  <c r="H133" i="22"/>
  <c r="M133" i="22"/>
  <c r="H113" i="22"/>
  <c r="P113" i="22"/>
  <c r="K133" i="22"/>
  <c r="M103" i="22"/>
  <c r="J103" i="22"/>
  <c r="P378" i="22"/>
  <c r="I378" i="22"/>
  <c r="D22" i="10"/>
  <c r="AF18" i="10"/>
  <c r="D27" i="10"/>
  <c r="D33" i="10"/>
  <c r="D34" i="10"/>
  <c r="D26" i="10"/>
  <c r="D31" i="10"/>
  <c r="D32" i="10"/>
  <c r="D21" i="10"/>
  <c r="D24" i="10"/>
  <c r="D30" i="10"/>
  <c r="D38" i="10"/>
  <c r="D37" i="10"/>
  <c r="D19" i="9"/>
  <c r="AF19" i="9" s="1"/>
  <c r="D26" i="9"/>
  <c r="D34" i="9"/>
  <c r="D24" i="9"/>
  <c r="D15" i="4"/>
  <c r="D18" i="9"/>
  <c r="D36" i="9"/>
  <c r="D38" i="9"/>
  <c r="D20" i="9"/>
  <c r="D33" i="9"/>
  <c r="D35" i="9"/>
  <c r="D25" i="9"/>
  <c r="F354" i="22"/>
  <c r="F358" i="22" s="1"/>
  <c r="Q342" i="22"/>
  <c r="L283" i="22"/>
  <c r="L287" i="22" s="1"/>
  <c r="Q271" i="22"/>
  <c r="Q261" i="22"/>
  <c r="G14" i="10" s="1"/>
  <c r="Q251" i="22"/>
  <c r="G14" i="9" s="1"/>
  <c r="Q200" i="22"/>
  <c r="F14" i="10" s="1"/>
  <c r="E202" i="22"/>
  <c r="E206" i="22" s="1"/>
  <c r="E182" i="22"/>
  <c r="E186" i="22" s="1"/>
  <c r="F139" i="22"/>
  <c r="Q129" i="22"/>
  <c r="Q119" i="22"/>
  <c r="I123" i="22"/>
  <c r="Q109" i="22"/>
  <c r="I109" i="22"/>
  <c r="I113" i="22" s="1"/>
  <c r="E113" i="22"/>
  <c r="Q99" i="22"/>
  <c r="I103" i="22"/>
  <c r="Q97" i="22"/>
  <c r="Q53" i="22"/>
  <c r="Q55" i="22"/>
  <c r="D140" i="22" s="1"/>
  <c r="E142" i="22" s="1"/>
  <c r="E144" i="22" s="1"/>
  <c r="E59" i="22"/>
  <c r="E60" i="22" s="1"/>
  <c r="F58" i="22"/>
  <c r="F60" i="22" s="1"/>
  <c r="F56" i="22"/>
  <c r="E45" i="22"/>
  <c r="Q45" i="22" s="1"/>
  <c r="D130" i="22" s="1"/>
  <c r="Q43" i="22"/>
  <c r="E39" i="22"/>
  <c r="E40" i="22" s="1"/>
  <c r="Q35" i="22"/>
  <c r="D120" i="22" s="1"/>
  <c r="E36" i="22"/>
  <c r="E29" i="22"/>
  <c r="E30" i="22" s="1"/>
  <c r="Q25" i="22"/>
  <c r="D110" i="22" s="1"/>
  <c r="E112" i="22"/>
  <c r="E114" i="22" s="1"/>
  <c r="E110" i="22"/>
  <c r="F26" i="22"/>
  <c r="F28" i="22"/>
  <c r="Q15" i="22"/>
  <c r="D100" i="22" s="1"/>
  <c r="E102" i="22" s="1"/>
  <c r="E104" i="22" s="1"/>
  <c r="Q13" i="22"/>
  <c r="F16" i="22"/>
  <c r="G18" i="22" s="1"/>
  <c r="G20" i="22" s="1"/>
  <c r="F18" i="22"/>
  <c r="F20" i="22" s="1"/>
  <c r="E100" i="22"/>
  <c r="C288" i="21" l="1"/>
  <c r="P288" i="21" s="1"/>
  <c r="P48" i="21"/>
  <c r="E49" i="21"/>
  <c r="F49" i="21" s="1"/>
  <c r="G49" i="21" s="1"/>
  <c r="H49" i="21" s="1"/>
  <c r="I49" i="21" s="1"/>
  <c r="J49" i="21" s="1"/>
  <c r="K49" i="21" s="1"/>
  <c r="L49" i="21" s="1"/>
  <c r="M49" i="21" s="1"/>
  <c r="N49" i="21" s="1"/>
  <c r="O49" i="21" s="1"/>
  <c r="C187" i="21"/>
  <c r="C205" i="21" s="1"/>
  <c r="P111" i="21"/>
  <c r="C290" i="21"/>
  <c r="P290" i="21" s="1"/>
  <c r="P263" i="21"/>
  <c r="C344" i="21" s="1"/>
  <c r="C289" i="21"/>
  <c r="P289" i="21" s="1"/>
  <c r="P262" i="21"/>
  <c r="C343" i="21" s="1"/>
  <c r="P342" i="21"/>
  <c r="C369" i="21"/>
  <c r="P369" i="21" s="1"/>
  <c r="P260" i="21"/>
  <c r="C341" i="21" s="1"/>
  <c r="C287" i="21"/>
  <c r="P287" i="21" s="1"/>
  <c r="C184" i="21"/>
  <c r="D184" i="21" s="1"/>
  <c r="E184" i="21" s="1"/>
  <c r="F184" i="21" s="1"/>
  <c r="G184" i="21" s="1"/>
  <c r="H184" i="21" s="1"/>
  <c r="I184" i="21" s="1"/>
  <c r="J184" i="21" s="1"/>
  <c r="K184" i="21" s="1"/>
  <c r="L184" i="21" s="1"/>
  <c r="M184" i="21" s="1"/>
  <c r="N184" i="21" s="1"/>
  <c r="O184" i="21" s="1"/>
  <c r="P178" i="21"/>
  <c r="C130" i="21"/>
  <c r="P124" i="21"/>
  <c r="P129" i="21" s="1"/>
  <c r="H37" i="9"/>
  <c r="H33" i="9"/>
  <c r="H27" i="9"/>
  <c r="H34" i="9"/>
  <c r="H26" i="9"/>
  <c r="H41" i="9"/>
  <c r="H24" i="9"/>
  <c r="H31" i="9"/>
  <c r="H28" i="9"/>
  <c r="H36" i="9"/>
  <c r="H35" i="9"/>
  <c r="H42" i="9"/>
  <c r="AF42" i="9" s="1"/>
  <c r="H39" i="9"/>
  <c r="H40" i="9"/>
  <c r="H25" i="9"/>
  <c r="H29" i="9"/>
  <c r="H38" i="9"/>
  <c r="H23" i="9"/>
  <c r="H43" i="9" s="1"/>
  <c r="H32" i="9"/>
  <c r="H22" i="9"/>
  <c r="H30" i="9"/>
  <c r="I310" i="20"/>
  <c r="J310" i="20" s="1"/>
  <c r="K310" i="20" s="1"/>
  <c r="L310" i="20" s="1"/>
  <c r="M310" i="20" s="1"/>
  <c r="N310" i="20" s="1"/>
  <c r="O310" i="20" s="1"/>
  <c r="Q310" i="20"/>
  <c r="H14" i="10"/>
  <c r="H23" i="10" s="1"/>
  <c r="Q328" i="20"/>
  <c r="G12" i="5" s="1"/>
  <c r="Q319" i="20"/>
  <c r="P328" i="20"/>
  <c r="H27" i="10"/>
  <c r="H34" i="10"/>
  <c r="AF34" i="10" s="1"/>
  <c r="H31" i="10"/>
  <c r="F33" i="10"/>
  <c r="F22" i="10"/>
  <c r="G40" i="10"/>
  <c r="F31" i="10"/>
  <c r="F20" i="10"/>
  <c r="F37" i="10"/>
  <c r="F26" i="10"/>
  <c r="F28" i="10"/>
  <c r="F32" i="10"/>
  <c r="G32" i="10"/>
  <c r="F21" i="10"/>
  <c r="G26" i="10"/>
  <c r="F34" i="10"/>
  <c r="F36" i="10"/>
  <c r="G30" i="10"/>
  <c r="F29" i="10"/>
  <c r="F35" i="10"/>
  <c r="G31" i="10"/>
  <c r="G24" i="10"/>
  <c r="G36" i="10"/>
  <c r="G34" i="10"/>
  <c r="G39" i="10"/>
  <c r="F23" i="10"/>
  <c r="G38" i="10"/>
  <c r="G23" i="10"/>
  <c r="F30" i="10"/>
  <c r="G33" i="10"/>
  <c r="G35" i="10"/>
  <c r="F27" i="10"/>
  <c r="AF27" i="10" s="1"/>
  <c r="G29" i="10"/>
  <c r="F25" i="10"/>
  <c r="G41" i="10"/>
  <c r="F40" i="10"/>
  <c r="F24" i="10"/>
  <c r="F38" i="10"/>
  <c r="G28" i="10"/>
  <c r="F39" i="10"/>
  <c r="G27" i="10"/>
  <c r="G25" i="10"/>
  <c r="G37" i="10"/>
  <c r="F15" i="4"/>
  <c r="AF20" i="9"/>
  <c r="F43" i="9"/>
  <c r="AF34" i="9"/>
  <c r="G15" i="4"/>
  <c r="G21" i="10"/>
  <c r="AF21" i="10" s="1"/>
  <c r="G22" i="10"/>
  <c r="G28" i="9"/>
  <c r="AF28" i="9" s="1"/>
  <c r="G41" i="9"/>
  <c r="AF41" i="9" s="1"/>
  <c r="G31" i="9"/>
  <c r="G25" i="9"/>
  <c r="G29" i="9"/>
  <c r="G23" i="9"/>
  <c r="AF23" i="9" s="1"/>
  <c r="G22" i="9"/>
  <c r="AF22" i="9" s="1"/>
  <c r="G38" i="9"/>
  <c r="AF38" i="9" s="1"/>
  <c r="G35" i="9"/>
  <c r="G26" i="9"/>
  <c r="G27" i="9"/>
  <c r="G36" i="9"/>
  <c r="G21" i="9"/>
  <c r="AF21" i="9" s="1"/>
  <c r="G34" i="9"/>
  <c r="G37" i="9"/>
  <c r="AF37" i="9" s="1"/>
  <c r="G30" i="9"/>
  <c r="AF30" i="9" s="1"/>
  <c r="G24" i="9"/>
  <c r="AF24" i="9" s="1"/>
  <c r="G32" i="9"/>
  <c r="AF32" i="9" s="1"/>
  <c r="G39" i="9"/>
  <c r="AF39" i="9" s="1"/>
  <c r="G40" i="9"/>
  <c r="AF40" i="9" s="1"/>
  <c r="G33" i="9"/>
  <c r="C26" i="23"/>
  <c r="D26" i="23" s="1"/>
  <c r="E26" i="23" s="1"/>
  <c r="F26" i="23" s="1"/>
  <c r="G26" i="23" s="1"/>
  <c r="H26" i="23" s="1"/>
  <c r="I26" i="23" s="1"/>
  <c r="J26" i="23" s="1"/>
  <c r="K26" i="23" s="1"/>
  <c r="L26" i="23" s="1"/>
  <c r="M26" i="23" s="1"/>
  <c r="N26" i="23" s="1"/>
  <c r="B33" i="23" s="1"/>
  <c r="F30" i="22"/>
  <c r="D43" i="10"/>
  <c r="D43" i="9"/>
  <c r="AF18" i="9"/>
  <c r="Q139" i="22"/>
  <c r="F143" i="22"/>
  <c r="E140" i="22"/>
  <c r="F142" i="22" s="1"/>
  <c r="F144" i="22" s="1"/>
  <c r="G56" i="22"/>
  <c r="G58" i="22"/>
  <c r="G60" i="22" s="1"/>
  <c r="F140" i="22"/>
  <c r="E46" i="22"/>
  <c r="E49" i="22"/>
  <c r="E50" i="22" s="1"/>
  <c r="E62" i="22" s="1"/>
  <c r="E63" i="22" s="1"/>
  <c r="F46" i="22"/>
  <c r="F48" i="22"/>
  <c r="F50" i="22" s="1"/>
  <c r="E130" i="22"/>
  <c r="E132" i="22"/>
  <c r="E134" i="22" s="1"/>
  <c r="F36" i="22"/>
  <c r="F38" i="22"/>
  <c r="F40" i="22" s="1"/>
  <c r="E120" i="22"/>
  <c r="E122" i="22"/>
  <c r="E124" i="22" s="1"/>
  <c r="F110" i="22"/>
  <c r="F112" i="22"/>
  <c r="F114" i="22" s="1"/>
  <c r="G26" i="22"/>
  <c r="G28" i="22"/>
  <c r="G30" i="22" s="1"/>
  <c r="G16" i="22"/>
  <c r="H18" i="22" s="1"/>
  <c r="H20" i="22" s="1"/>
  <c r="F100" i="22"/>
  <c r="F102" i="22"/>
  <c r="F104" i="22" s="1"/>
  <c r="P187" i="21" l="1"/>
  <c r="C193" i="21"/>
  <c r="D193" i="21" s="1"/>
  <c r="E193" i="21" s="1"/>
  <c r="F193" i="21" s="1"/>
  <c r="G193" i="21" s="1"/>
  <c r="H193" i="21" s="1"/>
  <c r="I193" i="21" s="1"/>
  <c r="J193" i="21" s="1"/>
  <c r="K193" i="21" s="1"/>
  <c r="L193" i="21" s="1"/>
  <c r="M193" i="21" s="1"/>
  <c r="N193" i="21" s="1"/>
  <c r="O193" i="21" s="1"/>
  <c r="P344" i="21"/>
  <c r="C371" i="21"/>
  <c r="P371" i="21" s="1"/>
  <c r="C370" i="21"/>
  <c r="P370" i="21" s="1"/>
  <c r="P343" i="21"/>
  <c r="Q49" i="21"/>
  <c r="C368" i="21"/>
  <c r="P368" i="21" s="1"/>
  <c r="P341" i="21"/>
  <c r="D130" i="21"/>
  <c r="E130" i="21" s="1"/>
  <c r="F130" i="21" s="1"/>
  <c r="G130" i="21" s="1"/>
  <c r="H130" i="21" s="1"/>
  <c r="I130" i="21" s="1"/>
  <c r="J130" i="21" s="1"/>
  <c r="K130" i="21" s="1"/>
  <c r="L130" i="21" s="1"/>
  <c r="M130" i="21" s="1"/>
  <c r="N130" i="21" s="1"/>
  <c r="O130" i="21" s="1"/>
  <c r="C259" i="21"/>
  <c r="P183" i="21"/>
  <c r="C211" i="21"/>
  <c r="P205" i="21"/>
  <c r="P210" i="21" s="1"/>
  <c r="H32" i="10"/>
  <c r="AF32" i="10" s="1"/>
  <c r="H38" i="10"/>
  <c r="AF33" i="9"/>
  <c r="AF29" i="9"/>
  <c r="AF38" i="10"/>
  <c r="AF28" i="10"/>
  <c r="AF29" i="4" s="1"/>
  <c r="H15" i="4"/>
  <c r="H39" i="10"/>
  <c r="H25" i="10"/>
  <c r="AF25" i="10" s="1"/>
  <c r="AF26" i="4" s="1"/>
  <c r="H36" i="10"/>
  <c r="AF36" i="9"/>
  <c r="AF37" i="4" s="1"/>
  <c r="AF25" i="9"/>
  <c r="AF23" i="10"/>
  <c r="AF26" i="10"/>
  <c r="H28" i="10"/>
  <c r="H29" i="10"/>
  <c r="AF29" i="10" s="1"/>
  <c r="AF30" i="4" s="1"/>
  <c r="H42" i="10"/>
  <c r="AF42" i="10" s="1"/>
  <c r="AF43" i="4" s="1"/>
  <c r="H26" i="10"/>
  <c r="AF27" i="9"/>
  <c r="AF31" i="9"/>
  <c r="AF36" i="10"/>
  <c r="AF37" i="10"/>
  <c r="H35" i="10"/>
  <c r="H37" i="10"/>
  <c r="H33" i="10"/>
  <c r="AF33" i="10" s="1"/>
  <c r="AF34" i="4" s="1"/>
  <c r="AF35" i="9"/>
  <c r="H24" i="10"/>
  <c r="AF24" i="10" s="1"/>
  <c r="H40" i="10"/>
  <c r="AF40" i="10" s="1"/>
  <c r="AF41" i="4" s="1"/>
  <c r="H41" i="10"/>
  <c r="AF41" i="10" s="1"/>
  <c r="AF42" i="4" s="1"/>
  <c r="AF22" i="10"/>
  <c r="AF23" i="4" s="1"/>
  <c r="H30" i="10"/>
  <c r="AF30" i="10" s="1"/>
  <c r="H22" i="10"/>
  <c r="AF31" i="10"/>
  <c r="AF32" i="4" s="1"/>
  <c r="AF33" i="4"/>
  <c r="AF25" i="4"/>
  <c r="AF24" i="4"/>
  <c r="AF35" i="4"/>
  <c r="AF40" i="4"/>
  <c r="AF28" i="4"/>
  <c r="AF39" i="10"/>
  <c r="F43" i="10"/>
  <c r="AF20" i="10"/>
  <c r="AF39" i="4"/>
  <c r="AF31" i="4"/>
  <c r="AF21" i="4"/>
  <c r="AF38" i="4"/>
  <c r="AF35" i="10"/>
  <c r="AF36" i="4" s="1"/>
  <c r="G43" i="9"/>
  <c r="AF26" i="9"/>
  <c r="AF27" i="4" s="1"/>
  <c r="AF22" i="4"/>
  <c r="B35" i="23"/>
  <c r="Q26" i="23"/>
  <c r="H56" i="22"/>
  <c r="H58" i="22"/>
  <c r="H60" i="22" s="1"/>
  <c r="G140" i="22"/>
  <c r="G142" i="22"/>
  <c r="G144" i="22" s="1"/>
  <c r="F62" i="22"/>
  <c r="F63" i="22" s="1"/>
  <c r="F132" i="22"/>
  <c r="F134" i="22" s="1"/>
  <c r="F130" i="22"/>
  <c r="G48" i="22"/>
  <c r="G50" i="22" s="1"/>
  <c r="G46" i="22"/>
  <c r="F122" i="22"/>
  <c r="F124" i="22" s="1"/>
  <c r="F120" i="22"/>
  <c r="E146" i="22"/>
  <c r="G36" i="22"/>
  <c r="G38" i="22"/>
  <c r="G40" i="22" s="1"/>
  <c r="H26" i="22"/>
  <c r="H28" i="22"/>
  <c r="H30" i="22" s="1"/>
  <c r="G112" i="22"/>
  <c r="G114" i="22" s="1"/>
  <c r="G110" i="22"/>
  <c r="H16" i="22"/>
  <c r="G102" i="22"/>
  <c r="G104" i="22" s="1"/>
  <c r="G100" i="22"/>
  <c r="P192" i="21" l="1"/>
  <c r="C268" i="21"/>
  <c r="D211" i="21"/>
  <c r="E211" i="21" s="1"/>
  <c r="F211" i="21" s="1"/>
  <c r="G211" i="21" s="1"/>
  <c r="H211" i="21" s="1"/>
  <c r="I211" i="21" s="1"/>
  <c r="J211" i="21" s="1"/>
  <c r="K211" i="21" s="1"/>
  <c r="L211" i="21" s="1"/>
  <c r="M211" i="21" s="1"/>
  <c r="N211" i="21" s="1"/>
  <c r="O211" i="21" s="1"/>
  <c r="P259" i="21"/>
  <c r="C265" i="21"/>
  <c r="D265" i="21" s="1"/>
  <c r="E265" i="21" s="1"/>
  <c r="F265" i="21" s="1"/>
  <c r="G265" i="21" s="1"/>
  <c r="H265" i="21" s="1"/>
  <c r="I265" i="21" s="1"/>
  <c r="J265" i="21" s="1"/>
  <c r="K265" i="21" s="1"/>
  <c r="L265" i="21" s="1"/>
  <c r="M265" i="21" s="1"/>
  <c r="N265" i="21" s="1"/>
  <c r="O265" i="21" s="1"/>
  <c r="C286" i="21"/>
  <c r="Q130" i="21"/>
  <c r="H43" i="10"/>
  <c r="AF43" i="10"/>
  <c r="AF44" i="4"/>
  <c r="AF43" i="9"/>
  <c r="H142" i="22"/>
  <c r="H144" i="22" s="1"/>
  <c r="H140" i="22"/>
  <c r="I56" i="22"/>
  <c r="I58" i="22"/>
  <c r="I60" i="22" s="1"/>
  <c r="G62" i="22"/>
  <c r="G63" i="22" s="1"/>
  <c r="G132" i="22"/>
  <c r="G134" i="22" s="1"/>
  <c r="G130" i="22"/>
  <c r="F146" i="22"/>
  <c r="H46" i="22"/>
  <c r="H48" i="22"/>
  <c r="H50" i="22" s="1"/>
  <c r="G122" i="22"/>
  <c r="G124" i="22" s="1"/>
  <c r="G120" i="22"/>
  <c r="H38" i="22"/>
  <c r="H40" i="22" s="1"/>
  <c r="H36" i="22"/>
  <c r="I26" i="22"/>
  <c r="I28" i="22"/>
  <c r="I30" i="22" s="1"/>
  <c r="H110" i="22"/>
  <c r="H112" i="22"/>
  <c r="H114" i="22" s="1"/>
  <c r="I16" i="22"/>
  <c r="I18" i="22"/>
  <c r="I20" i="22" s="1"/>
  <c r="H102" i="22"/>
  <c r="H104" i="22" s="1"/>
  <c r="H100" i="22"/>
  <c r="P268" i="21" l="1"/>
  <c r="C274" i="21"/>
  <c r="D274" i="21" s="1"/>
  <c r="E274" i="21" s="1"/>
  <c r="F274" i="21" s="1"/>
  <c r="G274" i="21" s="1"/>
  <c r="H274" i="21" s="1"/>
  <c r="I274" i="21" s="1"/>
  <c r="J274" i="21" s="1"/>
  <c r="K274" i="21" s="1"/>
  <c r="L274" i="21" s="1"/>
  <c r="M274" i="21" s="1"/>
  <c r="N274" i="21" s="1"/>
  <c r="O274" i="21" s="1"/>
  <c r="Q211" i="21"/>
  <c r="C292" i="21"/>
  <c r="P286" i="21"/>
  <c r="P291" i="21" s="1"/>
  <c r="P264" i="21"/>
  <c r="C340" i="21"/>
  <c r="G146" i="22"/>
  <c r="J58" i="22"/>
  <c r="J60" i="22" s="1"/>
  <c r="J56" i="22"/>
  <c r="I142" i="22"/>
  <c r="I144" i="22" s="1"/>
  <c r="I140" i="22"/>
  <c r="H130" i="22"/>
  <c r="H132" i="22"/>
  <c r="H134" i="22" s="1"/>
  <c r="I48" i="22"/>
  <c r="I50" i="22" s="1"/>
  <c r="I46" i="22"/>
  <c r="H62" i="22"/>
  <c r="H63" i="22" s="1"/>
  <c r="I36" i="22"/>
  <c r="I38" i="22"/>
  <c r="I40" i="22" s="1"/>
  <c r="H122" i="22"/>
  <c r="H124" i="22" s="1"/>
  <c r="H120" i="22"/>
  <c r="J26" i="22"/>
  <c r="J28" i="22"/>
  <c r="J30" i="22" s="1"/>
  <c r="I110" i="22"/>
  <c r="I112" i="22"/>
  <c r="I114" i="22" s="1"/>
  <c r="J16" i="22"/>
  <c r="J18" i="22"/>
  <c r="J20" i="22" s="1"/>
  <c r="I102" i="22"/>
  <c r="I104" i="22" s="1"/>
  <c r="I100" i="22"/>
  <c r="C349" i="21" l="1"/>
  <c r="C367" i="21" s="1"/>
  <c r="P273" i="21"/>
  <c r="C346" i="21"/>
  <c r="D346" i="21" s="1"/>
  <c r="E346" i="21" s="1"/>
  <c r="F346" i="21" s="1"/>
  <c r="G346" i="21" s="1"/>
  <c r="H346" i="21" s="1"/>
  <c r="I346" i="21" s="1"/>
  <c r="J346" i="21" s="1"/>
  <c r="K346" i="21" s="1"/>
  <c r="L346" i="21" s="1"/>
  <c r="M346" i="21" s="1"/>
  <c r="N346" i="21" s="1"/>
  <c r="O346" i="21" s="1"/>
  <c r="P340" i="21"/>
  <c r="P345" i="21" s="1"/>
  <c r="D292" i="21"/>
  <c r="E292" i="21" s="1"/>
  <c r="F292" i="21" s="1"/>
  <c r="G292" i="21" s="1"/>
  <c r="H292" i="21" s="1"/>
  <c r="I292" i="21" s="1"/>
  <c r="J292" i="21" s="1"/>
  <c r="K292" i="21" s="1"/>
  <c r="L292" i="21" s="1"/>
  <c r="M292" i="21" s="1"/>
  <c r="N292" i="21" s="1"/>
  <c r="O292" i="21" s="1"/>
  <c r="G14" i="31" s="1"/>
  <c r="G17" i="31" s="1"/>
  <c r="G22" i="5" s="1"/>
  <c r="J140" i="22"/>
  <c r="J142" i="22"/>
  <c r="J144" i="22" s="1"/>
  <c r="K58" i="22"/>
  <c r="K60" i="22" s="1"/>
  <c r="K56" i="22"/>
  <c r="I130" i="22"/>
  <c r="I132" i="22"/>
  <c r="I134" i="22" s="1"/>
  <c r="I62" i="22"/>
  <c r="I63" i="22" s="1"/>
  <c r="J46" i="22"/>
  <c r="J48" i="22"/>
  <c r="J50" i="22" s="1"/>
  <c r="I122" i="22"/>
  <c r="I124" i="22" s="1"/>
  <c r="I120" i="22"/>
  <c r="H146" i="22"/>
  <c r="J36" i="22"/>
  <c r="J38" i="22"/>
  <c r="J40" i="22" s="1"/>
  <c r="J112" i="22"/>
  <c r="J114" i="22" s="1"/>
  <c r="J110" i="22"/>
  <c r="K26" i="22"/>
  <c r="K28" i="22"/>
  <c r="K30" i="22" s="1"/>
  <c r="K18" i="22"/>
  <c r="K20" i="22" s="1"/>
  <c r="K16" i="22"/>
  <c r="J102" i="22"/>
  <c r="J104" i="22" s="1"/>
  <c r="J100" i="22"/>
  <c r="C355" i="21" l="1"/>
  <c r="D355" i="21" s="1"/>
  <c r="E355" i="21" s="1"/>
  <c r="F355" i="21" s="1"/>
  <c r="G355" i="21" s="1"/>
  <c r="H355" i="21" s="1"/>
  <c r="I355" i="21" s="1"/>
  <c r="J355" i="21" s="1"/>
  <c r="K355" i="21" s="1"/>
  <c r="L355" i="21" s="1"/>
  <c r="M355" i="21" s="1"/>
  <c r="N355" i="21" s="1"/>
  <c r="O355" i="21" s="1"/>
  <c r="P349" i="21"/>
  <c r="P354" i="21" s="1"/>
  <c r="Q292" i="21"/>
  <c r="C373" i="21"/>
  <c r="P367" i="21"/>
  <c r="P372" i="21" s="1"/>
  <c r="I146" i="22"/>
  <c r="K142" i="22"/>
  <c r="K144" i="22" s="1"/>
  <c r="K140" i="22"/>
  <c r="L56" i="22"/>
  <c r="L58" i="22"/>
  <c r="L60" i="22" s="1"/>
  <c r="K48" i="22"/>
  <c r="K50" i="22" s="1"/>
  <c r="K46" i="22"/>
  <c r="J62" i="22"/>
  <c r="J63" i="22" s="1"/>
  <c r="J132" i="22"/>
  <c r="J134" i="22" s="1"/>
  <c r="J130" i="22"/>
  <c r="K36" i="22"/>
  <c r="K38" i="22"/>
  <c r="K40" i="22" s="1"/>
  <c r="J122" i="22"/>
  <c r="J124" i="22" s="1"/>
  <c r="J120" i="22"/>
  <c r="L26" i="22"/>
  <c r="L28" i="22"/>
  <c r="L30" i="22" s="1"/>
  <c r="K110" i="22"/>
  <c r="K112" i="22"/>
  <c r="K114" i="22" s="1"/>
  <c r="L16" i="22"/>
  <c r="L18" i="22"/>
  <c r="L20" i="22" s="1"/>
  <c r="K100" i="22"/>
  <c r="K102" i="22"/>
  <c r="K104" i="22" s="1"/>
  <c r="D373" i="21" l="1"/>
  <c r="E373" i="21" s="1"/>
  <c r="F373" i="21" s="1"/>
  <c r="G373" i="21" s="1"/>
  <c r="H373" i="21" s="1"/>
  <c r="I373" i="21" s="1"/>
  <c r="J373" i="21" s="1"/>
  <c r="K373" i="21" s="1"/>
  <c r="L373" i="21" s="1"/>
  <c r="M373" i="21" s="1"/>
  <c r="N373" i="21" s="1"/>
  <c r="O373" i="21" s="1"/>
  <c r="M58" i="22"/>
  <c r="M60" i="22" s="1"/>
  <c r="M56" i="22"/>
  <c r="L140" i="22"/>
  <c r="L142" i="22"/>
  <c r="L144" i="22" s="1"/>
  <c r="J146" i="22"/>
  <c r="K62" i="22"/>
  <c r="K63" i="22" s="1"/>
  <c r="K132" i="22"/>
  <c r="K134" i="22" s="1"/>
  <c r="K130" i="22"/>
  <c r="L48" i="22"/>
  <c r="L50" i="22" s="1"/>
  <c r="L46" i="22"/>
  <c r="L36" i="22"/>
  <c r="L38" i="22"/>
  <c r="L40" i="22" s="1"/>
  <c r="K122" i="22"/>
  <c r="K124" i="22" s="1"/>
  <c r="K120" i="22"/>
  <c r="L112" i="22"/>
  <c r="L114" i="22" s="1"/>
  <c r="L110" i="22"/>
  <c r="M26" i="22"/>
  <c r="M28" i="22"/>
  <c r="M30" i="22" s="1"/>
  <c r="M18" i="22"/>
  <c r="M20" i="22" s="1"/>
  <c r="M16" i="22"/>
  <c r="L102" i="22"/>
  <c r="L104" i="22" s="1"/>
  <c r="L100" i="22"/>
  <c r="Q373" i="21" l="1"/>
  <c r="G13" i="5" s="1"/>
  <c r="L62" i="22"/>
  <c r="K146" i="22"/>
  <c r="L63" i="22"/>
  <c r="M142" i="22"/>
  <c r="M144" i="22" s="1"/>
  <c r="M140" i="22"/>
  <c r="N58" i="22"/>
  <c r="N60" i="22" s="1"/>
  <c r="N56" i="22"/>
  <c r="M48" i="22"/>
  <c r="M50" i="22" s="1"/>
  <c r="M46" i="22"/>
  <c r="L132" i="22"/>
  <c r="L134" i="22" s="1"/>
  <c r="L130" i="22"/>
  <c r="L122" i="22"/>
  <c r="L124" i="22" s="1"/>
  <c r="L120" i="22"/>
  <c r="M36" i="22"/>
  <c r="M38" i="22"/>
  <c r="M40" i="22" s="1"/>
  <c r="N26" i="22"/>
  <c r="N28" i="22"/>
  <c r="N30" i="22" s="1"/>
  <c r="M112" i="22"/>
  <c r="M114" i="22" s="1"/>
  <c r="M110" i="22"/>
  <c r="N16" i="22"/>
  <c r="N18" i="22"/>
  <c r="N20" i="22" s="1"/>
  <c r="M102" i="22"/>
  <c r="M104" i="22" s="1"/>
  <c r="M100" i="22"/>
  <c r="O58" i="22" l="1"/>
  <c r="O60" i="22" s="1"/>
  <c r="O56" i="22"/>
  <c r="N140" i="22"/>
  <c r="N142" i="22"/>
  <c r="N144" i="22" s="1"/>
  <c r="M132" i="22"/>
  <c r="M134" i="22" s="1"/>
  <c r="M130" i="22"/>
  <c r="M62" i="22"/>
  <c r="M63" i="22" s="1"/>
  <c r="N48" i="22"/>
  <c r="N50" i="22" s="1"/>
  <c r="N46" i="22"/>
  <c r="L146" i="22"/>
  <c r="N36" i="22"/>
  <c r="N38" i="22"/>
  <c r="N40" i="22" s="1"/>
  <c r="M120" i="22"/>
  <c r="M122" i="22"/>
  <c r="M124" i="22" s="1"/>
  <c r="O28" i="22"/>
  <c r="O30" i="22" s="1"/>
  <c r="O26" i="22"/>
  <c r="N112" i="22"/>
  <c r="N114" i="22" s="1"/>
  <c r="N110" i="22"/>
  <c r="O16" i="22"/>
  <c r="O18" i="22"/>
  <c r="O20" i="22" s="1"/>
  <c r="N100" i="22"/>
  <c r="N102" i="22"/>
  <c r="N104" i="22" s="1"/>
  <c r="O140" i="22" l="1"/>
  <c r="O142" i="22"/>
  <c r="O144" i="22" s="1"/>
  <c r="P56" i="22"/>
  <c r="P58" i="22"/>
  <c r="P60" i="22" s="1"/>
  <c r="Q60" i="22" s="1"/>
  <c r="N62" i="22"/>
  <c r="N63" i="22" s="1"/>
  <c r="O48" i="22"/>
  <c r="O50" i="22" s="1"/>
  <c r="O46" i="22"/>
  <c r="M146" i="22"/>
  <c r="N132" i="22"/>
  <c r="N134" i="22" s="1"/>
  <c r="N130" i="22"/>
  <c r="N122" i="22"/>
  <c r="N124" i="22" s="1"/>
  <c r="N120" i="22"/>
  <c r="O38" i="22"/>
  <c r="O40" i="22" s="1"/>
  <c r="O36" i="22"/>
  <c r="P28" i="22"/>
  <c r="P30" i="22" s="1"/>
  <c r="Q30" i="22" s="1"/>
  <c r="P26" i="22"/>
  <c r="O112" i="22"/>
  <c r="O114" i="22" s="1"/>
  <c r="O110" i="22"/>
  <c r="P18" i="22"/>
  <c r="P20" i="22" s="1"/>
  <c r="P16" i="22"/>
  <c r="O102" i="22"/>
  <c r="O104" i="22" s="1"/>
  <c r="O100" i="22"/>
  <c r="P140" i="22" l="1"/>
  <c r="D213" i="22" s="1"/>
  <c r="P142" i="22"/>
  <c r="P144" i="22" s="1"/>
  <c r="Q144" i="22" s="1"/>
  <c r="O62" i="22"/>
  <c r="O63" i="22" s="1"/>
  <c r="O132" i="22"/>
  <c r="O134" i="22" s="1"/>
  <c r="O130" i="22"/>
  <c r="N146" i="22"/>
  <c r="P48" i="22"/>
  <c r="P50" i="22" s="1"/>
  <c r="Q50" i="22" s="1"/>
  <c r="AH18" i="10" s="1"/>
  <c r="AI18" i="10" s="1"/>
  <c r="AJ18" i="10" s="1"/>
  <c r="AK18" i="10" s="1"/>
  <c r="P46" i="22"/>
  <c r="O120" i="22"/>
  <c r="O122" i="22"/>
  <c r="O124" i="22" s="1"/>
  <c r="P38" i="22"/>
  <c r="P40" i="22" s="1"/>
  <c r="Q40" i="22" s="1"/>
  <c r="P36" i="22"/>
  <c r="P110" i="22"/>
  <c r="D183" i="22" s="1"/>
  <c r="P112" i="22"/>
  <c r="P114" i="22" s="1"/>
  <c r="Q114" i="22" s="1"/>
  <c r="Q20" i="22"/>
  <c r="AH18" i="9" s="1"/>
  <c r="AI18" i="9" s="1"/>
  <c r="AJ18" i="9" s="1"/>
  <c r="AK18" i="9" s="1"/>
  <c r="P100" i="22"/>
  <c r="D173" i="22" s="1"/>
  <c r="P102" i="22"/>
  <c r="P104" i="22" s="1"/>
  <c r="AH19" i="10" l="1"/>
  <c r="AI19" i="10" s="1"/>
  <c r="AJ19" i="10" s="1"/>
  <c r="AK19" i="10" s="1"/>
  <c r="E213" i="22"/>
  <c r="Q212" i="22"/>
  <c r="E215" i="22"/>
  <c r="E217" i="22" s="1"/>
  <c r="O146" i="22"/>
  <c r="P130" i="22"/>
  <c r="D203" i="22" s="1"/>
  <c r="P132" i="22"/>
  <c r="P134" i="22" s="1"/>
  <c r="Q134" i="22" s="1"/>
  <c r="P62" i="22"/>
  <c r="Q62" i="22" s="1"/>
  <c r="D147" i="22" s="1"/>
  <c r="E147" i="22" s="1"/>
  <c r="F147" i="22" s="1"/>
  <c r="G147" i="22" s="1"/>
  <c r="H147" i="22" s="1"/>
  <c r="I147" i="22" s="1"/>
  <c r="J147" i="22" s="1"/>
  <c r="K147" i="22" s="1"/>
  <c r="L147" i="22" s="1"/>
  <c r="M147" i="22" s="1"/>
  <c r="N147" i="22" s="1"/>
  <c r="O147" i="22" s="1"/>
  <c r="P120" i="22"/>
  <c r="D193" i="22" s="1"/>
  <c r="P122" i="22"/>
  <c r="P124" i="22" s="1"/>
  <c r="Q124" i="22" s="1"/>
  <c r="E183" i="22"/>
  <c r="E185" i="22"/>
  <c r="E187" i="22" s="1"/>
  <c r="Q182" i="22"/>
  <c r="Q104" i="22"/>
  <c r="E175" i="22"/>
  <c r="E177" i="22" s="1"/>
  <c r="E173" i="22"/>
  <c r="Q172" i="22"/>
  <c r="AH19" i="9" l="1"/>
  <c r="AI19" i="9" s="1"/>
  <c r="AJ19" i="9" s="1"/>
  <c r="AK19" i="9" s="1"/>
  <c r="F215" i="22"/>
  <c r="F217" i="22" s="1"/>
  <c r="F213" i="22"/>
  <c r="E203" i="22"/>
  <c r="E205" i="22"/>
  <c r="E207" i="22" s="1"/>
  <c r="Q202" i="22"/>
  <c r="P63" i="22"/>
  <c r="P146" i="22"/>
  <c r="Q146" i="22" s="1"/>
  <c r="Q192" i="22"/>
  <c r="E193" i="22"/>
  <c r="E195" i="22"/>
  <c r="E197" i="22" s="1"/>
  <c r="F185" i="22"/>
  <c r="F187" i="22" s="1"/>
  <c r="F183" i="22"/>
  <c r="F175" i="22"/>
  <c r="F177" i="22" s="1"/>
  <c r="F173" i="22"/>
  <c r="P147" i="22" l="1"/>
  <c r="D220" i="22" s="1"/>
  <c r="G215" i="22"/>
  <c r="G217" i="22" s="1"/>
  <c r="G213" i="22"/>
  <c r="E219" i="22"/>
  <c r="F203" i="22"/>
  <c r="F205" i="22"/>
  <c r="F207" i="22" s="1"/>
  <c r="F193" i="22"/>
  <c r="F195" i="22"/>
  <c r="F197" i="22" s="1"/>
  <c r="G183" i="22"/>
  <c r="G185" i="22"/>
  <c r="G187" i="22" s="1"/>
  <c r="G173" i="22"/>
  <c r="G175" i="22"/>
  <c r="G177" i="22" s="1"/>
  <c r="F219" i="22" l="1"/>
  <c r="E220" i="22"/>
  <c r="H213" i="22"/>
  <c r="H215" i="22"/>
  <c r="H217" i="22" s="1"/>
  <c r="G205" i="22"/>
  <c r="G207" i="22" s="1"/>
  <c r="G203" i="22"/>
  <c r="G193" i="22"/>
  <c r="G195" i="22"/>
  <c r="G197" i="22" s="1"/>
  <c r="H183" i="22"/>
  <c r="H185" i="22"/>
  <c r="H187" i="22" s="1"/>
  <c r="H173" i="22"/>
  <c r="H175" i="22"/>
  <c r="H177" i="22" s="1"/>
  <c r="F220" i="22" l="1"/>
  <c r="I215" i="22"/>
  <c r="I217" i="22" s="1"/>
  <c r="I213" i="22"/>
  <c r="G219" i="22"/>
  <c r="H205" i="22"/>
  <c r="H207" i="22" s="1"/>
  <c r="H203" i="22"/>
  <c r="H193" i="22"/>
  <c r="H195" i="22"/>
  <c r="H197" i="22" s="1"/>
  <c r="I183" i="22"/>
  <c r="I185" i="22"/>
  <c r="I187" i="22" s="1"/>
  <c r="I173" i="22"/>
  <c r="I175" i="22"/>
  <c r="I177" i="22" s="1"/>
  <c r="G220" i="22" l="1"/>
  <c r="J215" i="22"/>
  <c r="J217" i="22" s="1"/>
  <c r="J213" i="22"/>
  <c r="H219" i="22"/>
  <c r="I203" i="22"/>
  <c r="I205" i="22"/>
  <c r="I207" i="22" s="1"/>
  <c r="I195" i="22"/>
  <c r="I197" i="22" s="1"/>
  <c r="I193" i="22"/>
  <c r="J183" i="22"/>
  <c r="J185" i="22"/>
  <c r="J187" i="22" s="1"/>
  <c r="J175" i="22"/>
  <c r="J177" i="22" s="1"/>
  <c r="J173" i="22"/>
  <c r="H220" i="22" l="1"/>
  <c r="K213" i="22"/>
  <c r="K215" i="22"/>
  <c r="K217" i="22" s="1"/>
  <c r="I219" i="22"/>
  <c r="J205" i="22"/>
  <c r="J207" i="22" s="1"/>
  <c r="J203" i="22"/>
  <c r="J193" i="22"/>
  <c r="J195" i="22"/>
  <c r="J197" i="22" s="1"/>
  <c r="K183" i="22"/>
  <c r="K185" i="22"/>
  <c r="K187" i="22" s="1"/>
  <c r="K173" i="22"/>
  <c r="K175" i="22"/>
  <c r="K177" i="22" s="1"/>
  <c r="I220" i="22" l="1"/>
  <c r="L213" i="22"/>
  <c r="L215" i="22"/>
  <c r="L217" i="22" s="1"/>
  <c r="J219" i="22"/>
  <c r="J220" i="22" s="1"/>
  <c r="K203" i="22"/>
  <c r="K205" i="22"/>
  <c r="K207" i="22" s="1"/>
  <c r="K193" i="22"/>
  <c r="K195" i="22"/>
  <c r="K197" i="22" s="1"/>
  <c r="L183" i="22"/>
  <c r="L185" i="22"/>
  <c r="L187" i="22" s="1"/>
  <c r="L175" i="22"/>
  <c r="L177" i="22" s="1"/>
  <c r="L173" i="22"/>
  <c r="M213" i="22" l="1"/>
  <c r="M215" i="22"/>
  <c r="M217" i="22" s="1"/>
  <c r="K219" i="22"/>
  <c r="K220" i="22" s="1"/>
  <c r="L203" i="22"/>
  <c r="L205" i="22"/>
  <c r="L207" i="22" s="1"/>
  <c r="L193" i="22"/>
  <c r="L195" i="22"/>
  <c r="L197" i="22" s="1"/>
  <c r="M183" i="22"/>
  <c r="M185" i="22"/>
  <c r="M187" i="22" s="1"/>
  <c r="M175" i="22"/>
  <c r="M177" i="22" s="1"/>
  <c r="M173" i="22"/>
  <c r="N215" i="22" l="1"/>
  <c r="N217" i="22" s="1"/>
  <c r="N213" i="22"/>
  <c r="L219" i="22"/>
  <c r="L220" i="22" s="1"/>
  <c r="M205" i="22"/>
  <c r="M207" i="22" s="1"/>
  <c r="M203" i="22"/>
  <c r="M193" i="22"/>
  <c r="M195" i="22"/>
  <c r="M197" i="22" s="1"/>
  <c r="N183" i="22"/>
  <c r="N185" i="22"/>
  <c r="N187" i="22" s="1"/>
  <c r="N175" i="22"/>
  <c r="N177" i="22" s="1"/>
  <c r="N173" i="22"/>
  <c r="O213" i="22" l="1"/>
  <c r="O215" i="22"/>
  <c r="O217" i="22" s="1"/>
  <c r="M219" i="22"/>
  <c r="M220" i="22" s="1"/>
  <c r="N205" i="22"/>
  <c r="N207" i="22" s="1"/>
  <c r="N203" i="22"/>
  <c r="N193" i="22"/>
  <c r="N195" i="22"/>
  <c r="N197" i="22" s="1"/>
  <c r="O183" i="22"/>
  <c r="O185" i="22"/>
  <c r="O187" i="22" s="1"/>
  <c r="O175" i="22"/>
  <c r="O177" i="22" s="1"/>
  <c r="O173" i="22"/>
  <c r="P215" i="22" l="1"/>
  <c r="P217" i="22" s="1"/>
  <c r="Q217" i="22" s="1"/>
  <c r="P213" i="22"/>
  <c r="D294" i="22" s="1"/>
  <c r="N219" i="22"/>
  <c r="N220" i="22" s="1"/>
  <c r="O205" i="22"/>
  <c r="O207" i="22" s="1"/>
  <c r="O203" i="22"/>
  <c r="O193" i="22"/>
  <c r="O195" i="22"/>
  <c r="O197" i="22" s="1"/>
  <c r="P185" i="22"/>
  <c r="P187" i="22" s="1"/>
  <c r="Q187" i="22" s="1"/>
  <c r="P183" i="22"/>
  <c r="D264" i="22" s="1"/>
  <c r="P173" i="22"/>
  <c r="D254" i="22" s="1"/>
  <c r="P175" i="22"/>
  <c r="P177" i="22" s="1"/>
  <c r="AH20" i="10" l="1"/>
  <c r="AI20" i="10" s="1"/>
  <c r="AJ20" i="10" s="1"/>
  <c r="AK20" i="10" s="1"/>
  <c r="E296" i="22"/>
  <c r="E298" i="22" s="1"/>
  <c r="E294" i="22"/>
  <c r="Q293" i="22"/>
  <c r="P203" i="22"/>
  <c r="D284" i="22" s="1"/>
  <c r="P205" i="22"/>
  <c r="P207" i="22" s="1"/>
  <c r="Q207" i="22" s="1"/>
  <c r="O219" i="22"/>
  <c r="O220" i="22" s="1"/>
  <c r="P193" i="22"/>
  <c r="D274" i="22" s="1"/>
  <c r="P195" i="22"/>
  <c r="P197" i="22" s="1"/>
  <c r="Q197" i="22" s="1"/>
  <c r="Q263" i="22"/>
  <c r="E266" i="22"/>
  <c r="E268" i="22" s="1"/>
  <c r="E264" i="22"/>
  <c r="Q177" i="22"/>
  <c r="E256" i="22"/>
  <c r="E258" i="22" s="1"/>
  <c r="E254" i="22"/>
  <c r="Q253" i="22"/>
  <c r="AH20" i="9" l="1"/>
  <c r="F296" i="22"/>
  <c r="F298" i="22" s="1"/>
  <c r="F294" i="22"/>
  <c r="E284" i="22"/>
  <c r="Q283" i="22"/>
  <c r="E286" i="22"/>
  <c r="E288" i="22" s="1"/>
  <c r="P219" i="22"/>
  <c r="Q219" i="22" s="1"/>
  <c r="E274" i="22"/>
  <c r="E276" i="22"/>
  <c r="E278" i="22" s="1"/>
  <c r="Q273" i="22"/>
  <c r="F264" i="22"/>
  <c r="F266" i="22"/>
  <c r="F268" i="22" s="1"/>
  <c r="F254" i="22"/>
  <c r="F256" i="22"/>
  <c r="F258" i="22" s="1"/>
  <c r="AH21" i="4" l="1"/>
  <c r="AI20" i="9"/>
  <c r="P220" i="22"/>
  <c r="D301" i="22" s="1"/>
  <c r="G296" i="22"/>
  <c r="G298" i="22" s="1"/>
  <c r="G294" i="22"/>
  <c r="F286" i="22"/>
  <c r="F288" i="22" s="1"/>
  <c r="F284" i="22"/>
  <c r="E300" i="22"/>
  <c r="F276" i="22"/>
  <c r="F278" i="22" s="1"/>
  <c r="F274" i="22"/>
  <c r="G264" i="22"/>
  <c r="G266" i="22"/>
  <c r="G268" i="22" s="1"/>
  <c r="G254" i="22"/>
  <c r="G256" i="22"/>
  <c r="G258" i="22" s="1"/>
  <c r="AJ20" i="9" l="1"/>
  <c r="AI21" i="4"/>
  <c r="E301" i="22"/>
  <c r="H294" i="22"/>
  <c r="H296" i="22"/>
  <c r="H298" i="22" s="1"/>
  <c r="F300" i="22"/>
  <c r="G284" i="22"/>
  <c r="G286" i="22"/>
  <c r="G288" i="22" s="1"/>
  <c r="G276" i="22"/>
  <c r="G278" i="22" s="1"/>
  <c r="G274" i="22"/>
  <c r="H266" i="22"/>
  <c r="H268" i="22" s="1"/>
  <c r="H264" i="22"/>
  <c r="H254" i="22"/>
  <c r="H256" i="22"/>
  <c r="H258" i="22" s="1"/>
  <c r="AJ21" i="4" l="1"/>
  <c r="AK20" i="9"/>
  <c r="AK21" i="4" s="1"/>
  <c r="N33" i="23" s="1"/>
  <c r="F301" i="22"/>
  <c r="I294" i="22"/>
  <c r="I296" i="22"/>
  <c r="I298" i="22" s="1"/>
  <c r="H284" i="22"/>
  <c r="H286" i="22"/>
  <c r="H288" i="22" s="1"/>
  <c r="H276" i="22"/>
  <c r="H278" i="22" s="1"/>
  <c r="H274" i="22"/>
  <c r="G300" i="22"/>
  <c r="I266" i="22"/>
  <c r="I268" i="22" s="1"/>
  <c r="I264" i="22"/>
  <c r="I254" i="22"/>
  <c r="I256" i="22"/>
  <c r="I258" i="22" s="1"/>
  <c r="B42" i="23" l="1"/>
  <c r="B44" i="23" s="1"/>
  <c r="O33" i="23"/>
  <c r="P33" i="23" s="1"/>
  <c r="C35" i="23" s="1"/>
  <c r="G301" i="22"/>
  <c r="J296" i="22"/>
  <c r="J298" i="22" s="1"/>
  <c r="J294" i="22"/>
  <c r="I286" i="22"/>
  <c r="I288" i="22" s="1"/>
  <c r="I284" i="22"/>
  <c r="H300" i="22"/>
  <c r="I276" i="22"/>
  <c r="I278" i="22" s="1"/>
  <c r="I274" i="22"/>
  <c r="J264" i="22"/>
  <c r="J266" i="22"/>
  <c r="J268" i="22" s="1"/>
  <c r="J256" i="22"/>
  <c r="J258" i="22" s="1"/>
  <c r="J254" i="22"/>
  <c r="D35" i="23" l="1"/>
  <c r="E35" i="23" s="1"/>
  <c r="F35" i="23" s="1"/>
  <c r="G35" i="23" s="1"/>
  <c r="H35" i="23" s="1"/>
  <c r="I35" i="23" s="1"/>
  <c r="J35" i="23" s="1"/>
  <c r="K35" i="23" s="1"/>
  <c r="L35" i="23" s="1"/>
  <c r="M35" i="23" s="1"/>
  <c r="N35" i="23" s="1"/>
  <c r="Q35" i="23"/>
  <c r="H301" i="22"/>
  <c r="I300" i="22"/>
  <c r="K294" i="22"/>
  <c r="K296" i="22"/>
  <c r="K298" i="22" s="1"/>
  <c r="J286" i="22"/>
  <c r="J288" i="22" s="1"/>
  <c r="J284" i="22"/>
  <c r="J276" i="22"/>
  <c r="J278" i="22" s="1"/>
  <c r="J274" i="22"/>
  <c r="K266" i="22"/>
  <c r="K268" i="22" s="1"/>
  <c r="K264" i="22"/>
  <c r="K254" i="22"/>
  <c r="K256" i="22"/>
  <c r="K258" i="22" s="1"/>
  <c r="I301" i="22" l="1"/>
  <c r="L296" i="22"/>
  <c r="L298" i="22" s="1"/>
  <c r="L294" i="22"/>
  <c r="J300" i="22"/>
  <c r="K284" i="22"/>
  <c r="K286" i="22"/>
  <c r="K288" i="22" s="1"/>
  <c r="K274" i="22"/>
  <c r="K276" i="22"/>
  <c r="K278" i="22" s="1"/>
  <c r="L264" i="22"/>
  <c r="L266" i="22"/>
  <c r="L268" i="22" s="1"/>
  <c r="L256" i="22"/>
  <c r="L258" i="22" s="1"/>
  <c r="L254" i="22"/>
  <c r="J301" i="22" l="1"/>
  <c r="M296" i="22"/>
  <c r="M298" i="22" s="1"/>
  <c r="M294" i="22"/>
  <c r="K300" i="22"/>
  <c r="L286" i="22"/>
  <c r="L288" i="22" s="1"/>
  <c r="L284" i="22"/>
  <c r="L276" i="22"/>
  <c r="L278" i="22" s="1"/>
  <c r="L274" i="22"/>
  <c r="M264" i="22"/>
  <c r="M266" i="22"/>
  <c r="M268" i="22" s="1"/>
  <c r="M256" i="22"/>
  <c r="M258" i="22" s="1"/>
  <c r="M254" i="22"/>
  <c r="K301" i="22" l="1"/>
  <c r="N294" i="22"/>
  <c r="N296" i="22"/>
  <c r="N298" i="22" s="1"/>
  <c r="L300" i="22"/>
  <c r="M286" i="22"/>
  <c r="M288" i="22" s="1"/>
  <c r="M284" i="22"/>
  <c r="M276" i="22"/>
  <c r="M278" i="22" s="1"/>
  <c r="M274" i="22"/>
  <c r="N264" i="22"/>
  <c r="N266" i="22"/>
  <c r="N268" i="22" s="1"/>
  <c r="N256" i="22"/>
  <c r="N258" i="22" s="1"/>
  <c r="N254" i="22"/>
  <c r="L301" i="22" l="1"/>
  <c r="O294" i="22"/>
  <c r="O296" i="22"/>
  <c r="O298" i="22" s="1"/>
  <c r="M300" i="22"/>
  <c r="N286" i="22"/>
  <c r="N288" i="22" s="1"/>
  <c r="N284" i="22"/>
  <c r="N274" i="22"/>
  <c r="N276" i="22"/>
  <c r="N278" i="22" s="1"/>
  <c r="O266" i="22"/>
  <c r="O268" i="22" s="1"/>
  <c r="O264" i="22"/>
  <c r="O256" i="22"/>
  <c r="O258" i="22" s="1"/>
  <c r="O254" i="22"/>
  <c r="M301" i="22" l="1"/>
  <c r="N300" i="22"/>
  <c r="P294" i="22"/>
  <c r="D375" i="22" s="1"/>
  <c r="P296" i="22"/>
  <c r="P298" i="22" s="1"/>
  <c r="Q298" i="22" s="1"/>
  <c r="O284" i="22"/>
  <c r="O286" i="22"/>
  <c r="O288" i="22" s="1"/>
  <c r="O276" i="22"/>
  <c r="O278" i="22" s="1"/>
  <c r="O274" i="22"/>
  <c r="P264" i="22"/>
  <c r="D345" i="22" s="1"/>
  <c r="P266" i="22"/>
  <c r="P268" i="22" s="1"/>
  <c r="Q268" i="22" s="1"/>
  <c r="P256" i="22"/>
  <c r="P258" i="22" s="1"/>
  <c r="P254" i="22"/>
  <c r="D335" i="22" s="1"/>
  <c r="N301" i="22" l="1"/>
  <c r="O300" i="22"/>
  <c r="O301" i="22" s="1"/>
  <c r="Q374" i="22"/>
  <c r="E375" i="22"/>
  <c r="E377" i="22"/>
  <c r="E379" i="22" s="1"/>
  <c r="P284" i="22"/>
  <c r="D365" i="22" s="1"/>
  <c r="P286" i="22"/>
  <c r="P288" i="22" s="1"/>
  <c r="Q288" i="22" s="1"/>
  <c r="AH21" i="10" s="1"/>
  <c r="AI21" i="10" s="1"/>
  <c r="AJ21" i="10" s="1"/>
  <c r="AK21" i="10" s="1"/>
  <c r="P276" i="22"/>
  <c r="P278" i="22" s="1"/>
  <c r="Q278" i="22" s="1"/>
  <c r="P274" i="22"/>
  <c r="D355" i="22" s="1"/>
  <c r="E347" i="22"/>
  <c r="E349" i="22" s="1"/>
  <c r="Q344" i="22"/>
  <c r="E345" i="22"/>
  <c r="E337" i="22"/>
  <c r="E339" i="22" s="1"/>
  <c r="E335" i="22"/>
  <c r="Q334" i="22"/>
  <c r="Q258" i="22"/>
  <c r="AH21" i="9" s="1"/>
  <c r="AH22" i="4" l="1"/>
  <c r="F377" i="22"/>
  <c r="F379" i="22" s="1"/>
  <c r="F375" i="22"/>
  <c r="E367" i="22"/>
  <c r="E369" i="22" s="1"/>
  <c r="Q364" i="22"/>
  <c r="E365" i="22"/>
  <c r="P300" i="22"/>
  <c r="P301" i="22" s="1"/>
  <c r="D382" i="22" s="1"/>
  <c r="E357" i="22"/>
  <c r="E359" i="22" s="1"/>
  <c r="Q354" i="22"/>
  <c r="E355" i="22"/>
  <c r="F345" i="22"/>
  <c r="F347" i="22"/>
  <c r="F349" i="22" s="1"/>
  <c r="F335" i="22"/>
  <c r="F337" i="22"/>
  <c r="F339" i="22" s="1"/>
  <c r="G375" i="22" l="1"/>
  <c r="G377" i="22"/>
  <c r="G379" i="22" s="1"/>
  <c r="E381" i="22"/>
  <c r="E382" i="22" s="1"/>
  <c r="F365" i="22"/>
  <c r="F367" i="22"/>
  <c r="F369" i="22" s="1"/>
  <c r="Q300" i="22"/>
  <c r="F355" i="22"/>
  <c r="F357" i="22"/>
  <c r="F359" i="22" s="1"/>
  <c r="G345" i="22"/>
  <c r="G347" i="22"/>
  <c r="G349" i="22" s="1"/>
  <c r="G337" i="22"/>
  <c r="G339" i="22" s="1"/>
  <c r="G335" i="22"/>
  <c r="H375" i="22" l="1"/>
  <c r="H377" i="22"/>
  <c r="H379" i="22" s="1"/>
  <c r="G365" i="22"/>
  <c r="G367" i="22"/>
  <c r="G369" i="22" s="1"/>
  <c r="G355" i="22"/>
  <c r="G357" i="22"/>
  <c r="G359" i="22" s="1"/>
  <c r="F381" i="22"/>
  <c r="F382" i="22" s="1"/>
  <c r="H347" i="22"/>
  <c r="H349" i="22" s="1"/>
  <c r="H345" i="22"/>
  <c r="H335" i="22"/>
  <c r="H337" i="22"/>
  <c r="H339" i="22" s="1"/>
  <c r="I375" i="22" l="1"/>
  <c r="I377" i="22"/>
  <c r="I379" i="22" s="1"/>
  <c r="H365" i="22"/>
  <c r="H367" i="22"/>
  <c r="H369" i="22" s="1"/>
  <c r="G381" i="22"/>
  <c r="G382" i="22" s="1"/>
  <c r="H357" i="22"/>
  <c r="H359" i="22" s="1"/>
  <c r="H355" i="22"/>
  <c r="I345" i="22"/>
  <c r="I347" i="22"/>
  <c r="I349" i="22" s="1"/>
  <c r="I335" i="22"/>
  <c r="I337" i="22"/>
  <c r="I339" i="22" s="1"/>
  <c r="H381" i="22" l="1"/>
  <c r="H382" i="22" s="1"/>
  <c r="J375" i="22"/>
  <c r="J377" i="22"/>
  <c r="J379" i="22" s="1"/>
  <c r="I367" i="22"/>
  <c r="I369" i="22" s="1"/>
  <c r="I365" i="22"/>
  <c r="I355" i="22"/>
  <c r="I357" i="22"/>
  <c r="I359" i="22" s="1"/>
  <c r="J347" i="22"/>
  <c r="J349" i="22" s="1"/>
  <c r="J345" i="22"/>
  <c r="J335" i="22"/>
  <c r="J337" i="22"/>
  <c r="J339" i="22" s="1"/>
  <c r="K377" i="22" l="1"/>
  <c r="K379" i="22" s="1"/>
  <c r="K375" i="22"/>
  <c r="I381" i="22"/>
  <c r="I382" i="22" s="1"/>
  <c r="J365" i="22"/>
  <c r="J367" i="22"/>
  <c r="J369" i="22" s="1"/>
  <c r="J355" i="22"/>
  <c r="J357" i="22"/>
  <c r="J359" i="22" s="1"/>
  <c r="K347" i="22"/>
  <c r="K349" i="22" s="1"/>
  <c r="K345" i="22"/>
  <c r="K335" i="22"/>
  <c r="K337" i="22"/>
  <c r="K339" i="22" s="1"/>
  <c r="L375" i="22" l="1"/>
  <c r="L377" i="22"/>
  <c r="L379" i="22" s="1"/>
  <c r="K365" i="22"/>
  <c r="K367" i="22"/>
  <c r="K369" i="22" s="1"/>
  <c r="J381" i="22"/>
  <c r="J382" i="22" s="1"/>
  <c r="K355" i="22"/>
  <c r="K357" i="22"/>
  <c r="K359" i="22" s="1"/>
  <c r="L345" i="22"/>
  <c r="L347" i="22"/>
  <c r="L349" i="22" s="1"/>
  <c r="L335" i="22"/>
  <c r="L337" i="22"/>
  <c r="L339" i="22" s="1"/>
  <c r="M375" i="22" l="1"/>
  <c r="M377" i="22"/>
  <c r="M379" i="22" s="1"/>
  <c r="K381" i="22"/>
  <c r="K382" i="22" s="1"/>
  <c r="L367" i="22"/>
  <c r="L369" i="22" s="1"/>
  <c r="L365" i="22"/>
  <c r="L355" i="22"/>
  <c r="L357" i="22"/>
  <c r="L359" i="22" s="1"/>
  <c r="M345" i="22"/>
  <c r="M347" i="22"/>
  <c r="M349" i="22" s="1"/>
  <c r="M337" i="22"/>
  <c r="M339" i="22" s="1"/>
  <c r="M335" i="22"/>
  <c r="L381" i="22" l="1"/>
  <c r="L382" i="22" s="1"/>
  <c r="N377" i="22"/>
  <c r="N379" i="22" s="1"/>
  <c r="N375" i="22"/>
  <c r="M367" i="22"/>
  <c r="M369" i="22" s="1"/>
  <c r="M365" i="22"/>
  <c r="M357" i="22"/>
  <c r="M359" i="22" s="1"/>
  <c r="M355" i="22"/>
  <c r="N345" i="22"/>
  <c r="N347" i="22"/>
  <c r="N349" i="22" s="1"/>
  <c r="N335" i="22"/>
  <c r="N337" i="22"/>
  <c r="N339" i="22" s="1"/>
  <c r="O377" i="22" l="1"/>
  <c r="O379" i="22" s="1"/>
  <c r="O375" i="22"/>
  <c r="M381" i="22"/>
  <c r="M382" i="22" s="1"/>
  <c r="N367" i="22"/>
  <c r="N369" i="22" s="1"/>
  <c r="N365" i="22"/>
  <c r="N355" i="22"/>
  <c r="N357" i="22"/>
  <c r="N359" i="22" s="1"/>
  <c r="O345" i="22"/>
  <c r="O347" i="22"/>
  <c r="O349" i="22" s="1"/>
  <c r="O337" i="22"/>
  <c r="O339" i="22" s="1"/>
  <c r="O335" i="22"/>
  <c r="P375" i="22" l="1"/>
  <c r="P377" i="22"/>
  <c r="P379" i="22" s="1"/>
  <c r="Q379" i="22" s="1"/>
  <c r="N381" i="22"/>
  <c r="N382" i="22" s="1"/>
  <c r="O367" i="22"/>
  <c r="O369" i="22" s="1"/>
  <c r="O365" i="22"/>
  <c r="O357" i="22"/>
  <c r="O359" i="22" s="1"/>
  <c r="O355" i="22"/>
  <c r="P345" i="22"/>
  <c r="P347" i="22"/>
  <c r="P349" i="22" s="1"/>
  <c r="Q349" i="22" s="1"/>
  <c r="P335" i="22"/>
  <c r="P337" i="22"/>
  <c r="P339" i="22" s="1"/>
  <c r="O381" i="22" l="1"/>
  <c r="O382" i="22" s="1"/>
  <c r="P367" i="22"/>
  <c r="P369" i="22" s="1"/>
  <c r="Q369" i="22" s="1"/>
  <c r="AH22" i="10" s="1"/>
  <c r="AI22" i="10" s="1"/>
  <c r="AJ22" i="10" s="1"/>
  <c r="AK22" i="10" s="1"/>
  <c r="P365" i="22"/>
  <c r="P357" i="22"/>
  <c r="P359" i="22" s="1"/>
  <c r="Q359" i="22" s="1"/>
  <c r="P355" i="22"/>
  <c r="Q339" i="22"/>
  <c r="AH22" i="9" s="1"/>
  <c r="AH23" i="4" l="1"/>
  <c r="AH44" i="4" s="1"/>
  <c r="AH43" i="9"/>
  <c r="AI22" i="9"/>
  <c r="P381" i="22"/>
  <c r="P382" i="22" s="1"/>
  <c r="AJ22" i="9" l="1"/>
  <c r="AJ23" i="4" s="1"/>
  <c r="AI23" i="4"/>
  <c r="Q381" i="22"/>
  <c r="G21" i="5" s="1"/>
  <c r="I24" i="5" s="1"/>
  <c r="AI21" i="9" l="1"/>
  <c r="AG43" i="9"/>
  <c r="AJ21" i="9" l="1"/>
  <c r="AI22" i="4"/>
  <c r="AK21" i="9" l="1"/>
  <c r="AJ22" i="4"/>
  <c r="AK22" i="9" l="1"/>
  <c r="AK23" i="4" s="1"/>
  <c r="N51" i="23" s="1"/>
  <c r="AK22" i="4"/>
  <c r="N42" i="23" s="1"/>
  <c r="B51" i="23" l="1"/>
  <c r="B53" i="23" s="1"/>
  <c r="O42" i="23"/>
  <c r="P42" i="23" s="1"/>
  <c r="C44" i="23" s="1"/>
  <c r="O51" i="23" l="1"/>
  <c r="P51" i="23" s="1"/>
  <c r="C53" i="23" s="1"/>
  <c r="D53" i="23" s="1"/>
  <c r="E53" i="23" s="1"/>
  <c r="F53" i="23" s="1"/>
  <c r="G53" i="23" s="1"/>
  <c r="H53" i="23" s="1"/>
  <c r="I53" i="23" s="1"/>
  <c r="J53" i="23" s="1"/>
  <c r="K53" i="23" s="1"/>
  <c r="L53" i="23" s="1"/>
  <c r="M53" i="23" s="1"/>
  <c r="N53" i="23" s="1"/>
  <c r="Q53" i="23" s="1"/>
  <c r="G14" i="5" s="1"/>
  <c r="I15" i="5" s="1"/>
  <c r="I19" i="5" s="1"/>
  <c r="I26" i="5" s="1"/>
  <c r="I30" i="5" s="1"/>
  <c r="D22" i="7" s="1"/>
  <c r="D18" i="7" s="1"/>
  <c r="F18" i="7" s="1"/>
  <c r="H18" i="7" s="1"/>
  <c r="D44" i="23"/>
  <c r="E44" i="23" s="1"/>
  <c r="F44" i="23" s="1"/>
  <c r="G44" i="23" s="1"/>
  <c r="H44" i="23" s="1"/>
  <c r="I44" i="23" s="1"/>
  <c r="J44" i="23" s="1"/>
  <c r="K44" i="23" s="1"/>
  <c r="L44" i="23" s="1"/>
  <c r="M44" i="23" s="1"/>
  <c r="N44" i="23" s="1"/>
  <c r="D14" i="7" l="1"/>
  <c r="F14" i="7" s="1"/>
  <c r="H14" i="7" s="1"/>
  <c r="D16" i="7"/>
  <c r="F16" i="7" s="1"/>
  <c r="H16" i="7" s="1"/>
  <c r="D20" i="7"/>
  <c r="F20" i="7" s="1"/>
  <c r="H20" i="7" s="1"/>
  <c r="Q44" i="23"/>
</calcChain>
</file>

<file path=xl/sharedStrings.xml><?xml version="1.0" encoding="utf-8"?>
<sst xmlns="http://schemas.openxmlformats.org/spreadsheetml/2006/main" count="1683" uniqueCount="314">
  <si>
    <t>Year</t>
  </si>
  <si>
    <t>Ln.</t>
  </si>
  <si>
    <t>No.</t>
  </si>
  <si>
    <t>Capital Structure</t>
  </si>
  <si>
    <t>Equity</t>
  </si>
  <si>
    <t>Long term Debt</t>
  </si>
  <si>
    <t>Short term Debt</t>
  </si>
  <si>
    <t>Ratio</t>
  </si>
  <si>
    <t>Cost</t>
  </si>
  <si>
    <t>Total</t>
  </si>
  <si>
    <t xml:space="preserve">Weighted </t>
  </si>
  <si>
    <t>Pre-Tax @</t>
  </si>
  <si>
    <t>Columbia Gas of Kentucky, Inc.</t>
  </si>
  <si>
    <t>($)</t>
  </si>
  <si>
    <t xml:space="preserve">Annual </t>
  </si>
  <si>
    <t xml:space="preserve">Book </t>
  </si>
  <si>
    <t>Accumulated</t>
  </si>
  <si>
    <t>Year 9</t>
  </si>
  <si>
    <t>Year 10</t>
  </si>
  <si>
    <t>Tax</t>
  </si>
  <si>
    <t>Tax @</t>
  </si>
  <si>
    <t xml:space="preserve">Deferred </t>
  </si>
  <si>
    <t>Additions</t>
  </si>
  <si>
    <t>Depreciation</t>
  </si>
  <si>
    <t>Difference</t>
  </si>
  <si>
    <t>Inc. Taxes</t>
  </si>
  <si>
    <t>Year 11</t>
  </si>
  <si>
    <t>Year 12</t>
  </si>
  <si>
    <t>Year 13</t>
  </si>
  <si>
    <t>Year 14</t>
  </si>
  <si>
    <t>Year 15</t>
  </si>
  <si>
    <t>Year 16</t>
  </si>
  <si>
    <t>Year 17</t>
  </si>
  <si>
    <t>Year 18</t>
  </si>
  <si>
    <t>Year 19</t>
  </si>
  <si>
    <t>Year 20</t>
  </si>
  <si>
    <t>Effect tax of</t>
  </si>
  <si>
    <t>Year 21</t>
  </si>
  <si>
    <t>Year 22</t>
  </si>
  <si>
    <t>Year 23</t>
  </si>
  <si>
    <t>Year 24</t>
  </si>
  <si>
    <t>Year 25</t>
  </si>
  <si>
    <t>Year 26</t>
  </si>
  <si>
    <t>Year 27</t>
  </si>
  <si>
    <t>Year 28</t>
  </si>
  <si>
    <t>Year 29</t>
  </si>
  <si>
    <t>Year 30</t>
  </si>
  <si>
    <t>Deferred</t>
  </si>
  <si>
    <t>Description</t>
  </si>
  <si>
    <t>Line</t>
  </si>
  <si>
    <t xml:space="preserve">No. </t>
  </si>
  <si>
    <t>Reference</t>
  </si>
  <si>
    <t>Cost of Removal</t>
  </si>
  <si>
    <t>Rate Schedule</t>
  </si>
  <si>
    <t>Allocation</t>
  </si>
  <si>
    <t>Revenue</t>
  </si>
  <si>
    <t>Requirement</t>
  </si>
  <si>
    <t>Billing</t>
  </si>
  <si>
    <t>Determinant</t>
  </si>
  <si>
    <t>Rider</t>
  </si>
  <si>
    <t>Monthly</t>
  </si>
  <si>
    <t>TOTAL</t>
  </si>
  <si>
    <t>Retirements</t>
  </si>
  <si>
    <t>Rate GSR, Rate SVGTS - Residential Service</t>
  </si>
  <si>
    <t>Rate GSO, Rate GDS, Rate SVGTS - Com. or Ind. Service</t>
  </si>
  <si>
    <t>Rate IUS, Rate IUDS</t>
  </si>
  <si>
    <t>Columbia Gas of Kentucky</t>
  </si>
  <si>
    <t>IUS, IUDS</t>
  </si>
  <si>
    <t>IS, DS</t>
  </si>
  <si>
    <t>Cost of</t>
  </si>
  <si>
    <t>Removal</t>
  </si>
  <si>
    <t>Notes:</t>
  </si>
  <si>
    <t>Tax Depr Rates</t>
  </si>
  <si>
    <t>MACRS 20 Year</t>
  </si>
  <si>
    <t>Repairs %</t>
  </si>
  <si>
    <t>263a %</t>
  </si>
  <si>
    <t>Calculation of Accumulated Deferred Income Tax</t>
  </si>
  <si>
    <t>Projected O&amp;M Savings</t>
  </si>
  <si>
    <t>Calculation of O&amp;M Savings</t>
  </si>
  <si>
    <t>FERC Account 887</t>
  </si>
  <si>
    <t>Line No.</t>
  </si>
  <si>
    <t>May</t>
  </si>
  <si>
    <t>Table of Contents</t>
  </si>
  <si>
    <t>1.0</t>
  </si>
  <si>
    <t>1.1</t>
  </si>
  <si>
    <t>Form Number</t>
  </si>
  <si>
    <t>Cost of Capital</t>
  </si>
  <si>
    <t>2.0</t>
  </si>
  <si>
    <t>Revenue Requirement</t>
  </si>
  <si>
    <t>3.0</t>
  </si>
  <si>
    <t>O&amp;M Savings</t>
  </si>
  <si>
    <t>4.0</t>
  </si>
  <si>
    <t>Cumulative</t>
  </si>
  <si>
    <t>[1] Plant additions eligible for repairs tax deduction.</t>
  </si>
  <si>
    <t>Adjustment</t>
  </si>
  <si>
    <t>Total Plant Additions</t>
  </si>
  <si>
    <t>Plant Additions [1]</t>
  </si>
  <si>
    <t>Composite Tax Rate [2]</t>
  </si>
  <si>
    <t>[1] Plant additions not eligible for repairs tax deduction.</t>
  </si>
  <si>
    <t>Bonus Tax</t>
  </si>
  <si>
    <t>24.95% [3]</t>
  </si>
  <si>
    <t>Balancing</t>
  </si>
  <si>
    <r>
      <t xml:space="preserve">Percent </t>
    </r>
    <r>
      <rPr>
        <b/>
        <u/>
        <vertAlign val="superscript"/>
        <sz val="12"/>
        <rFont val="Arial"/>
        <family val="2"/>
      </rPr>
      <t>(1)</t>
    </r>
  </si>
  <si>
    <r>
      <rPr>
        <vertAlign val="superscript"/>
        <sz val="12"/>
        <rFont val="Arial"/>
        <family val="2"/>
      </rPr>
      <t>(3)</t>
    </r>
    <r>
      <rPr>
        <sz val="10"/>
        <rFont val="Arial"/>
        <family val="2"/>
      </rPr>
      <t xml:space="preserve"> Excluding customers subject to the Flex Provisions of Rate Schedule DS.</t>
    </r>
  </si>
  <si>
    <t>SMRP Rates by Rate Schedule</t>
  </si>
  <si>
    <t>SMRP</t>
  </si>
  <si>
    <t>SMRP Rider by Rate Schedule</t>
  </si>
  <si>
    <t>SMRP Rider</t>
  </si>
  <si>
    <t>SMRP Form 1.0</t>
  </si>
  <si>
    <t>Annual Adjustment to the Safety Modification and Replacement Program ("SMRP")</t>
  </si>
  <si>
    <t>Required Return on SMRP Related Investment</t>
  </si>
  <si>
    <t>SMRP Investment</t>
  </si>
  <si>
    <t>Annual Adjustment to the Safety Modification and Replacement Program</t>
  </si>
  <si>
    <t>SMRP Form 2.1</t>
  </si>
  <si>
    <t>Accumulated Deferred Income Tax</t>
  </si>
  <si>
    <t>Net Rate Base (Line 1 + Line 2 + Line 3)</t>
  </si>
  <si>
    <t>Rate of Return</t>
  </si>
  <si>
    <t>Calculation</t>
  </si>
  <si>
    <t>Depreciation Expense</t>
  </si>
  <si>
    <t>Return on Rate Base</t>
  </si>
  <si>
    <t>Property Tax</t>
  </si>
  <si>
    <t>PERCENTAGE OF</t>
  </si>
  <si>
    <t>INCREMENTAL</t>
  </si>
  <si>
    <t>DESCRIPTION</t>
  </si>
  <si>
    <t>GROSS REVENUE</t>
  </si>
  <si>
    <t>OPERATING REVENUE</t>
  </si>
  <si>
    <t>LESS: PSC FEES</t>
  </si>
  <si>
    <t>NET REVENUES</t>
  </si>
  <si>
    <t>GROSS REVENUE CONVERSION FACTOR</t>
  </si>
  <si>
    <t>PSC Assessment &amp; Uncollectible Conversion Factor</t>
  </si>
  <si>
    <t>Line 4 * Line 5</t>
  </si>
  <si>
    <t>Line 1 + Line 2 + Line 3</t>
  </si>
  <si>
    <t>Revenue Requirement Before PSC  Assessment/Uncollectible</t>
  </si>
  <si>
    <t>376 Mains</t>
  </si>
  <si>
    <t>378 Plant Regulators</t>
  </si>
  <si>
    <t>380 Service Lines</t>
  </si>
  <si>
    <t>382 Meter Installations</t>
  </si>
  <si>
    <t>383 House Regulators</t>
  </si>
  <si>
    <t>Plant In Service</t>
  </si>
  <si>
    <t>Total Plant In Service</t>
  </si>
  <si>
    <t>December</t>
  </si>
  <si>
    <t>January</t>
  </si>
  <si>
    <t>February</t>
  </si>
  <si>
    <t>March</t>
  </si>
  <si>
    <t>April</t>
  </si>
  <si>
    <t>June</t>
  </si>
  <si>
    <t>July</t>
  </si>
  <si>
    <t>August</t>
  </si>
  <si>
    <t>September</t>
  </si>
  <si>
    <t>October</t>
  </si>
  <si>
    <t>November</t>
  </si>
  <si>
    <t>Cumulative Total</t>
  </si>
  <si>
    <t>13 Month Average</t>
  </si>
  <si>
    <t xml:space="preserve">   Total Monthly Additions</t>
  </si>
  <si>
    <t xml:space="preserve">   Total Cumulative Additions</t>
  </si>
  <si>
    <t xml:space="preserve">   Total Monthly Retirements</t>
  </si>
  <si>
    <t xml:space="preserve">   Total Cumulative Retirements</t>
  </si>
  <si>
    <t xml:space="preserve">   Total Plant In Service Monthly Activity</t>
  </si>
  <si>
    <t xml:space="preserve">   Total Depreciation Monthly</t>
  </si>
  <si>
    <t xml:space="preserve">   Total Cumulative Depreciation</t>
  </si>
  <si>
    <t xml:space="preserve">   Total Monthly Cost of Removal</t>
  </si>
  <si>
    <t xml:space="preserve">   Total Cumulative Cost of Removal</t>
  </si>
  <si>
    <t>Rate by GPA</t>
  </si>
  <si>
    <t xml:space="preserve">    Cumulative Balance</t>
  </si>
  <si>
    <t>Depreciation on Prior Month Balance</t>
  </si>
  <si>
    <t>1/2 Month Depreciation on Current Month Activity</t>
  </si>
  <si>
    <t xml:space="preserve">  Additions</t>
  </si>
  <si>
    <t xml:space="preserve">  Retirements</t>
  </si>
  <si>
    <t>Total Depreciation - Monthly</t>
  </si>
  <si>
    <t>Total Cumulative Depreciation</t>
  </si>
  <si>
    <t>Total Accumulated Depreciation</t>
  </si>
  <si>
    <t xml:space="preserve">   Total Accumulated Depreciation Activity</t>
  </si>
  <si>
    <t xml:space="preserve">   Total Accumulated Depreciation Cumulative</t>
  </si>
  <si>
    <t>Accumulated Depreciation</t>
  </si>
  <si>
    <t>Mains &amp; Services</t>
  </si>
  <si>
    <t>[2] Composite rate including mixed services 263A (4.01%)</t>
  </si>
  <si>
    <t>[3] Deferred Taxes calculated using 21% Corporate Tax Rate and 5% State Tax Rate.</t>
  </si>
  <si>
    <t>Activity</t>
  </si>
  <si>
    <t>13 Month Ave.</t>
  </si>
  <si>
    <t>SMRP Form 2.0</t>
  </si>
  <si>
    <t>SMRP Form 2.2</t>
  </si>
  <si>
    <t>5.0</t>
  </si>
  <si>
    <t>6.0</t>
  </si>
  <si>
    <t>6.1</t>
  </si>
  <si>
    <t>ADIT - Normalized</t>
  </si>
  <si>
    <t>ADIT - Calculation</t>
  </si>
  <si>
    <t>7.0</t>
  </si>
  <si>
    <t>Property Tax Expense</t>
  </si>
  <si>
    <t>8.0</t>
  </si>
  <si>
    <t>SMRP Form 8.0</t>
  </si>
  <si>
    <t>Subtotal Depreciation, Property Tax and O&amp;M Savings</t>
  </si>
  <si>
    <t>SMRP Rider Billing Determinants by Rate Schedule - Estimated Billing Volumes</t>
  </si>
  <si>
    <t>Form 2.1</t>
  </si>
  <si>
    <t>Form 2.2</t>
  </si>
  <si>
    <r>
      <t xml:space="preserve">Volumes </t>
    </r>
    <r>
      <rPr>
        <b/>
        <u/>
        <vertAlign val="superscript"/>
        <sz val="12"/>
        <rFont val="Arial"/>
        <family val="2"/>
      </rPr>
      <t>(2)</t>
    </r>
  </si>
  <si>
    <t>SMRP Form 3.0</t>
  </si>
  <si>
    <t>SMRP Form 7.0</t>
  </si>
  <si>
    <t>Property Tax Calculation</t>
  </si>
  <si>
    <t>Operating Expenses</t>
  </si>
  <si>
    <r>
      <t xml:space="preserve">Property Tax </t>
    </r>
    <r>
      <rPr>
        <vertAlign val="superscript"/>
        <sz val="12"/>
        <rFont val="Arial"/>
        <family val="2"/>
      </rPr>
      <t>(1)</t>
    </r>
  </si>
  <si>
    <t>Net SMRP Investment-Property, Plant and Equipment</t>
  </si>
  <si>
    <t>Estimate</t>
  </si>
  <si>
    <t>SMRP Form 4.0</t>
  </si>
  <si>
    <t>SMRP Form 5.0</t>
  </si>
  <si>
    <t>Calculation of Accumulated Deferred Income Tax (Normalized)</t>
  </si>
  <si>
    <t>SMRP Form 6.0</t>
  </si>
  <si>
    <t>ADIT Balance - Form 6.1</t>
  </si>
  <si>
    <t>2023 Normalized ADIT</t>
  </si>
  <si>
    <t>Monthly Activity</t>
  </si>
  <si>
    <t>SMRP Form 6.1</t>
  </si>
  <si>
    <t>Page 3 of 3</t>
  </si>
  <si>
    <t>Page 2 of 3</t>
  </si>
  <si>
    <t>Page 1 of 3</t>
  </si>
  <si>
    <t xml:space="preserve">    Monthly Activity</t>
  </si>
  <si>
    <t xml:space="preserve">   Total Cumulative Plant In Service</t>
  </si>
  <si>
    <t>Line 6 + Line 10</t>
  </si>
  <si>
    <t>Line 11 * Line 12</t>
  </si>
  <si>
    <t xml:space="preserve">Tax @ [1] </t>
  </si>
  <si>
    <t>Summary of Form 6.1,  Pages 2 and 3</t>
  </si>
  <si>
    <t xml:space="preserve">380 Service Lines </t>
  </si>
  <si>
    <t>( A )</t>
  </si>
  <si>
    <t>( B )</t>
  </si>
  <si>
    <t>( C )</t>
  </si>
  <si>
    <t>( D )</t>
  </si>
  <si>
    <t>( E )</t>
  </si>
  <si>
    <t>( F )</t>
  </si>
  <si>
    <t>( G )</t>
  </si>
  <si>
    <t>( H )</t>
  </si>
  <si>
    <t>( I )</t>
  </si>
  <si>
    <t>( J )</t>
  </si>
  <si>
    <t>( K )</t>
  </si>
  <si>
    <t>( L )</t>
  </si>
  <si>
    <t>( M )</t>
  </si>
  <si>
    <t>( N )</t>
  </si>
  <si>
    <t>( B)</t>
  </si>
  <si>
    <t xml:space="preserve">( C ) </t>
  </si>
  <si>
    <t xml:space="preserve">( L ) </t>
  </si>
  <si>
    <t>(N= M-A)</t>
  </si>
  <si>
    <t>( O )</t>
  </si>
  <si>
    <t>(O=N/12)</t>
  </si>
  <si>
    <t>( P )</t>
  </si>
  <si>
    <t>Form 3.0 and 4.0</t>
  </si>
  <si>
    <t xml:space="preserve">376 Mains </t>
  </si>
  <si>
    <t xml:space="preserve">378 Plant Regulators </t>
  </si>
  <si>
    <t>Volumetric</t>
  </si>
  <si>
    <t>GSR /GTR - Residential</t>
  </si>
  <si>
    <t>GSO/GTO/GDS - Commercial or Industrial</t>
  </si>
  <si>
    <t>Total Mcf</t>
  </si>
  <si>
    <t xml:space="preserve">     Total</t>
  </si>
  <si>
    <t>PSC Assessment Conversion Factor</t>
  </si>
  <si>
    <t>Conversion Factor - PSC fees</t>
  </si>
  <si>
    <t>2024 Accumulated Depreciation</t>
  </si>
  <si>
    <t>2024 Depreciation Expense</t>
  </si>
  <si>
    <t>Form 3.0</t>
  </si>
  <si>
    <t>Form 4.0</t>
  </si>
  <si>
    <t>From 6.0</t>
  </si>
  <si>
    <t>Projected Volumes</t>
  </si>
  <si>
    <t>Actual</t>
  </si>
  <si>
    <t>SMRP Table of Contents</t>
  </si>
  <si>
    <t>SMRP Form 1.1</t>
  </si>
  <si>
    <t>Line 7 + Line 8 + Line 9</t>
  </si>
  <si>
    <t xml:space="preserve">    Total Depreciation - 376 Mains</t>
  </si>
  <si>
    <t xml:space="preserve">    Total Depreciation - 378 Plant Regulators</t>
  </si>
  <si>
    <t xml:space="preserve">    Total Depreciation - 380 Service Lines</t>
  </si>
  <si>
    <t xml:space="preserve">    Total Depreciation - 382 Meter Installations</t>
  </si>
  <si>
    <t xml:space="preserve">    Total Depreciation - 383 House Regulators</t>
  </si>
  <si>
    <t>2024 Normalized ADIT</t>
  </si>
  <si>
    <t>[1] Deferred Taxes calculated using 21% Corporate Tax Rate and 5% State Tax Rate.</t>
  </si>
  <si>
    <t>Investment subject to Property Tax</t>
  </si>
  <si>
    <r>
      <t xml:space="preserve">SMRP Rider </t>
    </r>
    <r>
      <rPr>
        <b/>
        <u/>
        <vertAlign val="superscript"/>
        <sz val="12"/>
        <rFont val="Arial"/>
        <family val="2"/>
      </rPr>
      <t>[4]</t>
    </r>
  </si>
  <si>
    <r>
      <t xml:space="preserve">Rate IS, Rate DS </t>
    </r>
    <r>
      <rPr>
        <vertAlign val="superscript"/>
        <sz val="12"/>
        <rFont val="Arial"/>
        <family val="2"/>
      </rPr>
      <t>(3)</t>
    </r>
    <r>
      <rPr>
        <sz val="12"/>
        <rFont val="Arial"/>
        <family val="2"/>
      </rPr>
      <t>, Rate SAS</t>
    </r>
  </si>
  <si>
    <r>
      <t xml:space="preserve">Annual Adjustment to the Safety Modification and Replacement Program </t>
    </r>
    <r>
      <rPr>
        <b/>
        <vertAlign val="superscript"/>
        <sz val="12"/>
        <rFont val="Arial"/>
        <family val="2"/>
      </rPr>
      <t>[1]</t>
    </r>
  </si>
  <si>
    <t xml:space="preserve">2024 Plant In Service </t>
  </si>
  <si>
    <t>2025 Plant In Service</t>
  </si>
  <si>
    <t>2025 Accumulated Depreciation</t>
  </si>
  <si>
    <t>2025 Depreciation Expense</t>
  </si>
  <si>
    <t>Form 5.0</t>
  </si>
  <si>
    <t>Form 7.0</t>
  </si>
  <si>
    <t>Form 8.0</t>
  </si>
  <si>
    <t xml:space="preserve">2023 Plant In Service </t>
  </si>
  <si>
    <t>2023 Accumulated Depreciation</t>
  </si>
  <si>
    <t>2023 Depreciation Expense</t>
  </si>
  <si>
    <t>Reflects Cost of Capital as filed in PSC Case No. 2024-00092 Stipulation</t>
  </si>
  <si>
    <t>Reflects Gross Conversion Factor as filed in PSC Case No. 2024-00092 Stipulation</t>
  </si>
  <si>
    <r>
      <rPr>
        <vertAlign val="superscript"/>
        <sz val="12"/>
        <rFont val="Arial"/>
        <family val="2"/>
      </rPr>
      <t>(1)</t>
    </r>
    <r>
      <rPr>
        <sz val="12"/>
        <rFont val="Arial"/>
        <family val="2"/>
      </rPr>
      <t xml:space="preserve"> Property taxes rate is filed for rate in 2024-00092 Stipulation</t>
    </r>
  </si>
  <si>
    <r>
      <rPr>
        <vertAlign val="superscript"/>
        <sz val="12"/>
        <rFont val="Arial"/>
        <family val="2"/>
      </rPr>
      <t>(1)</t>
    </r>
    <r>
      <rPr>
        <sz val="10"/>
        <rFont val="Arial"/>
        <family val="2"/>
      </rPr>
      <t xml:space="preserve"> Allocation percent is based on the as filed overall base revenue distribution in PSC Case No. 2024-00092 Stipulation</t>
    </r>
  </si>
  <si>
    <t>LESS: UNCOLLECTIBLE EXPENSE</t>
  </si>
  <si>
    <t>2026 Plant In Service</t>
  </si>
  <si>
    <t>2026 Accumulated Depreciation</t>
  </si>
  <si>
    <t>2026 Depreciation Expense</t>
  </si>
  <si>
    <t xml:space="preserve"> </t>
  </si>
  <si>
    <t>Forecasted Period Ending December 31, 2027</t>
  </si>
  <si>
    <t>Forecasted SMRP Revenue Requirement For the Thirteen Months Ending December 31, 2027</t>
  </si>
  <si>
    <t>Page 1 of 5</t>
  </si>
  <si>
    <t>Page 2 of 5</t>
  </si>
  <si>
    <t>Page 3 of 5</t>
  </si>
  <si>
    <t>Page 4 of 5</t>
  </si>
  <si>
    <t>Page 5 of 5</t>
  </si>
  <si>
    <r>
      <rPr>
        <vertAlign val="superscript"/>
        <sz val="12"/>
        <rFont val="Arial"/>
        <family val="2"/>
      </rPr>
      <t>(4)</t>
    </r>
    <r>
      <rPr>
        <sz val="10"/>
        <rFont val="Arial"/>
        <family val="2"/>
      </rPr>
      <t xml:space="preserve"> Balancing Adjustment - per Case No. 2026-00083</t>
    </r>
  </si>
  <si>
    <r>
      <rPr>
        <vertAlign val="superscript"/>
        <sz val="12"/>
        <rFont val="Arial"/>
        <family val="2"/>
      </rPr>
      <t>(2)</t>
    </r>
    <r>
      <rPr>
        <sz val="10"/>
        <rFont val="Arial"/>
        <family val="2"/>
      </rPr>
      <t xml:space="preserve"> Billing Determinants based on projected 2027 volumes</t>
    </r>
  </si>
  <si>
    <t>For the Twelve Months Ending December 31, 2027</t>
  </si>
  <si>
    <t xml:space="preserve">  This will be updated to actual 2026 O&amp;M costs in SMRP BA filing (filed March 2027)</t>
  </si>
  <si>
    <t>2026 O&amp;M Account 887 per Case No. 2024-00092</t>
  </si>
  <si>
    <r>
      <t xml:space="preserve">Additions </t>
    </r>
    <r>
      <rPr>
        <u/>
        <vertAlign val="superscript"/>
        <sz val="12"/>
        <rFont val="Arial"/>
        <family val="2"/>
      </rPr>
      <t>(1)</t>
    </r>
  </si>
  <si>
    <r>
      <t xml:space="preserve">Retirements </t>
    </r>
    <r>
      <rPr>
        <u/>
        <vertAlign val="superscript"/>
        <sz val="12"/>
        <rFont val="Arial"/>
        <family val="2"/>
      </rPr>
      <t xml:space="preserve">(1) </t>
    </r>
  </si>
  <si>
    <r>
      <rPr>
        <vertAlign val="superscript"/>
        <sz val="12"/>
        <rFont val="Arial"/>
        <family val="2"/>
      </rPr>
      <t xml:space="preserve">(1) </t>
    </r>
    <r>
      <rPr>
        <sz val="12"/>
        <rFont val="Arial"/>
        <family val="2"/>
      </rPr>
      <t>Beginning in July 2025, Columbia implemented a new work management system, SAP Enterprise Asset Management, to facilitate the planning, scheduling, dispatch, and execution of the work and management of utility assets. Columbia continues to use PowerPlant and PeopleSoft as an asset management system and accounting records system. The implementation of SAP Enterprise Asset Management did not change the type or timing of work performed by Columbia.</t>
    </r>
  </si>
  <si>
    <t>Line 1 * 1.5297%</t>
  </si>
  <si>
    <r>
      <t xml:space="preserve">2026 O&amp;M Account 887 Costs </t>
    </r>
    <r>
      <rPr>
        <vertAlign val="superscript"/>
        <sz val="12"/>
        <rFont val="Arial"/>
        <family val="2"/>
      </rPr>
      <t>[1]</t>
    </r>
  </si>
  <si>
    <t>Case No. 2026-00306</t>
  </si>
  <si>
    <t>2027 Accumulated Depreciation</t>
  </si>
  <si>
    <t>2027 Plant In Service</t>
  </si>
  <si>
    <t>2027 Depreciation Expense</t>
  </si>
  <si>
    <t>[2] Composite rate including repairs (62.19%) and mixed services 263A (4.01%)</t>
  </si>
  <si>
    <r>
      <rPr>
        <vertAlign val="superscript"/>
        <sz val="12"/>
        <rFont val="Arial"/>
        <family val="2"/>
      </rPr>
      <t>[1]</t>
    </r>
    <r>
      <rPr>
        <sz val="12"/>
        <rFont val="Arial"/>
        <family val="2"/>
      </rPr>
      <t xml:space="preserve"> 2026 O&amp;M is unknown - amount reflects the 2024-00092 Rate Case amount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</si>
</sst>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5" formatCode="&quot;$&quot;#,##0_);\(&quot;$&quot;#,##0\)"/>
    <numFmt numFmtId="44" formatCode="_(&quot;$&quot;* #,##0.00_);_(&quot;$&quot;* \(#,##0.00\);_(&quot;$&quot;* &quot;-&quot;??_);_(@_)"/>
    <numFmt numFmtId="43" formatCode="_(* #,##0.00_);_(* \(#,##0.00\);_(* &quot;-&quot;??_);_(@_)"/>
    <numFmt numFmtId="164" formatCode="_(* #,##0_);_(* \(#,##0\);_(* &quot;-&quot;??_);_(@_)"/>
    <numFmt numFmtId="165" formatCode="0.0%"/>
    <numFmt numFmtId="166" formatCode="_(* #,##0.0000_);_(* \(#,##0.0000\);_(* &quot;-&quot;??_);_(@_)"/>
    <numFmt numFmtId="167" formatCode="0.000%"/>
    <numFmt numFmtId="168" formatCode="_(&quot;$&quot;* #,##0_);_(&quot;$&quot;* \(#,##0\);_(&quot;$&quot;* &quot;-&quot;??_);_(@_)"/>
    <numFmt numFmtId="169" formatCode="_(* #,##0.00000_);_(* \(#,##0.00000\);_(* &quot;-&quot;??_);_(@_)"/>
    <numFmt numFmtId="170" formatCode="[$-409]mmmm\ d\,\ yyyy;@"/>
    <numFmt numFmtId="171" formatCode="[$-409]m/d/yy\ h:mm\ AM/PM;@"/>
    <numFmt numFmtId="172" formatCode="&quot;$&quot;#,##0.00"/>
    <numFmt numFmtId="173" formatCode="0.000000%"/>
    <numFmt numFmtId="174" formatCode="0.0000%"/>
    <numFmt numFmtId="175" formatCode="0.000000_)"/>
    <numFmt numFmtId="176" formatCode="0.00000"/>
    <numFmt numFmtId="177" formatCode="#,##0.00000_);[Red]\(#,##0.00000\)"/>
    <numFmt numFmtId="178" formatCode="#,##0.0000_);[Red]\(#,##0.0000\)"/>
    <numFmt numFmtId="179" formatCode="0_);\(0\)"/>
    <numFmt numFmtId="180" formatCode="_(* #,##0.000_);_(* \(#,##0.000\);_(* &quot;-&quot;??_);_(@_)"/>
    <numFmt numFmtId="181" formatCode="_(* #,##0.0_);_(* \(#,##0.0\);_(* &quot;-&quot;??_);_(@_)"/>
    <numFmt numFmtId="182" formatCode="0.0000"/>
    <numFmt numFmtId="183" formatCode="_(* #,##0.000000_);_(* \(#,##0.000000\);_(* &quot;-&quot;??_);_(@_)"/>
  </numFmts>
  <fonts count="28" x14ac:knownFonts="1">
    <font>
      <sz val="10"/>
      <name val="Arial"/>
    </font>
    <font>
      <sz val="10"/>
      <name val="Arial"/>
      <family val="2"/>
    </font>
    <font>
      <b/>
      <sz val="10"/>
      <name val="Arial"/>
      <family val="2"/>
    </font>
    <font>
      <sz val="8"/>
      <name val="Arial"/>
      <family val="2"/>
    </font>
    <font>
      <u/>
      <sz val="10"/>
      <color indexed="12"/>
      <name val="Arial"/>
      <family val="2"/>
    </font>
    <font>
      <sz val="10"/>
      <name val="Arial"/>
      <family val="2"/>
    </font>
    <font>
      <sz val="10"/>
      <name val="Arial"/>
      <family val="2"/>
    </font>
    <font>
      <vertAlign val="superscript"/>
      <sz val="12"/>
      <name val="Arial"/>
      <family val="2"/>
    </font>
    <font>
      <b/>
      <u/>
      <vertAlign val="superscript"/>
      <sz val="12"/>
      <name val="Arial"/>
      <family val="2"/>
    </font>
    <font>
      <sz val="8"/>
      <name val="Helv"/>
    </font>
    <font>
      <sz val="10"/>
      <name val="Helv"/>
    </font>
    <font>
      <sz val="12"/>
      <name val="Arial"/>
      <family val="2"/>
    </font>
    <font>
      <b/>
      <sz val="12"/>
      <name val="Arial"/>
      <family val="2"/>
    </font>
    <font>
      <b/>
      <u/>
      <sz val="12"/>
      <name val="Arial"/>
      <family val="2"/>
    </font>
    <font>
      <u val="doubleAccounting"/>
      <sz val="12"/>
      <name val="Arial"/>
      <family val="2"/>
    </font>
    <font>
      <u/>
      <sz val="12"/>
      <name val="Arial"/>
      <family val="2"/>
    </font>
    <font>
      <u val="double"/>
      <sz val="12"/>
      <name val="Arial"/>
      <family val="2"/>
    </font>
    <font>
      <b/>
      <u val="singleAccounting"/>
      <sz val="12"/>
      <name val="Arial"/>
      <family val="2"/>
    </font>
    <font>
      <b/>
      <vertAlign val="superscript"/>
      <sz val="12"/>
      <name val="Arial"/>
      <family val="2"/>
    </font>
    <font>
      <sz val="12"/>
      <name val="Times New Roman"/>
      <family val="1"/>
    </font>
    <font>
      <b/>
      <sz val="12"/>
      <name val="Times New Roman"/>
      <family val="1"/>
    </font>
    <font>
      <u val="singleAccounting"/>
      <sz val="12"/>
      <name val="Arial"/>
      <family val="2"/>
    </font>
    <font>
      <u/>
      <vertAlign val="superscript"/>
      <sz val="12"/>
      <name val="Arial"/>
      <family val="2"/>
    </font>
    <font>
      <sz val="12"/>
      <color theme="1"/>
      <name val="Arial"/>
      <family val="2"/>
    </font>
    <font>
      <sz val="12"/>
      <color rgb="FF0070C0"/>
      <name val="Arial"/>
      <family val="2"/>
    </font>
    <font>
      <b/>
      <u/>
      <sz val="12"/>
      <color rgb="FF0000FF"/>
      <name val="Arial"/>
      <family val="2"/>
    </font>
    <font>
      <u val="singleAccounting"/>
      <sz val="12"/>
      <color rgb="FF0000FF"/>
      <name val="Arial"/>
      <family val="2"/>
    </font>
    <font>
      <sz val="12"/>
      <color rgb="FFFF0000"/>
      <name val="Arial"/>
      <family val="2"/>
    </font>
  </fonts>
  <fills count="2">
    <fill>
      <patternFill patternType="none"/>
    </fill>
    <fill>
      <patternFill patternType="gray125"/>
    </fill>
  </fills>
  <borders count="13">
    <border>
      <left/>
      <right/>
      <top/>
      <bottom/>
      <diagonal/>
    </border>
    <border>
      <left/>
      <right/>
      <top/>
      <bottom style="thin">
        <color indexed="64"/>
      </bottom>
      <diagonal/>
    </border>
    <border>
      <left/>
      <right/>
      <top/>
      <bottom style="double">
        <color indexed="64"/>
      </bottom>
      <diagonal/>
    </border>
    <border>
      <left/>
      <right/>
      <top style="thin">
        <color indexed="64"/>
      </top>
      <bottom/>
      <diagonal/>
    </border>
    <border>
      <left/>
      <right/>
      <top style="thin">
        <color indexed="64"/>
      </top>
      <bottom style="double">
        <color indexed="64"/>
      </bottom>
      <diagonal/>
    </border>
    <border>
      <left/>
      <right/>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0" fontId="4" fillId="0" borderId="0" applyNumberFormat="0" applyFill="0" applyBorder="0" applyAlignment="0" applyProtection="0">
      <alignment vertical="top"/>
      <protection locked="0"/>
    </xf>
    <xf numFmtId="0" fontId="5" fillId="0" borderId="0"/>
    <xf numFmtId="0" fontId="10" fillId="0" borderId="0"/>
    <xf numFmtId="0" fontId="9" fillId="0" borderId="0" applyFill="0" applyBorder="0"/>
    <xf numFmtId="9" fontId="1" fillId="0" borderId="0" applyFont="0" applyFill="0" applyBorder="0" applyAlignment="0" applyProtection="0"/>
    <xf numFmtId="9" fontId="6" fillId="0" borderId="0" applyFont="0" applyFill="0" applyBorder="0" applyAlignment="0" applyProtection="0"/>
  </cellStyleXfs>
  <cellXfs count="147">
    <xf numFmtId="0" fontId="0" fillId="0" borderId="0" xfId="0"/>
    <xf numFmtId="0" fontId="2" fillId="0" borderId="0" xfId="0" applyFont="1"/>
    <xf numFmtId="0" fontId="5" fillId="0" borderId="0" xfId="0" applyFont="1"/>
    <xf numFmtId="0" fontId="5" fillId="0" borderId="0" xfId="0" quotePrefix="1" applyFont="1" applyAlignment="1">
      <alignment horizontal="center"/>
    </xf>
    <xf numFmtId="0" fontId="5" fillId="0" borderId="0" xfId="0" applyFont="1" applyAlignment="1">
      <alignment horizontal="center"/>
    </xf>
    <xf numFmtId="5" fontId="5" fillId="0" borderId="0" xfId="0" applyNumberFormat="1" applyFont="1"/>
    <xf numFmtId="0" fontId="5" fillId="0" borderId="0" xfId="0" quotePrefix="1" applyFont="1"/>
    <xf numFmtId="174" fontId="5" fillId="0" borderId="0" xfId="9" applyNumberFormat="1" applyFont="1" applyFill="1"/>
    <xf numFmtId="0" fontId="11" fillId="0" borderId="0" xfId="0" applyFont="1"/>
    <xf numFmtId="0" fontId="12" fillId="0" borderId="0" xfId="0" applyFont="1" applyAlignment="1">
      <alignment horizontal="right"/>
    </xf>
    <xf numFmtId="0" fontId="12" fillId="0" borderId="0" xfId="0" applyFont="1" applyAlignment="1">
      <alignment horizontal="center"/>
    </xf>
    <xf numFmtId="0" fontId="12" fillId="0" borderId="0" xfId="0" applyFont="1"/>
    <xf numFmtId="0" fontId="13" fillId="0" borderId="0" xfId="0" applyFont="1" applyAlignment="1">
      <alignment horizontal="left"/>
    </xf>
    <xf numFmtId="0" fontId="13" fillId="0" borderId="0" xfId="0" applyFont="1" applyAlignment="1">
      <alignment horizontal="center"/>
    </xf>
    <xf numFmtId="0" fontId="12" fillId="0" borderId="0" xfId="0" applyFont="1" applyAlignment="1">
      <alignment horizontal="left"/>
    </xf>
    <xf numFmtId="37" fontId="11" fillId="0" borderId="0" xfId="0" applyNumberFormat="1" applyFont="1"/>
    <xf numFmtId="37" fontId="11" fillId="0" borderId="0" xfId="0" applyNumberFormat="1" applyFont="1" applyAlignment="1">
      <alignment horizontal="left"/>
    </xf>
    <xf numFmtId="181" fontId="11" fillId="0" borderId="0" xfId="1" applyNumberFormat="1" applyFont="1" applyFill="1"/>
    <xf numFmtId="0" fontId="13" fillId="0" borderId="0" xfId="0" applyFont="1" applyAlignment="1">
      <alignment horizontal="right"/>
    </xf>
    <xf numFmtId="0" fontId="13" fillId="0" borderId="0" xfId="0" applyFont="1"/>
    <xf numFmtId="0" fontId="11" fillId="0" borderId="0" xfId="0" quotePrefix="1" applyFont="1" applyAlignment="1">
      <alignment horizontal="center"/>
    </xf>
    <xf numFmtId="170" fontId="13" fillId="0" borderId="0" xfId="0" applyNumberFormat="1" applyFont="1" applyAlignment="1">
      <alignment horizontal="center"/>
    </xf>
    <xf numFmtId="37" fontId="12" fillId="0" borderId="0" xfId="0" quotePrefix="1" applyNumberFormat="1" applyFont="1" applyAlignment="1">
      <alignment horizontal="center"/>
    </xf>
    <xf numFmtId="0" fontId="11" fillId="0" borderId="0" xfId="0" applyFont="1" applyAlignment="1">
      <alignment horizontal="center"/>
    </xf>
    <xf numFmtId="0" fontId="11" fillId="0" borderId="0" xfId="0" applyFont="1" applyAlignment="1">
      <alignment horizontal="left"/>
    </xf>
    <xf numFmtId="167" fontId="11" fillId="0" borderId="0" xfId="9" applyNumberFormat="1" applyFont="1" applyFill="1" applyBorder="1"/>
    <xf numFmtId="5" fontId="11" fillId="0" borderId="0" xfId="1" applyNumberFormat="1" applyFont="1" applyFill="1"/>
    <xf numFmtId="176" fontId="11" fillId="0" borderId="0" xfId="0" applyNumberFormat="1" applyFont="1"/>
    <xf numFmtId="9" fontId="11" fillId="0" borderId="0" xfId="0" applyNumberFormat="1" applyFont="1" applyAlignment="1">
      <alignment horizontal="center"/>
    </xf>
    <xf numFmtId="167" fontId="11" fillId="0" borderId="1" xfId="9" applyNumberFormat="1" applyFont="1" applyFill="1" applyBorder="1"/>
    <xf numFmtId="5" fontId="11" fillId="0" borderId="1" xfId="1" applyNumberFormat="1" applyFont="1" applyFill="1" applyBorder="1"/>
    <xf numFmtId="181" fontId="11" fillId="0" borderId="1" xfId="1" applyNumberFormat="1" applyFont="1" applyFill="1" applyBorder="1"/>
    <xf numFmtId="5" fontId="11" fillId="0" borderId="0" xfId="1" applyNumberFormat="1" applyFont="1" applyFill="1" applyBorder="1"/>
    <xf numFmtId="181" fontId="11" fillId="0" borderId="0" xfId="1" applyNumberFormat="1" applyFont="1" applyFill="1" applyBorder="1"/>
    <xf numFmtId="167" fontId="11" fillId="0" borderId="2" xfId="0" applyNumberFormat="1" applyFont="1" applyBorder="1" applyAlignment="1">
      <alignment horizontal="center"/>
    </xf>
    <xf numFmtId="5" fontId="11" fillId="0" borderId="2" xfId="1" applyNumberFormat="1" applyFont="1" applyFill="1" applyBorder="1"/>
    <xf numFmtId="181" fontId="11" fillId="0" borderId="2" xfId="1" applyNumberFormat="1" applyFont="1" applyFill="1" applyBorder="1"/>
    <xf numFmtId="37" fontId="11" fillId="0" borderId="0" xfId="0" applyNumberFormat="1" applyFont="1" applyAlignment="1">
      <alignment horizontal="center"/>
    </xf>
    <xf numFmtId="172" fontId="11" fillId="0" borderId="0" xfId="0" applyNumberFormat="1" applyFont="1"/>
    <xf numFmtId="0" fontId="12" fillId="0" borderId="0" xfId="0" applyFont="1" applyAlignment="1">
      <alignment horizontal="right" indent="1"/>
    </xf>
    <xf numFmtId="170" fontId="13" fillId="0" borderId="0" xfId="0" quotePrefix="1" applyNumberFormat="1" applyFont="1" applyAlignment="1">
      <alignment horizontal="center"/>
    </xf>
    <xf numFmtId="164" fontId="11" fillId="0" borderId="0" xfId="1" applyNumberFormat="1" applyFont="1" applyFill="1" applyBorder="1"/>
    <xf numFmtId="164" fontId="11" fillId="0" borderId="0" xfId="1" applyNumberFormat="1" applyFont="1" applyFill="1"/>
    <xf numFmtId="164" fontId="11" fillId="0" borderId="0" xfId="0" applyNumberFormat="1" applyFont="1"/>
    <xf numFmtId="164" fontId="11" fillId="0" borderId="1" xfId="1" applyNumberFormat="1" applyFont="1" applyFill="1" applyBorder="1"/>
    <xf numFmtId="10" fontId="11" fillId="0" borderId="0" xfId="0" applyNumberFormat="1" applyFont="1"/>
    <xf numFmtId="164" fontId="11" fillId="0" borderId="3" xfId="1" applyNumberFormat="1" applyFont="1" applyFill="1" applyBorder="1"/>
    <xf numFmtId="164" fontId="11" fillId="0" borderId="3" xfId="0" applyNumberFormat="1" applyFont="1" applyBorder="1"/>
    <xf numFmtId="183" fontId="11" fillId="0" borderId="0" xfId="0" applyNumberFormat="1" applyFont="1"/>
    <xf numFmtId="169" fontId="11" fillId="0" borderId="0" xfId="0" applyNumberFormat="1" applyFont="1"/>
    <xf numFmtId="164" fontId="14" fillId="0" borderId="0" xfId="1" applyNumberFormat="1" applyFont="1" applyFill="1" applyBorder="1"/>
    <xf numFmtId="168" fontId="12" fillId="0" borderId="4" xfId="4" applyNumberFormat="1" applyFont="1" applyFill="1" applyBorder="1"/>
    <xf numFmtId="168" fontId="12" fillId="0" borderId="0" xfId="4" applyNumberFormat="1" applyFont="1" applyFill="1" applyBorder="1"/>
    <xf numFmtId="43" fontId="11" fillId="0" borderId="0" xfId="0" applyNumberFormat="1" applyFont="1"/>
    <xf numFmtId="171" fontId="11" fillId="0" borderId="0" xfId="0" applyNumberFormat="1" applyFont="1"/>
    <xf numFmtId="168" fontId="11" fillId="0" borderId="0" xfId="0" applyNumberFormat="1" applyFont="1" applyAlignment="1">
      <alignment horizontal="center"/>
    </xf>
    <xf numFmtId="10" fontId="11" fillId="0" borderId="0" xfId="9" applyNumberFormat="1" applyFont="1" applyFill="1"/>
    <xf numFmtId="10" fontId="15" fillId="0" borderId="0" xfId="5" applyNumberFormat="1" applyFont="1" applyFill="1" applyAlignment="1" applyProtection="1"/>
    <xf numFmtId="10" fontId="13" fillId="0" borderId="0" xfId="0" applyNumberFormat="1" applyFont="1" applyAlignment="1">
      <alignment horizontal="center"/>
    </xf>
    <xf numFmtId="37" fontId="12" fillId="0" borderId="0" xfId="0" applyNumberFormat="1" applyFont="1" applyAlignment="1">
      <alignment horizontal="center"/>
    </xf>
    <xf numFmtId="10" fontId="11" fillId="0" borderId="0" xfId="8" applyNumberFormat="1" applyFont="1" applyFill="1"/>
    <xf numFmtId="10" fontId="11" fillId="0" borderId="1" xfId="0" applyNumberFormat="1" applyFont="1" applyBorder="1"/>
    <xf numFmtId="10" fontId="11" fillId="0" borderId="1" xfId="9" applyNumberFormat="1" applyFont="1" applyFill="1" applyBorder="1"/>
    <xf numFmtId="167" fontId="15" fillId="0" borderId="0" xfId="9" applyNumberFormat="1" applyFont="1" applyFill="1"/>
    <xf numFmtId="10" fontId="15" fillId="0" borderId="0" xfId="9" applyNumberFormat="1" applyFont="1" applyFill="1"/>
    <xf numFmtId="177" fontId="11" fillId="0" borderId="0" xfId="0" applyNumberFormat="1" applyFont="1"/>
    <xf numFmtId="178" fontId="11" fillId="0" borderId="0" xfId="0" applyNumberFormat="1" applyFont="1"/>
    <xf numFmtId="40" fontId="11" fillId="0" borderId="0" xfId="0" applyNumberFormat="1" applyFont="1"/>
    <xf numFmtId="0" fontId="11" fillId="0" borderId="0" xfId="7" applyFont="1" applyAlignment="1">
      <alignment horizontal="center"/>
    </xf>
    <xf numFmtId="0" fontId="11" fillId="0" borderId="0" xfId="7" applyFont="1"/>
    <xf numFmtId="0" fontId="13" fillId="0" borderId="0" xfId="7" applyFont="1" applyAlignment="1">
      <alignment horizontal="center"/>
    </xf>
    <xf numFmtId="0" fontId="12" fillId="0" borderId="0" xfId="7" applyFont="1" applyAlignment="1">
      <alignment horizontal="center"/>
    </xf>
    <xf numFmtId="0" fontId="11" fillId="0" borderId="0" xfId="7" applyFont="1" applyAlignment="1">
      <alignment horizontal="right"/>
    </xf>
    <xf numFmtId="0" fontId="11" fillId="0" borderId="0" xfId="7" applyFont="1" applyAlignment="1">
      <alignment horizontal="left"/>
    </xf>
    <xf numFmtId="173" fontId="11" fillId="0" borderId="0" xfId="7" applyNumberFormat="1" applyFont="1"/>
    <xf numFmtId="173" fontId="11" fillId="0" borderId="5" xfId="7" applyNumberFormat="1" applyFont="1" applyBorder="1"/>
    <xf numFmtId="175" fontId="16" fillId="0" borderId="0" xfId="7" applyNumberFormat="1" applyFont="1"/>
    <xf numFmtId="43" fontId="11" fillId="0" borderId="0" xfId="1" applyFont="1" applyFill="1"/>
    <xf numFmtId="168" fontId="11" fillId="0" borderId="0" xfId="4" applyNumberFormat="1" applyFont="1" applyFill="1" applyBorder="1" applyAlignment="1">
      <alignment horizontal="center"/>
    </xf>
    <xf numFmtId="0" fontId="15" fillId="0" borderId="0" xfId="0" applyFont="1"/>
    <xf numFmtId="180" fontId="11" fillId="0" borderId="0" xfId="1" applyNumberFormat="1" applyFont="1" applyFill="1"/>
    <xf numFmtId="164" fontId="23" fillId="0" borderId="0" xfId="1" applyNumberFormat="1" applyFont="1" applyFill="1"/>
    <xf numFmtId="0" fontId="11" fillId="0" borderId="6" xfId="0" applyFont="1" applyBorder="1"/>
    <xf numFmtId="0" fontId="12" fillId="0" borderId="3" xfId="0" applyFont="1" applyBorder="1"/>
    <xf numFmtId="174" fontId="11" fillId="0" borderId="3" xfId="9" applyNumberFormat="1" applyFont="1" applyFill="1" applyBorder="1"/>
    <xf numFmtId="164" fontId="24" fillId="0" borderId="3" xfId="1" applyNumberFormat="1" applyFont="1" applyFill="1" applyBorder="1"/>
    <xf numFmtId="164" fontId="11" fillId="0" borderId="7" xfId="0" applyNumberFormat="1" applyFont="1" applyBorder="1"/>
    <xf numFmtId="0" fontId="11" fillId="0" borderId="8" xfId="0" applyFont="1" applyBorder="1"/>
    <xf numFmtId="174" fontId="11" fillId="0" borderId="0" xfId="9" applyNumberFormat="1" applyFont="1" applyFill="1" applyBorder="1"/>
    <xf numFmtId="164" fontId="11" fillId="0" borderId="9" xfId="0" applyNumberFormat="1" applyFont="1" applyBorder="1"/>
    <xf numFmtId="0" fontId="11" fillId="0" borderId="10" xfId="0" applyFont="1" applyBorder="1"/>
    <xf numFmtId="0" fontId="11" fillId="0" borderId="1" xfId="0" applyFont="1" applyBorder="1"/>
    <xf numFmtId="174" fontId="11" fillId="0" borderId="1" xfId="9" applyNumberFormat="1" applyFont="1" applyFill="1" applyBorder="1"/>
    <xf numFmtId="164" fontId="11" fillId="0" borderId="11" xfId="0" applyNumberFormat="1" applyFont="1" applyBorder="1"/>
    <xf numFmtId="164" fontId="24" fillId="0" borderId="1" xfId="1" applyNumberFormat="1" applyFont="1" applyFill="1" applyBorder="1"/>
    <xf numFmtId="0" fontId="11" fillId="0" borderId="11" xfId="0" applyFont="1" applyBorder="1"/>
    <xf numFmtId="0" fontId="11" fillId="0" borderId="9" xfId="0" applyFont="1" applyBorder="1"/>
    <xf numFmtId="0" fontId="11" fillId="0" borderId="3" xfId="0" applyFont="1" applyBorder="1"/>
    <xf numFmtId="179" fontId="11" fillId="0" borderId="0" xfId="1" applyNumberFormat="1" applyFont="1" applyAlignment="1">
      <alignment horizontal="center"/>
    </xf>
    <xf numFmtId="164" fontId="11" fillId="0" borderId="0" xfId="1" applyNumberFormat="1" applyFont="1" applyAlignment="1"/>
    <xf numFmtId="164" fontId="11" fillId="0" borderId="0" xfId="0" applyNumberFormat="1" applyFont="1" applyAlignment="1">
      <alignment horizontal="center"/>
    </xf>
    <xf numFmtId="164" fontId="11" fillId="0" borderId="0" xfId="1" applyNumberFormat="1" applyFont="1"/>
    <xf numFmtId="164" fontId="11" fillId="0" borderId="0" xfId="1" applyNumberFormat="1" applyFont="1" applyAlignment="1">
      <alignment horizontal="center"/>
    </xf>
    <xf numFmtId="0" fontId="11" fillId="0" borderId="0" xfId="0" applyFont="1" applyAlignment="1">
      <alignment horizontal="right"/>
    </xf>
    <xf numFmtId="168" fontId="17" fillId="0" borderId="0" xfId="4" applyNumberFormat="1" applyFont="1" applyFill="1" applyBorder="1" applyAlignment="1">
      <alignment horizontal="center"/>
    </xf>
    <xf numFmtId="10" fontId="13" fillId="0" borderId="0" xfId="9" applyNumberFormat="1" applyFont="1" applyFill="1" applyAlignment="1">
      <alignment horizontal="center"/>
    </xf>
    <xf numFmtId="37" fontId="12" fillId="0" borderId="0" xfId="4" quotePrefix="1" applyNumberFormat="1" applyFont="1" applyFill="1" applyBorder="1" applyAlignment="1">
      <alignment horizontal="center"/>
    </xf>
    <xf numFmtId="0" fontId="12" fillId="0" borderId="0" xfId="0" quotePrefix="1" applyFont="1" applyAlignment="1">
      <alignment horizontal="center"/>
    </xf>
    <xf numFmtId="168" fontId="12" fillId="0" borderId="0" xfId="4" applyNumberFormat="1" applyFont="1" applyFill="1" applyBorder="1" applyAlignment="1">
      <alignment horizontal="center"/>
    </xf>
    <xf numFmtId="168" fontId="11" fillId="0" borderId="0" xfId="4" applyNumberFormat="1" applyFont="1" applyFill="1" applyBorder="1"/>
    <xf numFmtId="168" fontId="11" fillId="0" borderId="0" xfId="4" applyNumberFormat="1" applyFont="1" applyFill="1" applyBorder="1" applyAlignment="1">
      <alignment horizontal="left"/>
    </xf>
    <xf numFmtId="164" fontId="14" fillId="0" borderId="0" xfId="1" applyNumberFormat="1" applyFont="1" applyFill="1" applyAlignment="1"/>
    <xf numFmtId="167" fontId="12" fillId="0" borderId="0" xfId="9" applyNumberFormat="1" applyFont="1" applyFill="1"/>
    <xf numFmtId="169" fontId="11" fillId="0" borderId="0" xfId="1" applyNumberFormat="1" applyFont="1" applyFill="1"/>
    <xf numFmtId="166" fontId="11" fillId="0" borderId="0" xfId="1" applyNumberFormat="1" applyFont="1" applyFill="1"/>
    <xf numFmtId="10" fontId="12" fillId="0" borderId="0" xfId="9" applyNumberFormat="1" applyFont="1" applyFill="1"/>
    <xf numFmtId="165" fontId="13" fillId="0" borderId="0" xfId="9" quotePrefix="1" applyNumberFormat="1" applyFont="1" applyFill="1" applyAlignment="1">
      <alignment horizontal="center"/>
    </xf>
    <xf numFmtId="0" fontId="12" fillId="0" borderId="12" xfId="0" applyFont="1" applyBorder="1" applyAlignment="1">
      <alignment horizontal="center"/>
    </xf>
    <xf numFmtId="0" fontId="12" fillId="0" borderId="12" xfId="0" applyFont="1" applyBorder="1"/>
    <xf numFmtId="10" fontId="12" fillId="0" borderId="12" xfId="9" quotePrefix="1" applyNumberFormat="1" applyFont="1" applyFill="1" applyBorder="1" applyAlignment="1">
      <alignment horizontal="center"/>
    </xf>
    <xf numFmtId="10" fontId="12" fillId="0" borderId="12" xfId="9" applyNumberFormat="1" applyFont="1" applyFill="1" applyBorder="1"/>
    <xf numFmtId="10" fontId="12" fillId="0" borderId="0" xfId="9" applyNumberFormat="1" applyFont="1" applyFill="1" applyBorder="1"/>
    <xf numFmtId="0" fontId="15" fillId="0" borderId="0" xfId="0" applyFont="1" applyAlignment="1">
      <alignment horizontal="center"/>
    </xf>
    <xf numFmtId="164" fontId="11" fillId="0" borderId="0" xfId="0" applyNumberFormat="1" applyFont="1" applyAlignment="1">
      <alignment horizontal="right"/>
    </xf>
    <xf numFmtId="0" fontId="19" fillId="0" borderId="0" xfId="0" applyFont="1"/>
    <xf numFmtId="10" fontId="20" fillId="0" borderId="12" xfId="9" applyNumberFormat="1" applyFont="1" applyFill="1" applyBorder="1"/>
    <xf numFmtId="10" fontId="20" fillId="0" borderId="0" xfId="9" applyNumberFormat="1" applyFont="1" applyFill="1" applyBorder="1"/>
    <xf numFmtId="170" fontId="25" fillId="0" borderId="0" xfId="0" quotePrefix="1" applyNumberFormat="1" applyFont="1" applyAlignment="1">
      <alignment horizontal="center"/>
    </xf>
    <xf numFmtId="164" fontId="26" fillId="0" borderId="0" xfId="1" applyNumberFormat="1" applyFont="1" applyFill="1"/>
    <xf numFmtId="164" fontId="12" fillId="0" borderId="0" xfId="0" applyNumberFormat="1" applyFont="1"/>
    <xf numFmtId="43" fontId="12" fillId="0" borderId="0" xfId="0" applyNumberFormat="1" applyFont="1"/>
    <xf numFmtId="37" fontId="12" fillId="0" borderId="0" xfId="1" applyNumberFormat="1" applyFont="1" applyFill="1" applyBorder="1"/>
    <xf numFmtId="164" fontId="11" fillId="0" borderId="0" xfId="3" applyNumberFormat="1" applyFont="1" applyFill="1" applyBorder="1"/>
    <xf numFmtId="9" fontId="11" fillId="0" borderId="0" xfId="9" applyFont="1" applyFill="1"/>
    <xf numFmtId="37" fontId="27" fillId="0" borderId="0" xfId="0" applyNumberFormat="1" applyFont="1"/>
    <xf numFmtId="0" fontId="27" fillId="0" borderId="0" xfId="0" applyFont="1"/>
    <xf numFmtId="164" fontId="14" fillId="0" borderId="0" xfId="2" applyNumberFormat="1" applyFont="1" applyFill="1" applyAlignment="1"/>
    <xf numFmtId="43" fontId="5" fillId="0" borderId="0" xfId="1" applyFont="1" applyFill="1"/>
    <xf numFmtId="181" fontId="11" fillId="0" borderId="4" xfId="1" applyNumberFormat="1" applyFont="1" applyFill="1" applyBorder="1"/>
    <xf numFmtId="182" fontId="11" fillId="0" borderId="0" xfId="0" applyNumberFormat="1" applyFont="1"/>
    <xf numFmtId="164" fontId="11" fillId="0" borderId="0" xfId="2" applyNumberFormat="1" applyFont="1" applyFill="1"/>
    <xf numFmtId="164" fontId="24" fillId="0" borderId="0" xfId="1" applyNumberFormat="1" applyFont="1" applyFill="1" applyBorder="1"/>
    <xf numFmtId="0" fontId="20" fillId="0" borderId="12" xfId="0" applyFont="1" applyBorder="1"/>
    <xf numFmtId="164" fontId="21" fillId="0" borderId="0" xfId="0" applyNumberFormat="1" applyFont="1"/>
    <xf numFmtId="0" fontId="12" fillId="0" borderId="0" xfId="0" applyFont="1" applyAlignment="1">
      <alignment horizontal="center"/>
    </xf>
    <xf numFmtId="0" fontId="11" fillId="0" borderId="0" xfId="0" applyFont="1" applyAlignment="1">
      <alignment horizontal="left" vertical="center" wrapText="1"/>
    </xf>
    <xf numFmtId="168" fontId="11" fillId="0" borderId="0" xfId="4" applyNumberFormat="1" applyFont="1" applyFill="1" applyBorder="1" applyAlignment="1">
      <alignment horizontal="center"/>
    </xf>
  </cellXfs>
  <cellStyles count="11">
    <cellStyle name="Comma" xfId="1" builtinId="3"/>
    <cellStyle name="Comma 2" xfId="2" xr:uid="{B763B5CD-DDD1-4D42-8150-CEB06A8E3AEA}"/>
    <cellStyle name="Comma 4" xfId="3" xr:uid="{789B0FFB-D1D2-4E61-89A8-F3591B17E624}"/>
    <cellStyle name="Currency" xfId="4" builtinId="4"/>
    <cellStyle name="Hyperlink" xfId="5" builtinId="8"/>
    <cellStyle name="Normal" xfId="0" builtinId="0"/>
    <cellStyle name="Normal 2" xfId="6" xr:uid="{1B90EE63-8BBB-4163-99E8-01D94CB2C1BC}"/>
    <cellStyle name="Normal_H-1 GR Conversion Factor" xfId="7" xr:uid="{6DDA5469-6708-47E2-8C87-F410A66690CE}"/>
    <cellStyle name="Normal_Schedule J" xfId="8" xr:uid="{09337207-B950-442A-894B-1F1DC436825D}"/>
    <cellStyle name="Percent" xfId="9" builtinId="5"/>
    <cellStyle name="Percent 2" xfId="10" xr:uid="{8CBAF71B-95D4-49E1-A4E2-E5A3730E1F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375E9-EDC9-44D1-865A-716744643A97}">
  <sheetPr codeName="Sheet9">
    <pageSetUpPr fitToPage="1"/>
  </sheetPr>
  <dimension ref="A1:H31"/>
  <sheetViews>
    <sheetView zoomScaleNormal="100" zoomScaleSheetLayoutView="96" workbookViewId="0">
      <selection activeCell="F2" sqref="F2"/>
    </sheetView>
  </sheetViews>
  <sheetFormatPr defaultRowHeight="12.5" x14ac:dyDescent="0.25"/>
  <cols>
    <col min="1" max="1" width="15.81640625" customWidth="1"/>
    <col min="2" max="2" width="12.81640625" customWidth="1"/>
    <col min="3" max="3" width="32.81640625" customWidth="1"/>
    <col min="4" max="4" width="15.54296875" bestFit="1" customWidth="1"/>
    <col min="5" max="8" width="14.1796875" customWidth="1"/>
  </cols>
  <sheetData>
    <row r="1" spans="1:8" ht="15.5" x14ac:dyDescent="0.35">
      <c r="A1" s="8"/>
      <c r="B1" s="8"/>
      <c r="C1" s="8"/>
      <c r="D1" s="8"/>
      <c r="E1" s="8"/>
      <c r="F1" s="9" t="s">
        <v>308</v>
      </c>
    </row>
    <row r="2" spans="1:8" ht="15.5" x14ac:dyDescent="0.35">
      <c r="A2" s="8"/>
      <c r="B2" s="8"/>
      <c r="C2" s="8"/>
      <c r="D2" s="8"/>
      <c r="E2" s="8"/>
      <c r="F2" s="9" t="s">
        <v>258</v>
      </c>
    </row>
    <row r="3" spans="1:8" ht="15.5" x14ac:dyDescent="0.35">
      <c r="A3" s="8"/>
      <c r="B3" s="8"/>
      <c r="C3" s="8"/>
      <c r="D3" s="8"/>
      <c r="E3" s="8"/>
      <c r="F3" s="9"/>
    </row>
    <row r="4" spans="1:8" ht="15.5" x14ac:dyDescent="0.35">
      <c r="A4" s="8"/>
      <c r="B4" s="8"/>
      <c r="C4" s="8"/>
      <c r="D4" s="8"/>
      <c r="E4" s="8"/>
      <c r="F4" s="8"/>
    </row>
    <row r="5" spans="1:8" ht="15.5" x14ac:dyDescent="0.35">
      <c r="A5" s="144" t="s">
        <v>12</v>
      </c>
      <c r="B5" s="144"/>
      <c r="C5" s="144"/>
      <c r="D5" s="144"/>
      <c r="E5" s="144"/>
      <c r="F5" s="144"/>
      <c r="G5" s="1"/>
      <c r="H5" s="1"/>
    </row>
    <row r="6" spans="1:8" ht="15.5" x14ac:dyDescent="0.35">
      <c r="A6" s="144" t="s">
        <v>109</v>
      </c>
      <c r="B6" s="144"/>
      <c r="C6" s="144"/>
      <c r="D6" s="144"/>
      <c r="E6" s="144"/>
      <c r="F6" s="144"/>
      <c r="G6" s="1"/>
      <c r="H6" s="1"/>
    </row>
    <row r="7" spans="1:8" ht="15.5" x14ac:dyDescent="0.35">
      <c r="A7" s="144" t="s">
        <v>291</v>
      </c>
      <c r="B7" s="144"/>
      <c r="C7" s="144"/>
      <c r="D7" s="144"/>
      <c r="E7" s="144"/>
      <c r="F7" s="144"/>
      <c r="G7" s="1"/>
      <c r="H7" s="1"/>
    </row>
    <row r="8" spans="1:8" ht="15.5" x14ac:dyDescent="0.35">
      <c r="A8" s="144" t="s">
        <v>82</v>
      </c>
      <c r="B8" s="144"/>
      <c r="C8" s="144"/>
      <c r="D8" s="144"/>
      <c r="E8" s="144"/>
      <c r="F8" s="144"/>
      <c r="G8" s="1"/>
      <c r="H8" s="1"/>
    </row>
    <row r="9" spans="1:8" ht="15.5" x14ac:dyDescent="0.35">
      <c r="A9" s="10"/>
      <c r="B9" s="10"/>
      <c r="C9" s="10"/>
      <c r="D9" s="10"/>
      <c r="E9" s="11"/>
      <c r="F9" s="11"/>
      <c r="G9" s="1"/>
      <c r="H9" s="1"/>
    </row>
    <row r="10" spans="1:8" ht="15.5" x14ac:dyDescent="0.35">
      <c r="A10" s="8"/>
      <c r="B10" s="8"/>
      <c r="C10" s="8"/>
      <c r="D10" s="8"/>
      <c r="E10" s="8"/>
      <c r="F10" s="8"/>
    </row>
    <row r="11" spans="1:8" ht="15.5" x14ac:dyDescent="0.35">
      <c r="A11" s="8"/>
      <c r="B11" s="8"/>
      <c r="C11" s="8"/>
      <c r="D11" s="8"/>
      <c r="E11" s="8"/>
      <c r="F11" s="8"/>
    </row>
    <row r="12" spans="1:8" ht="15.5" x14ac:dyDescent="0.35">
      <c r="A12" s="8"/>
      <c r="B12" s="8"/>
      <c r="C12" s="8"/>
      <c r="D12" s="8"/>
      <c r="E12" s="8"/>
      <c r="F12" s="8"/>
    </row>
    <row r="13" spans="1:8" ht="15.5" x14ac:dyDescent="0.35">
      <c r="A13" s="18" t="s">
        <v>85</v>
      </c>
      <c r="B13" s="8"/>
      <c r="C13" s="19" t="s">
        <v>48</v>
      </c>
      <c r="D13" s="8"/>
      <c r="E13" s="8"/>
      <c r="F13" s="8"/>
    </row>
    <row r="14" spans="1:8" ht="15.5" x14ac:dyDescent="0.35">
      <c r="A14" s="20" t="s">
        <v>83</v>
      </c>
      <c r="B14" s="8"/>
      <c r="C14" s="8" t="s">
        <v>104</v>
      </c>
      <c r="D14" s="8"/>
      <c r="E14" s="8"/>
      <c r="F14" s="8"/>
    </row>
    <row r="15" spans="1:8" ht="15.5" x14ac:dyDescent="0.35">
      <c r="A15" s="20" t="s">
        <v>84</v>
      </c>
      <c r="B15" s="8"/>
      <c r="C15" s="8" t="s">
        <v>256</v>
      </c>
      <c r="D15" s="8"/>
      <c r="E15" s="8"/>
      <c r="F15" s="8"/>
    </row>
    <row r="16" spans="1:8" ht="15.5" x14ac:dyDescent="0.35">
      <c r="A16" s="20" t="s">
        <v>87</v>
      </c>
      <c r="B16" s="8"/>
      <c r="C16" s="8" t="s">
        <v>88</v>
      </c>
      <c r="D16" s="8"/>
      <c r="E16" s="8"/>
      <c r="F16" s="8"/>
    </row>
    <row r="17" spans="1:6" ht="15.5" x14ac:dyDescent="0.35">
      <c r="A17" s="20">
        <v>2.1</v>
      </c>
      <c r="B17" s="8"/>
      <c r="C17" s="8" t="s">
        <v>86</v>
      </c>
      <c r="D17" s="8"/>
      <c r="E17" s="8"/>
      <c r="F17" s="8"/>
    </row>
    <row r="18" spans="1:6" ht="15.5" x14ac:dyDescent="0.35">
      <c r="A18" s="20">
        <v>2.2000000000000002</v>
      </c>
      <c r="B18" s="8"/>
      <c r="C18" s="8" t="s">
        <v>249</v>
      </c>
      <c r="D18" s="8"/>
      <c r="E18" s="8"/>
      <c r="F18" s="8"/>
    </row>
    <row r="19" spans="1:6" ht="15.5" x14ac:dyDescent="0.35">
      <c r="A19" s="20" t="s">
        <v>89</v>
      </c>
      <c r="B19" s="8"/>
      <c r="C19" s="8" t="s">
        <v>138</v>
      </c>
      <c r="D19" s="8"/>
      <c r="E19" s="8"/>
      <c r="F19" s="8"/>
    </row>
    <row r="20" spans="1:6" ht="15.5" x14ac:dyDescent="0.35">
      <c r="A20" s="20" t="s">
        <v>91</v>
      </c>
      <c r="B20" s="8"/>
      <c r="C20" s="8" t="s">
        <v>173</v>
      </c>
      <c r="D20" s="8"/>
      <c r="E20" s="8"/>
      <c r="F20" s="8"/>
    </row>
    <row r="21" spans="1:6" ht="15.5" x14ac:dyDescent="0.35">
      <c r="A21" s="20" t="s">
        <v>181</v>
      </c>
      <c r="B21" s="8"/>
      <c r="C21" s="8" t="s">
        <v>118</v>
      </c>
      <c r="D21" s="8"/>
      <c r="E21" s="8"/>
      <c r="F21" s="8"/>
    </row>
    <row r="22" spans="1:6" ht="15.5" x14ac:dyDescent="0.35">
      <c r="A22" s="20" t="s">
        <v>182</v>
      </c>
      <c r="B22" s="8"/>
      <c r="C22" s="8" t="s">
        <v>184</v>
      </c>
      <c r="D22" s="8"/>
      <c r="E22" s="8"/>
      <c r="F22" s="8"/>
    </row>
    <row r="23" spans="1:6" ht="15.5" x14ac:dyDescent="0.35">
      <c r="A23" s="20" t="s">
        <v>183</v>
      </c>
      <c r="B23" s="8"/>
      <c r="C23" s="8" t="s">
        <v>185</v>
      </c>
      <c r="D23" s="8"/>
      <c r="E23" s="8"/>
      <c r="F23" s="8"/>
    </row>
    <row r="24" spans="1:6" ht="15.5" x14ac:dyDescent="0.35">
      <c r="A24" s="20" t="s">
        <v>186</v>
      </c>
      <c r="B24" s="8"/>
      <c r="C24" s="8" t="s">
        <v>187</v>
      </c>
      <c r="D24" s="8"/>
      <c r="E24" s="8"/>
      <c r="F24" s="8"/>
    </row>
    <row r="25" spans="1:6" ht="15.5" x14ac:dyDescent="0.35">
      <c r="A25" s="20" t="s">
        <v>188</v>
      </c>
      <c r="B25" s="8"/>
      <c r="C25" s="8" t="s">
        <v>90</v>
      </c>
      <c r="D25" s="8"/>
      <c r="E25" s="8"/>
      <c r="F25" s="8"/>
    </row>
    <row r="26" spans="1:6" x14ac:dyDescent="0.25">
      <c r="A26" s="3"/>
      <c r="C26" s="2"/>
    </row>
    <row r="27" spans="1:6" x14ac:dyDescent="0.25">
      <c r="A27" s="3"/>
      <c r="C27" s="2"/>
    </row>
    <row r="28" spans="1:6" x14ac:dyDescent="0.25">
      <c r="A28" s="3"/>
      <c r="C28" s="2"/>
    </row>
    <row r="29" spans="1:6" x14ac:dyDescent="0.25">
      <c r="A29" s="3"/>
      <c r="C29" s="2"/>
    </row>
    <row r="30" spans="1:6" x14ac:dyDescent="0.25">
      <c r="A30" s="3"/>
      <c r="C30" s="2"/>
    </row>
    <row r="31" spans="1:6" x14ac:dyDescent="0.25">
      <c r="A31" s="3"/>
      <c r="C31" s="2"/>
    </row>
  </sheetData>
  <mergeCells count="4">
    <mergeCell ref="A5:F5"/>
    <mergeCell ref="A6:F6"/>
    <mergeCell ref="A7:F7"/>
    <mergeCell ref="A8:F8"/>
  </mergeCells>
  <phoneticPr fontId="3" type="noConversion"/>
  <printOptions horizontalCentered="1"/>
  <pageMargins left="1" right="1" top="1" bottom="1" header="0.3" footer="0.3"/>
  <pageSetup orientation="landscape" r:id="rId1"/>
  <ignoredErrors>
    <ignoredError sqref="A1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23796-E623-4CE5-B213-D51656E67EFD}">
  <sheetPr codeName="Sheet1">
    <pageSetUpPr fitToPage="1"/>
  </sheetPr>
  <dimension ref="A1:K30"/>
  <sheetViews>
    <sheetView tabSelected="1" zoomScaleNormal="100" zoomScaleSheetLayoutView="106" workbookViewId="0">
      <selection activeCell="G25" sqref="G25"/>
    </sheetView>
  </sheetViews>
  <sheetFormatPr defaultColWidth="8.81640625" defaultRowHeight="12.5" x14ac:dyDescent="0.25"/>
  <cols>
    <col min="1" max="1" width="4.54296875" style="2" customWidth="1"/>
    <col min="2" max="2" width="58.81640625" style="2" bestFit="1" customWidth="1"/>
    <col min="3" max="3" width="12.26953125" style="2" bestFit="1" customWidth="1"/>
    <col min="4" max="4" width="15.54296875" style="2" bestFit="1" customWidth="1"/>
    <col min="5" max="5" width="16.26953125" style="2" bestFit="1" customWidth="1"/>
    <col min="6" max="6" width="13.1796875" style="2" bestFit="1" customWidth="1"/>
    <col min="7" max="7" width="17.26953125" style="2" bestFit="1" customWidth="1"/>
    <col min="8" max="8" width="14.81640625" style="2" bestFit="1" customWidth="1"/>
    <col min="9" max="9" width="14.54296875" style="2" bestFit="1" customWidth="1"/>
    <col min="10" max="10" width="8.81640625" style="2"/>
    <col min="11" max="11" width="12.1796875" style="7" bestFit="1" customWidth="1"/>
    <col min="12" max="16384" width="8.81640625" style="2"/>
  </cols>
  <sheetData>
    <row r="1" spans="1:11" ht="15.5" x14ac:dyDescent="0.35">
      <c r="A1" s="8"/>
      <c r="B1" s="8"/>
      <c r="C1" s="8"/>
      <c r="D1" s="8"/>
      <c r="E1" s="8"/>
      <c r="F1" s="8"/>
      <c r="G1" s="8"/>
      <c r="H1" s="9"/>
      <c r="I1" s="9" t="str">
        <f>'Table of Contents'!F1</f>
        <v>Case No. 2026-00306</v>
      </c>
    </row>
    <row r="2" spans="1:11" ht="15.5" x14ac:dyDescent="0.35">
      <c r="A2" s="8"/>
      <c r="B2" s="8"/>
      <c r="C2" s="8"/>
      <c r="D2" s="8"/>
      <c r="E2" s="8"/>
      <c r="F2" s="8"/>
      <c r="G2" s="8"/>
      <c r="H2" s="9"/>
      <c r="I2" s="9" t="s">
        <v>108</v>
      </c>
    </row>
    <row r="3" spans="1:11" ht="15.5" x14ac:dyDescent="0.35">
      <c r="A3" s="8"/>
      <c r="B3" s="8"/>
      <c r="C3" s="8"/>
      <c r="D3" s="8"/>
      <c r="E3" s="8"/>
      <c r="F3" s="8"/>
      <c r="G3" s="8"/>
      <c r="H3" s="9"/>
      <c r="I3" s="9"/>
    </row>
    <row r="4" spans="1:11" ht="15.5" x14ac:dyDescent="0.35">
      <c r="A4" s="144" t="s">
        <v>12</v>
      </c>
      <c r="B4" s="144"/>
      <c r="C4" s="144"/>
      <c r="D4" s="144"/>
      <c r="E4" s="144"/>
      <c r="F4" s="144"/>
      <c r="G4" s="144"/>
      <c r="H4" s="144"/>
      <c r="I4" s="144"/>
    </row>
    <row r="5" spans="1:11" ht="15.5" x14ac:dyDescent="0.35">
      <c r="A5" s="144" t="s">
        <v>109</v>
      </c>
      <c r="B5" s="144"/>
      <c r="C5" s="144"/>
      <c r="D5" s="144"/>
      <c r="E5" s="144"/>
      <c r="F5" s="144"/>
      <c r="G5" s="144"/>
      <c r="H5" s="144"/>
      <c r="I5" s="144"/>
    </row>
    <row r="6" spans="1:11" ht="15.5" x14ac:dyDescent="0.35">
      <c r="A6" s="144" t="s">
        <v>106</v>
      </c>
      <c r="B6" s="144"/>
      <c r="C6" s="144"/>
      <c r="D6" s="144"/>
      <c r="E6" s="144"/>
      <c r="F6" s="144"/>
      <c r="G6" s="144"/>
      <c r="H6" s="144"/>
      <c r="I6" s="144"/>
    </row>
    <row r="7" spans="1:11" ht="15.5" x14ac:dyDescent="0.35">
      <c r="A7" s="10"/>
      <c r="B7" s="10"/>
      <c r="C7" s="10"/>
      <c r="D7" s="10"/>
      <c r="E7" s="10"/>
      <c r="F7" s="10"/>
      <c r="G7" s="10"/>
      <c r="H7" s="8"/>
      <c r="I7" s="8"/>
    </row>
    <row r="8" spans="1:11" ht="15.5" x14ac:dyDescent="0.35">
      <c r="A8" s="8"/>
      <c r="B8" s="8"/>
      <c r="C8" s="8"/>
      <c r="D8" s="10"/>
      <c r="E8" s="10" t="s">
        <v>57</v>
      </c>
      <c r="F8" s="10" t="s">
        <v>244</v>
      </c>
      <c r="G8" s="10" t="s">
        <v>101</v>
      </c>
      <c r="H8" s="10" t="s">
        <v>9</v>
      </c>
    </row>
    <row r="9" spans="1:11" ht="15.5" x14ac:dyDescent="0.35">
      <c r="A9" s="10" t="s">
        <v>49</v>
      </c>
      <c r="B9" s="8"/>
      <c r="C9" s="10" t="s">
        <v>54</v>
      </c>
      <c r="D9" s="10" t="s">
        <v>55</v>
      </c>
      <c r="E9" s="10" t="s">
        <v>58</v>
      </c>
      <c r="F9" s="10" t="s">
        <v>105</v>
      </c>
      <c r="G9" s="10" t="s">
        <v>94</v>
      </c>
      <c r="H9" s="10" t="s">
        <v>244</v>
      </c>
    </row>
    <row r="10" spans="1:11" ht="17.5" x14ac:dyDescent="0.35">
      <c r="A10" s="13" t="s">
        <v>50</v>
      </c>
      <c r="B10" s="13" t="s">
        <v>53</v>
      </c>
      <c r="C10" s="21" t="s">
        <v>102</v>
      </c>
      <c r="D10" s="21" t="s">
        <v>56</v>
      </c>
      <c r="E10" s="21" t="s">
        <v>194</v>
      </c>
      <c r="F10" s="13" t="s">
        <v>59</v>
      </c>
      <c r="G10" s="13" t="s">
        <v>269</v>
      </c>
      <c r="H10" s="21" t="s">
        <v>107</v>
      </c>
    </row>
    <row r="11" spans="1:11" ht="15.5" x14ac:dyDescent="0.35">
      <c r="A11" s="10"/>
      <c r="B11" s="22" t="s">
        <v>220</v>
      </c>
      <c r="C11" s="22" t="s">
        <v>221</v>
      </c>
      <c r="D11" s="22" t="s">
        <v>222</v>
      </c>
      <c r="E11" s="22" t="s">
        <v>223</v>
      </c>
      <c r="F11" s="22" t="s">
        <v>224</v>
      </c>
      <c r="G11" s="22" t="s">
        <v>225</v>
      </c>
      <c r="H11" s="22" t="s">
        <v>226</v>
      </c>
    </row>
    <row r="12" spans="1:11" ht="15.5" x14ac:dyDescent="0.35">
      <c r="A12" s="8"/>
      <c r="B12" s="8"/>
      <c r="C12" s="8"/>
      <c r="D12" s="8"/>
      <c r="E12" s="8"/>
      <c r="F12" s="10"/>
      <c r="G12" s="23"/>
      <c r="H12" s="10"/>
    </row>
    <row r="13" spans="1:11" ht="15.5" x14ac:dyDescent="0.35">
      <c r="A13" s="8"/>
      <c r="B13" s="8"/>
      <c r="C13" s="8"/>
      <c r="D13" s="8"/>
      <c r="E13" s="8"/>
      <c r="F13" s="10"/>
      <c r="G13" s="23"/>
      <c r="H13" s="10"/>
    </row>
    <row r="14" spans="1:11" ht="15.5" x14ac:dyDescent="0.35">
      <c r="A14" s="23">
        <v>1</v>
      </c>
      <c r="B14" s="24" t="s">
        <v>63</v>
      </c>
      <c r="C14" s="25">
        <v>0.64795000000000003</v>
      </c>
      <c r="D14" s="26">
        <f>ROUND(C14*$D$22,0)</f>
        <v>15452444</v>
      </c>
      <c r="E14" s="17">
        <f>'1.1 Projected Volumes'!C17</f>
        <v>8089316</v>
      </c>
      <c r="F14" s="139">
        <f>ROUND(D14/E14,4)</f>
        <v>1.9101999999999999</v>
      </c>
      <c r="G14" s="27">
        <v>-7.9299999999999995E-2</v>
      </c>
      <c r="H14" s="139">
        <f>F14+G14</f>
        <v>1.8309</v>
      </c>
      <c r="K14" s="137"/>
    </row>
    <row r="15" spans="1:11" ht="15.5" x14ac:dyDescent="0.35">
      <c r="A15" s="23"/>
      <c r="B15" s="23"/>
      <c r="C15" s="25"/>
      <c r="D15" s="26"/>
      <c r="E15" s="17"/>
      <c r="F15" s="139"/>
      <c r="G15" s="27"/>
      <c r="H15" s="139"/>
    </row>
    <row r="16" spans="1:11" ht="15.5" x14ac:dyDescent="0.35">
      <c r="A16" s="23">
        <f>A14+1</f>
        <v>2</v>
      </c>
      <c r="B16" s="24" t="s">
        <v>64</v>
      </c>
      <c r="C16" s="25">
        <v>0.27683000000000002</v>
      </c>
      <c r="D16" s="26">
        <f>ROUND(C16*$D$22,0)</f>
        <v>6601898</v>
      </c>
      <c r="E16" s="17">
        <f>'1.1 Projected Volumes'!C18</f>
        <v>6142657.6000000006</v>
      </c>
      <c r="F16" s="139">
        <f>ROUND(D16/E16,4)</f>
        <v>1.0748</v>
      </c>
      <c r="G16" s="27">
        <v>-4.3099999999999999E-2</v>
      </c>
      <c r="H16" s="139">
        <f>F16+G16</f>
        <v>1.0317000000000001</v>
      </c>
    </row>
    <row r="17" spans="1:8" ht="15.5" x14ac:dyDescent="0.35">
      <c r="A17" s="23"/>
      <c r="B17" s="23"/>
      <c r="C17" s="25"/>
      <c r="D17" s="26"/>
      <c r="E17" s="17"/>
      <c r="F17" s="139"/>
      <c r="G17" s="27"/>
      <c r="H17" s="139"/>
    </row>
    <row r="18" spans="1:8" ht="15.5" x14ac:dyDescent="0.35">
      <c r="A18" s="23">
        <f>A16+1</f>
        <v>3</v>
      </c>
      <c r="B18" s="24" t="s">
        <v>65</v>
      </c>
      <c r="C18" s="25">
        <v>2.9E-4</v>
      </c>
      <c r="D18" s="26">
        <f>ROUND(C18*$D$22,0)</f>
        <v>6916</v>
      </c>
      <c r="E18" s="17">
        <f>'1.1 Projected Volumes'!C19</f>
        <v>10601</v>
      </c>
      <c r="F18" s="139">
        <f>ROUND(D18/E18,4)</f>
        <v>0.65239999999999998</v>
      </c>
      <c r="G18" s="27">
        <v>-5.0799999999999998E-2</v>
      </c>
      <c r="H18" s="139">
        <f>F18+G18</f>
        <v>0.60160000000000002</v>
      </c>
    </row>
    <row r="19" spans="1:8" ht="15.5" x14ac:dyDescent="0.35">
      <c r="A19" s="23"/>
      <c r="B19" s="24"/>
      <c r="C19" s="28"/>
      <c r="D19" s="26"/>
      <c r="E19" s="17"/>
      <c r="F19" s="139"/>
      <c r="G19" s="27"/>
      <c r="H19" s="139"/>
    </row>
    <row r="20" spans="1:8" ht="18.5" x14ac:dyDescent="0.35">
      <c r="A20" s="23">
        <f>A18+1</f>
        <v>4</v>
      </c>
      <c r="B20" s="24" t="s">
        <v>270</v>
      </c>
      <c r="C20" s="29">
        <v>7.4929999999999997E-2</v>
      </c>
      <c r="D20" s="30">
        <f>ROUND(C20*$D$22,0)</f>
        <v>1786946</v>
      </c>
      <c r="E20" s="31">
        <f>'1.1 Projected Volumes'!C20</f>
        <v>8940413.4000000004</v>
      </c>
      <c r="F20" s="139">
        <f>ROUND(D20/E20,4)</f>
        <v>0.19989999999999999</v>
      </c>
      <c r="G20" s="27">
        <v>-8.6999999999999994E-3</v>
      </c>
      <c r="H20" s="139">
        <f>F20+G20</f>
        <v>0.19119999999999998</v>
      </c>
    </row>
    <row r="21" spans="1:8" ht="15.5" x14ac:dyDescent="0.35">
      <c r="A21" s="23"/>
      <c r="B21" s="24"/>
      <c r="C21" s="28"/>
      <c r="D21" s="32"/>
      <c r="E21" s="33"/>
      <c r="F21" s="8"/>
      <c r="G21" s="27"/>
      <c r="H21" s="27"/>
    </row>
    <row r="22" spans="1:8" ht="16" thickBot="1" x14ac:dyDescent="0.4">
      <c r="A22" s="23">
        <f>A20+1</f>
        <v>5</v>
      </c>
      <c r="B22" s="24" t="s">
        <v>61</v>
      </c>
      <c r="C22" s="34">
        <f>SUM(C14:C21)</f>
        <v>1</v>
      </c>
      <c r="D22" s="35">
        <f>'2.0 Revenue Req.'!I30</f>
        <v>23848204</v>
      </c>
      <c r="E22" s="36">
        <f>SUM(E14:E21)</f>
        <v>23182988</v>
      </c>
      <c r="F22" s="37"/>
      <c r="G22" s="37"/>
      <c r="H22" s="38"/>
    </row>
    <row r="23" spans="1:8" ht="16" thickTop="1" x14ac:dyDescent="0.35">
      <c r="A23" s="23"/>
      <c r="B23" s="23"/>
      <c r="C23" s="8"/>
      <c r="D23" s="8"/>
      <c r="E23" s="8"/>
      <c r="F23" s="8"/>
      <c r="G23" s="8"/>
      <c r="H23" s="8"/>
    </row>
    <row r="24" spans="1:8" x14ac:dyDescent="0.25">
      <c r="A24" s="4"/>
      <c r="B24" s="4"/>
      <c r="D24" s="5"/>
    </row>
    <row r="26" spans="1:8" ht="15.5" x14ac:dyDescent="0.35">
      <c r="A26" s="8" t="s">
        <v>71</v>
      </c>
    </row>
    <row r="27" spans="1:8" ht="18.5" x14ac:dyDescent="0.35">
      <c r="A27" s="6" t="s">
        <v>285</v>
      </c>
    </row>
    <row r="28" spans="1:8" ht="18.5" x14ac:dyDescent="0.35">
      <c r="A28" s="2" t="s">
        <v>299</v>
      </c>
    </row>
    <row r="29" spans="1:8" ht="18.5" x14ac:dyDescent="0.35">
      <c r="A29" s="2" t="s">
        <v>103</v>
      </c>
    </row>
    <row r="30" spans="1:8" ht="18.5" x14ac:dyDescent="0.35">
      <c r="A30" s="2" t="s">
        <v>298</v>
      </c>
    </row>
  </sheetData>
  <mergeCells count="3">
    <mergeCell ref="A4:I4"/>
    <mergeCell ref="A5:I5"/>
    <mergeCell ref="A6:I6"/>
  </mergeCells>
  <phoneticPr fontId="3" type="noConversion"/>
  <pageMargins left="0.5" right="0.5" top="1" bottom="0" header="0.5" footer="0.5"/>
  <pageSetup scale="76"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EB4BD-DA51-4CB3-A83C-BBCE23310715}">
  <sheetPr codeName="Sheet6">
    <pageSetUpPr fitToPage="1"/>
  </sheetPr>
  <dimension ref="B1:H39"/>
  <sheetViews>
    <sheetView topLeftCell="B4" zoomScaleNormal="100" workbookViewId="0">
      <selection activeCell="C24" sqref="C24"/>
    </sheetView>
  </sheetViews>
  <sheetFormatPr defaultColWidth="8.81640625" defaultRowHeight="15.5" x14ac:dyDescent="0.35"/>
  <cols>
    <col min="1" max="1" width="20.1796875" style="8" customWidth="1"/>
    <col min="2" max="2" width="59.54296875" style="8" customWidth="1"/>
    <col min="3" max="3" width="26.453125" style="8" customWidth="1"/>
    <col min="4" max="4" width="8.81640625" style="8" customWidth="1"/>
    <col min="5" max="5" width="10.1796875" style="8" bestFit="1" customWidth="1"/>
    <col min="6" max="7" width="8.81640625" style="8"/>
    <col min="8" max="8" width="12.453125" style="8" bestFit="1" customWidth="1"/>
    <col min="9" max="9" width="8.81640625" style="8"/>
    <col min="10" max="10" width="10.1796875" style="8" bestFit="1" customWidth="1"/>
    <col min="11" max="16384" width="8.81640625" style="8"/>
  </cols>
  <sheetData>
    <row r="1" spans="2:3" x14ac:dyDescent="0.35">
      <c r="C1" s="9" t="str">
        <f>'Table of Contents'!F1</f>
        <v>Case No. 2026-00306</v>
      </c>
    </row>
    <row r="2" spans="2:3" x14ac:dyDescent="0.35">
      <c r="C2" s="9" t="s">
        <v>259</v>
      </c>
    </row>
    <row r="3" spans="2:3" x14ac:dyDescent="0.35">
      <c r="C3" s="9"/>
    </row>
    <row r="4" spans="2:3" x14ac:dyDescent="0.35">
      <c r="B4" s="10" t="s">
        <v>66</v>
      </c>
    </row>
    <row r="5" spans="2:3" x14ac:dyDescent="0.35">
      <c r="B5" s="10" t="s">
        <v>109</v>
      </c>
      <c r="C5" s="9"/>
    </row>
    <row r="6" spans="2:3" x14ac:dyDescent="0.35">
      <c r="B6" s="10" t="s">
        <v>191</v>
      </c>
      <c r="C6" s="11"/>
    </row>
    <row r="7" spans="2:3" x14ac:dyDescent="0.35">
      <c r="B7" s="10" t="s">
        <v>300</v>
      </c>
      <c r="C7" s="11"/>
    </row>
    <row r="8" spans="2:3" x14ac:dyDescent="0.35">
      <c r="B8" s="10"/>
    </row>
    <row r="12" spans="2:3" x14ac:dyDescent="0.35">
      <c r="B12" s="12" t="s">
        <v>53</v>
      </c>
      <c r="C12" s="13" t="s">
        <v>247</v>
      </c>
    </row>
    <row r="13" spans="2:3" x14ac:dyDescent="0.35">
      <c r="B13" s="12"/>
      <c r="C13" s="13"/>
    </row>
    <row r="14" spans="2:3" x14ac:dyDescent="0.35">
      <c r="B14" s="10" t="s">
        <v>220</v>
      </c>
      <c r="C14" s="10" t="s">
        <v>221</v>
      </c>
    </row>
    <row r="15" spans="2:3" x14ac:dyDescent="0.35">
      <c r="B15" s="10"/>
      <c r="C15" s="10"/>
    </row>
    <row r="16" spans="2:3" x14ac:dyDescent="0.35">
      <c r="B16" s="14"/>
    </row>
    <row r="17" spans="2:8" s="15" customFormat="1" x14ac:dyDescent="0.35">
      <c r="B17" s="16" t="s">
        <v>245</v>
      </c>
      <c r="C17" s="17">
        <f>7371963.2+717352.8</f>
        <v>8089316</v>
      </c>
      <c r="D17" s="134"/>
      <c r="E17" s="133"/>
    </row>
    <row r="18" spans="2:8" s="15" customFormat="1" x14ac:dyDescent="0.35">
      <c r="B18" s="16" t="s">
        <v>246</v>
      </c>
      <c r="C18" s="17">
        <f>316284.8+1139073.4+4687299.4</f>
        <v>6142657.6000000006</v>
      </c>
      <c r="D18" s="134"/>
    </row>
    <row r="19" spans="2:8" s="15" customFormat="1" x14ac:dyDescent="0.35">
      <c r="B19" s="16" t="s">
        <v>67</v>
      </c>
      <c r="C19" s="17">
        <v>10601</v>
      </c>
      <c r="D19" s="134"/>
    </row>
    <row r="20" spans="2:8" s="15" customFormat="1" x14ac:dyDescent="0.35">
      <c r="B20" s="16" t="s">
        <v>68</v>
      </c>
      <c r="C20" s="17">
        <v>8940413.4000000004</v>
      </c>
      <c r="D20" s="134"/>
    </row>
    <row r="21" spans="2:8" s="15" customFormat="1" ht="16" thickBot="1" x14ac:dyDescent="0.4">
      <c r="B21" s="16" t="s">
        <v>248</v>
      </c>
      <c r="C21" s="138">
        <f>SUM(C17:C20)</f>
        <v>23182988</v>
      </c>
    </row>
    <row r="22" spans="2:8" s="15" customFormat="1" ht="16" thickTop="1" x14ac:dyDescent="0.35">
      <c r="B22" s="16"/>
    </row>
    <row r="23" spans="2:8" s="15" customFormat="1" x14ac:dyDescent="0.35">
      <c r="B23" s="16"/>
    </row>
    <row r="24" spans="2:8" x14ac:dyDescent="0.35">
      <c r="B24" s="16"/>
      <c r="C24" s="15"/>
    </row>
    <row r="25" spans="2:8" x14ac:dyDescent="0.35">
      <c r="B25" s="16"/>
    </row>
    <row r="29" spans="2:8" x14ac:dyDescent="0.35">
      <c r="G29" s="77"/>
      <c r="H29" s="77"/>
    </row>
    <row r="30" spans="2:8" x14ac:dyDescent="0.35">
      <c r="G30" s="77"/>
      <c r="H30" s="77"/>
    </row>
    <row r="31" spans="2:8" x14ac:dyDescent="0.35">
      <c r="G31" s="77"/>
      <c r="H31" s="77"/>
    </row>
    <row r="32" spans="2:8" x14ac:dyDescent="0.35">
      <c r="G32" s="77"/>
      <c r="H32" s="77"/>
    </row>
    <row r="33" spans="7:8" x14ac:dyDescent="0.35">
      <c r="G33" s="77"/>
      <c r="H33" s="77"/>
    </row>
    <row r="34" spans="7:8" x14ac:dyDescent="0.35">
      <c r="G34" s="77"/>
      <c r="H34" s="77"/>
    </row>
    <row r="35" spans="7:8" x14ac:dyDescent="0.35">
      <c r="G35" s="77"/>
      <c r="H35" s="77"/>
    </row>
    <row r="36" spans="7:8" x14ac:dyDescent="0.35">
      <c r="G36" s="77"/>
      <c r="H36" s="77"/>
    </row>
    <row r="37" spans="7:8" x14ac:dyDescent="0.35">
      <c r="G37" s="77"/>
      <c r="H37" s="77"/>
    </row>
    <row r="38" spans="7:8" x14ac:dyDescent="0.35">
      <c r="G38" s="77"/>
      <c r="H38" s="77"/>
    </row>
    <row r="39" spans="7:8" x14ac:dyDescent="0.35">
      <c r="G39" s="77"/>
      <c r="H39" s="77"/>
    </row>
  </sheetData>
  <phoneticPr fontId="3" type="noConversion"/>
  <printOptions horizontalCentered="1"/>
  <pageMargins left="0.7" right="0.7" top="0.75" bottom="0.75" header="0.3" footer="0.3"/>
  <pageSetup orientation="landscape"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0D906-F172-433A-B2EC-5D61535D23D5}">
  <sheetPr codeName="Sheet2">
    <pageSetUpPr fitToPage="1"/>
  </sheetPr>
  <dimension ref="A1:Z39"/>
  <sheetViews>
    <sheetView zoomScaleNormal="100" zoomScaleSheetLayoutView="112" workbookViewId="0">
      <selection activeCell="I21" sqref="I21"/>
    </sheetView>
  </sheetViews>
  <sheetFormatPr defaultColWidth="8.81640625" defaultRowHeight="15.5" x14ac:dyDescent="0.35"/>
  <cols>
    <col min="1" max="1" width="5.1796875" style="8" customWidth="1"/>
    <col min="2" max="2" width="3.453125" style="8" customWidth="1"/>
    <col min="3" max="3" width="1.81640625" style="8" customWidth="1"/>
    <col min="4" max="4" width="8.81640625" style="8"/>
    <col min="5" max="5" width="35.81640625" style="8" customWidth="1"/>
    <col min="6" max="6" width="1.81640625" style="8" customWidth="1"/>
    <col min="7" max="7" width="22.1796875" style="8" bestFit="1" customWidth="1"/>
    <col min="8" max="8" width="1.54296875" style="8" customWidth="1"/>
    <col min="9" max="9" width="26.1796875" style="8" bestFit="1" customWidth="1"/>
    <col min="10" max="10" width="2.1796875" style="8" customWidth="1"/>
    <col min="11" max="11" width="25" style="8" bestFit="1" customWidth="1"/>
    <col min="12" max="12" width="11.1796875" style="8" customWidth="1"/>
    <col min="13" max="13" width="12.81640625" style="8" bestFit="1" customWidth="1"/>
    <col min="14" max="14" width="8.81640625" style="8"/>
    <col min="15" max="15" width="12.453125" style="8" bestFit="1" customWidth="1"/>
    <col min="16" max="16" width="19" style="8" customWidth="1"/>
    <col min="17" max="16384" width="8.81640625" style="8"/>
  </cols>
  <sheetData>
    <row r="1" spans="1:26" x14ac:dyDescent="0.35">
      <c r="K1" s="39" t="str">
        <f>'Table of Contents'!F1</f>
        <v>Case No. 2026-00306</v>
      </c>
    </row>
    <row r="2" spans="1:26" x14ac:dyDescent="0.35">
      <c r="K2" s="39" t="s">
        <v>179</v>
      </c>
    </row>
    <row r="3" spans="1:26" x14ac:dyDescent="0.35">
      <c r="A3" s="144" t="s">
        <v>12</v>
      </c>
      <c r="B3" s="144"/>
      <c r="C3" s="144"/>
      <c r="D3" s="144"/>
      <c r="E3" s="144"/>
      <c r="F3" s="144"/>
      <c r="G3" s="144"/>
      <c r="H3" s="144"/>
      <c r="I3" s="144"/>
      <c r="J3" s="144"/>
      <c r="K3" s="144"/>
    </row>
    <row r="4" spans="1:26" x14ac:dyDescent="0.35">
      <c r="A4" s="144" t="s">
        <v>109</v>
      </c>
      <c r="B4" s="144"/>
      <c r="C4" s="144"/>
      <c r="D4" s="144"/>
      <c r="E4" s="144"/>
      <c r="F4" s="144"/>
      <c r="G4" s="144"/>
      <c r="H4" s="144"/>
      <c r="I4" s="144"/>
      <c r="J4" s="144"/>
      <c r="K4" s="144"/>
    </row>
    <row r="5" spans="1:26" x14ac:dyDescent="0.35">
      <c r="A5" s="144" t="s">
        <v>292</v>
      </c>
      <c r="B5" s="144"/>
      <c r="C5" s="144"/>
      <c r="D5" s="144"/>
      <c r="E5" s="144"/>
      <c r="F5" s="144"/>
      <c r="G5" s="144"/>
      <c r="H5" s="144"/>
      <c r="I5" s="144"/>
      <c r="J5" s="144"/>
      <c r="K5" s="144"/>
    </row>
    <row r="6" spans="1:26" x14ac:dyDescent="0.35">
      <c r="A6" s="24"/>
      <c r="B6" s="10"/>
      <c r="C6" s="10"/>
      <c r="D6" s="10"/>
      <c r="E6" s="10"/>
      <c r="F6" s="10"/>
      <c r="G6" s="10"/>
      <c r="H6" s="10"/>
      <c r="I6" s="10"/>
      <c r="J6" s="10"/>
      <c r="K6" s="10"/>
    </row>
    <row r="7" spans="1:26" x14ac:dyDescent="0.35">
      <c r="F7" s="10"/>
    </row>
    <row r="8" spans="1:26" x14ac:dyDescent="0.35">
      <c r="A8" s="10" t="s">
        <v>49</v>
      </c>
      <c r="F8" s="10"/>
      <c r="G8" s="10" t="s">
        <v>111</v>
      </c>
      <c r="H8" s="10"/>
      <c r="I8" s="10" t="s">
        <v>88</v>
      </c>
      <c r="J8" s="10"/>
      <c r="K8" s="11"/>
      <c r="L8" s="11"/>
      <c r="M8" s="11"/>
      <c r="N8" s="11"/>
      <c r="O8" s="11"/>
      <c r="P8" s="11"/>
      <c r="Q8" s="11"/>
      <c r="R8" s="11"/>
    </row>
    <row r="9" spans="1:26" x14ac:dyDescent="0.35">
      <c r="A9" s="13" t="s">
        <v>50</v>
      </c>
      <c r="E9" s="23"/>
      <c r="F9" s="40"/>
      <c r="G9" s="40">
        <v>46752</v>
      </c>
      <c r="H9" s="11"/>
      <c r="I9" s="13" t="s">
        <v>117</v>
      </c>
      <c r="J9" s="13"/>
      <c r="K9" s="13" t="s">
        <v>51</v>
      </c>
      <c r="L9" s="11"/>
      <c r="M9" s="11"/>
      <c r="N9" s="11"/>
      <c r="O9" s="11"/>
      <c r="P9" s="11"/>
      <c r="Q9" s="11"/>
      <c r="R9" s="11"/>
    </row>
    <row r="10" spans="1:26" x14ac:dyDescent="0.35">
      <c r="A10" s="10"/>
      <c r="E10" s="23"/>
      <c r="F10" s="22"/>
      <c r="G10" s="22" t="s">
        <v>220</v>
      </c>
      <c r="H10" s="22"/>
      <c r="I10" s="22" t="s">
        <v>221</v>
      </c>
      <c r="J10" s="22"/>
      <c r="K10" s="22" t="s">
        <v>222</v>
      </c>
      <c r="L10" s="11"/>
      <c r="M10" s="11"/>
      <c r="N10" s="11"/>
      <c r="O10" s="11"/>
      <c r="P10" s="11"/>
      <c r="Q10" s="11"/>
      <c r="R10" s="11"/>
      <c r="S10" s="11"/>
      <c r="T10" s="11"/>
      <c r="U10" s="11"/>
      <c r="V10" s="11"/>
      <c r="W10" s="11"/>
      <c r="X10" s="11"/>
      <c r="Y10" s="11"/>
      <c r="Z10" s="11"/>
    </row>
    <row r="11" spans="1:26" x14ac:dyDescent="0.35">
      <c r="A11" s="23"/>
    </row>
    <row r="12" spans="1:26" ht="18" customHeight="1" x14ac:dyDescent="0.35">
      <c r="A12" s="23">
        <v>1</v>
      </c>
      <c r="C12" s="8" t="s">
        <v>138</v>
      </c>
      <c r="F12" s="41"/>
      <c r="G12" s="42">
        <f>'3.0 Plant in Service'!Q328</f>
        <v>189537332.11989948</v>
      </c>
      <c r="H12" s="43"/>
      <c r="K12" s="8" t="s">
        <v>253</v>
      </c>
    </row>
    <row r="13" spans="1:26" ht="18" customHeight="1" x14ac:dyDescent="0.35">
      <c r="A13" s="23">
        <f>A12+1</f>
        <v>2</v>
      </c>
      <c r="C13" s="8" t="s">
        <v>173</v>
      </c>
      <c r="F13" s="41"/>
      <c r="G13" s="42">
        <f>'4.0 Accumulated Depr'!Q373</f>
        <v>15278142.94984014</v>
      </c>
      <c r="H13" s="43"/>
      <c r="K13" s="8" t="s">
        <v>254</v>
      </c>
    </row>
    <row r="14" spans="1:26" ht="18" customHeight="1" x14ac:dyDescent="0.35">
      <c r="A14" s="23">
        <v>3</v>
      </c>
      <c r="C14" s="8" t="s">
        <v>114</v>
      </c>
      <c r="F14" s="41"/>
      <c r="G14" s="44">
        <f>'6.0 ADIT Normalized '!Q53</f>
        <v>-28629483.846153848</v>
      </c>
      <c r="H14" s="43"/>
      <c r="K14" s="8" t="s">
        <v>255</v>
      </c>
    </row>
    <row r="15" spans="1:26" ht="18" customHeight="1" x14ac:dyDescent="0.35">
      <c r="A15" s="23">
        <v>4</v>
      </c>
      <c r="D15" s="8" t="s">
        <v>115</v>
      </c>
      <c r="F15" s="41"/>
      <c r="G15" s="42"/>
      <c r="H15" s="43"/>
      <c r="I15" s="43">
        <f>SUM(G12:G14)</f>
        <v>176185991.22358575</v>
      </c>
      <c r="J15" s="43"/>
      <c r="K15" s="8" t="s">
        <v>131</v>
      </c>
    </row>
    <row r="16" spans="1:26" ht="18" customHeight="1" x14ac:dyDescent="0.35">
      <c r="A16" s="23"/>
      <c r="F16" s="41"/>
      <c r="G16" s="42"/>
    </row>
    <row r="17" spans="1:13" ht="18" customHeight="1" x14ac:dyDescent="0.35">
      <c r="A17" s="23">
        <v>5</v>
      </c>
      <c r="C17" s="8" t="s">
        <v>116</v>
      </c>
      <c r="F17" s="41"/>
      <c r="G17" s="42"/>
      <c r="I17" s="45">
        <f>'2.1 ROR '!F20</f>
        <v>9.0499999999999997E-2</v>
      </c>
      <c r="J17" s="45"/>
      <c r="K17" s="8" t="s">
        <v>192</v>
      </c>
    </row>
    <row r="18" spans="1:13" ht="18" customHeight="1" x14ac:dyDescent="0.35">
      <c r="A18" s="23"/>
      <c r="F18" s="41"/>
      <c r="G18" s="42"/>
      <c r="I18" s="45"/>
      <c r="J18" s="45"/>
    </row>
    <row r="19" spans="1:13" ht="18" customHeight="1" x14ac:dyDescent="0.35">
      <c r="A19" s="23">
        <v>6</v>
      </c>
      <c r="C19" s="8" t="s">
        <v>119</v>
      </c>
      <c r="F19" s="41"/>
      <c r="G19" s="42"/>
      <c r="I19" s="46">
        <f>ROUND(I15*I17,0)</f>
        <v>15944832</v>
      </c>
      <c r="J19" s="41"/>
      <c r="K19" s="8" t="s">
        <v>130</v>
      </c>
    </row>
    <row r="20" spans="1:13" ht="18" customHeight="1" x14ac:dyDescent="0.35">
      <c r="A20" s="23"/>
      <c r="F20" s="41"/>
      <c r="G20" s="42"/>
    </row>
    <row r="21" spans="1:13" ht="18" customHeight="1" x14ac:dyDescent="0.35">
      <c r="A21" s="23">
        <v>7</v>
      </c>
      <c r="C21" s="8" t="s">
        <v>118</v>
      </c>
      <c r="F21" s="41"/>
      <c r="G21" s="42">
        <f>'5.0 Depr Expense'!Q381</f>
        <v>5015908.8320000004</v>
      </c>
      <c r="H21" s="43"/>
      <c r="I21" s="43"/>
      <c r="J21" s="43"/>
      <c r="K21" s="8" t="s">
        <v>276</v>
      </c>
    </row>
    <row r="22" spans="1:13" ht="18" customHeight="1" x14ac:dyDescent="0.35">
      <c r="A22" s="23">
        <v>8</v>
      </c>
      <c r="C22" s="8" t="s">
        <v>120</v>
      </c>
      <c r="F22" s="41"/>
      <c r="G22" s="42">
        <f>'7.0 Property Tax'!G17</f>
        <v>2756968</v>
      </c>
      <c r="H22" s="43"/>
      <c r="I22" s="43"/>
      <c r="J22" s="43"/>
      <c r="K22" s="8" t="s">
        <v>277</v>
      </c>
    </row>
    <row r="23" spans="1:13" ht="18" customHeight="1" x14ac:dyDescent="0.35">
      <c r="A23" s="23">
        <f>+A22+1</f>
        <v>9</v>
      </c>
      <c r="C23" s="8" t="s">
        <v>90</v>
      </c>
      <c r="F23" s="41"/>
      <c r="G23" s="42">
        <f>'8.0 O&amp;M Savings '!E13</f>
        <v>0</v>
      </c>
      <c r="H23" s="43"/>
      <c r="I23" s="43"/>
      <c r="J23" s="43"/>
      <c r="K23" s="8" t="s">
        <v>278</v>
      </c>
    </row>
    <row r="24" spans="1:13" ht="18" customHeight="1" x14ac:dyDescent="0.35">
      <c r="A24" s="23">
        <f>+A23+1</f>
        <v>10</v>
      </c>
      <c r="D24" s="8" t="s">
        <v>190</v>
      </c>
      <c r="F24" s="41"/>
      <c r="G24" s="46"/>
      <c r="H24" s="43"/>
      <c r="I24" s="43">
        <f>SUM(G21:G23)</f>
        <v>7772876.8320000004</v>
      </c>
      <c r="J24" s="43"/>
      <c r="K24" s="8" t="s">
        <v>260</v>
      </c>
    </row>
    <row r="25" spans="1:13" ht="18" customHeight="1" x14ac:dyDescent="0.35">
      <c r="A25" s="23"/>
      <c r="F25" s="41"/>
      <c r="G25" s="41"/>
      <c r="H25" s="43"/>
      <c r="I25" s="43"/>
      <c r="J25" s="43"/>
    </row>
    <row r="26" spans="1:13" ht="18" customHeight="1" x14ac:dyDescent="0.35">
      <c r="A26" s="23">
        <f>+A24+1</f>
        <v>11</v>
      </c>
      <c r="C26" s="8" t="s">
        <v>132</v>
      </c>
      <c r="F26" s="41"/>
      <c r="G26" s="42"/>
      <c r="I26" s="47">
        <f>+I19+I24</f>
        <v>23717708.832000002</v>
      </c>
      <c r="J26" s="43"/>
      <c r="K26" s="8" t="s">
        <v>215</v>
      </c>
    </row>
    <row r="27" spans="1:13" ht="18" customHeight="1" x14ac:dyDescent="0.35">
      <c r="A27" s="23"/>
      <c r="F27" s="41"/>
      <c r="G27" s="42"/>
      <c r="I27" s="43"/>
      <c r="J27" s="43"/>
    </row>
    <row r="28" spans="1:13" ht="18" customHeight="1" x14ac:dyDescent="0.35">
      <c r="A28" s="23">
        <f>+A26+1</f>
        <v>12</v>
      </c>
      <c r="C28" s="8" t="s">
        <v>129</v>
      </c>
      <c r="F28" s="41"/>
      <c r="G28" s="42"/>
      <c r="I28" s="48">
        <v>1.0055019999999999</v>
      </c>
      <c r="J28" s="49"/>
      <c r="K28" s="8" t="s">
        <v>193</v>
      </c>
    </row>
    <row r="29" spans="1:13" x14ac:dyDescent="0.35">
      <c r="A29" s="23"/>
      <c r="F29" s="41"/>
      <c r="G29" s="42"/>
      <c r="L29" s="43"/>
      <c r="M29" s="43"/>
    </row>
    <row r="30" spans="1:13" ht="17.149999999999999" customHeight="1" thickBot="1" x14ac:dyDescent="0.55000000000000004">
      <c r="A30" s="23">
        <f>+A28+1</f>
        <v>13</v>
      </c>
      <c r="C30" s="11" t="s">
        <v>110</v>
      </c>
      <c r="F30" s="50"/>
      <c r="G30" s="42"/>
      <c r="I30" s="51">
        <f>ROUND(I26*I28,0)</f>
        <v>23848204</v>
      </c>
      <c r="J30" s="52"/>
      <c r="K30" s="8" t="s">
        <v>216</v>
      </c>
      <c r="M30" s="53"/>
    </row>
    <row r="31" spans="1:13" ht="16" thickTop="1" x14ac:dyDescent="0.35">
      <c r="F31" s="43"/>
      <c r="G31" s="43"/>
    </row>
    <row r="32" spans="1:13" x14ac:dyDescent="0.35">
      <c r="E32" s="54"/>
    </row>
    <row r="33" spans="6:12" x14ac:dyDescent="0.35">
      <c r="F33" s="23"/>
      <c r="H33" s="23"/>
      <c r="I33" s="23"/>
      <c r="J33" s="23"/>
    </row>
    <row r="34" spans="6:12" x14ac:dyDescent="0.35">
      <c r="F34" s="23"/>
      <c r="G34" s="23"/>
      <c r="H34" s="23"/>
      <c r="I34" s="55"/>
      <c r="J34" s="23"/>
      <c r="K34" s="23"/>
      <c r="L34" s="23"/>
    </row>
    <row r="36" spans="6:12" x14ac:dyDescent="0.35">
      <c r="F36" s="56"/>
      <c r="G36" s="56"/>
      <c r="H36" s="45"/>
      <c r="I36" s="45"/>
      <c r="J36" s="45"/>
      <c r="L36" s="45"/>
    </row>
    <row r="37" spans="6:12" x14ac:dyDescent="0.35">
      <c r="F37" s="56"/>
      <c r="G37" s="56"/>
      <c r="H37" s="45"/>
      <c r="I37" s="45"/>
      <c r="J37" s="45"/>
      <c r="K37" s="56"/>
      <c r="L37" s="45"/>
    </row>
    <row r="39" spans="6:12" x14ac:dyDescent="0.35">
      <c r="H39" s="45"/>
      <c r="I39" s="45"/>
      <c r="J39" s="45"/>
      <c r="L39" s="57"/>
    </row>
  </sheetData>
  <mergeCells count="3">
    <mergeCell ref="A3:K3"/>
    <mergeCell ref="A4:K4"/>
    <mergeCell ref="A5:K5"/>
  </mergeCells>
  <phoneticPr fontId="3" type="noConversion"/>
  <pageMargins left="0.5" right="0.5" top="0.75" bottom="0.75" header="0.5" footer="0.5"/>
  <pageSetup scale="9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16CAF-03DB-4741-AC08-EE0385469567}">
  <sheetPr codeName="Sheet3">
    <pageSetUpPr fitToPage="1"/>
  </sheetPr>
  <dimension ref="A1:J36"/>
  <sheetViews>
    <sheetView zoomScaleNormal="100" zoomScaleSheetLayoutView="98" workbookViewId="0">
      <selection activeCell="J15" sqref="J15"/>
    </sheetView>
  </sheetViews>
  <sheetFormatPr defaultColWidth="8.81640625" defaultRowHeight="15.5" x14ac:dyDescent="0.35"/>
  <cols>
    <col min="1" max="1" width="5.54296875" style="8" customWidth="1"/>
    <col min="2" max="2" width="24" style="8" customWidth="1"/>
    <col min="3" max="3" width="11" style="8" customWidth="1"/>
    <col min="4" max="4" width="11.81640625" style="8" customWidth="1"/>
    <col min="5" max="5" width="13.81640625" style="8" customWidth="1"/>
    <col min="6" max="6" width="16.1796875" style="8" customWidth="1"/>
    <col min="7" max="16384" width="8.81640625" style="8"/>
  </cols>
  <sheetData>
    <row r="1" spans="1:10" x14ac:dyDescent="0.35">
      <c r="H1" s="9" t="str">
        <f>'Table of Contents'!F1</f>
        <v>Case No. 2026-00306</v>
      </c>
    </row>
    <row r="2" spans="1:10" x14ac:dyDescent="0.35">
      <c r="H2" s="9" t="s">
        <v>113</v>
      </c>
    </row>
    <row r="3" spans="1:10" x14ac:dyDescent="0.35">
      <c r="F3" s="9"/>
    </row>
    <row r="4" spans="1:10" x14ac:dyDescent="0.35">
      <c r="A4" s="144" t="s">
        <v>12</v>
      </c>
      <c r="B4" s="144"/>
      <c r="C4" s="144"/>
      <c r="D4" s="144"/>
      <c r="E4" s="144"/>
      <c r="F4" s="144"/>
      <c r="G4" s="11"/>
      <c r="H4" s="11"/>
      <c r="I4" s="11"/>
      <c r="J4" s="11"/>
    </row>
    <row r="5" spans="1:10" x14ac:dyDescent="0.35">
      <c r="A5" s="144" t="s">
        <v>112</v>
      </c>
      <c r="B5" s="144"/>
      <c r="C5" s="144"/>
      <c r="D5" s="144"/>
      <c r="E5" s="144"/>
      <c r="F5" s="144"/>
      <c r="G5" s="11"/>
      <c r="H5" s="11"/>
      <c r="I5" s="11"/>
      <c r="J5" s="11"/>
    </row>
    <row r="6" spans="1:10" x14ac:dyDescent="0.35">
      <c r="A6" s="144" t="s">
        <v>86</v>
      </c>
      <c r="B6" s="144"/>
      <c r="C6" s="144"/>
      <c r="D6" s="144"/>
      <c r="E6" s="144"/>
      <c r="F6" s="144"/>
      <c r="G6" s="11"/>
      <c r="H6" s="11"/>
      <c r="I6" s="11"/>
      <c r="J6" s="11"/>
    </row>
    <row r="10" spans="1:10" x14ac:dyDescent="0.35">
      <c r="C10" s="10"/>
      <c r="D10" s="10"/>
      <c r="F10" s="10" t="s">
        <v>11</v>
      </c>
    </row>
    <row r="11" spans="1:10" x14ac:dyDescent="0.35">
      <c r="A11" s="10" t="s">
        <v>49</v>
      </c>
      <c r="C11" s="10"/>
      <c r="D11" s="10"/>
      <c r="E11" s="10" t="s">
        <v>10</v>
      </c>
      <c r="F11" s="10" t="s">
        <v>36</v>
      </c>
    </row>
    <row r="12" spans="1:10" x14ac:dyDescent="0.35">
      <c r="A12" s="13" t="s">
        <v>50</v>
      </c>
      <c r="B12" s="13" t="s">
        <v>3</v>
      </c>
      <c r="C12" s="13" t="s">
        <v>7</v>
      </c>
      <c r="D12" s="13" t="s">
        <v>8</v>
      </c>
      <c r="E12" s="13" t="s">
        <v>8</v>
      </c>
      <c r="F12" s="58">
        <v>0.2495</v>
      </c>
    </row>
    <row r="13" spans="1:10" x14ac:dyDescent="0.35">
      <c r="A13" s="10"/>
      <c r="B13" s="22" t="s">
        <v>220</v>
      </c>
      <c r="C13" s="59" t="s">
        <v>221</v>
      </c>
      <c r="D13" s="59" t="s">
        <v>222</v>
      </c>
      <c r="E13" s="59" t="s">
        <v>223</v>
      </c>
      <c r="F13" s="59" t="s">
        <v>224</v>
      </c>
    </row>
    <row r="14" spans="1:10" x14ac:dyDescent="0.35">
      <c r="A14" s="10"/>
      <c r="B14" s="19"/>
      <c r="C14" s="13"/>
      <c r="D14" s="13"/>
      <c r="E14" s="13"/>
      <c r="F14" s="58"/>
    </row>
    <row r="16" spans="1:10" x14ac:dyDescent="0.35">
      <c r="A16" s="23">
        <v>1</v>
      </c>
      <c r="B16" s="8" t="s">
        <v>6</v>
      </c>
      <c r="C16" s="45">
        <v>1.83E-2</v>
      </c>
      <c r="D16" s="60">
        <v>5.2499999999999998E-2</v>
      </c>
      <c r="E16" s="56">
        <f>+C16*D16</f>
        <v>9.6075000000000002E-4</v>
      </c>
      <c r="F16" s="45">
        <f>E16</f>
        <v>9.6075000000000002E-4</v>
      </c>
    </row>
    <row r="17" spans="1:6" x14ac:dyDescent="0.35">
      <c r="A17" s="23">
        <f>+A16+1</f>
        <v>2</v>
      </c>
      <c r="B17" s="8" t="s">
        <v>5</v>
      </c>
      <c r="C17" s="45">
        <v>0.45529999999999998</v>
      </c>
      <c r="D17" s="56">
        <v>4.8000000000000001E-2</v>
      </c>
      <c r="E17" s="56">
        <f>+C17*D17</f>
        <v>2.18544E-2</v>
      </c>
      <c r="F17" s="45">
        <f>E17</f>
        <v>2.18544E-2</v>
      </c>
    </row>
    <row r="18" spans="1:6" x14ac:dyDescent="0.35">
      <c r="A18" s="23">
        <f>+A17+1</f>
        <v>3</v>
      </c>
      <c r="B18" s="8" t="s">
        <v>4</v>
      </c>
      <c r="C18" s="61">
        <v>0.52641000000000004</v>
      </c>
      <c r="D18" s="62">
        <v>9.6500000000000002E-2</v>
      </c>
      <c r="E18" s="62">
        <f>+C18*D18</f>
        <v>5.0798565000000004E-2</v>
      </c>
      <c r="F18" s="62">
        <f>ROUND(E18/(1-F12),7)</f>
        <v>6.7686300000000005E-2</v>
      </c>
    </row>
    <row r="19" spans="1:6" x14ac:dyDescent="0.35">
      <c r="A19" s="23"/>
      <c r="C19" s="63"/>
      <c r="D19" s="56"/>
      <c r="E19" s="64"/>
      <c r="F19" s="64"/>
    </row>
    <row r="20" spans="1:6" x14ac:dyDescent="0.35">
      <c r="A20" s="23">
        <f>A18+1</f>
        <v>4</v>
      </c>
      <c r="B20" s="8" t="s">
        <v>9</v>
      </c>
      <c r="C20" s="45">
        <f>SUM(C16:C18)</f>
        <v>1.0000100000000001</v>
      </c>
      <c r="E20" s="56">
        <f>SUM(E16:E18)</f>
        <v>7.3613714999999996E-2</v>
      </c>
      <c r="F20" s="45">
        <f>ROUND(SUM(F16:F18),4)</f>
        <v>9.0499999999999997E-2</v>
      </c>
    </row>
    <row r="21" spans="1:6" x14ac:dyDescent="0.35">
      <c r="F21" s="65"/>
    </row>
    <row r="22" spans="1:6" x14ac:dyDescent="0.35">
      <c r="F22" s="66"/>
    </row>
    <row r="23" spans="1:6" x14ac:dyDescent="0.35">
      <c r="B23" s="8" t="s">
        <v>282</v>
      </c>
      <c r="F23" s="67"/>
    </row>
    <row r="24" spans="1:6" x14ac:dyDescent="0.35">
      <c r="F24" s="67"/>
    </row>
    <row r="25" spans="1:6" x14ac:dyDescent="0.35">
      <c r="F25" s="67"/>
    </row>
    <row r="26" spans="1:6" x14ac:dyDescent="0.35">
      <c r="F26" s="67"/>
    </row>
    <row r="27" spans="1:6" x14ac:dyDescent="0.35">
      <c r="F27" s="67"/>
    </row>
    <row r="28" spans="1:6" x14ac:dyDescent="0.35">
      <c r="F28" s="67"/>
    </row>
    <row r="29" spans="1:6" x14ac:dyDescent="0.35">
      <c r="F29" s="67"/>
    </row>
    <row r="30" spans="1:6" x14ac:dyDescent="0.35">
      <c r="F30" s="67"/>
    </row>
    <row r="31" spans="1:6" x14ac:dyDescent="0.35">
      <c r="F31" s="67"/>
    </row>
    <row r="32" spans="1:6" x14ac:dyDescent="0.35">
      <c r="F32" s="67"/>
    </row>
    <row r="33" spans="6:6" x14ac:dyDescent="0.35">
      <c r="F33" s="67"/>
    </row>
    <row r="34" spans="6:6" x14ac:dyDescent="0.35">
      <c r="F34" s="67"/>
    </row>
    <row r="35" spans="6:6" x14ac:dyDescent="0.35">
      <c r="F35" s="67"/>
    </row>
    <row r="36" spans="6:6" x14ac:dyDescent="0.35">
      <c r="F36" s="67"/>
    </row>
  </sheetData>
  <mergeCells count="3">
    <mergeCell ref="A4:F4"/>
    <mergeCell ref="A5:F5"/>
    <mergeCell ref="A6:F6"/>
  </mergeCells>
  <phoneticPr fontId="3" type="noConversion"/>
  <printOptions horizontalCentered="1"/>
  <pageMargins left="1" right="1" top="1" bottom="1" header="0.5" footer="0.5"/>
  <pageSetup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85309-4B7B-47DC-BA0B-2A109CC8994B}">
  <sheetPr>
    <pageSetUpPr fitToPage="1"/>
  </sheetPr>
  <dimension ref="B1:I25"/>
  <sheetViews>
    <sheetView zoomScaleNormal="100" workbookViewId="0">
      <selection activeCell="I2" sqref="I2"/>
    </sheetView>
  </sheetViews>
  <sheetFormatPr defaultColWidth="9.1796875" defaultRowHeight="15.5" x14ac:dyDescent="0.35"/>
  <cols>
    <col min="1" max="1" width="9.1796875" style="8"/>
    <col min="2" max="2" width="4.1796875" style="8" customWidth="1"/>
    <col min="3" max="3" width="8.1796875" style="8" bestFit="1" customWidth="1"/>
    <col min="4" max="4" width="47.81640625" style="8" bestFit="1" customWidth="1"/>
    <col min="5" max="5" width="20.1796875" style="8" bestFit="1" customWidth="1"/>
    <col min="6" max="16384" width="9.1796875" style="8"/>
  </cols>
  <sheetData>
    <row r="1" spans="2:9" x14ac:dyDescent="0.35">
      <c r="I1" s="9" t="str">
        <f>'Table of Contents'!F1</f>
        <v>Case No. 2026-00306</v>
      </c>
    </row>
    <row r="2" spans="2:9" x14ac:dyDescent="0.35">
      <c r="I2" s="9" t="s">
        <v>180</v>
      </c>
    </row>
    <row r="4" spans="2:9" x14ac:dyDescent="0.35">
      <c r="C4" s="144" t="s">
        <v>12</v>
      </c>
      <c r="D4" s="144"/>
      <c r="E4" s="144"/>
      <c r="F4" s="11"/>
    </row>
    <row r="5" spans="2:9" x14ac:dyDescent="0.35">
      <c r="C5" s="144" t="s">
        <v>112</v>
      </c>
      <c r="D5" s="144"/>
      <c r="E5" s="144"/>
      <c r="F5" s="11"/>
    </row>
    <row r="6" spans="2:9" x14ac:dyDescent="0.35">
      <c r="C6" s="144" t="s">
        <v>250</v>
      </c>
      <c r="D6" s="144"/>
      <c r="E6" s="144"/>
      <c r="F6" s="11"/>
    </row>
    <row r="9" spans="2:9" x14ac:dyDescent="0.35">
      <c r="B9" s="68"/>
      <c r="C9" s="69"/>
      <c r="D9" s="69"/>
      <c r="E9" s="68"/>
    </row>
    <row r="10" spans="2:9" x14ac:dyDescent="0.35">
      <c r="C10" s="70"/>
      <c r="D10" s="70"/>
      <c r="E10" s="71" t="s">
        <v>121</v>
      </c>
    </row>
    <row r="11" spans="2:9" x14ac:dyDescent="0.35">
      <c r="C11" s="70"/>
      <c r="D11" s="70"/>
      <c r="E11" s="71" t="s">
        <v>122</v>
      </c>
    </row>
    <row r="12" spans="2:9" x14ac:dyDescent="0.35">
      <c r="C12" s="70" t="s">
        <v>80</v>
      </c>
      <c r="D12" s="70" t="s">
        <v>123</v>
      </c>
      <c r="E12" s="70" t="s">
        <v>124</v>
      </c>
    </row>
    <row r="13" spans="2:9" x14ac:dyDescent="0.35">
      <c r="C13" s="68"/>
      <c r="D13" s="72"/>
      <c r="E13" s="69"/>
    </row>
    <row r="14" spans="2:9" x14ac:dyDescent="0.35">
      <c r="C14" s="68">
        <v>1</v>
      </c>
      <c r="D14" s="73" t="s">
        <v>125</v>
      </c>
      <c r="E14" s="74">
        <v>1</v>
      </c>
    </row>
    <row r="15" spans="2:9" x14ac:dyDescent="0.35">
      <c r="C15" s="68"/>
      <c r="D15" s="73"/>
      <c r="E15" s="69"/>
    </row>
    <row r="16" spans="2:9" x14ac:dyDescent="0.35">
      <c r="C16" s="68">
        <f>+C14+1</f>
        <v>2</v>
      </c>
      <c r="D16" s="73" t="s">
        <v>286</v>
      </c>
      <c r="E16" s="74">
        <v>4.1700000000000001E-3</v>
      </c>
    </row>
    <row r="17" spans="3:5" x14ac:dyDescent="0.35">
      <c r="C17" s="68"/>
      <c r="D17" s="73"/>
      <c r="E17" s="69"/>
    </row>
    <row r="18" spans="3:5" x14ac:dyDescent="0.35">
      <c r="C18" s="68">
        <f>+C16+1</f>
        <v>3</v>
      </c>
      <c r="D18" s="73" t="s">
        <v>126</v>
      </c>
      <c r="E18" s="75">
        <v>1.302E-3</v>
      </c>
    </row>
    <row r="19" spans="3:5" x14ac:dyDescent="0.35">
      <c r="C19" s="68"/>
      <c r="D19" s="73"/>
      <c r="E19" s="69"/>
    </row>
    <row r="20" spans="3:5" x14ac:dyDescent="0.35">
      <c r="C20" s="68">
        <f>+C18+1</f>
        <v>4</v>
      </c>
      <c r="D20" s="73" t="s">
        <v>127</v>
      </c>
      <c r="E20" s="74">
        <f>+E14-E16-E18</f>
        <v>0.99452799999999997</v>
      </c>
    </row>
    <row r="21" spans="3:5" x14ac:dyDescent="0.35">
      <c r="C21" s="68"/>
      <c r="D21" s="73"/>
      <c r="E21" s="69"/>
    </row>
    <row r="22" spans="3:5" x14ac:dyDescent="0.35">
      <c r="C22" s="68">
        <f>+C20+1</f>
        <v>5</v>
      </c>
      <c r="D22" s="73" t="s">
        <v>128</v>
      </c>
      <c r="E22" s="76">
        <f>ROUND(1/$E$20,6)</f>
        <v>1.0055019999999999</v>
      </c>
    </row>
    <row r="23" spans="3:5" x14ac:dyDescent="0.35">
      <c r="C23" s="68"/>
      <c r="D23" s="73"/>
      <c r="E23" s="76"/>
    </row>
    <row r="24" spans="3:5" x14ac:dyDescent="0.35">
      <c r="C24" s="69"/>
      <c r="D24" s="69"/>
      <c r="E24" s="69"/>
    </row>
    <row r="25" spans="3:5" x14ac:dyDescent="0.35">
      <c r="C25" s="8" t="s">
        <v>283</v>
      </c>
    </row>
  </sheetData>
  <mergeCells count="3">
    <mergeCell ref="C5:E5"/>
    <mergeCell ref="C6:E6"/>
    <mergeCell ref="C4:E4"/>
  </mergeCells>
  <pageMargins left="0.7" right="0.7" top="0.75" bottom="0.75" header="0.3" footer="0.3"/>
  <pageSetup scale="9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FC34D-1225-4FD6-B2D5-C49E04EB78F2}">
  <dimension ref="A1:R341"/>
  <sheetViews>
    <sheetView topLeftCell="A288" zoomScale="60" zoomScaleNormal="60" workbookViewId="0">
      <selection activeCell="P326" sqref="P326"/>
    </sheetView>
  </sheetViews>
  <sheetFormatPr defaultColWidth="8.81640625" defaultRowHeight="15.5" x14ac:dyDescent="0.35"/>
  <cols>
    <col min="1" max="1" width="1.7265625" style="8" customWidth="1"/>
    <col min="2" max="2" width="41.1796875" style="8" bestFit="1" customWidth="1"/>
    <col min="3" max="3" width="17" style="8" bestFit="1" customWidth="1"/>
    <col min="4" max="4" width="16.26953125" style="8" customWidth="1"/>
    <col min="5" max="5" width="16.54296875" style="8" bestFit="1" customWidth="1"/>
    <col min="6" max="8" width="17" style="8" bestFit="1" customWidth="1"/>
    <col min="9" max="9" width="17" style="8" customWidth="1"/>
    <col min="10" max="12" width="17" style="8" bestFit="1" customWidth="1"/>
    <col min="13" max="13" width="17" style="8" customWidth="1"/>
    <col min="14" max="15" width="17" style="8" bestFit="1" customWidth="1"/>
    <col min="16" max="16" width="20.1796875" style="8" bestFit="1" customWidth="1"/>
    <col min="17" max="17" width="27.7265625" style="8" customWidth="1"/>
    <col min="18" max="16384" width="8.81640625" style="8"/>
  </cols>
  <sheetData>
    <row r="1" spans="1:17" x14ac:dyDescent="0.35">
      <c r="Q1" s="9" t="str">
        <f>'Table of Contents'!F1</f>
        <v>Case No. 2026-00306</v>
      </c>
    </row>
    <row r="2" spans="1:17" x14ac:dyDescent="0.35">
      <c r="Q2" s="9" t="s">
        <v>195</v>
      </c>
    </row>
    <row r="3" spans="1:17" x14ac:dyDescent="0.35">
      <c r="Q3" s="9" t="s">
        <v>293</v>
      </c>
    </row>
    <row r="4" spans="1:17" x14ac:dyDescent="0.35">
      <c r="A4" s="144" t="s">
        <v>12</v>
      </c>
      <c r="B4" s="144"/>
      <c r="C4" s="144"/>
      <c r="D4" s="144"/>
      <c r="E4" s="144"/>
      <c r="F4" s="144"/>
      <c r="G4" s="144"/>
      <c r="H4" s="144"/>
      <c r="I4" s="144"/>
      <c r="J4" s="144"/>
      <c r="K4" s="144"/>
      <c r="L4" s="144"/>
      <c r="M4" s="144"/>
      <c r="N4" s="144"/>
      <c r="O4" s="144"/>
      <c r="P4" s="144"/>
      <c r="Q4" s="144"/>
    </row>
    <row r="5" spans="1:17" x14ac:dyDescent="0.35">
      <c r="A5" s="144" t="s">
        <v>109</v>
      </c>
      <c r="B5" s="144"/>
      <c r="C5" s="144"/>
      <c r="D5" s="144"/>
      <c r="E5" s="144"/>
      <c r="F5" s="144"/>
      <c r="G5" s="144"/>
      <c r="H5" s="144"/>
      <c r="I5" s="144"/>
      <c r="J5" s="144"/>
      <c r="K5" s="144"/>
      <c r="L5" s="144"/>
      <c r="M5" s="144"/>
      <c r="N5" s="144"/>
      <c r="O5" s="144"/>
      <c r="P5" s="144"/>
      <c r="Q5" s="144"/>
    </row>
    <row r="6" spans="1:17" x14ac:dyDescent="0.35">
      <c r="A6" s="144" t="s">
        <v>279</v>
      </c>
      <c r="B6" s="144"/>
      <c r="C6" s="144"/>
      <c r="D6" s="144"/>
      <c r="E6" s="144"/>
      <c r="F6" s="144"/>
      <c r="G6" s="144"/>
      <c r="H6" s="144"/>
      <c r="I6" s="144"/>
      <c r="J6" s="144"/>
      <c r="K6" s="144"/>
      <c r="L6" s="144"/>
      <c r="M6" s="144"/>
      <c r="N6" s="144"/>
      <c r="O6" s="144"/>
      <c r="P6" s="144"/>
      <c r="Q6" s="144"/>
    </row>
    <row r="7" spans="1:17" x14ac:dyDescent="0.35">
      <c r="A7" s="10"/>
      <c r="B7" s="10"/>
      <c r="C7" s="10"/>
      <c r="D7" s="10"/>
      <c r="E7" s="10"/>
      <c r="F7" s="10"/>
      <c r="G7" s="10"/>
      <c r="H7" s="10"/>
      <c r="I7" s="10"/>
      <c r="J7" s="10"/>
      <c r="K7" s="10"/>
      <c r="L7" s="10"/>
      <c r="M7" s="10"/>
      <c r="N7" s="10"/>
      <c r="O7" s="10"/>
      <c r="P7" s="10"/>
      <c r="Q7" s="11"/>
    </row>
    <row r="8" spans="1:17" x14ac:dyDescent="0.35">
      <c r="P8" s="77"/>
    </row>
    <row r="9" spans="1:17" x14ac:dyDescent="0.35">
      <c r="D9" s="146"/>
      <c r="E9" s="146"/>
      <c r="F9" s="146"/>
      <c r="G9" s="146"/>
      <c r="H9" s="146"/>
      <c r="I9" s="146"/>
      <c r="J9" s="146"/>
      <c r="K9" s="146"/>
      <c r="P9" s="53"/>
    </row>
    <row r="10" spans="1:17" x14ac:dyDescent="0.35">
      <c r="C10" s="10">
        <v>2022</v>
      </c>
      <c r="D10" s="10">
        <f>+C10+1</f>
        <v>2023</v>
      </c>
      <c r="E10" s="10">
        <f t="shared" ref="E10:Q10" si="0">+D10</f>
        <v>2023</v>
      </c>
      <c r="F10" s="10">
        <f t="shared" si="0"/>
        <v>2023</v>
      </c>
      <c r="G10" s="10">
        <f t="shared" si="0"/>
        <v>2023</v>
      </c>
      <c r="H10" s="10">
        <f t="shared" si="0"/>
        <v>2023</v>
      </c>
      <c r="I10" s="10">
        <f t="shared" si="0"/>
        <v>2023</v>
      </c>
      <c r="J10" s="10">
        <f t="shared" si="0"/>
        <v>2023</v>
      </c>
      <c r="K10" s="10">
        <f t="shared" si="0"/>
        <v>2023</v>
      </c>
      <c r="L10" s="10">
        <f t="shared" si="0"/>
        <v>2023</v>
      </c>
      <c r="M10" s="10">
        <f t="shared" si="0"/>
        <v>2023</v>
      </c>
      <c r="N10" s="10">
        <f t="shared" si="0"/>
        <v>2023</v>
      </c>
      <c r="O10" s="10">
        <f t="shared" si="0"/>
        <v>2023</v>
      </c>
      <c r="P10" s="10">
        <f t="shared" si="0"/>
        <v>2023</v>
      </c>
      <c r="Q10" s="10">
        <f t="shared" si="0"/>
        <v>2023</v>
      </c>
    </row>
    <row r="11" spans="1:17" x14ac:dyDescent="0.35">
      <c r="C11" s="10" t="s">
        <v>140</v>
      </c>
      <c r="D11" s="10" t="s">
        <v>141</v>
      </c>
      <c r="E11" s="10" t="s">
        <v>142</v>
      </c>
      <c r="F11" s="10" t="s">
        <v>143</v>
      </c>
      <c r="G11" s="10" t="s">
        <v>144</v>
      </c>
      <c r="H11" s="10" t="s">
        <v>81</v>
      </c>
      <c r="I11" s="10" t="s">
        <v>145</v>
      </c>
      <c r="J11" s="10" t="s">
        <v>146</v>
      </c>
      <c r="K11" s="10" t="s">
        <v>147</v>
      </c>
      <c r="L11" s="10" t="s">
        <v>148</v>
      </c>
      <c r="M11" s="10" t="s">
        <v>149</v>
      </c>
      <c r="N11" s="10" t="s">
        <v>150</v>
      </c>
      <c r="O11" s="10" t="s">
        <v>140</v>
      </c>
      <c r="P11" s="10" t="s">
        <v>151</v>
      </c>
      <c r="Q11" s="10" t="s">
        <v>152</v>
      </c>
    </row>
    <row r="12" spans="1:17" x14ac:dyDescent="0.35">
      <c r="C12" s="10" t="s">
        <v>92</v>
      </c>
      <c r="D12" s="10" t="s">
        <v>257</v>
      </c>
      <c r="E12" s="10" t="s">
        <v>257</v>
      </c>
      <c r="F12" s="10" t="s">
        <v>257</v>
      </c>
      <c r="G12" s="10" t="s">
        <v>257</v>
      </c>
      <c r="H12" s="10" t="s">
        <v>257</v>
      </c>
      <c r="I12" s="10" t="s">
        <v>257</v>
      </c>
      <c r="J12" s="10" t="s">
        <v>257</v>
      </c>
      <c r="K12" s="10" t="s">
        <v>257</v>
      </c>
      <c r="L12" s="10" t="s">
        <v>257</v>
      </c>
      <c r="M12" s="10" t="s">
        <v>257</v>
      </c>
      <c r="N12" s="10" t="s">
        <v>257</v>
      </c>
      <c r="O12" s="10" t="s">
        <v>257</v>
      </c>
      <c r="P12" s="11"/>
      <c r="Q12" s="11"/>
    </row>
    <row r="13" spans="1:17" x14ac:dyDescent="0.35">
      <c r="C13" s="11"/>
    </row>
    <row r="14" spans="1:17" x14ac:dyDescent="0.35">
      <c r="B14" s="79" t="s">
        <v>22</v>
      </c>
    </row>
    <row r="15" spans="1:17" x14ac:dyDescent="0.35">
      <c r="B15" s="8" t="s">
        <v>133</v>
      </c>
      <c r="C15" s="42">
        <v>0</v>
      </c>
      <c r="D15" s="42">
        <v>79805.64</v>
      </c>
      <c r="E15" s="42">
        <v>859141.8</v>
      </c>
      <c r="F15" s="42">
        <v>3925560.5700000008</v>
      </c>
      <c r="G15" s="42">
        <v>805780.17999999993</v>
      </c>
      <c r="H15" s="42">
        <v>3005341.4100000006</v>
      </c>
      <c r="I15" s="42">
        <v>3854453.0500000007</v>
      </c>
      <c r="J15" s="42">
        <v>3124046.71</v>
      </c>
      <c r="K15" s="42">
        <v>1345549.6300000004</v>
      </c>
      <c r="L15" s="42">
        <v>4929452</v>
      </c>
      <c r="M15" s="42">
        <v>1282582.1600000004</v>
      </c>
      <c r="N15" s="42">
        <v>3498689.6999999997</v>
      </c>
      <c r="O15" s="42">
        <v>4263655.3099999996</v>
      </c>
      <c r="P15" s="43">
        <f>SUM(C15:O15)</f>
        <v>30974058.16</v>
      </c>
    </row>
    <row r="16" spans="1:17" x14ac:dyDescent="0.35">
      <c r="B16" s="8" t="s">
        <v>134</v>
      </c>
      <c r="C16" s="42">
        <v>0</v>
      </c>
      <c r="D16" s="42"/>
      <c r="E16" s="42"/>
      <c r="F16" s="80"/>
      <c r="G16" s="42"/>
      <c r="H16" s="42"/>
      <c r="I16" s="42"/>
      <c r="J16" s="42"/>
      <c r="K16" s="42"/>
      <c r="L16" s="42"/>
      <c r="M16" s="42"/>
      <c r="N16" s="42"/>
      <c r="O16" s="42"/>
      <c r="P16" s="43">
        <f>SUM(C16:O16)</f>
        <v>0</v>
      </c>
    </row>
    <row r="17" spans="2:17" x14ac:dyDescent="0.35">
      <c r="B17" s="8" t="s">
        <v>135</v>
      </c>
      <c r="C17" s="42">
        <v>0</v>
      </c>
      <c r="D17" s="42">
        <v>849592.64</v>
      </c>
      <c r="E17" s="42">
        <v>1027481.72</v>
      </c>
      <c r="F17" s="42">
        <v>1095911.02</v>
      </c>
      <c r="G17" s="42">
        <v>1074077.54</v>
      </c>
      <c r="H17" s="42">
        <v>1261171.98</v>
      </c>
      <c r="I17" s="42">
        <v>1124603.45</v>
      </c>
      <c r="J17" s="42">
        <v>946236.83000000007</v>
      </c>
      <c r="K17" s="42">
        <v>1262751.21</v>
      </c>
      <c r="L17" s="42">
        <v>1078244.2400000002</v>
      </c>
      <c r="M17" s="42">
        <v>1523803.0500000003</v>
      </c>
      <c r="N17" s="42">
        <v>861761.95000000007</v>
      </c>
      <c r="O17" s="42">
        <v>782388.46</v>
      </c>
      <c r="P17" s="43">
        <f>SUM(C17:O17)</f>
        <v>12888024.09</v>
      </c>
    </row>
    <row r="18" spans="2:17" x14ac:dyDescent="0.35">
      <c r="B18" s="8" t="s">
        <v>136</v>
      </c>
      <c r="C18" s="42">
        <v>0</v>
      </c>
      <c r="D18" s="42">
        <v>1645.31</v>
      </c>
      <c r="E18" s="42">
        <v>0</v>
      </c>
      <c r="F18" s="42">
        <v>1219.19</v>
      </c>
      <c r="G18" s="42">
        <v>374.88</v>
      </c>
      <c r="H18" s="42">
        <v>2800.4300000000003</v>
      </c>
      <c r="I18" s="42">
        <v>4551.3500000000004</v>
      </c>
      <c r="J18" s="42">
        <v>7084.41</v>
      </c>
      <c r="K18" s="42">
        <v>19772.759999999998</v>
      </c>
      <c r="L18" s="42">
        <v>5637.8600000000006</v>
      </c>
      <c r="M18" s="42">
        <v>17703.63</v>
      </c>
      <c r="N18" s="42">
        <v>14238.460000000001</v>
      </c>
      <c r="O18" s="42">
        <v>10554.1</v>
      </c>
      <c r="P18" s="43">
        <f>SUM(C18:O18)</f>
        <v>85582.380000000019</v>
      </c>
    </row>
    <row r="19" spans="2:17" x14ac:dyDescent="0.35">
      <c r="B19" s="8" t="s">
        <v>137</v>
      </c>
      <c r="C19" s="42">
        <v>0</v>
      </c>
      <c r="D19" s="42">
        <v>0</v>
      </c>
      <c r="E19" s="42">
        <v>0</v>
      </c>
      <c r="F19" s="42">
        <v>0</v>
      </c>
      <c r="G19" s="42">
        <v>0</v>
      </c>
      <c r="H19" s="42">
        <v>0</v>
      </c>
      <c r="I19" s="42">
        <v>0</v>
      </c>
      <c r="J19" s="42">
        <v>0</v>
      </c>
      <c r="K19" s="42">
        <v>0</v>
      </c>
      <c r="L19" s="42">
        <v>0</v>
      </c>
      <c r="M19" s="42">
        <v>0</v>
      </c>
      <c r="N19" s="42">
        <v>0</v>
      </c>
      <c r="O19" s="42">
        <v>0</v>
      </c>
      <c r="P19" s="43">
        <f>SUM(C19:O19)</f>
        <v>0</v>
      </c>
    </row>
    <row r="20" spans="2:17" x14ac:dyDescent="0.35">
      <c r="B20" s="8" t="s">
        <v>153</v>
      </c>
      <c r="C20" s="46">
        <f>SUM(C15:C19)</f>
        <v>0</v>
      </c>
      <c r="D20" s="46">
        <f t="shared" ref="D20:M20" si="1">SUM(D15:D19)</f>
        <v>931043.59000000008</v>
      </c>
      <c r="E20" s="46">
        <f t="shared" si="1"/>
        <v>1886623.52</v>
      </c>
      <c r="F20" s="46">
        <f t="shared" si="1"/>
        <v>5022690.7800000012</v>
      </c>
      <c r="G20" s="46">
        <f t="shared" si="1"/>
        <v>1880232.5999999999</v>
      </c>
      <c r="H20" s="46">
        <f t="shared" si="1"/>
        <v>4269313.82</v>
      </c>
      <c r="I20" s="46">
        <f t="shared" si="1"/>
        <v>4983607.8500000006</v>
      </c>
      <c r="J20" s="46">
        <f t="shared" si="1"/>
        <v>4077367.95</v>
      </c>
      <c r="K20" s="46">
        <f t="shared" si="1"/>
        <v>2628073.6</v>
      </c>
      <c r="L20" s="46">
        <f t="shared" si="1"/>
        <v>6013334.1000000006</v>
      </c>
      <c r="M20" s="46">
        <f t="shared" si="1"/>
        <v>2824088.8400000008</v>
      </c>
      <c r="N20" s="46">
        <f>SUM(N15:N19)</f>
        <v>4374690.1099999994</v>
      </c>
      <c r="O20" s="46">
        <f>SUM(O15:O19)</f>
        <v>5056597.8699999992</v>
      </c>
      <c r="P20" s="46"/>
    </row>
    <row r="21" spans="2:17" x14ac:dyDescent="0.35">
      <c r="B21" s="8" t="s">
        <v>154</v>
      </c>
      <c r="C21" s="41">
        <f>+C20</f>
        <v>0</v>
      </c>
      <c r="D21" s="41">
        <f t="shared" ref="D21:O21" si="2">+D20+C21</f>
        <v>931043.59000000008</v>
      </c>
      <c r="E21" s="41">
        <f t="shared" si="2"/>
        <v>2817667.1100000003</v>
      </c>
      <c r="F21" s="41">
        <f t="shared" si="2"/>
        <v>7840357.8900000015</v>
      </c>
      <c r="G21" s="41">
        <f t="shared" si="2"/>
        <v>9720590.4900000021</v>
      </c>
      <c r="H21" s="41">
        <f t="shared" si="2"/>
        <v>13989904.310000002</v>
      </c>
      <c r="I21" s="41">
        <f t="shared" si="2"/>
        <v>18973512.160000004</v>
      </c>
      <c r="J21" s="41">
        <f t="shared" si="2"/>
        <v>23050880.110000003</v>
      </c>
      <c r="K21" s="41">
        <f t="shared" si="2"/>
        <v>25678953.710000005</v>
      </c>
      <c r="L21" s="41">
        <f t="shared" si="2"/>
        <v>31692287.810000006</v>
      </c>
      <c r="M21" s="41">
        <f t="shared" si="2"/>
        <v>34516376.650000006</v>
      </c>
      <c r="N21" s="41">
        <f t="shared" si="2"/>
        <v>38891066.760000005</v>
      </c>
      <c r="O21" s="41">
        <f t="shared" si="2"/>
        <v>43947664.630000003</v>
      </c>
      <c r="P21" s="41">
        <f>SUM(P15:P19)</f>
        <v>43947664.630000003</v>
      </c>
      <c r="Q21" s="43">
        <f>AVERAGE(C21:O21)</f>
        <v>19388485.016923077</v>
      </c>
    </row>
    <row r="23" spans="2:17" x14ac:dyDescent="0.35">
      <c r="B23" s="79" t="s">
        <v>62</v>
      </c>
    </row>
    <row r="24" spans="2:17" x14ac:dyDescent="0.35">
      <c r="B24" s="8" t="s">
        <v>133</v>
      </c>
      <c r="C24" s="42">
        <v>0</v>
      </c>
      <c r="D24" s="42">
        <v>0</v>
      </c>
      <c r="E24" s="42">
        <v>0</v>
      </c>
      <c r="F24" s="42">
        <v>0</v>
      </c>
      <c r="G24" s="42">
        <v>0</v>
      </c>
      <c r="H24" s="42">
        <v>-14490.58</v>
      </c>
      <c r="I24" s="42">
        <v>-207</v>
      </c>
      <c r="J24" s="42">
        <v>-64.34</v>
      </c>
      <c r="K24" s="42">
        <v>-207</v>
      </c>
      <c r="L24" s="42">
        <v>-175288.07</v>
      </c>
      <c r="M24" s="42">
        <v>-557.34</v>
      </c>
      <c r="N24" s="42">
        <v>0</v>
      </c>
      <c r="O24" s="42">
        <v>-94799.38</v>
      </c>
      <c r="P24" s="43">
        <f>SUM(C24:O24)</f>
        <v>-285613.71000000002</v>
      </c>
    </row>
    <row r="25" spans="2:17" x14ac:dyDescent="0.35">
      <c r="B25" s="8" t="s">
        <v>134</v>
      </c>
      <c r="C25" s="42">
        <v>0</v>
      </c>
      <c r="D25" s="42">
        <v>-7576.5300000000007</v>
      </c>
      <c r="E25" s="42">
        <v>-6092.8</v>
      </c>
      <c r="F25" s="42">
        <v>-17244.22</v>
      </c>
      <c r="G25" s="42">
        <v>-1679.98</v>
      </c>
      <c r="H25" s="42">
        <v>-9507.9599999999991</v>
      </c>
      <c r="I25" s="42">
        <v>-98607.48000000001</v>
      </c>
      <c r="J25" s="42">
        <v>-90900.479999999996</v>
      </c>
      <c r="K25" s="42">
        <v>-73755.900000000009</v>
      </c>
      <c r="L25" s="42">
        <v>-42418.09</v>
      </c>
      <c r="M25" s="42">
        <v>0</v>
      </c>
      <c r="N25" s="42">
        <v>-507.39</v>
      </c>
      <c r="O25" s="42">
        <v>-42121.18</v>
      </c>
      <c r="P25" s="43">
        <f>SUM(C25:O25)</f>
        <v>-390412.01000000007</v>
      </c>
    </row>
    <row r="26" spans="2:17" x14ac:dyDescent="0.35">
      <c r="B26" s="8" t="s">
        <v>219</v>
      </c>
      <c r="C26" s="42">
        <v>0</v>
      </c>
      <c r="D26" s="42">
        <v>-277338.54684376396</v>
      </c>
      <c r="E26" s="42">
        <v>-116568.9110269363</v>
      </c>
      <c r="F26" s="42">
        <v>-192040.81348253199</v>
      </c>
      <c r="G26" s="42">
        <v>-189065.28196242961</v>
      </c>
      <c r="H26" s="42">
        <v>-292187.67817744327</v>
      </c>
      <c r="I26" s="42">
        <v>-358664.11432266055</v>
      </c>
      <c r="J26" s="42">
        <v>-231124.9352651996</v>
      </c>
      <c r="K26" s="42">
        <v>-168870.39495231336</v>
      </c>
      <c r="L26" s="42">
        <v>-273184.83045736718</v>
      </c>
      <c r="M26" s="42">
        <v>-178657.54023643697</v>
      </c>
      <c r="N26" s="42">
        <v>-274398.30615260021</v>
      </c>
      <c r="O26" s="42">
        <v>-240285.08654995094</v>
      </c>
      <c r="P26" s="43">
        <f>SUM(C26:O26)</f>
        <v>-2792386.4394296333</v>
      </c>
    </row>
    <row r="27" spans="2:17" x14ac:dyDescent="0.35">
      <c r="B27" s="8" t="s">
        <v>136</v>
      </c>
      <c r="C27" s="42">
        <v>0</v>
      </c>
      <c r="D27" s="42">
        <v>-489.15000000000003</v>
      </c>
      <c r="E27" s="42">
        <v>-1574.7300000000002</v>
      </c>
      <c r="F27" s="42">
        <v>-2045.7900000000002</v>
      </c>
      <c r="G27" s="42">
        <v>-5647.4500000000007</v>
      </c>
      <c r="H27" s="42">
        <v>-3453.44</v>
      </c>
      <c r="I27" s="42">
        <v>-3705.5099999999998</v>
      </c>
      <c r="J27" s="42">
        <v>-5252.36</v>
      </c>
      <c r="K27" s="42">
        <v>-9322.3200000000015</v>
      </c>
      <c r="L27" s="42">
        <v>-4705.1100000000006</v>
      </c>
      <c r="M27" s="42">
        <v>-4703.41</v>
      </c>
      <c r="N27" s="42">
        <v>-3639.67</v>
      </c>
      <c r="O27" s="42">
        <v>-3691.8300000000004</v>
      </c>
      <c r="P27" s="43">
        <f>SUM(C27:O27)</f>
        <v>-48230.770000000004</v>
      </c>
    </row>
    <row r="28" spans="2:17" x14ac:dyDescent="0.35">
      <c r="B28" s="8" t="s">
        <v>137</v>
      </c>
      <c r="C28" s="42">
        <v>0</v>
      </c>
      <c r="D28" s="42">
        <v>-188.66000000000003</v>
      </c>
      <c r="E28" s="42">
        <v>-230.70000000000002</v>
      </c>
      <c r="F28" s="42">
        <v>-156.80000000000001</v>
      </c>
      <c r="G28" s="42">
        <v>-171.39000000000001</v>
      </c>
      <c r="H28" s="42">
        <v>-348.81</v>
      </c>
      <c r="I28" s="42">
        <v>-226.33</v>
      </c>
      <c r="J28" s="42">
        <v>-3043.2999999999997</v>
      </c>
      <c r="K28" s="42">
        <v>-197.14000000000001</v>
      </c>
      <c r="L28" s="42">
        <v>-575.59</v>
      </c>
      <c r="M28" s="42">
        <v>-562.87</v>
      </c>
      <c r="N28" s="42">
        <v>-632.7299999999999</v>
      </c>
      <c r="O28" s="42">
        <v>-534.66999999999996</v>
      </c>
      <c r="P28" s="43">
        <f>SUM(C28:O28)</f>
        <v>-6868.99</v>
      </c>
    </row>
    <row r="29" spans="2:17" x14ac:dyDescent="0.35">
      <c r="B29" s="8" t="s">
        <v>155</v>
      </c>
      <c r="C29" s="46">
        <f>SUM(C24:C28)</f>
        <v>0</v>
      </c>
      <c r="D29" s="46">
        <f t="shared" ref="D29:O29" si="3">SUM(D24:D28)</f>
        <v>-285592.88684376399</v>
      </c>
      <c r="E29" s="46">
        <f t="shared" si="3"/>
        <v>-124467.1410269363</v>
      </c>
      <c r="F29" s="46">
        <f t="shared" si="3"/>
        <v>-211487.62348253198</v>
      </c>
      <c r="G29" s="46">
        <f t="shared" si="3"/>
        <v>-196564.10196242965</v>
      </c>
      <c r="H29" s="46">
        <f t="shared" si="3"/>
        <v>-319988.46817744325</v>
      </c>
      <c r="I29" s="46">
        <f t="shared" si="3"/>
        <v>-461410.43432266061</v>
      </c>
      <c r="J29" s="46">
        <f t="shared" si="3"/>
        <v>-330385.41526519955</v>
      </c>
      <c r="K29" s="46">
        <f t="shared" si="3"/>
        <v>-252352.75495231338</v>
      </c>
      <c r="L29" s="46">
        <f t="shared" si="3"/>
        <v>-496171.69045736716</v>
      </c>
      <c r="M29" s="46">
        <f t="shared" si="3"/>
        <v>-184481.16023643696</v>
      </c>
      <c r="N29" s="46">
        <f t="shared" si="3"/>
        <v>-279178.09615260019</v>
      </c>
      <c r="O29" s="46">
        <f t="shared" si="3"/>
        <v>-381432.14654995094</v>
      </c>
      <c r="P29" s="46"/>
    </row>
    <row r="30" spans="2:17" x14ac:dyDescent="0.35">
      <c r="B30" s="8" t="s">
        <v>156</v>
      </c>
      <c r="C30" s="41">
        <f>+C29</f>
        <v>0</v>
      </c>
      <c r="D30" s="41">
        <f t="shared" ref="D30:O30" si="4">+D29+C30</f>
        <v>-285592.88684376399</v>
      </c>
      <c r="E30" s="41">
        <f t="shared" si="4"/>
        <v>-410060.02787070029</v>
      </c>
      <c r="F30" s="41">
        <f t="shared" si="4"/>
        <v>-621547.65135323233</v>
      </c>
      <c r="G30" s="41">
        <f t="shared" si="4"/>
        <v>-818111.75331566203</v>
      </c>
      <c r="H30" s="41">
        <f t="shared" si="4"/>
        <v>-1138100.2214931054</v>
      </c>
      <c r="I30" s="41">
        <f t="shared" si="4"/>
        <v>-1599510.655815766</v>
      </c>
      <c r="J30" s="41">
        <f t="shared" si="4"/>
        <v>-1929896.0710809655</v>
      </c>
      <c r="K30" s="41">
        <f t="shared" si="4"/>
        <v>-2182248.8260332788</v>
      </c>
      <c r="L30" s="41">
        <f t="shared" si="4"/>
        <v>-2678420.5164906462</v>
      </c>
      <c r="M30" s="41">
        <f t="shared" si="4"/>
        <v>-2862901.676727083</v>
      </c>
      <c r="N30" s="41">
        <f t="shared" si="4"/>
        <v>-3142079.7728796834</v>
      </c>
      <c r="O30" s="41">
        <f t="shared" si="4"/>
        <v>-3523511.9194296342</v>
      </c>
      <c r="P30" s="41">
        <f>SUM(P24:P28)</f>
        <v>-3523511.9194296338</v>
      </c>
      <c r="Q30" s="43">
        <f>AVERAGE(C30:O30)</f>
        <v>-1630152.4599487323</v>
      </c>
    </row>
    <row r="32" spans="2:17" x14ac:dyDescent="0.35">
      <c r="B32" s="79" t="s">
        <v>139</v>
      </c>
    </row>
    <row r="33" spans="2:17" x14ac:dyDescent="0.35">
      <c r="B33" s="8" t="s">
        <v>133</v>
      </c>
      <c r="C33" s="81">
        <f>+C15+C24</f>
        <v>0</v>
      </c>
      <c r="D33" s="81">
        <f t="shared" ref="D33:O33" si="5">+D15+D24</f>
        <v>79805.64</v>
      </c>
      <c r="E33" s="81">
        <f t="shared" si="5"/>
        <v>859141.8</v>
      </c>
      <c r="F33" s="81">
        <f t="shared" si="5"/>
        <v>3925560.5700000008</v>
      </c>
      <c r="G33" s="81">
        <f t="shared" si="5"/>
        <v>805780.17999999993</v>
      </c>
      <c r="H33" s="81">
        <f t="shared" si="5"/>
        <v>2990850.8300000005</v>
      </c>
      <c r="I33" s="81">
        <f t="shared" si="5"/>
        <v>3854246.0500000007</v>
      </c>
      <c r="J33" s="81">
        <f t="shared" si="5"/>
        <v>3123982.37</v>
      </c>
      <c r="K33" s="81">
        <f t="shared" si="5"/>
        <v>1345342.6300000004</v>
      </c>
      <c r="L33" s="81">
        <f t="shared" si="5"/>
        <v>4754163.93</v>
      </c>
      <c r="M33" s="81">
        <f t="shared" si="5"/>
        <v>1282024.8200000003</v>
      </c>
      <c r="N33" s="81">
        <f t="shared" si="5"/>
        <v>3498689.6999999997</v>
      </c>
      <c r="O33" s="81">
        <f t="shared" si="5"/>
        <v>4168855.9299999997</v>
      </c>
      <c r="P33" s="43">
        <f>SUM(C33:O33)</f>
        <v>30688444.449999999</v>
      </c>
    </row>
    <row r="34" spans="2:17" x14ac:dyDescent="0.35">
      <c r="B34" s="8" t="s">
        <v>134</v>
      </c>
      <c r="C34" s="81">
        <f>+C16+C25</f>
        <v>0</v>
      </c>
      <c r="D34" s="81">
        <f t="shared" ref="D34:O34" si="6">+D16+D25</f>
        <v>-7576.5300000000007</v>
      </c>
      <c r="E34" s="81">
        <f t="shared" si="6"/>
        <v>-6092.8</v>
      </c>
      <c r="F34" s="81">
        <f t="shared" si="6"/>
        <v>-17244.22</v>
      </c>
      <c r="G34" s="81">
        <f t="shared" si="6"/>
        <v>-1679.98</v>
      </c>
      <c r="H34" s="81">
        <f t="shared" si="6"/>
        <v>-9507.9599999999991</v>
      </c>
      <c r="I34" s="81">
        <f t="shared" si="6"/>
        <v>-98607.48000000001</v>
      </c>
      <c r="J34" s="81">
        <f t="shared" si="6"/>
        <v>-90900.479999999996</v>
      </c>
      <c r="K34" s="81">
        <f t="shared" si="6"/>
        <v>-73755.900000000009</v>
      </c>
      <c r="L34" s="81">
        <f t="shared" si="6"/>
        <v>-42418.09</v>
      </c>
      <c r="M34" s="81">
        <f t="shared" si="6"/>
        <v>0</v>
      </c>
      <c r="N34" s="81">
        <f t="shared" si="6"/>
        <v>-507.39</v>
      </c>
      <c r="O34" s="81">
        <f t="shared" si="6"/>
        <v>-42121.18</v>
      </c>
      <c r="P34" s="43">
        <f>SUM(C34:O34)</f>
        <v>-390412.01000000007</v>
      </c>
    </row>
    <row r="35" spans="2:17" x14ac:dyDescent="0.35">
      <c r="B35" s="8" t="s">
        <v>135</v>
      </c>
      <c r="C35" s="81">
        <f>+C17+C26</f>
        <v>0</v>
      </c>
      <c r="D35" s="81">
        <f t="shared" ref="D35:O35" si="7">+D17+D26</f>
        <v>572254.09315623599</v>
      </c>
      <c r="E35" s="81">
        <f t="shared" si="7"/>
        <v>910912.80897306371</v>
      </c>
      <c r="F35" s="81">
        <f t="shared" si="7"/>
        <v>903870.20651746797</v>
      </c>
      <c r="G35" s="81">
        <f t="shared" si="7"/>
        <v>885012.2580375704</v>
      </c>
      <c r="H35" s="81">
        <f t="shared" si="7"/>
        <v>968984.30182255665</v>
      </c>
      <c r="I35" s="81">
        <f t="shared" si="7"/>
        <v>765939.33567733946</v>
      </c>
      <c r="J35" s="81">
        <f t="shared" si="7"/>
        <v>715111.89473480044</v>
      </c>
      <c r="K35" s="81">
        <f t="shared" si="7"/>
        <v>1093880.8150476867</v>
      </c>
      <c r="L35" s="81">
        <f t="shared" si="7"/>
        <v>805059.40954263299</v>
      </c>
      <c r="M35" s="81">
        <f t="shared" si="7"/>
        <v>1345145.5097635633</v>
      </c>
      <c r="N35" s="81">
        <f t="shared" si="7"/>
        <v>587363.64384739986</v>
      </c>
      <c r="O35" s="81">
        <f t="shared" si="7"/>
        <v>542103.37345004897</v>
      </c>
      <c r="P35" s="43">
        <f>SUM(C35:O35)</f>
        <v>10095637.650570367</v>
      </c>
    </row>
    <row r="36" spans="2:17" x14ac:dyDescent="0.35">
      <c r="B36" s="8" t="s">
        <v>136</v>
      </c>
      <c r="C36" s="81">
        <f>+C18+C27</f>
        <v>0</v>
      </c>
      <c r="D36" s="81">
        <f t="shared" ref="D36:O36" si="8">+D18+D27</f>
        <v>1156.1599999999999</v>
      </c>
      <c r="E36" s="81">
        <f t="shared" si="8"/>
        <v>-1574.7300000000002</v>
      </c>
      <c r="F36" s="81">
        <f t="shared" si="8"/>
        <v>-826.60000000000014</v>
      </c>
      <c r="G36" s="81">
        <f t="shared" si="8"/>
        <v>-5272.5700000000006</v>
      </c>
      <c r="H36" s="81">
        <f t="shared" si="8"/>
        <v>-653.00999999999976</v>
      </c>
      <c r="I36" s="81">
        <f t="shared" si="8"/>
        <v>845.8400000000006</v>
      </c>
      <c r="J36" s="81">
        <f t="shared" si="8"/>
        <v>1832.0500000000002</v>
      </c>
      <c r="K36" s="81">
        <f t="shared" si="8"/>
        <v>10450.439999999997</v>
      </c>
      <c r="L36" s="81">
        <f t="shared" si="8"/>
        <v>932.75</v>
      </c>
      <c r="M36" s="81">
        <f t="shared" si="8"/>
        <v>13000.220000000001</v>
      </c>
      <c r="N36" s="81">
        <f t="shared" si="8"/>
        <v>10598.79</v>
      </c>
      <c r="O36" s="81">
        <f t="shared" si="8"/>
        <v>6862.27</v>
      </c>
      <c r="P36" s="43">
        <f>SUM(C36:O36)</f>
        <v>37351.61</v>
      </c>
    </row>
    <row r="37" spans="2:17" x14ac:dyDescent="0.35">
      <c r="B37" s="8" t="s">
        <v>137</v>
      </c>
      <c r="C37" s="81">
        <f>+C19+C28</f>
        <v>0</v>
      </c>
      <c r="D37" s="81">
        <f t="shared" ref="D37:O37" si="9">+D19+D28</f>
        <v>-188.66000000000003</v>
      </c>
      <c r="E37" s="81">
        <f t="shared" si="9"/>
        <v>-230.70000000000002</v>
      </c>
      <c r="F37" s="81">
        <f t="shared" si="9"/>
        <v>-156.80000000000001</v>
      </c>
      <c r="G37" s="81">
        <f t="shared" si="9"/>
        <v>-171.39000000000001</v>
      </c>
      <c r="H37" s="81">
        <f t="shared" si="9"/>
        <v>-348.81</v>
      </c>
      <c r="I37" s="81">
        <f t="shared" si="9"/>
        <v>-226.33</v>
      </c>
      <c r="J37" s="81">
        <f t="shared" si="9"/>
        <v>-3043.2999999999997</v>
      </c>
      <c r="K37" s="81">
        <f t="shared" si="9"/>
        <v>-197.14000000000001</v>
      </c>
      <c r="L37" s="81">
        <f t="shared" si="9"/>
        <v>-575.59</v>
      </c>
      <c r="M37" s="81">
        <f t="shared" si="9"/>
        <v>-562.87</v>
      </c>
      <c r="N37" s="81">
        <f t="shared" si="9"/>
        <v>-632.7299999999999</v>
      </c>
      <c r="O37" s="81">
        <f t="shared" si="9"/>
        <v>-534.66999999999996</v>
      </c>
      <c r="P37" s="43">
        <f>SUM(C37:O37)</f>
        <v>-6868.99</v>
      </c>
    </row>
    <row r="38" spans="2:17" x14ac:dyDescent="0.35">
      <c r="B38" s="8" t="s">
        <v>157</v>
      </c>
      <c r="C38" s="46">
        <f>SUM(C33:C37)</f>
        <v>0</v>
      </c>
      <c r="D38" s="46">
        <f t="shared" ref="D38:O38" si="10">SUM(D33:D37)</f>
        <v>645450.70315623598</v>
      </c>
      <c r="E38" s="46">
        <f t="shared" si="10"/>
        <v>1762156.3789730638</v>
      </c>
      <c r="F38" s="46">
        <f t="shared" si="10"/>
        <v>4811203.1565174693</v>
      </c>
      <c r="G38" s="46">
        <f t="shared" si="10"/>
        <v>1683668.4980375704</v>
      </c>
      <c r="H38" s="46">
        <f t="shared" si="10"/>
        <v>3949325.3518225574</v>
      </c>
      <c r="I38" s="46">
        <f t="shared" si="10"/>
        <v>4522197.4156773398</v>
      </c>
      <c r="J38" s="46">
        <f t="shared" si="10"/>
        <v>3746982.5347348005</v>
      </c>
      <c r="K38" s="46">
        <f t="shared" si="10"/>
        <v>2375720.8450476872</v>
      </c>
      <c r="L38" s="46">
        <f t="shared" si="10"/>
        <v>5517162.4095426332</v>
      </c>
      <c r="M38" s="46">
        <f t="shared" si="10"/>
        <v>2639607.6797635634</v>
      </c>
      <c r="N38" s="46">
        <f t="shared" si="10"/>
        <v>4095512.0138473995</v>
      </c>
      <c r="O38" s="46">
        <f t="shared" si="10"/>
        <v>4675165.7234500479</v>
      </c>
      <c r="P38" s="46"/>
    </row>
    <row r="39" spans="2:17" x14ac:dyDescent="0.35">
      <c r="B39" s="8" t="s">
        <v>214</v>
      </c>
      <c r="C39" s="41">
        <f>+C38</f>
        <v>0</v>
      </c>
      <c r="D39" s="41">
        <f t="shared" ref="D39:O39" si="11">+D38+C39</f>
        <v>645450.70315623598</v>
      </c>
      <c r="E39" s="41">
        <f t="shared" si="11"/>
        <v>2407607.0821292996</v>
      </c>
      <c r="F39" s="41">
        <f t="shared" si="11"/>
        <v>7218810.238646769</v>
      </c>
      <c r="G39" s="41">
        <f t="shared" si="11"/>
        <v>8902478.7366843391</v>
      </c>
      <c r="H39" s="41">
        <f t="shared" si="11"/>
        <v>12851804.088506896</v>
      </c>
      <c r="I39" s="41">
        <f t="shared" si="11"/>
        <v>17374001.504184235</v>
      </c>
      <c r="J39" s="41">
        <f t="shared" si="11"/>
        <v>21120984.038919035</v>
      </c>
      <c r="K39" s="41">
        <f t="shared" si="11"/>
        <v>23496704.883966722</v>
      </c>
      <c r="L39" s="41">
        <f t="shared" si="11"/>
        <v>29013867.293509357</v>
      </c>
      <c r="M39" s="41">
        <f t="shared" si="11"/>
        <v>31653474.97327292</v>
      </c>
      <c r="N39" s="41">
        <f t="shared" si="11"/>
        <v>35748986.987120315</v>
      </c>
      <c r="O39" s="41">
        <f t="shared" si="11"/>
        <v>40424152.710570365</v>
      </c>
      <c r="P39" s="41">
        <f>SUM(P33:P37)</f>
        <v>40424152.710570358</v>
      </c>
      <c r="Q39" s="43">
        <f>AVERAGE(C39:O39)</f>
        <v>17758332.556974344</v>
      </c>
    </row>
    <row r="71" spans="1:17" x14ac:dyDescent="0.35">
      <c r="Q71" s="9" t="str">
        <f>Q1</f>
        <v>Case No. 2026-00306</v>
      </c>
    </row>
    <row r="72" spans="1:17" x14ac:dyDescent="0.35">
      <c r="Q72" s="9" t="s">
        <v>195</v>
      </c>
    </row>
    <row r="73" spans="1:17" x14ac:dyDescent="0.35">
      <c r="Q73" s="9" t="s">
        <v>294</v>
      </c>
    </row>
    <row r="74" spans="1:17" x14ac:dyDescent="0.35">
      <c r="A74" s="144" t="s">
        <v>12</v>
      </c>
      <c r="B74" s="144"/>
      <c r="C74" s="144"/>
      <c r="D74" s="144"/>
      <c r="E74" s="144"/>
      <c r="F74" s="144"/>
      <c r="G74" s="144"/>
      <c r="H74" s="144"/>
      <c r="I74" s="144"/>
      <c r="J74" s="144"/>
      <c r="K74" s="144"/>
      <c r="L74" s="144"/>
      <c r="M74" s="144"/>
      <c r="N74" s="144"/>
      <c r="O74" s="144"/>
      <c r="P74" s="144"/>
      <c r="Q74" s="144"/>
    </row>
    <row r="75" spans="1:17" x14ac:dyDescent="0.35">
      <c r="A75" s="144" t="s">
        <v>109</v>
      </c>
      <c r="B75" s="144"/>
      <c r="C75" s="144"/>
      <c r="D75" s="144"/>
      <c r="E75" s="144"/>
      <c r="F75" s="144"/>
      <c r="G75" s="144"/>
      <c r="H75" s="144"/>
      <c r="I75" s="144"/>
      <c r="J75" s="144"/>
      <c r="K75" s="144"/>
      <c r="L75" s="144"/>
      <c r="M75" s="144"/>
      <c r="N75" s="144"/>
      <c r="O75" s="144"/>
      <c r="P75" s="144"/>
      <c r="Q75" s="144"/>
    </row>
    <row r="76" spans="1:17" x14ac:dyDescent="0.35">
      <c r="A76" s="144" t="s">
        <v>272</v>
      </c>
      <c r="B76" s="144"/>
      <c r="C76" s="144"/>
      <c r="D76" s="144"/>
      <c r="E76" s="144"/>
      <c r="F76" s="144"/>
      <c r="G76" s="144"/>
      <c r="H76" s="144"/>
      <c r="I76" s="144"/>
      <c r="J76" s="144"/>
      <c r="K76" s="144"/>
      <c r="L76" s="144"/>
      <c r="M76" s="144"/>
      <c r="N76" s="144"/>
      <c r="O76" s="144"/>
      <c r="P76" s="144"/>
      <c r="Q76" s="144"/>
    </row>
    <row r="77" spans="1:17" x14ac:dyDescent="0.35">
      <c r="A77" s="10"/>
      <c r="B77" s="10"/>
      <c r="C77" s="10"/>
      <c r="D77" s="10"/>
      <c r="E77" s="10"/>
      <c r="F77" s="10"/>
      <c r="G77" s="10"/>
      <c r="H77" s="10"/>
      <c r="I77" s="10"/>
      <c r="J77" s="10"/>
      <c r="K77" s="10"/>
      <c r="L77" s="10"/>
      <c r="M77" s="10"/>
      <c r="N77" s="10"/>
      <c r="O77" s="10"/>
      <c r="P77" s="10"/>
      <c r="Q77" s="11"/>
    </row>
    <row r="78" spans="1:17" x14ac:dyDescent="0.35">
      <c r="P78" s="77"/>
    </row>
    <row r="79" spans="1:17" x14ac:dyDescent="0.35">
      <c r="D79" s="146"/>
      <c r="E79" s="146"/>
      <c r="F79" s="146"/>
      <c r="G79" s="146"/>
      <c r="H79" s="146"/>
      <c r="I79" s="146"/>
      <c r="J79" s="146"/>
      <c r="K79" s="146"/>
      <c r="P79" s="53"/>
    </row>
    <row r="80" spans="1:17" x14ac:dyDescent="0.35">
      <c r="C80" s="10">
        <v>2023</v>
      </c>
      <c r="D80" s="10">
        <f>+C80+1</f>
        <v>2024</v>
      </c>
      <c r="E80" s="10">
        <f t="shared" ref="E80:Q80" si="12">+D80</f>
        <v>2024</v>
      </c>
      <c r="F80" s="10">
        <f t="shared" si="12"/>
        <v>2024</v>
      </c>
      <c r="G80" s="10">
        <f t="shared" si="12"/>
        <v>2024</v>
      </c>
      <c r="H80" s="10">
        <f t="shared" si="12"/>
        <v>2024</v>
      </c>
      <c r="I80" s="10">
        <f t="shared" si="12"/>
        <v>2024</v>
      </c>
      <c r="J80" s="10">
        <f t="shared" si="12"/>
        <v>2024</v>
      </c>
      <c r="K80" s="10">
        <f t="shared" si="12"/>
        <v>2024</v>
      </c>
      <c r="L80" s="10">
        <f t="shared" si="12"/>
        <v>2024</v>
      </c>
      <c r="M80" s="10">
        <f t="shared" si="12"/>
        <v>2024</v>
      </c>
      <c r="N80" s="10">
        <f t="shared" si="12"/>
        <v>2024</v>
      </c>
      <c r="O80" s="10">
        <f t="shared" si="12"/>
        <v>2024</v>
      </c>
      <c r="P80" s="10">
        <f t="shared" si="12"/>
        <v>2024</v>
      </c>
      <c r="Q80" s="10">
        <f t="shared" si="12"/>
        <v>2024</v>
      </c>
    </row>
    <row r="81" spans="2:18" x14ac:dyDescent="0.35">
      <c r="C81" s="10" t="s">
        <v>140</v>
      </c>
      <c r="D81" s="10" t="s">
        <v>141</v>
      </c>
      <c r="E81" s="10" t="s">
        <v>142</v>
      </c>
      <c r="F81" s="10" t="s">
        <v>143</v>
      </c>
      <c r="G81" s="10" t="s">
        <v>144</v>
      </c>
      <c r="H81" s="10" t="s">
        <v>81</v>
      </c>
      <c r="I81" s="10" t="s">
        <v>145</v>
      </c>
      <c r="J81" s="10" t="s">
        <v>146</v>
      </c>
      <c r="K81" s="10" t="s">
        <v>147</v>
      </c>
      <c r="L81" s="10" t="s">
        <v>148</v>
      </c>
      <c r="M81" s="10" t="s">
        <v>149</v>
      </c>
      <c r="N81" s="10" t="s">
        <v>150</v>
      </c>
      <c r="O81" s="10" t="s">
        <v>140</v>
      </c>
      <c r="P81" s="10" t="s">
        <v>151</v>
      </c>
      <c r="Q81" s="10" t="s">
        <v>152</v>
      </c>
    </row>
    <row r="82" spans="2:18" x14ac:dyDescent="0.35">
      <c r="C82" s="10" t="s">
        <v>92</v>
      </c>
      <c r="D82" s="10" t="s">
        <v>257</v>
      </c>
      <c r="E82" s="10" t="s">
        <v>257</v>
      </c>
      <c r="F82" s="10" t="s">
        <v>257</v>
      </c>
      <c r="G82" s="10" t="s">
        <v>257</v>
      </c>
      <c r="H82" s="10" t="s">
        <v>257</v>
      </c>
      <c r="I82" s="10" t="s">
        <v>257</v>
      </c>
      <c r="J82" s="10" t="s">
        <v>257</v>
      </c>
      <c r="K82" s="10" t="s">
        <v>257</v>
      </c>
      <c r="L82" s="10" t="s">
        <v>257</v>
      </c>
      <c r="M82" s="10" t="s">
        <v>257</v>
      </c>
      <c r="N82" s="10" t="s">
        <v>257</v>
      </c>
      <c r="O82" s="10" t="s">
        <v>257</v>
      </c>
      <c r="P82" s="11"/>
      <c r="Q82" s="11"/>
      <c r="R82" s="135"/>
    </row>
    <row r="83" spans="2:18" x14ac:dyDescent="0.35">
      <c r="C83" s="11"/>
    </row>
    <row r="84" spans="2:18" x14ac:dyDescent="0.35">
      <c r="B84" s="79" t="s">
        <v>22</v>
      </c>
    </row>
    <row r="85" spans="2:18" x14ac:dyDescent="0.35">
      <c r="B85" s="8" t="s">
        <v>133</v>
      </c>
      <c r="C85" s="42">
        <f>P15</f>
        <v>30974058.16</v>
      </c>
      <c r="D85" s="42">
        <v>493561.91</v>
      </c>
      <c r="E85" s="42">
        <v>631073.57999999996</v>
      </c>
      <c r="F85" s="42">
        <v>2871922.78</v>
      </c>
      <c r="G85" s="42">
        <v>972819.89</v>
      </c>
      <c r="H85" s="42">
        <v>971911.57000000007</v>
      </c>
      <c r="I85" s="42">
        <v>1075612.8800000001</v>
      </c>
      <c r="J85" s="42">
        <v>1648380.52</v>
      </c>
      <c r="K85" s="42">
        <v>898881.67</v>
      </c>
      <c r="L85" s="42">
        <v>698598.6</v>
      </c>
      <c r="M85" s="42">
        <v>4733534.53</v>
      </c>
      <c r="N85" s="42">
        <v>5812471.8399999999</v>
      </c>
      <c r="O85" s="42">
        <v>7358169.6100000003</v>
      </c>
      <c r="P85" s="43">
        <f>SUM(C85:O85)</f>
        <v>59140997.540000007</v>
      </c>
    </row>
    <row r="86" spans="2:18" x14ac:dyDescent="0.35">
      <c r="B86" s="8" t="s">
        <v>134</v>
      </c>
      <c r="C86" s="42">
        <f>P16</f>
        <v>0</v>
      </c>
      <c r="D86" s="42">
        <v>0</v>
      </c>
      <c r="E86" s="42">
        <v>0</v>
      </c>
      <c r="F86" s="80">
        <v>0</v>
      </c>
      <c r="G86" s="42">
        <v>0</v>
      </c>
      <c r="H86" s="42">
        <v>0</v>
      </c>
      <c r="I86" s="42">
        <v>0</v>
      </c>
      <c r="J86" s="42">
        <v>0</v>
      </c>
      <c r="K86" s="42">
        <v>0</v>
      </c>
      <c r="L86" s="42">
        <v>0</v>
      </c>
      <c r="M86" s="42">
        <v>0</v>
      </c>
      <c r="N86" s="42">
        <v>0</v>
      </c>
      <c r="O86" s="42">
        <v>0</v>
      </c>
      <c r="P86" s="43">
        <f>SUM(C86:O86)</f>
        <v>0</v>
      </c>
    </row>
    <row r="87" spans="2:18" x14ac:dyDescent="0.35">
      <c r="B87" s="8" t="s">
        <v>135</v>
      </c>
      <c r="C87" s="42">
        <f>P17</f>
        <v>12888024.09</v>
      </c>
      <c r="D87" s="42">
        <v>528444.89</v>
      </c>
      <c r="E87" s="42">
        <v>965406.04</v>
      </c>
      <c r="F87" s="42">
        <v>982289.47</v>
      </c>
      <c r="G87" s="42">
        <v>819877.05</v>
      </c>
      <c r="H87" s="42">
        <v>967829.41</v>
      </c>
      <c r="I87" s="42">
        <v>1277747.6299999999</v>
      </c>
      <c r="J87" s="42">
        <v>1111761.6299999999</v>
      </c>
      <c r="K87" s="42">
        <v>1238839.3500000001</v>
      </c>
      <c r="L87" s="42">
        <v>943335.65</v>
      </c>
      <c r="M87" s="42">
        <v>1474212.48</v>
      </c>
      <c r="N87" s="42">
        <v>1443719.92</v>
      </c>
      <c r="O87" s="42">
        <v>1248564.56</v>
      </c>
      <c r="P87" s="43">
        <f>SUM(C87:O87)</f>
        <v>25890052.169999998</v>
      </c>
    </row>
    <row r="88" spans="2:18" x14ac:dyDescent="0.35">
      <c r="B88" s="8" t="s">
        <v>136</v>
      </c>
      <c r="C88" s="42">
        <f>P18</f>
        <v>85582.380000000019</v>
      </c>
      <c r="D88" s="42">
        <v>99666.4</v>
      </c>
      <c r="E88" s="42">
        <v>46199.51</v>
      </c>
      <c r="F88" s="42">
        <v>71137.13</v>
      </c>
      <c r="G88" s="42">
        <v>30394.9</v>
      </c>
      <c r="H88" s="42">
        <v>68100.06</v>
      </c>
      <c r="I88" s="42">
        <v>26020.639999999999</v>
      </c>
      <c r="J88" s="42">
        <v>35647.22</v>
      </c>
      <c r="K88" s="42">
        <v>77968.27</v>
      </c>
      <c r="L88" s="42">
        <v>29768.76</v>
      </c>
      <c r="M88" s="42">
        <v>57535.61</v>
      </c>
      <c r="N88" s="42">
        <v>29538.28</v>
      </c>
      <c r="O88" s="42">
        <v>35466.29</v>
      </c>
      <c r="P88" s="43">
        <f>SUM(C88:O88)</f>
        <v>693025.45000000019</v>
      </c>
    </row>
    <row r="89" spans="2:18" x14ac:dyDescent="0.35">
      <c r="B89" s="8" t="s">
        <v>137</v>
      </c>
      <c r="C89" s="42">
        <f>P19</f>
        <v>0</v>
      </c>
      <c r="D89" s="42">
        <v>7763.63</v>
      </c>
      <c r="E89" s="42">
        <v>16342.16</v>
      </c>
      <c r="F89" s="42">
        <v>5818.02</v>
      </c>
      <c r="G89" s="42">
        <v>6048.96</v>
      </c>
      <c r="H89" s="42">
        <v>-43.29</v>
      </c>
      <c r="I89" s="42">
        <v>5572.98</v>
      </c>
      <c r="J89" s="42">
        <v>2393.5300000000002</v>
      </c>
      <c r="K89" s="42">
        <v>10530.81</v>
      </c>
      <c r="L89" s="42">
        <v>4614.83</v>
      </c>
      <c r="M89" s="42">
        <v>2409.44</v>
      </c>
      <c r="N89" s="42">
        <v>-650.35</v>
      </c>
      <c r="O89" s="42">
        <v>5519.75</v>
      </c>
      <c r="P89" s="43">
        <f>SUM(C89:O89)</f>
        <v>66320.47</v>
      </c>
    </row>
    <row r="90" spans="2:18" x14ac:dyDescent="0.35">
      <c r="B90" s="8" t="s">
        <v>153</v>
      </c>
      <c r="C90" s="46"/>
      <c r="D90" s="46">
        <f t="shared" ref="D90:O90" si="13">SUM(D85:D89)</f>
        <v>1129436.8299999998</v>
      </c>
      <c r="E90" s="46">
        <f t="shared" si="13"/>
        <v>1659021.29</v>
      </c>
      <c r="F90" s="46">
        <f t="shared" si="13"/>
        <v>3931167.4</v>
      </c>
      <c r="G90" s="46">
        <f t="shared" si="13"/>
        <v>1829140.7999999998</v>
      </c>
      <c r="H90" s="46">
        <f t="shared" si="13"/>
        <v>2007797.75</v>
      </c>
      <c r="I90" s="46">
        <f t="shared" si="13"/>
        <v>2384954.13</v>
      </c>
      <c r="J90" s="46">
        <f t="shared" si="13"/>
        <v>2798182.9</v>
      </c>
      <c r="K90" s="46">
        <f t="shared" si="13"/>
        <v>2226220.1</v>
      </c>
      <c r="L90" s="46">
        <f t="shared" si="13"/>
        <v>1676317.84</v>
      </c>
      <c r="M90" s="46">
        <f t="shared" si="13"/>
        <v>6267692.0600000005</v>
      </c>
      <c r="N90" s="46">
        <f>SUM(N85:N89)</f>
        <v>7285079.6900000004</v>
      </c>
      <c r="O90" s="46">
        <f t="shared" si="13"/>
        <v>8647720.209999999</v>
      </c>
      <c r="P90" s="46"/>
    </row>
    <row r="91" spans="2:18" x14ac:dyDescent="0.35">
      <c r="B91" s="8" t="s">
        <v>154</v>
      </c>
      <c r="C91" s="41">
        <f>SUM(C85:C89)</f>
        <v>43947664.630000003</v>
      </c>
      <c r="D91" s="41">
        <f t="shared" ref="D91:O91" si="14">+D90+C91</f>
        <v>45077101.460000001</v>
      </c>
      <c r="E91" s="41">
        <f t="shared" si="14"/>
        <v>46736122.75</v>
      </c>
      <c r="F91" s="41">
        <f t="shared" si="14"/>
        <v>50667290.149999999</v>
      </c>
      <c r="G91" s="41">
        <f t="shared" si="14"/>
        <v>52496430.949999996</v>
      </c>
      <c r="H91" s="41">
        <f t="shared" si="14"/>
        <v>54504228.699999996</v>
      </c>
      <c r="I91" s="41">
        <f t="shared" si="14"/>
        <v>56889182.829999998</v>
      </c>
      <c r="J91" s="41">
        <f t="shared" si="14"/>
        <v>59687365.729999997</v>
      </c>
      <c r="K91" s="41">
        <f t="shared" si="14"/>
        <v>61913585.829999998</v>
      </c>
      <c r="L91" s="41">
        <f t="shared" si="14"/>
        <v>63589903.670000002</v>
      </c>
      <c r="M91" s="41">
        <f t="shared" si="14"/>
        <v>69857595.730000004</v>
      </c>
      <c r="N91" s="41">
        <f t="shared" si="14"/>
        <v>77142675.420000002</v>
      </c>
      <c r="O91" s="41">
        <f t="shared" si="14"/>
        <v>85790395.629999995</v>
      </c>
      <c r="P91" s="41">
        <f>SUM(P85:P89)</f>
        <v>85790395.63000001</v>
      </c>
      <c r="Q91" s="43">
        <f>AVERAGE(C91:O91)</f>
        <v>59099964.883076914</v>
      </c>
    </row>
    <row r="93" spans="2:18" x14ac:dyDescent="0.35">
      <c r="B93" s="79" t="s">
        <v>62</v>
      </c>
    </row>
    <row r="94" spans="2:18" x14ac:dyDescent="0.35">
      <c r="B94" s="8" t="s">
        <v>133</v>
      </c>
      <c r="C94" s="42">
        <f>P24</f>
        <v>-285613.71000000002</v>
      </c>
      <c r="D94" s="42">
        <v>0</v>
      </c>
      <c r="E94" s="42">
        <v>0</v>
      </c>
      <c r="F94" s="42">
        <v>-34095.33</v>
      </c>
      <c r="G94" s="42">
        <v>-2475.7399999999998</v>
      </c>
      <c r="H94" s="42">
        <v>0</v>
      </c>
      <c r="I94" s="42">
        <v>-12190.76</v>
      </c>
      <c r="J94" s="42">
        <v>-744119.04</v>
      </c>
      <c r="K94" s="42">
        <v>-18271.8</v>
      </c>
      <c r="L94" s="42">
        <v>193737.59</v>
      </c>
      <c r="M94" s="42">
        <v>-137754.31</v>
      </c>
      <c r="N94" s="42">
        <v>7853.39</v>
      </c>
      <c r="O94" s="42">
        <v>-437354.73</v>
      </c>
      <c r="P94" s="43">
        <f>SUM(C94:O94)</f>
        <v>-1470284.44</v>
      </c>
    </row>
    <row r="95" spans="2:18" x14ac:dyDescent="0.35">
      <c r="B95" s="8" t="s">
        <v>134</v>
      </c>
      <c r="C95" s="42">
        <f>P25</f>
        <v>-390412.01000000007</v>
      </c>
      <c r="D95" s="42">
        <v>0</v>
      </c>
      <c r="E95" s="42">
        <v>0</v>
      </c>
      <c r="F95" s="42">
        <v>-8225.5300000000007</v>
      </c>
      <c r="G95" s="42">
        <v>0</v>
      </c>
      <c r="H95" s="42">
        <v>-53875.33</v>
      </c>
      <c r="I95" s="42">
        <v>-1229.8599999999999</v>
      </c>
      <c r="J95" s="42">
        <v>0</v>
      </c>
      <c r="K95" s="42">
        <v>0</v>
      </c>
      <c r="L95" s="42">
        <v>0</v>
      </c>
      <c r="M95" s="42">
        <v>0</v>
      </c>
      <c r="N95" s="42">
        <v>-129.32</v>
      </c>
      <c r="O95" s="42">
        <v>-309.87</v>
      </c>
      <c r="P95" s="43">
        <f>SUM(C95:O95)</f>
        <v>-454181.9200000001</v>
      </c>
    </row>
    <row r="96" spans="2:18" x14ac:dyDescent="0.35">
      <c r="B96" s="8" t="s">
        <v>219</v>
      </c>
      <c r="C96" s="42">
        <f>P26</f>
        <v>-2792386.4394296333</v>
      </c>
      <c r="D96" s="42">
        <v>-80627.679999999993</v>
      </c>
      <c r="E96" s="42">
        <v>-142561.49</v>
      </c>
      <c r="F96" s="42">
        <v>-363834.12</v>
      </c>
      <c r="G96" s="42">
        <v>-22542.799999999999</v>
      </c>
      <c r="H96" s="42">
        <v>-122658.81</v>
      </c>
      <c r="I96" s="42">
        <v>-187805.38</v>
      </c>
      <c r="J96" s="42">
        <v>-294042.90000000002</v>
      </c>
      <c r="K96" s="42">
        <v>-261287.98</v>
      </c>
      <c r="L96" s="42">
        <v>-233683.67</v>
      </c>
      <c r="M96" s="42">
        <v>-214091.11</v>
      </c>
      <c r="N96" s="42">
        <v>-325921.15999999997</v>
      </c>
      <c r="O96" s="42">
        <v>-258857.48</v>
      </c>
      <c r="P96" s="43">
        <f>SUM(C96:O96)</f>
        <v>-5300301.0194296343</v>
      </c>
    </row>
    <row r="97" spans="2:17" x14ac:dyDescent="0.35">
      <c r="B97" s="8" t="s">
        <v>136</v>
      </c>
      <c r="C97" s="42">
        <f>P27</f>
        <v>-48230.770000000004</v>
      </c>
      <c r="D97" s="42">
        <v>-1867.38</v>
      </c>
      <c r="E97" s="42">
        <v>-2576.42</v>
      </c>
      <c r="F97" s="42">
        <v>-9968.3799999999992</v>
      </c>
      <c r="G97" s="42">
        <v>0</v>
      </c>
      <c r="H97" s="42">
        <v>-6767.86</v>
      </c>
      <c r="I97" s="42">
        <v>-4172.42</v>
      </c>
      <c r="J97" s="42">
        <v>-2618.31</v>
      </c>
      <c r="K97" s="42">
        <v>-6967.02</v>
      </c>
      <c r="L97" s="42">
        <v>-17586.990000000002</v>
      </c>
      <c r="M97" s="42">
        <v>-5456.08</v>
      </c>
      <c r="N97" s="42">
        <v>-15799.48</v>
      </c>
      <c r="O97" s="42">
        <v>-2905.87</v>
      </c>
      <c r="P97" s="43">
        <f>SUM(C97:O97)</f>
        <v>-124916.98</v>
      </c>
    </row>
    <row r="98" spans="2:17" x14ac:dyDescent="0.35">
      <c r="B98" s="8" t="s">
        <v>137</v>
      </c>
      <c r="C98" s="42">
        <f>P28</f>
        <v>-6868.99</v>
      </c>
      <c r="D98" s="42">
        <v>-270.10000000000002</v>
      </c>
      <c r="E98" s="42">
        <v>-489.95</v>
      </c>
      <c r="F98" s="42">
        <v>-900.07</v>
      </c>
      <c r="G98" s="42">
        <v>0</v>
      </c>
      <c r="H98" s="42">
        <v>-670.82</v>
      </c>
      <c r="I98" s="42">
        <v>-419.35</v>
      </c>
      <c r="J98" s="42">
        <v>-267.74</v>
      </c>
      <c r="K98" s="42">
        <v>-705.31</v>
      </c>
      <c r="L98" s="42">
        <v>-674.09</v>
      </c>
      <c r="M98" s="42">
        <v>-593.1</v>
      </c>
      <c r="N98" s="42">
        <v>-767.43</v>
      </c>
      <c r="O98" s="42">
        <v>-356.34</v>
      </c>
      <c r="P98" s="43">
        <f>SUM(C98:O98)</f>
        <v>-12983.29</v>
      </c>
    </row>
    <row r="99" spans="2:17" x14ac:dyDescent="0.35">
      <c r="B99" s="8" t="s">
        <v>155</v>
      </c>
      <c r="C99" s="46"/>
      <c r="D99" s="46">
        <f t="shared" ref="D99:O99" si="15">SUM(D94:D98)</f>
        <v>-82765.16</v>
      </c>
      <c r="E99" s="46">
        <f t="shared" si="15"/>
        <v>-145627.86000000002</v>
      </c>
      <c r="F99" s="46">
        <f t="shared" si="15"/>
        <v>-417023.43</v>
      </c>
      <c r="G99" s="46">
        <f t="shared" si="15"/>
        <v>-25018.54</v>
      </c>
      <c r="H99" s="46">
        <f t="shared" si="15"/>
        <v>-183972.82</v>
      </c>
      <c r="I99" s="46">
        <f t="shared" si="15"/>
        <v>-205817.77000000002</v>
      </c>
      <c r="J99" s="46">
        <f t="shared" si="15"/>
        <v>-1041047.9900000001</v>
      </c>
      <c r="K99" s="46">
        <f t="shared" si="15"/>
        <v>-287232.11000000004</v>
      </c>
      <c r="L99" s="46">
        <f t="shared" si="15"/>
        <v>-58207.160000000018</v>
      </c>
      <c r="M99" s="46">
        <f t="shared" si="15"/>
        <v>-357894.6</v>
      </c>
      <c r="N99" s="46">
        <f t="shared" si="15"/>
        <v>-334763.99999999994</v>
      </c>
      <c r="O99" s="46">
        <f t="shared" si="15"/>
        <v>-699784.28999999992</v>
      </c>
      <c r="P99" s="46"/>
    </row>
    <row r="100" spans="2:17" x14ac:dyDescent="0.35">
      <c r="B100" s="8" t="s">
        <v>156</v>
      </c>
      <c r="C100" s="41">
        <f>SUM(C94:C98)</f>
        <v>-3523511.9194296338</v>
      </c>
      <c r="D100" s="41">
        <f t="shared" ref="D100:O100" si="16">+D99+C100</f>
        <v>-3606277.0794296339</v>
      </c>
      <c r="E100" s="41">
        <f t="shared" si="16"/>
        <v>-3751904.9394296338</v>
      </c>
      <c r="F100" s="41">
        <f t="shared" si="16"/>
        <v>-4168928.369429634</v>
      </c>
      <c r="G100" s="41">
        <f t="shared" si="16"/>
        <v>-4193946.909429634</v>
      </c>
      <c r="H100" s="41">
        <f t="shared" si="16"/>
        <v>-4377919.7294296343</v>
      </c>
      <c r="I100" s="41">
        <f t="shared" si="16"/>
        <v>-4583737.4994296338</v>
      </c>
      <c r="J100" s="41">
        <f t="shared" si="16"/>
        <v>-5624785.4894296341</v>
      </c>
      <c r="K100" s="41">
        <f t="shared" si="16"/>
        <v>-5912017.5994296344</v>
      </c>
      <c r="L100" s="41">
        <f t="shared" si="16"/>
        <v>-5970224.7594296345</v>
      </c>
      <c r="M100" s="41">
        <f t="shared" si="16"/>
        <v>-6328119.3594296342</v>
      </c>
      <c r="N100" s="41">
        <f t="shared" si="16"/>
        <v>-6662883.3594296342</v>
      </c>
      <c r="O100" s="41">
        <f t="shared" si="16"/>
        <v>-7362667.6494296342</v>
      </c>
      <c r="P100" s="41">
        <f>SUM(P94:P98)</f>
        <v>-7362667.6494296351</v>
      </c>
      <c r="Q100" s="43">
        <f>AVERAGE(C100:O100)</f>
        <v>-5082071.1278911727</v>
      </c>
    </row>
    <row r="102" spans="2:17" x14ac:dyDescent="0.35">
      <c r="B102" s="79" t="s">
        <v>139</v>
      </c>
    </row>
    <row r="103" spans="2:17" x14ac:dyDescent="0.35">
      <c r="B103" s="8" t="s">
        <v>133</v>
      </c>
      <c r="C103" s="81">
        <f>+C85+C94</f>
        <v>30688444.449999999</v>
      </c>
      <c r="D103" s="81">
        <f t="shared" ref="D103:O103" si="17">+D85+D94</f>
        <v>493561.91</v>
      </c>
      <c r="E103" s="81">
        <f t="shared" si="17"/>
        <v>631073.57999999996</v>
      </c>
      <c r="F103" s="81">
        <f t="shared" si="17"/>
        <v>2837827.4499999997</v>
      </c>
      <c r="G103" s="81">
        <f t="shared" si="17"/>
        <v>970344.15</v>
      </c>
      <c r="H103" s="81">
        <f t="shared" si="17"/>
        <v>971911.57000000007</v>
      </c>
      <c r="I103" s="81">
        <f t="shared" si="17"/>
        <v>1063422.1200000001</v>
      </c>
      <c r="J103" s="81">
        <f t="shared" si="17"/>
        <v>904261.48</v>
      </c>
      <c r="K103" s="81">
        <f t="shared" si="17"/>
        <v>880609.87</v>
      </c>
      <c r="L103" s="81">
        <f t="shared" si="17"/>
        <v>892336.19</v>
      </c>
      <c r="M103" s="81">
        <f t="shared" si="17"/>
        <v>4595780.2200000007</v>
      </c>
      <c r="N103" s="81">
        <f t="shared" si="17"/>
        <v>5820325.2299999995</v>
      </c>
      <c r="O103" s="81">
        <f t="shared" si="17"/>
        <v>6920814.8800000008</v>
      </c>
      <c r="P103" s="43">
        <f>SUM(C103:O103)</f>
        <v>57670713.099999987</v>
      </c>
    </row>
    <row r="104" spans="2:17" x14ac:dyDescent="0.35">
      <c r="B104" s="8" t="s">
        <v>134</v>
      </c>
      <c r="C104" s="81">
        <f>+C86+C95</f>
        <v>-390412.01000000007</v>
      </c>
      <c r="D104" s="81">
        <f t="shared" ref="D104:O104" si="18">+D86+D95</f>
        <v>0</v>
      </c>
      <c r="E104" s="81">
        <f t="shared" si="18"/>
        <v>0</v>
      </c>
      <c r="F104" s="81">
        <f t="shared" si="18"/>
        <v>-8225.5300000000007</v>
      </c>
      <c r="G104" s="81">
        <f t="shared" si="18"/>
        <v>0</v>
      </c>
      <c r="H104" s="81">
        <f t="shared" si="18"/>
        <v>-53875.33</v>
      </c>
      <c r="I104" s="81">
        <f t="shared" si="18"/>
        <v>-1229.8599999999999</v>
      </c>
      <c r="J104" s="81">
        <f t="shared" si="18"/>
        <v>0</v>
      </c>
      <c r="K104" s="81">
        <f t="shared" si="18"/>
        <v>0</v>
      </c>
      <c r="L104" s="81">
        <f t="shared" si="18"/>
        <v>0</v>
      </c>
      <c r="M104" s="81">
        <f t="shared" si="18"/>
        <v>0</v>
      </c>
      <c r="N104" s="81">
        <f t="shared" si="18"/>
        <v>-129.32</v>
      </c>
      <c r="O104" s="81">
        <f t="shared" si="18"/>
        <v>-309.87</v>
      </c>
      <c r="P104" s="43">
        <f>SUM(C104:O104)</f>
        <v>-454181.9200000001</v>
      </c>
    </row>
    <row r="105" spans="2:17" x14ac:dyDescent="0.35">
      <c r="B105" s="8" t="s">
        <v>135</v>
      </c>
      <c r="C105" s="81">
        <f>+C87+C96</f>
        <v>10095637.650570367</v>
      </c>
      <c r="D105" s="81">
        <f t="shared" ref="D105:O105" si="19">+D87+D96</f>
        <v>447817.21</v>
      </c>
      <c r="E105" s="81">
        <f t="shared" si="19"/>
        <v>822844.55</v>
      </c>
      <c r="F105" s="81">
        <f t="shared" si="19"/>
        <v>618455.35</v>
      </c>
      <c r="G105" s="81">
        <f t="shared" si="19"/>
        <v>797334.25</v>
      </c>
      <c r="H105" s="81">
        <f t="shared" si="19"/>
        <v>845170.60000000009</v>
      </c>
      <c r="I105" s="81">
        <f t="shared" si="19"/>
        <v>1089942.25</v>
      </c>
      <c r="J105" s="81">
        <f t="shared" si="19"/>
        <v>817718.72999999986</v>
      </c>
      <c r="K105" s="81">
        <f t="shared" si="19"/>
        <v>977551.37000000011</v>
      </c>
      <c r="L105" s="81">
        <f t="shared" si="19"/>
        <v>709651.98</v>
      </c>
      <c r="M105" s="81">
        <f t="shared" si="19"/>
        <v>1260121.3700000001</v>
      </c>
      <c r="N105" s="81">
        <f t="shared" si="19"/>
        <v>1117798.76</v>
      </c>
      <c r="O105" s="81">
        <f t="shared" si="19"/>
        <v>989707.08000000007</v>
      </c>
      <c r="P105" s="43">
        <f>SUM(C105:O105)</f>
        <v>20589751.15057037</v>
      </c>
    </row>
    <row r="106" spans="2:17" x14ac:dyDescent="0.35">
      <c r="B106" s="8" t="s">
        <v>136</v>
      </c>
      <c r="C106" s="81">
        <f>+C88+C97</f>
        <v>37351.610000000015</v>
      </c>
      <c r="D106" s="81">
        <f t="shared" ref="D106:O106" si="20">+D88+D97</f>
        <v>97799.01999999999</v>
      </c>
      <c r="E106" s="81">
        <f t="shared" si="20"/>
        <v>43623.090000000004</v>
      </c>
      <c r="F106" s="81">
        <f t="shared" si="20"/>
        <v>61168.750000000007</v>
      </c>
      <c r="G106" s="81">
        <f t="shared" si="20"/>
        <v>30394.9</v>
      </c>
      <c r="H106" s="81">
        <f t="shared" si="20"/>
        <v>61332.2</v>
      </c>
      <c r="I106" s="81">
        <f t="shared" si="20"/>
        <v>21848.22</v>
      </c>
      <c r="J106" s="81">
        <f t="shared" si="20"/>
        <v>33028.910000000003</v>
      </c>
      <c r="K106" s="81">
        <f t="shared" si="20"/>
        <v>71001.25</v>
      </c>
      <c r="L106" s="81">
        <f t="shared" si="20"/>
        <v>12181.769999999997</v>
      </c>
      <c r="M106" s="81">
        <f t="shared" si="20"/>
        <v>52079.53</v>
      </c>
      <c r="N106" s="81">
        <f t="shared" si="20"/>
        <v>13738.8</v>
      </c>
      <c r="O106" s="81">
        <f t="shared" si="20"/>
        <v>32560.420000000002</v>
      </c>
      <c r="P106" s="43">
        <f>SUM(C106:O106)</f>
        <v>568108.4700000002</v>
      </c>
    </row>
    <row r="107" spans="2:17" x14ac:dyDescent="0.35">
      <c r="B107" s="8" t="s">
        <v>137</v>
      </c>
      <c r="C107" s="81">
        <f>+C89+C98</f>
        <v>-6868.99</v>
      </c>
      <c r="D107" s="81">
        <f t="shared" ref="D107:O107" si="21">+D89+D98</f>
        <v>7493.53</v>
      </c>
      <c r="E107" s="81">
        <f t="shared" si="21"/>
        <v>15852.21</v>
      </c>
      <c r="F107" s="81">
        <f t="shared" si="21"/>
        <v>4917.9500000000007</v>
      </c>
      <c r="G107" s="81">
        <f t="shared" si="21"/>
        <v>6048.96</v>
      </c>
      <c r="H107" s="81">
        <f t="shared" si="21"/>
        <v>-714.11</v>
      </c>
      <c r="I107" s="81">
        <f t="shared" si="21"/>
        <v>5153.6299999999992</v>
      </c>
      <c r="J107" s="81">
        <f t="shared" si="21"/>
        <v>2125.79</v>
      </c>
      <c r="K107" s="81">
        <f t="shared" si="21"/>
        <v>9825.5</v>
      </c>
      <c r="L107" s="81">
        <f t="shared" si="21"/>
        <v>3940.74</v>
      </c>
      <c r="M107" s="81">
        <f t="shared" si="21"/>
        <v>1816.3400000000001</v>
      </c>
      <c r="N107" s="81">
        <f t="shared" si="21"/>
        <v>-1417.78</v>
      </c>
      <c r="O107" s="81">
        <f t="shared" si="21"/>
        <v>5163.41</v>
      </c>
      <c r="P107" s="43">
        <f>SUM(C107:O107)</f>
        <v>53337.180000000008</v>
      </c>
    </row>
    <row r="108" spans="2:17" x14ac:dyDescent="0.35">
      <c r="B108" s="8" t="s">
        <v>157</v>
      </c>
      <c r="C108" s="46"/>
      <c r="D108" s="46">
        <f t="shared" ref="D108:O108" si="22">SUM(D103:D107)</f>
        <v>1046671.67</v>
      </c>
      <c r="E108" s="46">
        <f t="shared" si="22"/>
        <v>1513393.43</v>
      </c>
      <c r="F108" s="46">
        <f t="shared" si="22"/>
        <v>3514143.97</v>
      </c>
      <c r="G108" s="46">
        <f t="shared" si="22"/>
        <v>1804122.2599999998</v>
      </c>
      <c r="H108" s="46">
        <f t="shared" si="22"/>
        <v>1823824.9300000002</v>
      </c>
      <c r="I108" s="46">
        <f t="shared" si="22"/>
        <v>2179136.36</v>
      </c>
      <c r="J108" s="46">
        <f t="shared" si="22"/>
        <v>1757134.91</v>
      </c>
      <c r="K108" s="46">
        <f t="shared" si="22"/>
        <v>1938987.9900000002</v>
      </c>
      <c r="L108" s="46">
        <f t="shared" si="22"/>
        <v>1618110.68</v>
      </c>
      <c r="M108" s="46">
        <f t="shared" si="22"/>
        <v>5909797.4600000009</v>
      </c>
      <c r="N108" s="46">
        <f t="shared" si="22"/>
        <v>6950315.6899999985</v>
      </c>
      <c r="O108" s="46">
        <f t="shared" si="22"/>
        <v>7947935.9200000009</v>
      </c>
      <c r="P108" s="46"/>
    </row>
    <row r="109" spans="2:17" x14ac:dyDescent="0.35">
      <c r="B109" s="8" t="s">
        <v>214</v>
      </c>
      <c r="C109" s="41">
        <f>SUM(C103:C107)</f>
        <v>40424152.710570358</v>
      </c>
      <c r="D109" s="41">
        <f t="shared" ref="D109:O109" si="23">+D108+C109</f>
        <v>41470824.38057036</v>
      </c>
      <c r="E109" s="41">
        <f t="shared" si="23"/>
        <v>42984217.810570359</v>
      </c>
      <c r="F109" s="41">
        <f t="shared" si="23"/>
        <v>46498361.780570358</v>
      </c>
      <c r="G109" s="41">
        <f t="shared" si="23"/>
        <v>48302484.040570356</v>
      </c>
      <c r="H109" s="41">
        <f t="shared" si="23"/>
        <v>50126308.970570356</v>
      </c>
      <c r="I109" s="41">
        <f t="shared" si="23"/>
        <v>52305445.330570355</v>
      </c>
      <c r="J109" s="41">
        <f t="shared" si="23"/>
        <v>54062580.240570351</v>
      </c>
      <c r="K109" s="41">
        <f t="shared" si="23"/>
        <v>56001568.230570354</v>
      </c>
      <c r="L109" s="41">
        <f t="shared" si="23"/>
        <v>57619678.910570353</v>
      </c>
      <c r="M109" s="41">
        <f t="shared" si="23"/>
        <v>63529476.370570354</v>
      </c>
      <c r="N109" s="41">
        <f t="shared" si="23"/>
        <v>70479792.060570359</v>
      </c>
      <c r="O109" s="41">
        <f t="shared" si="23"/>
        <v>78427727.980570361</v>
      </c>
      <c r="P109" s="41">
        <f>SUM(P103:P107)</f>
        <v>78427727.980570361</v>
      </c>
      <c r="Q109" s="43">
        <f>AVERAGE(C109:O109)</f>
        <v>54017893.755185731</v>
      </c>
    </row>
    <row r="144" spans="17:17" x14ac:dyDescent="0.35">
      <c r="Q144" s="9" t="str">
        <f>Q71</f>
        <v>Case No. 2026-00306</v>
      </c>
    </row>
    <row r="145" spans="1:18" x14ac:dyDescent="0.35">
      <c r="Q145" s="9" t="s">
        <v>195</v>
      </c>
    </row>
    <row r="146" spans="1:18" x14ac:dyDescent="0.35">
      <c r="Q146" s="9" t="s">
        <v>295</v>
      </c>
    </row>
    <row r="147" spans="1:18" x14ac:dyDescent="0.35">
      <c r="A147" s="144" t="s">
        <v>12</v>
      </c>
      <c r="B147" s="144"/>
      <c r="C147" s="144"/>
      <c r="D147" s="144"/>
      <c r="E147" s="144"/>
      <c r="F147" s="144"/>
      <c r="G147" s="144"/>
      <c r="H147" s="144"/>
      <c r="I147" s="144"/>
      <c r="J147" s="144"/>
      <c r="K147" s="144"/>
      <c r="L147" s="144"/>
      <c r="M147" s="144"/>
      <c r="N147" s="144"/>
      <c r="O147" s="144"/>
      <c r="P147" s="144"/>
      <c r="Q147" s="144"/>
    </row>
    <row r="148" spans="1:18" x14ac:dyDescent="0.35">
      <c r="A148" s="144" t="s">
        <v>109</v>
      </c>
      <c r="B148" s="144"/>
      <c r="C148" s="144"/>
      <c r="D148" s="144"/>
      <c r="E148" s="144"/>
      <c r="F148" s="144"/>
      <c r="G148" s="144"/>
      <c r="H148" s="144"/>
      <c r="I148" s="144"/>
      <c r="J148" s="144"/>
      <c r="K148" s="144"/>
      <c r="L148" s="144"/>
      <c r="M148" s="144"/>
      <c r="N148" s="144"/>
      <c r="O148" s="144"/>
      <c r="P148" s="144"/>
      <c r="Q148" s="144"/>
    </row>
    <row r="149" spans="1:18" x14ac:dyDescent="0.35">
      <c r="A149" s="144" t="s">
        <v>273</v>
      </c>
      <c r="B149" s="144"/>
      <c r="C149" s="144"/>
      <c r="D149" s="144"/>
      <c r="E149" s="144"/>
      <c r="F149" s="144"/>
      <c r="G149" s="144"/>
      <c r="H149" s="144"/>
      <c r="I149" s="144"/>
      <c r="J149" s="144"/>
      <c r="K149" s="144"/>
      <c r="L149" s="144"/>
      <c r="M149" s="144"/>
      <c r="N149" s="144"/>
      <c r="O149" s="144"/>
      <c r="P149" s="144"/>
      <c r="Q149" s="144"/>
    </row>
    <row r="153" spans="1:18" x14ac:dyDescent="0.35">
      <c r="C153" s="10">
        <f>+Q80</f>
        <v>2024</v>
      </c>
      <c r="D153" s="10">
        <f>+C153+1</f>
        <v>2025</v>
      </c>
      <c r="E153" s="10">
        <f>+D153</f>
        <v>2025</v>
      </c>
      <c r="F153" s="10">
        <f t="shared" ref="F153:Q153" si="24">+E153</f>
        <v>2025</v>
      </c>
      <c r="G153" s="10">
        <f t="shared" si="24"/>
        <v>2025</v>
      </c>
      <c r="H153" s="10">
        <f t="shared" si="24"/>
        <v>2025</v>
      </c>
      <c r="I153" s="10">
        <f t="shared" si="24"/>
        <v>2025</v>
      </c>
      <c r="J153" s="10">
        <f t="shared" si="24"/>
        <v>2025</v>
      </c>
      <c r="K153" s="10">
        <f t="shared" si="24"/>
        <v>2025</v>
      </c>
      <c r="L153" s="10">
        <f t="shared" si="24"/>
        <v>2025</v>
      </c>
      <c r="M153" s="10">
        <f t="shared" si="24"/>
        <v>2025</v>
      </c>
      <c r="N153" s="10">
        <f t="shared" si="24"/>
        <v>2025</v>
      </c>
      <c r="O153" s="10">
        <f t="shared" si="24"/>
        <v>2025</v>
      </c>
      <c r="P153" s="10">
        <f t="shared" si="24"/>
        <v>2025</v>
      </c>
      <c r="Q153" s="10">
        <f t="shared" si="24"/>
        <v>2025</v>
      </c>
    </row>
    <row r="154" spans="1:18" x14ac:dyDescent="0.35">
      <c r="C154" s="10" t="s">
        <v>140</v>
      </c>
      <c r="D154" s="10" t="s">
        <v>141</v>
      </c>
      <c r="E154" s="10" t="s">
        <v>142</v>
      </c>
      <c r="F154" s="10" t="s">
        <v>143</v>
      </c>
      <c r="G154" s="10" t="s">
        <v>144</v>
      </c>
      <c r="H154" s="10" t="s">
        <v>81</v>
      </c>
      <c r="I154" s="10" t="s">
        <v>145</v>
      </c>
      <c r="J154" s="10" t="s">
        <v>146</v>
      </c>
      <c r="K154" s="10" t="s">
        <v>147</v>
      </c>
      <c r="L154" s="10" t="s">
        <v>148</v>
      </c>
      <c r="M154" s="10" t="s">
        <v>149</v>
      </c>
      <c r="N154" s="10" t="s">
        <v>150</v>
      </c>
      <c r="O154" s="10" t="s">
        <v>140</v>
      </c>
      <c r="P154" s="10" t="s">
        <v>151</v>
      </c>
      <c r="Q154" s="10" t="s">
        <v>152</v>
      </c>
    </row>
    <row r="155" spans="1:18" x14ac:dyDescent="0.35">
      <c r="C155" s="10" t="s">
        <v>92</v>
      </c>
      <c r="D155" s="10" t="s">
        <v>257</v>
      </c>
      <c r="E155" s="10" t="s">
        <v>257</v>
      </c>
      <c r="F155" s="10" t="s">
        <v>257</v>
      </c>
      <c r="G155" s="10" t="s">
        <v>257</v>
      </c>
      <c r="H155" s="10" t="s">
        <v>257</v>
      </c>
      <c r="I155" s="10" t="s">
        <v>257</v>
      </c>
      <c r="J155" s="10" t="s">
        <v>257</v>
      </c>
      <c r="K155" s="10" t="s">
        <v>257</v>
      </c>
      <c r="L155" s="10" t="s">
        <v>257</v>
      </c>
      <c r="M155" s="10" t="s">
        <v>257</v>
      </c>
      <c r="N155" s="10" t="s">
        <v>257</v>
      </c>
      <c r="O155" s="10" t="s">
        <v>257</v>
      </c>
      <c r="P155" s="11"/>
      <c r="Q155" s="11"/>
      <c r="R155" s="135"/>
    </row>
    <row r="157" spans="1:18" ht="18.5" x14ac:dyDescent="0.35">
      <c r="B157" s="79" t="s">
        <v>303</v>
      </c>
    </row>
    <row r="158" spans="1:18" x14ac:dyDescent="0.35">
      <c r="B158" s="8" t="s">
        <v>133</v>
      </c>
      <c r="C158" s="42">
        <f>+P85</f>
        <v>59140997.540000007</v>
      </c>
      <c r="D158" s="42">
        <v>340284.56</v>
      </c>
      <c r="E158" s="42">
        <v>621939.48</v>
      </c>
      <c r="F158" s="42">
        <v>822483.72</v>
      </c>
      <c r="G158" s="42">
        <v>2368191.71</v>
      </c>
      <c r="H158" s="42">
        <v>1681373.79</v>
      </c>
      <c r="I158" s="42">
        <v>3060752.17</v>
      </c>
      <c r="J158" s="42">
        <v>3006342.95</v>
      </c>
      <c r="K158" s="42">
        <v>2268456.1800000002</v>
      </c>
      <c r="L158" s="42">
        <v>3418087.78</v>
      </c>
      <c r="M158" s="42">
        <v>3845642.98</v>
      </c>
      <c r="N158" s="42">
        <v>5351518.55</v>
      </c>
      <c r="O158" s="42">
        <v>6733832.7300000004</v>
      </c>
      <c r="P158" s="43">
        <f>SUM(C158:O158)</f>
        <v>92659904.140000015</v>
      </c>
    </row>
    <row r="159" spans="1:18" x14ac:dyDescent="0.35">
      <c r="B159" s="8" t="s">
        <v>134</v>
      </c>
      <c r="C159" s="42">
        <f>+P86</f>
        <v>0</v>
      </c>
      <c r="D159" s="42">
        <v>0</v>
      </c>
      <c r="E159" s="42">
        <v>0</v>
      </c>
      <c r="F159" s="42">
        <v>0</v>
      </c>
      <c r="G159" s="42">
        <v>0</v>
      </c>
      <c r="H159" s="42">
        <v>0</v>
      </c>
      <c r="I159" s="42">
        <v>0</v>
      </c>
      <c r="J159" s="42">
        <v>0</v>
      </c>
      <c r="K159" s="42">
        <v>0</v>
      </c>
      <c r="L159" s="42">
        <v>0</v>
      </c>
      <c r="M159" s="42">
        <v>0</v>
      </c>
      <c r="N159" s="42">
        <v>0</v>
      </c>
      <c r="O159" s="42">
        <v>0</v>
      </c>
      <c r="P159" s="43">
        <f>SUM(C159:O159)</f>
        <v>0</v>
      </c>
    </row>
    <row r="160" spans="1:18" x14ac:dyDescent="0.35">
      <c r="B160" s="8" t="s">
        <v>135</v>
      </c>
      <c r="C160" s="42">
        <f>+P87</f>
        <v>25890052.169999998</v>
      </c>
      <c r="D160" s="42">
        <v>479589.65</v>
      </c>
      <c r="E160" s="42">
        <v>758563.04</v>
      </c>
      <c r="F160" s="42">
        <v>1170713.28</v>
      </c>
      <c r="G160" s="42">
        <v>799453.27</v>
      </c>
      <c r="H160" s="42">
        <v>615874.18000000005</v>
      </c>
      <c r="I160" s="42">
        <v>754450.86</v>
      </c>
      <c r="J160" s="42">
        <v>633188.71</v>
      </c>
      <c r="K160" s="42">
        <v>789666.55</v>
      </c>
      <c r="L160" s="42">
        <v>711986.3</v>
      </c>
      <c r="M160" s="42">
        <v>873338.01</v>
      </c>
      <c r="N160" s="42">
        <v>810833.8</v>
      </c>
      <c r="O160" s="42">
        <v>717782.24</v>
      </c>
      <c r="P160" s="43">
        <f>SUM(C160:O160)</f>
        <v>35005492.060000002</v>
      </c>
    </row>
    <row r="161" spans="2:17" x14ac:dyDescent="0.35">
      <c r="B161" s="8" t="s">
        <v>136</v>
      </c>
      <c r="C161" s="42">
        <f>+P88</f>
        <v>693025.45000000019</v>
      </c>
      <c r="D161" s="42">
        <v>14998.86</v>
      </c>
      <c r="E161" s="42">
        <v>30222.3</v>
      </c>
      <c r="F161" s="42">
        <v>12429.14</v>
      </c>
      <c r="G161" s="42">
        <v>14599.68</v>
      </c>
      <c r="H161" s="42">
        <v>22044.5</v>
      </c>
      <c r="I161" s="42">
        <v>63405.95</v>
      </c>
      <c r="J161" s="42">
        <v>65167.45</v>
      </c>
      <c r="K161" s="42">
        <v>116253.17</v>
      </c>
      <c r="L161" s="42">
        <v>69508.5</v>
      </c>
      <c r="M161" s="42">
        <v>97551.93</v>
      </c>
      <c r="N161" s="42">
        <v>69545.88</v>
      </c>
      <c r="O161" s="42">
        <v>71215.13</v>
      </c>
      <c r="P161" s="43">
        <f>SUM(C161:O161)</f>
        <v>1339967.94</v>
      </c>
    </row>
    <row r="162" spans="2:17" x14ac:dyDescent="0.35">
      <c r="B162" s="8" t="s">
        <v>137</v>
      </c>
      <c r="C162" s="42">
        <f>+P89</f>
        <v>66320.47</v>
      </c>
      <c r="D162" s="42">
        <v>2580.31</v>
      </c>
      <c r="E162" s="42">
        <v>-7987.67</v>
      </c>
      <c r="F162" s="42">
        <v>1331.33</v>
      </c>
      <c r="G162" s="42">
        <v>3106.02</v>
      </c>
      <c r="H162" s="42">
        <v>-2503.2800000000002</v>
      </c>
      <c r="I162" s="42">
        <v>36766.480000000003</v>
      </c>
      <c r="J162" s="42">
        <v>32186.799999999999</v>
      </c>
      <c r="K162" s="42">
        <v>53296.5</v>
      </c>
      <c r="L162" s="42">
        <v>33078.550000000003</v>
      </c>
      <c r="M162" s="42">
        <v>27142.68</v>
      </c>
      <c r="N162" s="42">
        <v>33234.28</v>
      </c>
      <c r="O162" s="42">
        <v>43035.68</v>
      </c>
      <c r="P162" s="43">
        <f>SUM(C162:O162)</f>
        <v>321588.14999999997</v>
      </c>
    </row>
    <row r="163" spans="2:17" x14ac:dyDescent="0.35">
      <c r="B163" s="8" t="s">
        <v>153</v>
      </c>
      <c r="C163" s="46"/>
      <c r="D163" s="46">
        <f t="shared" ref="D163:O163" si="25">SUM(D158:D162)</f>
        <v>837453.38</v>
      </c>
      <c r="E163" s="46">
        <f t="shared" si="25"/>
        <v>1402737.1500000001</v>
      </c>
      <c r="F163" s="46">
        <f t="shared" si="25"/>
        <v>2006957.47</v>
      </c>
      <c r="G163" s="46">
        <f t="shared" si="25"/>
        <v>3185350.68</v>
      </c>
      <c r="H163" s="46">
        <f t="shared" si="25"/>
        <v>2316789.1900000004</v>
      </c>
      <c r="I163" s="46">
        <f t="shared" si="25"/>
        <v>3915375.46</v>
      </c>
      <c r="J163" s="46">
        <f t="shared" si="25"/>
        <v>3736885.91</v>
      </c>
      <c r="K163" s="46">
        <f t="shared" si="25"/>
        <v>3227672.4000000004</v>
      </c>
      <c r="L163" s="46">
        <f t="shared" si="25"/>
        <v>4232661.13</v>
      </c>
      <c r="M163" s="46">
        <f t="shared" si="25"/>
        <v>4843675.5999999996</v>
      </c>
      <c r="N163" s="46">
        <f t="shared" si="25"/>
        <v>6265132.5099999998</v>
      </c>
      <c r="O163" s="46">
        <f t="shared" si="25"/>
        <v>7565865.7800000003</v>
      </c>
      <c r="P163" s="46"/>
    </row>
    <row r="164" spans="2:17" x14ac:dyDescent="0.35">
      <c r="B164" s="8" t="s">
        <v>154</v>
      </c>
      <c r="C164" s="41">
        <f>SUM(C158:C162)</f>
        <v>85790395.63000001</v>
      </c>
      <c r="D164" s="41">
        <f t="shared" ref="D164:O164" si="26">+D163+C164</f>
        <v>86627849.010000005</v>
      </c>
      <c r="E164" s="41">
        <f t="shared" si="26"/>
        <v>88030586.160000011</v>
      </c>
      <c r="F164" s="41">
        <f t="shared" si="26"/>
        <v>90037543.63000001</v>
      </c>
      <c r="G164" s="41">
        <f t="shared" si="26"/>
        <v>93222894.310000017</v>
      </c>
      <c r="H164" s="41">
        <f t="shared" si="26"/>
        <v>95539683.500000015</v>
      </c>
      <c r="I164" s="41">
        <f t="shared" si="26"/>
        <v>99455058.960000008</v>
      </c>
      <c r="J164" s="41">
        <f t="shared" si="26"/>
        <v>103191944.87</v>
      </c>
      <c r="K164" s="41">
        <f t="shared" si="26"/>
        <v>106419617.27000001</v>
      </c>
      <c r="L164" s="41">
        <f t="shared" si="26"/>
        <v>110652278.40000001</v>
      </c>
      <c r="M164" s="41">
        <f t="shared" si="26"/>
        <v>115495954</v>
      </c>
      <c r="N164" s="41">
        <f t="shared" si="26"/>
        <v>121761086.51000001</v>
      </c>
      <c r="O164" s="41">
        <f t="shared" si="26"/>
        <v>129326952.29000001</v>
      </c>
      <c r="P164" s="41">
        <f>SUM(P158:P162)</f>
        <v>129326952.29000002</v>
      </c>
      <c r="Q164" s="43">
        <f>AVERAGE(C164:O164)</f>
        <v>101965526.50307693</v>
      </c>
    </row>
    <row r="166" spans="2:17" ht="18.5" x14ac:dyDescent="0.35">
      <c r="B166" s="79" t="s">
        <v>304</v>
      </c>
    </row>
    <row r="167" spans="2:17" x14ac:dyDescent="0.35">
      <c r="B167" s="8" t="s">
        <v>133</v>
      </c>
      <c r="C167" s="42">
        <f>+P94</f>
        <v>-1470284.44</v>
      </c>
      <c r="D167" s="42">
        <v>-44475.64</v>
      </c>
      <c r="E167" s="42">
        <v>-174540.68</v>
      </c>
      <c r="F167" s="42">
        <v>-9190.56</v>
      </c>
      <c r="G167" s="42">
        <v>0</v>
      </c>
      <c r="H167" s="42">
        <v>-1663.44</v>
      </c>
      <c r="I167" s="42">
        <v>-38170.82</v>
      </c>
      <c r="J167" s="42">
        <v>-396357.47</v>
      </c>
      <c r="K167" s="42">
        <v>-14942.26</v>
      </c>
      <c r="L167" s="42">
        <v>-416565.29</v>
      </c>
      <c r="M167" s="42">
        <v>-109401.97</v>
      </c>
      <c r="N167" s="42">
        <v>0</v>
      </c>
      <c r="O167" s="42">
        <v>-645323.34</v>
      </c>
      <c r="P167" s="43">
        <f>SUM(C167:O167)</f>
        <v>-3320915.9099999997</v>
      </c>
    </row>
    <row r="168" spans="2:17" x14ac:dyDescent="0.35">
      <c r="B168" s="8" t="s">
        <v>134</v>
      </c>
      <c r="C168" s="42">
        <f>+P95</f>
        <v>-454181.9200000001</v>
      </c>
      <c r="D168" s="42">
        <v>0</v>
      </c>
      <c r="E168" s="42">
        <v>0</v>
      </c>
      <c r="F168" s="42">
        <v>0</v>
      </c>
      <c r="G168" s="42">
        <v>0</v>
      </c>
      <c r="H168" s="42">
        <v>0</v>
      </c>
      <c r="I168" s="42">
        <v>-68270.02</v>
      </c>
      <c r="J168" s="42">
        <v>0</v>
      </c>
      <c r="K168" s="42">
        <v>0</v>
      </c>
      <c r="L168" s="42">
        <v>0</v>
      </c>
      <c r="M168" s="42">
        <v>0</v>
      </c>
      <c r="N168" s="42">
        <v>0</v>
      </c>
      <c r="O168" s="42">
        <v>0</v>
      </c>
      <c r="P168" s="43">
        <f>SUM(C168:O168)</f>
        <v>-522451.94000000012</v>
      </c>
    </row>
    <row r="169" spans="2:17" x14ac:dyDescent="0.35">
      <c r="B169" s="8" t="s">
        <v>135</v>
      </c>
      <c r="C169" s="42">
        <f>+P96</f>
        <v>-5300301.0194296343</v>
      </c>
      <c r="D169" s="42">
        <v>-218960.79</v>
      </c>
      <c r="E169" s="42">
        <v>-270012.05</v>
      </c>
      <c r="F169" s="42">
        <v>-379808.66</v>
      </c>
      <c r="G169" s="42">
        <v>-339910.17</v>
      </c>
      <c r="H169" s="42">
        <v>-220548.09</v>
      </c>
      <c r="I169" s="42">
        <v>-227244.34</v>
      </c>
      <c r="J169" s="42">
        <v>-244216.31</v>
      </c>
      <c r="K169" s="42">
        <v>-251305.51</v>
      </c>
      <c r="L169" s="42">
        <v>-230472.62</v>
      </c>
      <c r="M169" s="42">
        <v>-227932.89</v>
      </c>
      <c r="N169" s="42">
        <v>-226219.29</v>
      </c>
      <c r="O169" s="42">
        <v>-215774.36</v>
      </c>
      <c r="P169" s="43">
        <f>SUM(C169:O169)</f>
        <v>-8352706.0994296335</v>
      </c>
    </row>
    <row r="170" spans="2:17" x14ac:dyDescent="0.35">
      <c r="B170" s="8" t="s">
        <v>136</v>
      </c>
      <c r="C170" s="42">
        <f>+P97</f>
        <v>-124916.98</v>
      </c>
      <c r="D170" s="42">
        <v>-11761.3</v>
      </c>
      <c r="E170" s="42">
        <v>-3034.54</v>
      </c>
      <c r="F170" s="42">
        <v>-3592.91</v>
      </c>
      <c r="G170" s="42">
        <v>-5213.71</v>
      </c>
      <c r="H170" s="42">
        <v>-3684.07</v>
      </c>
      <c r="I170" s="42">
        <v>-8780.16</v>
      </c>
      <c r="J170" s="42">
        <v>-440.26</v>
      </c>
      <c r="K170" s="42">
        <v>-461.15</v>
      </c>
      <c r="L170" s="42">
        <v>-513.77</v>
      </c>
      <c r="M170" s="42">
        <v>-547.70000000000005</v>
      </c>
      <c r="N170" s="42">
        <v>-28.49</v>
      </c>
      <c r="O170" s="42">
        <v>-153.06</v>
      </c>
      <c r="P170" s="43">
        <f>SUM(C170:O170)</f>
        <v>-163128.1</v>
      </c>
    </row>
    <row r="171" spans="2:17" x14ac:dyDescent="0.35">
      <c r="B171" s="8" t="s">
        <v>137</v>
      </c>
      <c r="C171" s="42">
        <f>+P98</f>
        <v>-12983.29</v>
      </c>
      <c r="D171" s="42">
        <v>-391.03</v>
      </c>
      <c r="E171" s="42">
        <v>-432.71</v>
      </c>
      <c r="F171" s="42">
        <v>-452.29</v>
      </c>
      <c r="G171" s="42">
        <v>-376.34</v>
      </c>
      <c r="H171" s="42">
        <v>-375.47</v>
      </c>
      <c r="I171" s="42">
        <v>-428.67</v>
      </c>
      <c r="J171" s="42">
        <v>-31.38</v>
      </c>
      <c r="K171" s="42">
        <v>-32.869999999999997</v>
      </c>
      <c r="L171" s="42">
        <v>-36.619999999999997</v>
      </c>
      <c r="M171" s="42">
        <v>-39.04</v>
      </c>
      <c r="N171" s="42">
        <v>0</v>
      </c>
      <c r="O171" s="42">
        <v>-127.09</v>
      </c>
      <c r="P171" s="43">
        <f>SUM(C171:O171)</f>
        <v>-15706.800000000003</v>
      </c>
    </row>
    <row r="172" spans="2:17" x14ac:dyDescent="0.35">
      <c r="B172" s="8" t="s">
        <v>155</v>
      </c>
      <c r="C172" s="46"/>
      <c r="D172" s="46">
        <f t="shared" ref="D172:O172" si="27">SUM(D167:D171)</f>
        <v>-275588.76</v>
      </c>
      <c r="E172" s="46">
        <f t="shared" si="27"/>
        <v>-448019.98</v>
      </c>
      <c r="F172" s="46">
        <f t="shared" si="27"/>
        <v>-393044.41999999993</v>
      </c>
      <c r="G172" s="46">
        <f t="shared" si="27"/>
        <v>-345500.22000000003</v>
      </c>
      <c r="H172" s="46">
        <f t="shared" si="27"/>
        <v>-226271.07</v>
      </c>
      <c r="I172" s="46">
        <f t="shared" si="27"/>
        <v>-342894.00999999995</v>
      </c>
      <c r="J172" s="46">
        <f t="shared" si="27"/>
        <v>-641045.42000000004</v>
      </c>
      <c r="K172" s="46">
        <f t="shared" si="27"/>
        <v>-266741.79000000004</v>
      </c>
      <c r="L172" s="46">
        <f t="shared" si="27"/>
        <v>-647588.29999999993</v>
      </c>
      <c r="M172" s="46">
        <f t="shared" si="27"/>
        <v>-337921.6</v>
      </c>
      <c r="N172" s="46">
        <f t="shared" si="27"/>
        <v>-226247.78</v>
      </c>
      <c r="O172" s="46">
        <f t="shared" si="27"/>
        <v>-861377.85</v>
      </c>
      <c r="P172" s="46"/>
    </row>
    <row r="173" spans="2:17" x14ac:dyDescent="0.35">
      <c r="B173" s="8" t="s">
        <v>156</v>
      </c>
      <c r="C173" s="41">
        <f>SUM(C167:C171)</f>
        <v>-7362667.6494296351</v>
      </c>
      <c r="D173" s="41">
        <f t="shared" ref="D173:O173" si="28">+D172+C173</f>
        <v>-7638256.4094296349</v>
      </c>
      <c r="E173" s="41">
        <f t="shared" si="28"/>
        <v>-8086276.3894296344</v>
      </c>
      <c r="F173" s="41">
        <f t="shared" si="28"/>
        <v>-8479320.8094296344</v>
      </c>
      <c r="G173" s="41">
        <f t="shared" si="28"/>
        <v>-8824821.029429635</v>
      </c>
      <c r="H173" s="41">
        <f t="shared" si="28"/>
        <v>-9051092.0994296353</v>
      </c>
      <c r="I173" s="41">
        <f t="shared" si="28"/>
        <v>-9393986.1094296351</v>
      </c>
      <c r="J173" s="41">
        <f t="shared" si="28"/>
        <v>-10035031.529429635</v>
      </c>
      <c r="K173" s="41">
        <f t="shared" si="28"/>
        <v>-10301773.319429636</v>
      </c>
      <c r="L173" s="41">
        <f t="shared" si="28"/>
        <v>-10949361.619429637</v>
      </c>
      <c r="M173" s="41">
        <f t="shared" si="28"/>
        <v>-11287283.219429636</v>
      </c>
      <c r="N173" s="41">
        <f t="shared" si="28"/>
        <v>-11513530.999429636</v>
      </c>
      <c r="O173" s="41">
        <f t="shared" si="28"/>
        <v>-12374908.849429635</v>
      </c>
      <c r="P173" s="41">
        <f>SUM(P167:P171)</f>
        <v>-12374908.849429633</v>
      </c>
      <c r="Q173" s="43">
        <f>AVERAGE(C173:O173)</f>
        <v>-9638331.5409680977</v>
      </c>
    </row>
    <row r="175" spans="2:17" x14ac:dyDescent="0.35">
      <c r="B175" s="79" t="s">
        <v>139</v>
      </c>
    </row>
    <row r="176" spans="2:17" x14ac:dyDescent="0.35">
      <c r="B176" s="8" t="s">
        <v>133</v>
      </c>
      <c r="C176" s="42">
        <f>+P103</f>
        <v>57670713.099999987</v>
      </c>
      <c r="D176" s="81">
        <f t="shared" ref="D176:O176" si="29">+D158+D167</f>
        <v>295808.92</v>
      </c>
      <c r="E176" s="81">
        <f t="shared" si="29"/>
        <v>447398.8</v>
      </c>
      <c r="F176" s="81">
        <f t="shared" si="29"/>
        <v>813293.15999999992</v>
      </c>
      <c r="G176" s="81">
        <f t="shared" si="29"/>
        <v>2368191.71</v>
      </c>
      <c r="H176" s="81">
        <f t="shared" si="29"/>
        <v>1679710.35</v>
      </c>
      <c r="I176" s="81">
        <f t="shared" si="29"/>
        <v>3022581.35</v>
      </c>
      <c r="J176" s="81">
        <f t="shared" si="29"/>
        <v>2609985.4800000004</v>
      </c>
      <c r="K176" s="81">
        <f t="shared" si="29"/>
        <v>2253513.9200000004</v>
      </c>
      <c r="L176" s="81">
        <f t="shared" si="29"/>
        <v>3001522.4899999998</v>
      </c>
      <c r="M176" s="81">
        <f t="shared" si="29"/>
        <v>3736241.01</v>
      </c>
      <c r="N176" s="81">
        <f t="shared" si="29"/>
        <v>5351518.55</v>
      </c>
      <c r="O176" s="81">
        <f t="shared" si="29"/>
        <v>6088509.3900000006</v>
      </c>
      <c r="P176" s="43">
        <f>SUM(C176:O176)</f>
        <v>89338988.229999989</v>
      </c>
    </row>
    <row r="177" spans="2:17" x14ac:dyDescent="0.35">
      <c r="B177" s="8" t="s">
        <v>134</v>
      </c>
      <c r="C177" s="42">
        <f>+P104</f>
        <v>-454181.9200000001</v>
      </c>
      <c r="D177" s="81">
        <f t="shared" ref="D177:O177" si="30">+D159+D168</f>
        <v>0</v>
      </c>
      <c r="E177" s="81">
        <f t="shared" si="30"/>
        <v>0</v>
      </c>
      <c r="F177" s="81">
        <f t="shared" si="30"/>
        <v>0</v>
      </c>
      <c r="G177" s="81">
        <f t="shared" si="30"/>
        <v>0</v>
      </c>
      <c r="H177" s="81">
        <f t="shared" si="30"/>
        <v>0</v>
      </c>
      <c r="I177" s="81">
        <f t="shared" si="30"/>
        <v>-68270.02</v>
      </c>
      <c r="J177" s="81">
        <f t="shared" si="30"/>
        <v>0</v>
      </c>
      <c r="K177" s="81">
        <f t="shared" si="30"/>
        <v>0</v>
      </c>
      <c r="L177" s="81">
        <f t="shared" si="30"/>
        <v>0</v>
      </c>
      <c r="M177" s="81">
        <f t="shared" si="30"/>
        <v>0</v>
      </c>
      <c r="N177" s="81">
        <f t="shared" si="30"/>
        <v>0</v>
      </c>
      <c r="O177" s="81">
        <f t="shared" si="30"/>
        <v>0</v>
      </c>
      <c r="P177" s="43">
        <f>SUM(C177:O177)</f>
        <v>-522451.94000000012</v>
      </c>
    </row>
    <row r="178" spans="2:17" x14ac:dyDescent="0.35">
      <c r="B178" s="8" t="s">
        <v>135</v>
      </c>
      <c r="C178" s="42">
        <f>+P105</f>
        <v>20589751.15057037</v>
      </c>
      <c r="D178" s="81">
        <f t="shared" ref="D178:O178" si="31">+D160+D169</f>
        <v>260628.86000000002</v>
      </c>
      <c r="E178" s="81">
        <f t="shared" si="31"/>
        <v>488550.99000000005</v>
      </c>
      <c r="F178" s="81">
        <f t="shared" si="31"/>
        <v>790904.62000000011</v>
      </c>
      <c r="G178" s="81">
        <f t="shared" si="31"/>
        <v>459543.10000000003</v>
      </c>
      <c r="H178" s="81">
        <f t="shared" si="31"/>
        <v>395326.09000000008</v>
      </c>
      <c r="I178" s="81">
        <f t="shared" si="31"/>
        <v>527206.52</v>
      </c>
      <c r="J178" s="81">
        <f t="shared" si="31"/>
        <v>388972.39999999997</v>
      </c>
      <c r="K178" s="81">
        <f t="shared" si="31"/>
        <v>538361.04</v>
      </c>
      <c r="L178" s="81">
        <f t="shared" si="31"/>
        <v>481513.68000000005</v>
      </c>
      <c r="M178" s="81">
        <f t="shared" si="31"/>
        <v>645405.12</v>
      </c>
      <c r="N178" s="81">
        <f t="shared" si="31"/>
        <v>584614.51</v>
      </c>
      <c r="O178" s="81">
        <f t="shared" si="31"/>
        <v>502007.88</v>
      </c>
      <c r="P178" s="43">
        <f>SUM(C178:O178)</f>
        <v>26652785.960570369</v>
      </c>
    </row>
    <row r="179" spans="2:17" x14ac:dyDescent="0.35">
      <c r="B179" s="8" t="s">
        <v>136</v>
      </c>
      <c r="C179" s="42">
        <f>+P106</f>
        <v>568108.4700000002</v>
      </c>
      <c r="D179" s="81">
        <f t="shared" ref="D179:O179" si="32">+D161+D170</f>
        <v>3237.5600000000013</v>
      </c>
      <c r="E179" s="81">
        <f t="shared" si="32"/>
        <v>27187.759999999998</v>
      </c>
      <c r="F179" s="81">
        <f t="shared" si="32"/>
        <v>8836.23</v>
      </c>
      <c r="G179" s="81">
        <f t="shared" si="32"/>
        <v>9385.9700000000012</v>
      </c>
      <c r="H179" s="81">
        <f t="shared" si="32"/>
        <v>18360.43</v>
      </c>
      <c r="I179" s="81">
        <f t="shared" si="32"/>
        <v>54625.789999999994</v>
      </c>
      <c r="J179" s="81">
        <f t="shared" si="32"/>
        <v>64727.189999999995</v>
      </c>
      <c r="K179" s="81">
        <f t="shared" si="32"/>
        <v>115792.02</v>
      </c>
      <c r="L179" s="81">
        <f t="shared" si="32"/>
        <v>68994.73</v>
      </c>
      <c r="M179" s="81">
        <f t="shared" si="32"/>
        <v>97004.23</v>
      </c>
      <c r="N179" s="81">
        <f t="shared" si="32"/>
        <v>69517.39</v>
      </c>
      <c r="O179" s="81">
        <f t="shared" si="32"/>
        <v>71062.070000000007</v>
      </c>
      <c r="P179" s="43">
        <f>SUM(C179:O179)</f>
        <v>1176839.8400000003</v>
      </c>
    </row>
    <row r="180" spans="2:17" x14ac:dyDescent="0.35">
      <c r="B180" s="8" t="s">
        <v>137</v>
      </c>
      <c r="C180" s="42">
        <f>+P107</f>
        <v>53337.180000000008</v>
      </c>
      <c r="D180" s="81">
        <f t="shared" ref="D180:O180" si="33">+D162+D171</f>
        <v>2189.2799999999997</v>
      </c>
      <c r="E180" s="81">
        <f t="shared" si="33"/>
        <v>-8420.3799999999992</v>
      </c>
      <c r="F180" s="81">
        <f t="shared" si="33"/>
        <v>879.04</v>
      </c>
      <c r="G180" s="81">
        <f t="shared" si="33"/>
        <v>2729.68</v>
      </c>
      <c r="H180" s="81">
        <f t="shared" si="33"/>
        <v>-2878.75</v>
      </c>
      <c r="I180" s="81">
        <f t="shared" si="33"/>
        <v>36337.810000000005</v>
      </c>
      <c r="J180" s="81">
        <f t="shared" si="33"/>
        <v>32155.42</v>
      </c>
      <c r="K180" s="81">
        <f t="shared" si="33"/>
        <v>53263.63</v>
      </c>
      <c r="L180" s="81">
        <f t="shared" si="33"/>
        <v>33041.93</v>
      </c>
      <c r="M180" s="81">
        <f t="shared" si="33"/>
        <v>27103.64</v>
      </c>
      <c r="N180" s="81">
        <f t="shared" si="33"/>
        <v>33234.28</v>
      </c>
      <c r="O180" s="81">
        <f t="shared" si="33"/>
        <v>42908.590000000004</v>
      </c>
      <c r="P180" s="43">
        <f>SUM(C180:O180)</f>
        <v>305881.35000000003</v>
      </c>
    </row>
    <row r="181" spans="2:17" x14ac:dyDescent="0.35">
      <c r="B181" s="8" t="s">
        <v>157</v>
      </c>
      <c r="C181" s="46"/>
      <c r="D181" s="46">
        <f>SUM(D176:D180)</f>
        <v>561864.62000000011</v>
      </c>
      <c r="E181" s="46">
        <f t="shared" ref="E181:O181" si="34">SUM(E176:E180)</f>
        <v>954717.17</v>
      </c>
      <c r="F181" s="46">
        <f t="shared" si="34"/>
        <v>1613913.05</v>
      </c>
      <c r="G181" s="46">
        <f t="shared" si="34"/>
        <v>2839850.4600000004</v>
      </c>
      <c r="H181" s="46">
        <f t="shared" si="34"/>
        <v>2090518.12</v>
      </c>
      <c r="I181" s="46">
        <f t="shared" si="34"/>
        <v>3572481.45</v>
      </c>
      <c r="J181" s="46">
        <f t="shared" si="34"/>
        <v>3095840.49</v>
      </c>
      <c r="K181" s="46">
        <f t="shared" si="34"/>
        <v>2960930.6100000003</v>
      </c>
      <c r="L181" s="46">
        <f t="shared" si="34"/>
        <v>3585072.83</v>
      </c>
      <c r="M181" s="46">
        <f t="shared" si="34"/>
        <v>4505754</v>
      </c>
      <c r="N181" s="46">
        <f t="shared" si="34"/>
        <v>6038884.7299999995</v>
      </c>
      <c r="O181" s="46">
        <f t="shared" si="34"/>
        <v>6704487.9300000006</v>
      </c>
      <c r="P181" s="46"/>
    </row>
    <row r="182" spans="2:17" x14ac:dyDescent="0.35">
      <c r="B182" s="8" t="s">
        <v>214</v>
      </c>
      <c r="C182" s="41">
        <f>SUM(C176:C180)</f>
        <v>78427727.980570361</v>
      </c>
      <c r="D182" s="41">
        <f t="shared" ref="D182:O182" si="35">+D181+C182</f>
        <v>78989592.600570366</v>
      </c>
      <c r="E182" s="41">
        <f t="shared" si="35"/>
        <v>79944309.770570368</v>
      </c>
      <c r="F182" s="41">
        <f t="shared" si="35"/>
        <v>81558222.820570365</v>
      </c>
      <c r="G182" s="41">
        <f t="shared" si="35"/>
        <v>84398073.280570358</v>
      </c>
      <c r="H182" s="41">
        <f t="shared" si="35"/>
        <v>86488591.400570363</v>
      </c>
      <c r="I182" s="41">
        <f t="shared" si="35"/>
        <v>90061072.850570366</v>
      </c>
      <c r="J182" s="41">
        <f t="shared" si="35"/>
        <v>93156913.34057036</v>
      </c>
      <c r="K182" s="41">
        <f t="shared" si="35"/>
        <v>96117843.95057036</v>
      </c>
      <c r="L182" s="41">
        <f t="shared" si="35"/>
        <v>99702916.780570358</v>
      </c>
      <c r="M182" s="41">
        <f t="shared" si="35"/>
        <v>104208670.78057036</v>
      </c>
      <c r="N182" s="41">
        <f t="shared" si="35"/>
        <v>110247555.51057036</v>
      </c>
      <c r="O182" s="41">
        <f t="shared" si="35"/>
        <v>116952043.44057037</v>
      </c>
      <c r="P182" s="41">
        <f>SUM(P176:P180)</f>
        <v>116952043.44057035</v>
      </c>
      <c r="Q182" s="43">
        <f>AVERAGE(C182:O182)</f>
        <v>92327194.962108821</v>
      </c>
    </row>
    <row r="184" spans="2:17" x14ac:dyDescent="0.35">
      <c r="B184" s="145" t="s">
        <v>305</v>
      </c>
      <c r="C184" s="145"/>
      <c r="D184" s="145"/>
      <c r="E184" s="145"/>
      <c r="F184" s="145"/>
      <c r="G184" s="145"/>
      <c r="H184" s="145"/>
      <c r="I184" s="145"/>
      <c r="J184" s="145"/>
      <c r="K184" s="145"/>
      <c r="L184" s="145"/>
      <c r="M184" s="145"/>
      <c r="N184" s="145"/>
      <c r="O184" s="145"/>
    </row>
    <row r="185" spans="2:17" x14ac:dyDescent="0.35">
      <c r="B185" s="145"/>
      <c r="C185" s="145"/>
      <c r="D185" s="145"/>
      <c r="E185" s="145"/>
      <c r="F185" s="145"/>
      <c r="G185" s="145"/>
      <c r="H185" s="145"/>
      <c r="I185" s="145"/>
      <c r="J185" s="145"/>
      <c r="K185" s="145"/>
      <c r="L185" s="145"/>
      <c r="M185" s="145"/>
      <c r="N185" s="145"/>
      <c r="O185" s="145"/>
    </row>
    <row r="186" spans="2:17" x14ac:dyDescent="0.35">
      <c r="B186" s="145"/>
      <c r="C186" s="145"/>
      <c r="D186" s="145"/>
      <c r="E186" s="145"/>
      <c r="F186" s="145"/>
      <c r="G186" s="145"/>
      <c r="H186" s="145"/>
      <c r="I186" s="145"/>
      <c r="J186" s="145"/>
      <c r="K186" s="145"/>
      <c r="L186" s="145"/>
      <c r="M186" s="145"/>
      <c r="N186" s="145"/>
      <c r="O186" s="145"/>
    </row>
    <row r="217" spans="1:17" x14ac:dyDescent="0.35">
      <c r="Q217" s="9" t="str">
        <f>+Q144</f>
        <v>Case No. 2026-00306</v>
      </c>
    </row>
    <row r="218" spans="1:17" x14ac:dyDescent="0.35">
      <c r="Q218" s="9" t="str">
        <f>Q145</f>
        <v>SMRP Form 3.0</v>
      </c>
    </row>
    <row r="219" spans="1:17" x14ac:dyDescent="0.35">
      <c r="Q219" s="9" t="s">
        <v>296</v>
      </c>
    </row>
    <row r="220" spans="1:17" x14ac:dyDescent="0.35">
      <c r="A220" s="144" t="s">
        <v>12</v>
      </c>
      <c r="B220" s="144"/>
      <c r="C220" s="144"/>
      <c r="D220" s="144"/>
      <c r="E220" s="144"/>
      <c r="F220" s="144"/>
      <c r="G220" s="144"/>
      <c r="H220" s="144"/>
      <c r="I220" s="144"/>
      <c r="J220" s="144"/>
      <c r="K220" s="144"/>
      <c r="L220" s="144"/>
      <c r="M220" s="144"/>
      <c r="N220" s="144"/>
      <c r="O220" s="144"/>
      <c r="P220" s="144"/>
      <c r="Q220" s="144"/>
    </row>
    <row r="221" spans="1:17" x14ac:dyDescent="0.35">
      <c r="A221" s="144" t="s">
        <v>109</v>
      </c>
      <c r="B221" s="144"/>
      <c r="C221" s="144"/>
      <c r="D221" s="144"/>
      <c r="E221" s="144"/>
      <c r="F221" s="144"/>
      <c r="G221" s="144"/>
      <c r="H221" s="144"/>
      <c r="I221" s="144"/>
      <c r="J221" s="144"/>
      <c r="K221" s="144"/>
      <c r="L221" s="144"/>
      <c r="M221" s="144"/>
      <c r="N221" s="144"/>
      <c r="O221" s="144"/>
      <c r="P221" s="144"/>
      <c r="Q221" s="144"/>
    </row>
    <row r="222" spans="1:17" x14ac:dyDescent="0.35">
      <c r="A222" s="144" t="s">
        <v>287</v>
      </c>
      <c r="B222" s="144"/>
      <c r="C222" s="144"/>
      <c r="D222" s="144"/>
      <c r="E222" s="144"/>
      <c r="F222" s="144"/>
      <c r="G222" s="144"/>
      <c r="H222" s="144"/>
      <c r="I222" s="144"/>
      <c r="J222" s="144"/>
      <c r="K222" s="144"/>
      <c r="L222" s="144"/>
      <c r="M222" s="144"/>
      <c r="N222" s="144"/>
      <c r="O222" s="144"/>
      <c r="P222" s="144"/>
      <c r="Q222" s="144"/>
    </row>
    <row r="226" spans="2:18" x14ac:dyDescent="0.35">
      <c r="C226" s="10">
        <f>+P153</f>
        <v>2025</v>
      </c>
      <c r="D226" s="10">
        <f>+C226+1</f>
        <v>2026</v>
      </c>
      <c r="E226" s="10">
        <f t="shared" ref="E226:Q226" si="36">+D226</f>
        <v>2026</v>
      </c>
      <c r="F226" s="10">
        <f t="shared" si="36"/>
        <v>2026</v>
      </c>
      <c r="G226" s="10">
        <f t="shared" si="36"/>
        <v>2026</v>
      </c>
      <c r="H226" s="10">
        <f t="shared" si="36"/>
        <v>2026</v>
      </c>
      <c r="I226" s="10">
        <f t="shared" si="36"/>
        <v>2026</v>
      </c>
      <c r="J226" s="10">
        <f t="shared" si="36"/>
        <v>2026</v>
      </c>
      <c r="K226" s="10">
        <f t="shared" si="36"/>
        <v>2026</v>
      </c>
      <c r="L226" s="10">
        <f t="shared" si="36"/>
        <v>2026</v>
      </c>
      <c r="M226" s="10">
        <f t="shared" si="36"/>
        <v>2026</v>
      </c>
      <c r="N226" s="10">
        <f t="shared" si="36"/>
        <v>2026</v>
      </c>
      <c r="O226" s="10">
        <f t="shared" si="36"/>
        <v>2026</v>
      </c>
      <c r="P226" s="10">
        <f t="shared" si="36"/>
        <v>2026</v>
      </c>
      <c r="Q226" s="10">
        <f t="shared" si="36"/>
        <v>2026</v>
      </c>
    </row>
    <row r="227" spans="2:18" x14ac:dyDescent="0.35">
      <c r="C227" s="10" t="s">
        <v>140</v>
      </c>
      <c r="D227" s="10" t="s">
        <v>141</v>
      </c>
      <c r="E227" s="10" t="s">
        <v>142</v>
      </c>
      <c r="F227" s="10" t="s">
        <v>143</v>
      </c>
      <c r="G227" s="10" t="s">
        <v>144</v>
      </c>
      <c r="H227" s="10" t="s">
        <v>81</v>
      </c>
      <c r="I227" s="10" t="s">
        <v>145</v>
      </c>
      <c r="J227" s="10" t="s">
        <v>146</v>
      </c>
      <c r="K227" s="10" t="s">
        <v>147</v>
      </c>
      <c r="L227" s="10" t="s">
        <v>148</v>
      </c>
      <c r="M227" s="10" t="s">
        <v>149</v>
      </c>
      <c r="N227" s="10" t="s">
        <v>150</v>
      </c>
      <c r="O227" s="10" t="s">
        <v>140</v>
      </c>
      <c r="P227" s="10" t="s">
        <v>151</v>
      </c>
      <c r="Q227" s="10" t="s">
        <v>152</v>
      </c>
    </row>
    <row r="228" spans="2:18" x14ac:dyDescent="0.35">
      <c r="C228" s="10" t="s">
        <v>92</v>
      </c>
      <c r="D228" s="10" t="s">
        <v>201</v>
      </c>
      <c r="E228" s="10" t="s">
        <v>201</v>
      </c>
      <c r="F228" s="10" t="s">
        <v>201</v>
      </c>
      <c r="G228" s="10" t="s">
        <v>201</v>
      </c>
      <c r="H228" s="10" t="s">
        <v>201</v>
      </c>
      <c r="I228" s="10" t="s">
        <v>201</v>
      </c>
      <c r="J228" s="10" t="s">
        <v>201</v>
      </c>
      <c r="K228" s="10" t="s">
        <v>201</v>
      </c>
      <c r="L228" s="10" t="s">
        <v>201</v>
      </c>
      <c r="M228" s="10" t="s">
        <v>201</v>
      </c>
      <c r="N228" s="10" t="s">
        <v>201</v>
      </c>
      <c r="O228" s="10" t="s">
        <v>201</v>
      </c>
      <c r="P228" s="11"/>
      <c r="Q228" s="11"/>
      <c r="R228" s="135"/>
    </row>
    <row r="230" spans="2:18" x14ac:dyDescent="0.35">
      <c r="B230" s="79" t="s">
        <v>22</v>
      </c>
    </row>
    <row r="231" spans="2:18" x14ac:dyDescent="0.35">
      <c r="B231" s="8" t="s">
        <v>133</v>
      </c>
      <c r="C231" s="42">
        <f>+P158</f>
        <v>92659904.140000015</v>
      </c>
      <c r="D231" s="42">
        <v>348088.18618430005</v>
      </c>
      <c r="E231" s="42">
        <v>904311.57647880004</v>
      </c>
      <c r="F231" s="42">
        <v>4123230.1641831002</v>
      </c>
      <c r="G231" s="42">
        <v>1080149.9385718999</v>
      </c>
      <c r="H231" s="42">
        <v>2415086.0752786999</v>
      </c>
      <c r="I231" s="42">
        <v>2992840.6935846</v>
      </c>
      <c r="J231" s="42">
        <v>2895950.1675332999</v>
      </c>
      <c r="K231" s="42">
        <v>1363644.4407220001</v>
      </c>
      <c r="L231" s="42">
        <v>3416288.1778088002</v>
      </c>
      <c r="M231" s="42">
        <v>3649543.1479322999</v>
      </c>
      <c r="N231" s="42">
        <v>5648358.8149906006</v>
      </c>
      <c r="O231" s="42">
        <v>7047888.6357315984</v>
      </c>
      <c r="P231" s="43">
        <f>SUM(C231:O231)</f>
        <v>128545284.15900001</v>
      </c>
    </row>
    <row r="232" spans="2:18" x14ac:dyDescent="0.35">
      <c r="B232" s="8" t="s">
        <v>134</v>
      </c>
      <c r="C232" s="42">
        <f>+P159</f>
        <v>0</v>
      </c>
      <c r="D232" s="42">
        <v>0</v>
      </c>
      <c r="E232" s="42">
        <v>0</v>
      </c>
      <c r="F232" s="42">
        <v>0</v>
      </c>
      <c r="G232" s="42">
        <v>0</v>
      </c>
      <c r="H232" s="42">
        <v>0</v>
      </c>
      <c r="I232" s="42">
        <v>0</v>
      </c>
      <c r="J232" s="42">
        <v>0</v>
      </c>
      <c r="K232" s="42">
        <v>0</v>
      </c>
      <c r="L232" s="42">
        <v>0</v>
      </c>
      <c r="M232" s="42">
        <v>0</v>
      </c>
      <c r="N232" s="42">
        <v>0</v>
      </c>
      <c r="O232" s="42">
        <v>0</v>
      </c>
      <c r="P232" s="43">
        <f>SUM(C232:O232)</f>
        <v>0</v>
      </c>
    </row>
    <row r="233" spans="2:18" x14ac:dyDescent="0.35">
      <c r="B233" s="8" t="s">
        <v>135</v>
      </c>
      <c r="C233" s="42">
        <f>+P160</f>
        <v>35005492.060000002</v>
      </c>
      <c r="D233" s="42">
        <v>861969.78459199984</v>
      </c>
      <c r="E233" s="42">
        <v>1247587.8461199999</v>
      </c>
      <c r="F233" s="42">
        <v>1301055.8966679999</v>
      </c>
      <c r="G233" s="42">
        <v>1186018.5757919999</v>
      </c>
      <c r="H233" s="42">
        <v>1395030.0461159998</v>
      </c>
      <c r="I233" s="42">
        <v>1503586.3911679997</v>
      </c>
      <c r="J233" s="42">
        <v>1288093.94502</v>
      </c>
      <c r="K233" s="42">
        <v>1565155.6614959999</v>
      </c>
      <c r="L233" s="42">
        <v>1265410.5296360001</v>
      </c>
      <c r="M233" s="42">
        <v>1876242.5010479998</v>
      </c>
      <c r="N233" s="42">
        <v>1442017.1208399998</v>
      </c>
      <c r="O233" s="42">
        <v>1270271.2615040003</v>
      </c>
      <c r="P233" s="43">
        <f>SUM(C233:O233)</f>
        <v>51207931.620000005</v>
      </c>
    </row>
    <row r="234" spans="2:18" x14ac:dyDescent="0.35">
      <c r="B234" s="8" t="s">
        <v>136</v>
      </c>
      <c r="C234" s="42">
        <f>+P161</f>
        <v>1339967.94</v>
      </c>
      <c r="D234" s="42">
        <v>75343.543428571429</v>
      </c>
      <c r="E234" s="42">
        <v>34373.559142857142</v>
      </c>
      <c r="F234" s="42">
        <v>53802.092571428577</v>
      </c>
      <c r="G234" s="42">
        <v>22881.349714285716</v>
      </c>
      <c r="H234" s="42">
        <v>52719.866571428574</v>
      </c>
      <c r="I234" s="42">
        <v>22726.746000000003</v>
      </c>
      <c r="J234" s="42">
        <v>31796.830571428571</v>
      </c>
      <c r="K234" s="42">
        <v>72663.745714285717</v>
      </c>
      <c r="L234" s="42">
        <v>26334.166000000001</v>
      </c>
      <c r="M234" s="42">
        <v>55966.544571428574</v>
      </c>
      <c r="N234" s="42">
        <v>32569.849142857147</v>
      </c>
      <c r="O234" s="42">
        <v>34167.420857142832</v>
      </c>
      <c r="P234" s="43">
        <f>SUM(C234:O234)</f>
        <v>1855313.654285714</v>
      </c>
    </row>
    <row r="235" spans="2:18" x14ac:dyDescent="0.35">
      <c r="B235" s="8" t="s">
        <v>137</v>
      </c>
      <c r="C235" s="42">
        <f>+P162</f>
        <v>321588.14999999997</v>
      </c>
      <c r="D235" s="42">
        <v>30196.911571428573</v>
      </c>
      <c r="E235" s="42">
        <v>63539.872000000003</v>
      </c>
      <c r="F235" s="42">
        <v>22615.449571428573</v>
      </c>
      <c r="G235" s="42">
        <v>23518.004571428573</v>
      </c>
      <c r="H235" s="42">
        <v>0</v>
      </c>
      <c r="I235" s="42">
        <v>21661.320000000003</v>
      </c>
      <c r="J235" s="42">
        <v>9309.2101428571441</v>
      </c>
      <c r="K235" s="42">
        <v>40950.209714285716</v>
      </c>
      <c r="L235" s="42">
        <v>17947.950857142856</v>
      </c>
      <c r="M235" s="42">
        <v>9360.7847142857154</v>
      </c>
      <c r="N235" s="42">
        <v>0</v>
      </c>
      <c r="O235" s="42">
        <v>18773.143999999986</v>
      </c>
      <c r="P235" s="43">
        <f>SUM(C235:O235)</f>
        <v>579461.00714285707</v>
      </c>
    </row>
    <row r="236" spans="2:18" x14ac:dyDescent="0.35">
      <c r="B236" s="8" t="s">
        <v>153</v>
      </c>
      <c r="C236" s="46"/>
      <c r="D236" s="46">
        <f t="shared" ref="D236:O236" si="37">SUM(D231:D235)</f>
        <v>1315598.4257763</v>
      </c>
      <c r="E236" s="46">
        <f t="shared" si="37"/>
        <v>2249812.853741657</v>
      </c>
      <c r="F236" s="46">
        <f t="shared" si="37"/>
        <v>5500703.6029939577</v>
      </c>
      <c r="G236" s="46">
        <f t="shared" si="37"/>
        <v>2312567.868649614</v>
      </c>
      <c r="H236" s="46">
        <f t="shared" si="37"/>
        <v>3862835.9879661282</v>
      </c>
      <c r="I236" s="46">
        <f t="shared" si="37"/>
        <v>4540815.1507526003</v>
      </c>
      <c r="J236" s="46">
        <f t="shared" si="37"/>
        <v>4225150.1532675857</v>
      </c>
      <c r="K236" s="46">
        <f t="shared" si="37"/>
        <v>3042414.0576465717</v>
      </c>
      <c r="L236" s="46">
        <f t="shared" si="37"/>
        <v>4725980.8243019432</v>
      </c>
      <c r="M236" s="46">
        <f t="shared" si="37"/>
        <v>5591112.9782660138</v>
      </c>
      <c r="N236" s="46">
        <f t="shared" si="37"/>
        <v>7122945.7849734575</v>
      </c>
      <c r="O236" s="46">
        <f t="shared" si="37"/>
        <v>8371100.4620927414</v>
      </c>
      <c r="P236" s="46"/>
    </row>
    <row r="237" spans="2:18" x14ac:dyDescent="0.35">
      <c r="B237" s="8" t="s">
        <v>154</v>
      </c>
      <c r="C237" s="41">
        <f>SUM(C231:C235)</f>
        <v>129326952.29000002</v>
      </c>
      <c r="D237" s="41">
        <f t="shared" ref="D237:O237" si="38">+D236+C237</f>
        <v>130642550.71577632</v>
      </c>
      <c r="E237" s="41">
        <f t="shared" si="38"/>
        <v>132892363.56951798</v>
      </c>
      <c r="F237" s="41">
        <f t="shared" si="38"/>
        <v>138393067.17251194</v>
      </c>
      <c r="G237" s="41">
        <f t="shared" si="38"/>
        <v>140705635.04116154</v>
      </c>
      <c r="H237" s="41">
        <f t="shared" si="38"/>
        <v>144568471.02912766</v>
      </c>
      <c r="I237" s="41">
        <f t="shared" si="38"/>
        <v>149109286.17988026</v>
      </c>
      <c r="J237" s="41">
        <f t="shared" si="38"/>
        <v>153334436.33314785</v>
      </c>
      <c r="K237" s="41">
        <f t="shared" si="38"/>
        <v>156376850.39079443</v>
      </c>
      <c r="L237" s="41">
        <f t="shared" si="38"/>
        <v>161102831.21509635</v>
      </c>
      <c r="M237" s="41">
        <f t="shared" si="38"/>
        <v>166693944.19336236</v>
      </c>
      <c r="N237" s="41">
        <f t="shared" si="38"/>
        <v>173816889.9783358</v>
      </c>
      <c r="O237" s="41">
        <f t="shared" si="38"/>
        <v>182187990.44042853</v>
      </c>
      <c r="P237" s="41">
        <f>SUM(P231:P235)</f>
        <v>182187990.44042858</v>
      </c>
      <c r="Q237" s="43">
        <f>AVERAGE(C237:O237)</f>
        <v>150703943.73454931</v>
      </c>
    </row>
    <row r="239" spans="2:18" x14ac:dyDescent="0.35">
      <c r="B239" s="79" t="s">
        <v>62</v>
      </c>
    </row>
    <row r="240" spans="2:18" x14ac:dyDescent="0.35">
      <c r="B240" s="8" t="s">
        <v>133</v>
      </c>
      <c r="C240" s="42">
        <f>+P167</f>
        <v>-3320915.9099999997</v>
      </c>
      <c r="D240" s="42">
        <v>0</v>
      </c>
      <c r="E240" s="42">
        <v>0</v>
      </c>
      <c r="F240" s="42">
        <v>-17055.299503999999</v>
      </c>
      <c r="G240" s="42">
        <v>-1249.7417739999999</v>
      </c>
      <c r="H240" s="42">
        <v>-7277.9079780000002</v>
      </c>
      <c r="I240" s="42">
        <v>-6175.1946479999997</v>
      </c>
      <c r="J240" s="42">
        <v>-372055.47754200001</v>
      </c>
      <c r="K240" s="42">
        <v>-9262.7919719999991</v>
      </c>
      <c r="L240" s="42">
        <v>0</v>
      </c>
      <c r="M240" s="42">
        <v>-69176.882901999998</v>
      </c>
      <c r="N240" s="42">
        <v>0</v>
      </c>
      <c r="O240" s="42">
        <v>-252888.92367999998</v>
      </c>
      <c r="P240" s="43">
        <f>SUM(C240:O240)</f>
        <v>-4056058.1300000004</v>
      </c>
    </row>
    <row r="241" spans="2:17" x14ac:dyDescent="0.35">
      <c r="B241" s="8" t="s">
        <v>134</v>
      </c>
      <c r="C241" s="42">
        <f>+P168</f>
        <v>-522451.94000000012</v>
      </c>
      <c r="D241" s="42">
        <v>-3792.4190320000002</v>
      </c>
      <c r="E241" s="42">
        <v>-3043.0188640000006</v>
      </c>
      <c r="F241" s="42">
        <v>-12739.802856</v>
      </c>
      <c r="G241" s="42">
        <v>-840.23655200000007</v>
      </c>
      <c r="H241" s="42">
        <v>-31701.898016000003</v>
      </c>
      <c r="I241" s="42">
        <v>-49914.593008000003</v>
      </c>
      <c r="J241" s="42">
        <v>-45440.901096000001</v>
      </c>
      <c r="K241" s="42">
        <v>-36879.571904000004</v>
      </c>
      <c r="L241" s="42">
        <v>-21210.295664000001</v>
      </c>
      <c r="M241" s="42">
        <v>0</v>
      </c>
      <c r="N241" s="42">
        <v>-317.92734400000001</v>
      </c>
      <c r="O241" s="42">
        <v>-21210.295664000012</v>
      </c>
      <c r="P241" s="43">
        <f>SUM(C241:O241)</f>
        <v>-749542.90000000014</v>
      </c>
    </row>
    <row r="242" spans="2:17" x14ac:dyDescent="0.35">
      <c r="B242" s="8" t="s">
        <v>135</v>
      </c>
      <c r="C242" s="42">
        <f>+P169</f>
        <v>-8352706.0994296335</v>
      </c>
      <c r="D242" s="42">
        <v>-178885.15940575016</v>
      </c>
      <c r="E242" s="42">
        <v>-129592.35992505455</v>
      </c>
      <c r="F242" s="42">
        <v>-278000.78846908431</v>
      </c>
      <c r="G242" s="42">
        <v>-105741.0053376212</v>
      </c>
      <c r="H242" s="42">
        <v>-207506.78491067016</v>
      </c>
      <c r="I242" s="42">
        <v>-273230.51755159762</v>
      </c>
      <c r="J242" s="42">
        <v>-262629.91551273834</v>
      </c>
      <c r="K242" s="42">
        <v>-215192.22138884314</v>
      </c>
      <c r="L242" s="42">
        <v>-253354.38872873652</v>
      </c>
      <c r="M242" s="42">
        <v>-196376.15276986794</v>
      </c>
      <c r="N242" s="42">
        <v>-300262.0527506888</v>
      </c>
      <c r="O242" s="42">
        <v>-249379.16296416448</v>
      </c>
      <c r="P242" s="43">
        <f>SUM(C242:O242)</f>
        <v>-11002856.609144447</v>
      </c>
    </row>
    <row r="243" spans="2:17" x14ac:dyDescent="0.35">
      <c r="B243" s="8" t="s">
        <v>136</v>
      </c>
      <c r="C243" s="42">
        <f>+P170</f>
        <v>-163128.1</v>
      </c>
      <c r="D243" s="42">
        <v>-1180.465461</v>
      </c>
      <c r="E243" s="42">
        <v>-2073.6218680000002</v>
      </c>
      <c r="F243" s="42">
        <v>-6008.5067379999991</v>
      </c>
      <c r="G243" s="42">
        <v>-2823.1237479999995</v>
      </c>
      <c r="H243" s="42">
        <v>-5109.1044819999997</v>
      </c>
      <c r="I243" s="42">
        <v>-3941.1307190000002</v>
      </c>
      <c r="J243" s="42">
        <v>-3934.8848699999999</v>
      </c>
      <c r="K243" s="42">
        <v>-8144.5870959999993</v>
      </c>
      <c r="L243" s="42">
        <v>-11148.840464999999</v>
      </c>
      <c r="M243" s="42">
        <v>-5077.8752369999993</v>
      </c>
      <c r="N243" s="42">
        <v>-9718.5410439999996</v>
      </c>
      <c r="O243" s="42">
        <v>-3297.8082720000043</v>
      </c>
      <c r="P243" s="43">
        <f>SUM(C243:O243)</f>
        <v>-225586.59000000003</v>
      </c>
    </row>
    <row r="244" spans="2:17" x14ac:dyDescent="0.35">
      <c r="B244" s="8" t="s">
        <v>137</v>
      </c>
      <c r="C244" s="42">
        <f>+P171</f>
        <v>-15706.800000000003</v>
      </c>
      <c r="D244" s="42">
        <v>-229.1550685</v>
      </c>
      <c r="E244" s="42">
        <v>-360.28629750000005</v>
      </c>
      <c r="F244" s="42">
        <v>-528.41990300000009</v>
      </c>
      <c r="G244" s="42">
        <v>-85.689714000000009</v>
      </c>
      <c r="H244" s="42">
        <v>-509.59413250000006</v>
      </c>
      <c r="I244" s="42">
        <v>-322.63475650000004</v>
      </c>
      <c r="J244" s="42">
        <v>-1655.3694750000002</v>
      </c>
      <c r="K244" s="42">
        <v>-451.16932750000007</v>
      </c>
      <c r="L244" s="42">
        <v>-625.14541350000002</v>
      </c>
      <c r="M244" s="42">
        <v>-577.75640499999997</v>
      </c>
      <c r="N244" s="42">
        <v>-699.79933100000005</v>
      </c>
      <c r="O244" s="42">
        <v>-446.62517600000058</v>
      </c>
      <c r="P244" s="43">
        <f>SUM(C244:O244)</f>
        <v>-22198.445</v>
      </c>
    </row>
    <row r="245" spans="2:17" x14ac:dyDescent="0.35">
      <c r="B245" s="8" t="s">
        <v>155</v>
      </c>
      <c r="C245" s="46"/>
      <c r="D245" s="46">
        <f t="shared" ref="D245:O245" si="39">SUM(D240:D244)</f>
        <v>-184087.19896725018</v>
      </c>
      <c r="E245" s="46">
        <f t="shared" si="39"/>
        <v>-135069.28695455453</v>
      </c>
      <c r="F245" s="46">
        <f t="shared" si="39"/>
        <v>-314332.81747008435</v>
      </c>
      <c r="G245" s="46">
        <f t="shared" si="39"/>
        <v>-110739.79712562119</v>
      </c>
      <c r="H245" s="46">
        <f t="shared" si="39"/>
        <v>-252105.28951917015</v>
      </c>
      <c r="I245" s="46">
        <f t="shared" si="39"/>
        <v>-333584.07068309764</v>
      </c>
      <c r="J245" s="46">
        <f t="shared" si="39"/>
        <v>-685716.54849573819</v>
      </c>
      <c r="K245" s="46">
        <f t="shared" si="39"/>
        <v>-269930.34168834309</v>
      </c>
      <c r="L245" s="46">
        <f t="shared" si="39"/>
        <v>-286338.67027123657</v>
      </c>
      <c r="M245" s="46">
        <f t="shared" si="39"/>
        <v>-271208.66731386795</v>
      </c>
      <c r="N245" s="46">
        <f t="shared" si="39"/>
        <v>-310998.32046968886</v>
      </c>
      <c r="O245" s="46">
        <f t="shared" si="39"/>
        <v>-527222.81575616449</v>
      </c>
      <c r="P245" s="46"/>
    </row>
    <row r="246" spans="2:17" x14ac:dyDescent="0.35">
      <c r="B246" s="8" t="s">
        <v>156</v>
      </c>
      <c r="C246" s="41">
        <f>SUM(C240:C244)</f>
        <v>-12374908.849429633</v>
      </c>
      <c r="D246" s="41">
        <f t="shared" ref="D246:O246" si="40">+D245+C246</f>
        <v>-12558996.048396884</v>
      </c>
      <c r="E246" s="41">
        <f t="shared" si="40"/>
        <v>-12694065.335351437</v>
      </c>
      <c r="F246" s="41">
        <f t="shared" si="40"/>
        <v>-13008398.152821522</v>
      </c>
      <c r="G246" s="41">
        <f t="shared" si="40"/>
        <v>-13119137.949947143</v>
      </c>
      <c r="H246" s="41">
        <f t="shared" si="40"/>
        <v>-13371243.239466313</v>
      </c>
      <c r="I246" s="41">
        <f t="shared" si="40"/>
        <v>-13704827.310149411</v>
      </c>
      <c r="J246" s="41">
        <f t="shared" si="40"/>
        <v>-14390543.858645149</v>
      </c>
      <c r="K246" s="41">
        <f t="shared" si="40"/>
        <v>-14660474.200333491</v>
      </c>
      <c r="L246" s="41">
        <f t="shared" si="40"/>
        <v>-14946812.870604727</v>
      </c>
      <c r="M246" s="41">
        <f t="shared" si="40"/>
        <v>-15218021.537918596</v>
      </c>
      <c r="N246" s="41">
        <f t="shared" si="40"/>
        <v>-15529019.858388284</v>
      </c>
      <c r="O246" s="41">
        <f t="shared" si="40"/>
        <v>-16056242.674144449</v>
      </c>
      <c r="P246" s="41">
        <f>SUM(P240:P244)</f>
        <v>-16056242.674144447</v>
      </c>
      <c r="Q246" s="43">
        <f>AVERAGE(C246:O246)</f>
        <v>-13971745.529661311</v>
      </c>
    </row>
    <row r="248" spans="2:17" x14ac:dyDescent="0.35">
      <c r="B248" s="79" t="s">
        <v>139</v>
      </c>
    </row>
    <row r="249" spans="2:17" x14ac:dyDescent="0.35">
      <c r="B249" s="8" t="s">
        <v>133</v>
      </c>
      <c r="C249" s="42">
        <f>+P176</f>
        <v>89338988.229999989</v>
      </c>
      <c r="D249" s="81">
        <f t="shared" ref="D249:O249" si="41">+D231+D240</f>
        <v>348088.18618430005</v>
      </c>
      <c r="E249" s="81">
        <f t="shared" si="41"/>
        <v>904311.57647880004</v>
      </c>
      <c r="F249" s="81">
        <f t="shared" si="41"/>
        <v>4106174.8646791</v>
      </c>
      <c r="G249" s="81">
        <f t="shared" si="41"/>
        <v>1078900.1967978999</v>
      </c>
      <c r="H249" s="81">
        <f t="shared" si="41"/>
        <v>2407808.1673006997</v>
      </c>
      <c r="I249" s="81">
        <f t="shared" si="41"/>
        <v>2986665.4989366001</v>
      </c>
      <c r="J249" s="81">
        <f t="shared" si="41"/>
        <v>2523894.6899913</v>
      </c>
      <c r="K249" s="81">
        <f t="shared" si="41"/>
        <v>1354381.6487500002</v>
      </c>
      <c r="L249" s="81">
        <f t="shared" si="41"/>
        <v>3416288.1778088002</v>
      </c>
      <c r="M249" s="81">
        <f t="shared" si="41"/>
        <v>3580366.2650302998</v>
      </c>
      <c r="N249" s="81">
        <f t="shared" si="41"/>
        <v>5648358.8149906006</v>
      </c>
      <c r="O249" s="81">
        <f t="shared" si="41"/>
        <v>6794999.7120515984</v>
      </c>
      <c r="P249" s="43">
        <f>SUM(C249:O249)</f>
        <v>124489226.02899998</v>
      </c>
    </row>
    <row r="250" spans="2:17" x14ac:dyDescent="0.35">
      <c r="B250" s="8" t="s">
        <v>134</v>
      </c>
      <c r="C250" s="42">
        <f>+P177</f>
        <v>-522451.94000000012</v>
      </c>
      <c r="D250" s="81">
        <f t="shared" ref="D250:O250" si="42">+D232+D241</f>
        <v>-3792.4190320000002</v>
      </c>
      <c r="E250" s="81">
        <f t="shared" si="42"/>
        <v>-3043.0188640000006</v>
      </c>
      <c r="F250" s="81">
        <f t="shared" si="42"/>
        <v>-12739.802856</v>
      </c>
      <c r="G250" s="81">
        <f t="shared" si="42"/>
        <v>-840.23655200000007</v>
      </c>
      <c r="H250" s="81">
        <f t="shared" si="42"/>
        <v>-31701.898016000003</v>
      </c>
      <c r="I250" s="81">
        <f t="shared" si="42"/>
        <v>-49914.593008000003</v>
      </c>
      <c r="J250" s="81">
        <f t="shared" si="42"/>
        <v>-45440.901096000001</v>
      </c>
      <c r="K250" s="81">
        <f t="shared" si="42"/>
        <v>-36879.571904000004</v>
      </c>
      <c r="L250" s="81">
        <f t="shared" si="42"/>
        <v>-21210.295664000001</v>
      </c>
      <c r="M250" s="81">
        <f t="shared" si="42"/>
        <v>0</v>
      </c>
      <c r="N250" s="81">
        <f t="shared" si="42"/>
        <v>-317.92734400000001</v>
      </c>
      <c r="O250" s="81">
        <f t="shared" si="42"/>
        <v>-21210.295664000012</v>
      </c>
      <c r="P250" s="43">
        <f>SUM(C250:O250)</f>
        <v>-749542.90000000014</v>
      </c>
    </row>
    <row r="251" spans="2:17" x14ac:dyDescent="0.35">
      <c r="B251" s="8" t="s">
        <v>135</v>
      </c>
      <c r="C251" s="42">
        <f>+P178</f>
        <v>26652785.960570369</v>
      </c>
      <c r="D251" s="81">
        <f t="shared" ref="D251:O251" si="43">+D233+D242</f>
        <v>683084.62518624961</v>
      </c>
      <c r="E251" s="81">
        <f t="shared" si="43"/>
        <v>1117995.4861949454</v>
      </c>
      <c r="F251" s="81">
        <f t="shared" si="43"/>
        <v>1023055.1081989156</v>
      </c>
      <c r="G251" s="81">
        <f t="shared" si="43"/>
        <v>1080277.5704543786</v>
      </c>
      <c r="H251" s="81">
        <f t="shared" si="43"/>
        <v>1187523.2612053296</v>
      </c>
      <c r="I251" s="81">
        <f t="shared" si="43"/>
        <v>1230355.873616402</v>
      </c>
      <c r="J251" s="81">
        <f t="shared" si="43"/>
        <v>1025464.0295072617</v>
      </c>
      <c r="K251" s="81">
        <f t="shared" si="43"/>
        <v>1349963.4401071568</v>
      </c>
      <c r="L251" s="81">
        <f t="shared" si="43"/>
        <v>1012056.1409072635</v>
      </c>
      <c r="M251" s="81">
        <f t="shared" si="43"/>
        <v>1679866.3482781318</v>
      </c>
      <c r="N251" s="81">
        <f t="shared" si="43"/>
        <v>1141755.068089311</v>
      </c>
      <c r="O251" s="81">
        <f t="shared" si="43"/>
        <v>1020892.0985398358</v>
      </c>
      <c r="P251" s="43">
        <f>SUM(C251:O251)</f>
        <v>40205075.010855563</v>
      </c>
    </row>
    <row r="252" spans="2:17" x14ac:dyDescent="0.35">
      <c r="B252" s="8" t="s">
        <v>136</v>
      </c>
      <c r="C252" s="42">
        <f>+P179</f>
        <v>1176839.8400000003</v>
      </c>
      <c r="D252" s="81">
        <f t="shared" ref="D252:O252" si="44">+D234+D243</f>
        <v>74163.077967571429</v>
      </c>
      <c r="E252" s="81">
        <f t="shared" si="44"/>
        <v>32299.93727485714</v>
      </c>
      <c r="F252" s="81">
        <f t="shared" si="44"/>
        <v>47793.58583342858</v>
      </c>
      <c r="G252" s="81">
        <f t="shared" si="44"/>
        <v>20058.225966285718</v>
      </c>
      <c r="H252" s="81">
        <f t="shared" si="44"/>
        <v>47610.762089428572</v>
      </c>
      <c r="I252" s="81">
        <f t="shared" si="44"/>
        <v>18785.615281000002</v>
      </c>
      <c r="J252" s="81">
        <f t="shared" si="44"/>
        <v>27861.945701428573</v>
      </c>
      <c r="K252" s="81">
        <f t="shared" si="44"/>
        <v>64519.158618285714</v>
      </c>
      <c r="L252" s="81">
        <f t="shared" si="44"/>
        <v>15185.325535000002</v>
      </c>
      <c r="M252" s="81">
        <f t="shared" si="44"/>
        <v>50888.669334428574</v>
      </c>
      <c r="N252" s="81">
        <f t="shared" si="44"/>
        <v>22851.308098857146</v>
      </c>
      <c r="O252" s="81">
        <f t="shared" si="44"/>
        <v>30869.612585142826</v>
      </c>
      <c r="P252" s="43">
        <f>SUM(C252:O252)</f>
        <v>1629727.0642857144</v>
      </c>
    </row>
    <row r="253" spans="2:17" x14ac:dyDescent="0.35">
      <c r="B253" s="8" t="s">
        <v>137</v>
      </c>
      <c r="C253" s="42">
        <f>+P180</f>
        <v>305881.35000000003</v>
      </c>
      <c r="D253" s="81">
        <f t="shared" ref="D253:O253" si="45">+D235+D244</f>
        <v>29967.756502928572</v>
      </c>
      <c r="E253" s="81">
        <f t="shared" si="45"/>
        <v>63179.5857025</v>
      </c>
      <c r="F253" s="81">
        <f t="shared" si="45"/>
        <v>22087.029668428571</v>
      </c>
      <c r="G253" s="81">
        <f t="shared" si="45"/>
        <v>23432.314857428573</v>
      </c>
      <c r="H253" s="81">
        <f t="shared" si="45"/>
        <v>-509.59413250000006</v>
      </c>
      <c r="I253" s="81">
        <f t="shared" si="45"/>
        <v>21338.685243500004</v>
      </c>
      <c r="J253" s="81">
        <f t="shared" si="45"/>
        <v>7653.8406678571437</v>
      </c>
      <c r="K253" s="81">
        <f t="shared" si="45"/>
        <v>40499.040386785717</v>
      </c>
      <c r="L253" s="81">
        <f t="shared" si="45"/>
        <v>17322.805443642857</v>
      </c>
      <c r="M253" s="81">
        <f t="shared" si="45"/>
        <v>8783.0283092857153</v>
      </c>
      <c r="N253" s="81">
        <f t="shared" si="45"/>
        <v>-699.79933100000005</v>
      </c>
      <c r="O253" s="81">
        <f t="shared" si="45"/>
        <v>18326.518823999984</v>
      </c>
      <c r="P253" s="43">
        <f>SUM(C253:O253)</f>
        <v>557262.56214285723</v>
      </c>
    </row>
    <row r="254" spans="2:17" x14ac:dyDescent="0.35">
      <c r="B254" s="8" t="s">
        <v>157</v>
      </c>
      <c r="C254" s="46"/>
      <c r="D254" s="46">
        <f>SUM(D249:D253)</f>
        <v>1131511.2268090497</v>
      </c>
      <c r="E254" s="46">
        <f t="shared" ref="E254:O254" si="46">SUM(E249:E253)</f>
        <v>2114743.5667871027</v>
      </c>
      <c r="F254" s="46">
        <f t="shared" si="46"/>
        <v>5186370.7855238728</v>
      </c>
      <c r="G254" s="46">
        <f t="shared" si="46"/>
        <v>2201828.0715239928</v>
      </c>
      <c r="H254" s="46">
        <f t="shared" si="46"/>
        <v>3610730.6984469579</v>
      </c>
      <c r="I254" s="46">
        <f t="shared" si="46"/>
        <v>4207231.0800695019</v>
      </c>
      <c r="J254" s="46">
        <f t="shared" si="46"/>
        <v>3539433.6047718478</v>
      </c>
      <c r="K254" s="46">
        <f t="shared" si="46"/>
        <v>2772483.7159582288</v>
      </c>
      <c r="L254" s="46">
        <f t="shared" si="46"/>
        <v>4439642.1540307067</v>
      </c>
      <c r="M254" s="46">
        <f t="shared" si="46"/>
        <v>5319904.3109521456</v>
      </c>
      <c r="N254" s="46">
        <f t="shared" si="46"/>
        <v>6811947.4645037688</v>
      </c>
      <c r="O254" s="46">
        <f t="shared" si="46"/>
        <v>7843877.6463365769</v>
      </c>
      <c r="P254" s="46"/>
    </row>
    <row r="255" spans="2:17" x14ac:dyDescent="0.35">
      <c r="B255" s="8" t="s">
        <v>214</v>
      </c>
      <c r="C255" s="41">
        <f>SUM(C249:C253)</f>
        <v>116952043.44057035</v>
      </c>
      <c r="D255" s="41">
        <f t="shared" ref="D255:O255" si="47">+D254+C255</f>
        <v>118083554.66737941</v>
      </c>
      <c r="E255" s="41">
        <f t="shared" si="47"/>
        <v>120198298.23416652</v>
      </c>
      <c r="F255" s="41">
        <f t="shared" si="47"/>
        <v>125384669.01969039</v>
      </c>
      <c r="G255" s="41">
        <f t="shared" si="47"/>
        <v>127586497.09121439</v>
      </c>
      <c r="H255" s="41">
        <f t="shared" si="47"/>
        <v>131197227.78966135</v>
      </c>
      <c r="I255" s="41">
        <f t="shared" si="47"/>
        <v>135404458.86973086</v>
      </c>
      <c r="J255" s="41">
        <f t="shared" si="47"/>
        <v>138943892.47450271</v>
      </c>
      <c r="K255" s="41">
        <f t="shared" si="47"/>
        <v>141716376.19046095</v>
      </c>
      <c r="L255" s="41">
        <f t="shared" si="47"/>
        <v>146156018.34449166</v>
      </c>
      <c r="M255" s="41">
        <f t="shared" si="47"/>
        <v>151475922.65544382</v>
      </c>
      <c r="N255" s="41">
        <f t="shared" si="47"/>
        <v>158287870.11994758</v>
      </c>
      <c r="O255" s="41">
        <f t="shared" si="47"/>
        <v>166131747.76628417</v>
      </c>
      <c r="P255" s="41">
        <f>SUM(P249:P253)</f>
        <v>166131747.76628411</v>
      </c>
      <c r="Q255" s="43">
        <f>AVERAGE(C255:O255)</f>
        <v>136732198.20488805</v>
      </c>
    </row>
    <row r="285" spans="3:17" x14ac:dyDescent="0.35">
      <c r="C285" s="10"/>
      <c r="D285" s="10"/>
      <c r="E285" s="10"/>
      <c r="F285" s="10"/>
      <c r="G285" s="10"/>
      <c r="H285" s="10"/>
      <c r="I285" s="10"/>
      <c r="J285" s="10"/>
      <c r="K285" s="10"/>
      <c r="L285" s="10"/>
      <c r="M285" s="10"/>
      <c r="N285" s="10"/>
      <c r="O285" s="10"/>
      <c r="P285" s="10"/>
      <c r="Q285" s="10"/>
    </row>
    <row r="286" spans="3:17" x14ac:dyDescent="0.35">
      <c r="C286" s="10"/>
      <c r="D286" s="10"/>
      <c r="E286" s="10"/>
      <c r="F286" s="10"/>
      <c r="G286" s="10"/>
      <c r="H286" s="10"/>
      <c r="I286" s="10"/>
      <c r="J286" s="10"/>
      <c r="K286" s="10"/>
      <c r="L286" s="10"/>
      <c r="M286" s="10"/>
      <c r="N286" s="10"/>
      <c r="O286" s="10"/>
      <c r="P286" s="10"/>
      <c r="Q286" s="10"/>
    </row>
    <row r="287" spans="3:17" x14ac:dyDescent="0.35">
      <c r="C287" s="10"/>
      <c r="D287" s="10"/>
      <c r="E287" s="10"/>
      <c r="F287" s="10"/>
      <c r="G287" s="10"/>
      <c r="H287" s="10"/>
      <c r="I287" s="10"/>
      <c r="J287" s="10"/>
      <c r="K287" s="10"/>
      <c r="L287" s="10"/>
      <c r="M287" s="10"/>
      <c r="N287" s="10"/>
      <c r="O287" s="10"/>
      <c r="P287" s="11"/>
      <c r="Q287" s="11"/>
    </row>
    <row r="290" spans="1:18" x14ac:dyDescent="0.35">
      <c r="C290" s="42"/>
      <c r="D290" s="42"/>
      <c r="E290" s="42"/>
      <c r="F290" s="42"/>
      <c r="G290" s="42"/>
      <c r="H290" s="42"/>
      <c r="I290" s="42"/>
      <c r="J290" s="42"/>
      <c r="K290" s="42"/>
      <c r="L290" s="42"/>
      <c r="M290" s="42"/>
      <c r="N290" s="42"/>
      <c r="O290" s="42"/>
      <c r="P290" s="43"/>
      <c r="Q290" s="9" t="str">
        <f>+Q217</f>
        <v>Case No. 2026-00306</v>
      </c>
    </row>
    <row r="291" spans="1:18" x14ac:dyDescent="0.35">
      <c r="Q291" s="9" t="str">
        <f>+Q218</f>
        <v>SMRP Form 3.0</v>
      </c>
    </row>
    <row r="292" spans="1:18" x14ac:dyDescent="0.35">
      <c r="Q292" s="9" t="s">
        <v>297</v>
      </c>
    </row>
    <row r="293" spans="1:18" x14ac:dyDescent="0.35">
      <c r="A293" s="144" t="s">
        <v>12</v>
      </c>
      <c r="B293" s="144"/>
      <c r="C293" s="144"/>
      <c r="D293" s="144"/>
      <c r="E293" s="144"/>
      <c r="F293" s="144"/>
      <c r="G293" s="144"/>
      <c r="H293" s="144"/>
      <c r="I293" s="144"/>
      <c r="J293" s="144"/>
      <c r="K293" s="144"/>
      <c r="L293" s="144"/>
      <c r="M293" s="144"/>
      <c r="N293" s="144"/>
      <c r="O293" s="144"/>
      <c r="P293" s="144"/>
      <c r="Q293" s="144"/>
    </row>
    <row r="294" spans="1:18" x14ac:dyDescent="0.35">
      <c r="A294" s="144" t="s">
        <v>109</v>
      </c>
      <c r="B294" s="144"/>
      <c r="C294" s="144"/>
      <c r="D294" s="144"/>
      <c r="E294" s="144"/>
      <c r="F294" s="144"/>
      <c r="G294" s="144"/>
      <c r="H294" s="144"/>
      <c r="I294" s="144"/>
      <c r="J294" s="144"/>
      <c r="K294" s="144"/>
      <c r="L294" s="144"/>
      <c r="M294" s="144"/>
      <c r="N294" s="144"/>
      <c r="O294" s="144"/>
      <c r="P294" s="144"/>
      <c r="Q294" s="144"/>
    </row>
    <row r="295" spans="1:18" x14ac:dyDescent="0.35">
      <c r="A295" s="144" t="s">
        <v>310</v>
      </c>
      <c r="B295" s="144"/>
      <c r="C295" s="144"/>
      <c r="D295" s="144"/>
      <c r="E295" s="144"/>
      <c r="F295" s="144"/>
      <c r="G295" s="144"/>
      <c r="H295" s="144"/>
      <c r="I295" s="144"/>
      <c r="J295" s="144"/>
      <c r="K295" s="144"/>
      <c r="L295" s="144"/>
      <c r="M295" s="144"/>
      <c r="N295" s="144"/>
      <c r="O295" s="144"/>
      <c r="P295" s="144"/>
      <c r="Q295" s="144"/>
    </row>
    <row r="299" spans="1:18" x14ac:dyDescent="0.35">
      <c r="C299" s="10">
        <f>+P226</f>
        <v>2026</v>
      </c>
      <c r="D299" s="10">
        <f>+C299+1</f>
        <v>2027</v>
      </c>
      <c r="E299" s="10">
        <f t="shared" ref="E299:Q299" si="48">+D299</f>
        <v>2027</v>
      </c>
      <c r="F299" s="10">
        <f t="shared" si="48"/>
        <v>2027</v>
      </c>
      <c r="G299" s="10">
        <f t="shared" si="48"/>
        <v>2027</v>
      </c>
      <c r="H299" s="10">
        <f t="shared" si="48"/>
        <v>2027</v>
      </c>
      <c r="I299" s="10">
        <f t="shared" si="48"/>
        <v>2027</v>
      </c>
      <c r="J299" s="10">
        <f t="shared" si="48"/>
        <v>2027</v>
      </c>
      <c r="K299" s="10">
        <f t="shared" si="48"/>
        <v>2027</v>
      </c>
      <c r="L299" s="10">
        <f t="shared" si="48"/>
        <v>2027</v>
      </c>
      <c r="M299" s="10">
        <f t="shared" si="48"/>
        <v>2027</v>
      </c>
      <c r="N299" s="10">
        <f t="shared" si="48"/>
        <v>2027</v>
      </c>
      <c r="O299" s="10">
        <f t="shared" si="48"/>
        <v>2027</v>
      </c>
      <c r="P299" s="10">
        <f t="shared" si="48"/>
        <v>2027</v>
      </c>
      <c r="Q299" s="10">
        <f t="shared" si="48"/>
        <v>2027</v>
      </c>
    </row>
    <row r="300" spans="1:18" x14ac:dyDescent="0.35">
      <c r="C300" s="10" t="s">
        <v>140</v>
      </c>
      <c r="D300" s="10" t="s">
        <v>141</v>
      </c>
      <c r="E300" s="10" t="s">
        <v>142</v>
      </c>
      <c r="F300" s="10" t="s">
        <v>143</v>
      </c>
      <c r="G300" s="10" t="s">
        <v>144</v>
      </c>
      <c r="H300" s="10" t="s">
        <v>81</v>
      </c>
      <c r="I300" s="10" t="s">
        <v>145</v>
      </c>
      <c r="J300" s="10" t="s">
        <v>146</v>
      </c>
      <c r="K300" s="10" t="s">
        <v>147</v>
      </c>
      <c r="L300" s="10" t="s">
        <v>148</v>
      </c>
      <c r="M300" s="10" t="s">
        <v>149</v>
      </c>
      <c r="N300" s="10" t="s">
        <v>150</v>
      </c>
      <c r="O300" s="10" t="s">
        <v>140</v>
      </c>
      <c r="P300" s="10" t="s">
        <v>151</v>
      </c>
      <c r="Q300" s="10" t="s">
        <v>152</v>
      </c>
    </row>
    <row r="301" spans="1:18" x14ac:dyDescent="0.35">
      <c r="C301" s="10" t="s">
        <v>92</v>
      </c>
      <c r="D301" s="10" t="s">
        <v>201</v>
      </c>
      <c r="E301" s="10" t="s">
        <v>201</v>
      </c>
      <c r="F301" s="10" t="s">
        <v>201</v>
      </c>
      <c r="G301" s="10" t="s">
        <v>201</v>
      </c>
      <c r="H301" s="10" t="s">
        <v>201</v>
      </c>
      <c r="I301" s="10" t="s">
        <v>201</v>
      </c>
      <c r="J301" s="10" t="s">
        <v>201</v>
      </c>
      <c r="K301" s="10" t="s">
        <v>201</v>
      </c>
      <c r="L301" s="10" t="s">
        <v>201</v>
      </c>
      <c r="M301" s="10" t="s">
        <v>201</v>
      </c>
      <c r="N301" s="10" t="s">
        <v>201</v>
      </c>
      <c r="O301" s="10" t="s">
        <v>201</v>
      </c>
      <c r="P301" s="11"/>
      <c r="Q301" s="11"/>
      <c r="R301" s="135"/>
    </row>
    <row r="303" spans="1:18" x14ac:dyDescent="0.35">
      <c r="B303" s="79" t="s">
        <v>22</v>
      </c>
    </row>
    <row r="304" spans="1:18" x14ac:dyDescent="0.35">
      <c r="B304" s="8" t="s">
        <v>133</v>
      </c>
      <c r="C304" s="42">
        <f>+P231</f>
        <v>128545284.15900001</v>
      </c>
      <c r="D304" s="140">
        <v>416657.19500000001</v>
      </c>
      <c r="E304" s="140">
        <v>1082449.6200000001</v>
      </c>
      <c r="F304" s="140">
        <v>4935454.8150000004</v>
      </c>
      <c r="G304" s="140">
        <v>1292925.9349999998</v>
      </c>
      <c r="H304" s="140">
        <v>2890827.7549999999</v>
      </c>
      <c r="I304" s="140">
        <v>3582392.79</v>
      </c>
      <c r="J304" s="140">
        <v>3466416.0449999999</v>
      </c>
      <c r="K304" s="140">
        <v>1632265.3</v>
      </c>
      <c r="L304" s="140">
        <v>4089254.12</v>
      </c>
      <c r="M304" s="140">
        <v>4368457.3949999996</v>
      </c>
      <c r="N304" s="140">
        <v>6761014.6900000004</v>
      </c>
      <c r="O304" s="140">
        <v>8436234.3400000036</v>
      </c>
      <c r="P304" s="43">
        <f>SUM(C304:O304)</f>
        <v>171499634.15900001</v>
      </c>
    </row>
    <row r="305" spans="2:18" x14ac:dyDescent="0.35">
      <c r="B305" s="8" t="s">
        <v>134</v>
      </c>
      <c r="C305" s="42">
        <f>+P232</f>
        <v>0</v>
      </c>
      <c r="D305" s="140">
        <v>0</v>
      </c>
      <c r="E305" s="140">
        <v>0</v>
      </c>
      <c r="F305" s="140">
        <v>0</v>
      </c>
      <c r="G305" s="140">
        <v>0</v>
      </c>
      <c r="H305" s="140">
        <v>0</v>
      </c>
      <c r="I305" s="140">
        <v>0</v>
      </c>
      <c r="J305" s="140">
        <v>0</v>
      </c>
      <c r="K305" s="140">
        <v>0</v>
      </c>
      <c r="L305" s="140">
        <v>0</v>
      </c>
      <c r="M305" s="140">
        <v>0</v>
      </c>
      <c r="N305" s="140">
        <v>0</v>
      </c>
      <c r="O305" s="140">
        <v>0</v>
      </c>
      <c r="P305" s="43">
        <f>SUM(C305:O305)</f>
        <v>0</v>
      </c>
    </row>
    <row r="306" spans="2:18" x14ac:dyDescent="0.35">
      <c r="B306" s="8" t="s">
        <v>135</v>
      </c>
      <c r="C306" s="42">
        <f>+P233</f>
        <v>51207931.620000005</v>
      </c>
      <c r="D306" s="140">
        <v>1062350.8</v>
      </c>
      <c r="E306" s="140">
        <v>1537613</v>
      </c>
      <c r="F306" s="140">
        <v>1603510.7</v>
      </c>
      <c r="G306" s="140">
        <v>1461730.8</v>
      </c>
      <c r="H306" s="140">
        <v>1719330.9</v>
      </c>
      <c r="I306" s="140">
        <v>1853123.2</v>
      </c>
      <c r="J306" s="140">
        <v>1587535.5</v>
      </c>
      <c r="K306" s="140">
        <v>1929005.4000000001</v>
      </c>
      <c r="L306" s="140">
        <v>1559578.9000000001</v>
      </c>
      <c r="M306" s="140">
        <v>2312410.2000000002</v>
      </c>
      <c r="N306" s="140">
        <v>1777241</v>
      </c>
      <c r="O306" s="140">
        <v>1565569.5999999987</v>
      </c>
      <c r="P306" s="43">
        <f>SUM(C306:O306)</f>
        <v>71176931.61999999</v>
      </c>
    </row>
    <row r="307" spans="2:18" x14ac:dyDescent="0.35">
      <c r="B307" s="8" t="s">
        <v>136</v>
      </c>
      <c r="C307" s="42">
        <f>+P234</f>
        <v>1855313.654285714</v>
      </c>
      <c r="D307" s="140">
        <v>75343.543428571429</v>
      </c>
      <c r="E307" s="140">
        <v>34373.559142857142</v>
      </c>
      <c r="F307" s="140">
        <v>53802.092571428577</v>
      </c>
      <c r="G307" s="140">
        <v>22881.349714285716</v>
      </c>
      <c r="H307" s="140">
        <v>52719.866571428574</v>
      </c>
      <c r="I307" s="140">
        <v>22726.746000000003</v>
      </c>
      <c r="J307" s="140">
        <v>31796.830571428571</v>
      </c>
      <c r="K307" s="140">
        <v>72663.745714285717</v>
      </c>
      <c r="L307" s="140">
        <v>26334.166000000001</v>
      </c>
      <c r="M307" s="140">
        <v>55966.544571428574</v>
      </c>
      <c r="N307" s="140">
        <v>32569.849142857147</v>
      </c>
      <c r="O307" s="140">
        <v>34167.420857142832</v>
      </c>
      <c r="P307" s="43">
        <f>SUM(C307:O307)</f>
        <v>2370659.3685714281</v>
      </c>
    </row>
    <row r="308" spans="2:18" x14ac:dyDescent="0.35">
      <c r="B308" s="8" t="s">
        <v>137</v>
      </c>
      <c r="C308" s="42">
        <f>+P235</f>
        <v>579461.00714285707</v>
      </c>
      <c r="D308" s="140">
        <v>30196.911571428573</v>
      </c>
      <c r="E308" s="140">
        <v>63539.872000000003</v>
      </c>
      <c r="F308" s="140">
        <v>22615.449571428573</v>
      </c>
      <c r="G308" s="140">
        <v>23518.004571428573</v>
      </c>
      <c r="H308" s="140">
        <v>0</v>
      </c>
      <c r="I308" s="140">
        <v>21661.320000000003</v>
      </c>
      <c r="J308" s="140">
        <v>9309.2101428571441</v>
      </c>
      <c r="K308" s="140">
        <v>40950.209714285716</v>
      </c>
      <c r="L308" s="140">
        <v>17947.950857142856</v>
      </c>
      <c r="M308" s="140">
        <v>9360.7847142857154</v>
      </c>
      <c r="N308" s="140">
        <v>0</v>
      </c>
      <c r="O308" s="140">
        <v>18773.143999999986</v>
      </c>
      <c r="P308" s="43">
        <f>SUM(C308:O308)</f>
        <v>837333.86428571399</v>
      </c>
    </row>
    <row r="309" spans="2:18" x14ac:dyDescent="0.35">
      <c r="B309" s="8" t="s">
        <v>153</v>
      </c>
      <c r="C309" s="46"/>
      <c r="D309" s="46">
        <f t="shared" ref="D309:O309" si="49">SUM(D304:D308)</f>
        <v>1584548.4500000002</v>
      </c>
      <c r="E309" s="46">
        <f t="shared" si="49"/>
        <v>2717976.0511428574</v>
      </c>
      <c r="F309" s="46">
        <f t="shared" si="49"/>
        <v>6615383.0571428584</v>
      </c>
      <c r="G309" s="46">
        <f t="shared" si="49"/>
        <v>2801056.0892857141</v>
      </c>
      <c r="H309" s="46">
        <f t="shared" si="49"/>
        <v>4662878.5215714276</v>
      </c>
      <c r="I309" s="46">
        <f t="shared" si="49"/>
        <v>5479904.0560000008</v>
      </c>
      <c r="J309" s="46">
        <f t="shared" si="49"/>
        <v>5095057.5857142862</v>
      </c>
      <c r="K309" s="46">
        <f t="shared" si="49"/>
        <v>3674884.6554285716</v>
      </c>
      <c r="L309" s="46">
        <f t="shared" si="49"/>
        <v>5693115.1368571436</v>
      </c>
      <c r="M309" s="46">
        <f t="shared" si="49"/>
        <v>6746194.9242857136</v>
      </c>
      <c r="N309" s="46">
        <f t="shared" si="49"/>
        <v>8570825.5391428582</v>
      </c>
      <c r="O309" s="46">
        <f t="shared" si="49"/>
        <v>10054744.504857143</v>
      </c>
      <c r="P309" s="46"/>
    </row>
    <row r="310" spans="2:18" x14ac:dyDescent="0.35">
      <c r="B310" s="8" t="s">
        <v>154</v>
      </c>
      <c r="C310" s="41">
        <f>SUM(C304:C308)</f>
        <v>182187990.44042858</v>
      </c>
      <c r="D310" s="41">
        <f t="shared" ref="D310:O310" si="50">+D309+C310</f>
        <v>183772538.89042857</v>
      </c>
      <c r="E310" s="41">
        <f t="shared" si="50"/>
        <v>186490514.94157144</v>
      </c>
      <c r="F310" s="41">
        <f t="shared" si="50"/>
        <v>193105897.9987143</v>
      </c>
      <c r="G310" s="41">
        <f t="shared" si="50"/>
        <v>195906954.088</v>
      </c>
      <c r="H310" s="41">
        <f t="shared" si="50"/>
        <v>200569832.60957143</v>
      </c>
      <c r="I310" s="41">
        <f t="shared" si="50"/>
        <v>206049736.66557142</v>
      </c>
      <c r="J310" s="41">
        <f t="shared" si="50"/>
        <v>211144794.2512857</v>
      </c>
      <c r="K310" s="41">
        <f t="shared" si="50"/>
        <v>214819678.90671426</v>
      </c>
      <c r="L310" s="41">
        <f t="shared" si="50"/>
        <v>220512794.04357141</v>
      </c>
      <c r="M310" s="41">
        <f t="shared" si="50"/>
        <v>227258988.96785712</v>
      </c>
      <c r="N310" s="41">
        <f t="shared" si="50"/>
        <v>235829814.50699997</v>
      </c>
      <c r="O310" s="41">
        <f t="shared" si="50"/>
        <v>245884559.01185712</v>
      </c>
      <c r="P310" s="41">
        <f>SUM(P304:P308)</f>
        <v>245884559.01185712</v>
      </c>
      <c r="Q310" s="43">
        <f>AVERAGE(C310:O310)</f>
        <v>207964161.17865938</v>
      </c>
    </row>
    <row r="312" spans="2:18" x14ac:dyDescent="0.35">
      <c r="B312" s="79" t="s">
        <v>62</v>
      </c>
    </row>
    <row r="313" spans="2:18" x14ac:dyDescent="0.35">
      <c r="B313" s="8" t="s">
        <v>133</v>
      </c>
      <c r="C313" s="42">
        <f>+P240</f>
        <v>-4056058.1300000004</v>
      </c>
      <c r="D313" s="140">
        <v>0</v>
      </c>
      <c r="E313" s="140">
        <v>0</v>
      </c>
      <c r="F313" s="140">
        <v>-24756</v>
      </c>
      <c r="G313" s="140">
        <v>-1800</v>
      </c>
      <c r="H313" s="140">
        <v>-10532</v>
      </c>
      <c r="I313" s="140">
        <v>-9009</v>
      </c>
      <c r="J313" s="140">
        <v>-540532</v>
      </c>
      <c r="K313" s="140">
        <v>-13439</v>
      </c>
      <c r="L313" s="140">
        <v>0</v>
      </c>
      <c r="M313" s="140">
        <v>-100432</v>
      </c>
      <c r="N313" s="140">
        <v>0</v>
      </c>
      <c r="O313" s="140">
        <v>-386288</v>
      </c>
      <c r="P313" s="43">
        <f>SUM(C313:O313)</f>
        <v>-5142846.1300000008</v>
      </c>
      <c r="R313" s="135"/>
    </row>
    <row r="314" spans="2:18" x14ac:dyDescent="0.35">
      <c r="B314" s="8" t="s">
        <v>134</v>
      </c>
      <c r="C314" s="42">
        <f>+P241</f>
        <v>-749542.90000000014</v>
      </c>
      <c r="D314" s="140">
        <v>-3788</v>
      </c>
      <c r="E314" s="140">
        <v>-3046</v>
      </c>
      <c r="F314" s="140">
        <v>-12735</v>
      </c>
      <c r="G314" s="140">
        <v>-840</v>
      </c>
      <c r="H314" s="140">
        <v>-31692</v>
      </c>
      <c r="I314" s="140">
        <v>-49919</v>
      </c>
      <c r="J314" s="140">
        <v>-45450</v>
      </c>
      <c r="K314" s="140">
        <v>-36878</v>
      </c>
      <c r="L314" s="140">
        <v>-21209</v>
      </c>
      <c r="M314" s="140">
        <v>0</v>
      </c>
      <c r="N314" s="140">
        <v>-318</v>
      </c>
      <c r="O314" s="140">
        <v>-21216</v>
      </c>
      <c r="P314" s="43">
        <f>SUM(C314:O314)</f>
        <v>-976633.90000000014</v>
      </c>
    </row>
    <row r="315" spans="2:18" x14ac:dyDescent="0.35">
      <c r="B315" s="8" t="s">
        <v>135</v>
      </c>
      <c r="C315" s="42">
        <f>+P242</f>
        <v>-11002856.609144447</v>
      </c>
      <c r="D315" s="140">
        <v>-275962</v>
      </c>
      <c r="E315" s="140">
        <v>-199932</v>
      </c>
      <c r="F315" s="140">
        <v>-428905</v>
      </c>
      <c r="G315" s="140">
        <v>-163316</v>
      </c>
      <c r="H315" s="140">
        <v>-319990</v>
      </c>
      <c r="I315" s="140">
        <v>-421535</v>
      </c>
      <c r="J315" s="140">
        <v>-405113</v>
      </c>
      <c r="K315" s="140">
        <v>-331700</v>
      </c>
      <c r="L315" s="140">
        <v>-391031</v>
      </c>
      <c r="M315" s="140">
        <v>-302932</v>
      </c>
      <c r="N315" s="140">
        <v>-462772</v>
      </c>
      <c r="O315" s="140">
        <v>-384766</v>
      </c>
      <c r="P315" s="43">
        <f>SUM(C315:O315)</f>
        <v>-15090810.609144447</v>
      </c>
    </row>
    <row r="316" spans="2:18" x14ac:dyDescent="0.35">
      <c r="B316" s="8" t="s">
        <v>136</v>
      </c>
      <c r="C316" s="42">
        <f>+P243</f>
        <v>-225586.59000000003</v>
      </c>
      <c r="D316" s="140">
        <v>-1178</v>
      </c>
      <c r="E316" s="140">
        <v>-2076</v>
      </c>
      <c r="F316" s="140">
        <v>-6007</v>
      </c>
      <c r="G316" s="140">
        <v>-2824</v>
      </c>
      <c r="H316" s="140">
        <v>-5111</v>
      </c>
      <c r="I316" s="140">
        <v>-3939</v>
      </c>
      <c r="J316" s="140">
        <v>-3935</v>
      </c>
      <c r="K316" s="140">
        <v>-8145</v>
      </c>
      <c r="L316" s="140">
        <v>-11146</v>
      </c>
      <c r="M316" s="140">
        <v>-5080</v>
      </c>
      <c r="N316" s="140">
        <v>-9720</v>
      </c>
      <c r="O316" s="140">
        <v>-3299</v>
      </c>
      <c r="P316" s="43">
        <f>SUM(C316:O316)</f>
        <v>-288046.59000000003</v>
      </c>
    </row>
    <row r="317" spans="2:18" x14ac:dyDescent="0.35">
      <c r="B317" s="8" t="s">
        <v>137</v>
      </c>
      <c r="C317" s="42">
        <f>+P244</f>
        <v>-22198.445</v>
      </c>
      <c r="D317" s="140">
        <v>-229</v>
      </c>
      <c r="E317" s="140">
        <v>-360</v>
      </c>
      <c r="F317" s="140">
        <v>-528</v>
      </c>
      <c r="G317" s="140">
        <v>-86</v>
      </c>
      <c r="H317" s="140">
        <v>-510</v>
      </c>
      <c r="I317" s="140">
        <v>-323</v>
      </c>
      <c r="J317" s="140">
        <v>-1656</v>
      </c>
      <c r="K317" s="140">
        <v>-451</v>
      </c>
      <c r="L317" s="140">
        <v>-625</v>
      </c>
      <c r="M317" s="140">
        <v>-578</v>
      </c>
      <c r="N317" s="140">
        <v>-700</v>
      </c>
      <c r="O317" s="140">
        <v>-446</v>
      </c>
      <c r="P317" s="43">
        <f>SUM(C317:O317)</f>
        <v>-28690.445</v>
      </c>
    </row>
    <row r="318" spans="2:18" x14ac:dyDescent="0.35">
      <c r="B318" s="8" t="s">
        <v>155</v>
      </c>
      <c r="C318" s="46"/>
      <c r="D318" s="46">
        <f t="shared" ref="D318:O318" si="51">SUM(D313:D317)</f>
        <v>-281157</v>
      </c>
      <c r="E318" s="46">
        <f t="shared" si="51"/>
        <v>-205414</v>
      </c>
      <c r="F318" s="46">
        <f t="shared" si="51"/>
        <v>-472931</v>
      </c>
      <c r="G318" s="46">
        <f t="shared" si="51"/>
        <v>-168866</v>
      </c>
      <c r="H318" s="46">
        <f t="shared" si="51"/>
        <v>-367835</v>
      </c>
      <c r="I318" s="46">
        <f t="shared" si="51"/>
        <v>-484725</v>
      </c>
      <c r="J318" s="46">
        <f t="shared" si="51"/>
        <v>-996686</v>
      </c>
      <c r="K318" s="46">
        <f t="shared" si="51"/>
        <v>-390613</v>
      </c>
      <c r="L318" s="46">
        <f t="shared" si="51"/>
        <v>-424011</v>
      </c>
      <c r="M318" s="46">
        <f t="shared" si="51"/>
        <v>-409022</v>
      </c>
      <c r="N318" s="46">
        <f t="shared" si="51"/>
        <v>-473510</v>
      </c>
      <c r="O318" s="46">
        <f t="shared" si="51"/>
        <v>-796015</v>
      </c>
      <c r="P318" s="46"/>
    </row>
    <row r="319" spans="2:18" x14ac:dyDescent="0.35">
      <c r="B319" s="8" t="s">
        <v>156</v>
      </c>
      <c r="C319" s="41">
        <f>SUM(C313:C317)</f>
        <v>-16056242.674144447</v>
      </c>
      <c r="D319" s="41">
        <f t="shared" ref="D319:O319" si="52">+D318+C319</f>
        <v>-16337399.674144447</v>
      </c>
      <c r="E319" s="41">
        <f t="shared" si="52"/>
        <v>-16542813.674144447</v>
      </c>
      <c r="F319" s="41">
        <f t="shared" si="52"/>
        <v>-17015744.674144447</v>
      </c>
      <c r="G319" s="41">
        <f t="shared" si="52"/>
        <v>-17184610.674144447</v>
      </c>
      <c r="H319" s="41">
        <f t="shared" si="52"/>
        <v>-17552445.674144447</v>
      </c>
      <c r="I319" s="41">
        <f t="shared" si="52"/>
        <v>-18037170.674144447</v>
      </c>
      <c r="J319" s="41">
        <f t="shared" si="52"/>
        <v>-19033856.674144447</v>
      </c>
      <c r="K319" s="41">
        <f t="shared" si="52"/>
        <v>-19424469.674144447</v>
      </c>
      <c r="L319" s="41">
        <f t="shared" si="52"/>
        <v>-19848480.674144447</v>
      </c>
      <c r="M319" s="41">
        <f t="shared" si="52"/>
        <v>-20257502.674144447</v>
      </c>
      <c r="N319" s="41">
        <f t="shared" si="52"/>
        <v>-20731012.674144447</v>
      </c>
      <c r="O319" s="41">
        <f t="shared" si="52"/>
        <v>-21527027.674144447</v>
      </c>
      <c r="P319" s="41">
        <f>SUM(P313:P317)</f>
        <v>-21527027.674144451</v>
      </c>
      <c r="Q319" s="43">
        <f>AVERAGE(C319:O319)</f>
        <v>-18426829.058759831</v>
      </c>
    </row>
    <row r="321" spans="2:17" x14ac:dyDescent="0.35">
      <c r="B321" s="79" t="s">
        <v>139</v>
      </c>
    </row>
    <row r="322" spans="2:17" x14ac:dyDescent="0.35">
      <c r="B322" s="8" t="s">
        <v>133</v>
      </c>
      <c r="C322" s="42">
        <f>+P249</f>
        <v>124489226.02899998</v>
      </c>
      <c r="D322" s="81">
        <f t="shared" ref="D322:O322" si="53">+D304+D313</f>
        <v>416657.19500000001</v>
      </c>
      <c r="E322" s="81">
        <f t="shared" si="53"/>
        <v>1082449.6200000001</v>
      </c>
      <c r="F322" s="81">
        <f t="shared" si="53"/>
        <v>4910698.8150000004</v>
      </c>
      <c r="G322" s="81">
        <f t="shared" si="53"/>
        <v>1291125.9349999998</v>
      </c>
      <c r="H322" s="81">
        <f t="shared" si="53"/>
        <v>2880295.7549999999</v>
      </c>
      <c r="I322" s="81">
        <f t="shared" si="53"/>
        <v>3573383.79</v>
      </c>
      <c r="J322" s="81">
        <f t="shared" si="53"/>
        <v>2925884.0449999999</v>
      </c>
      <c r="K322" s="81">
        <f t="shared" si="53"/>
        <v>1618826.3</v>
      </c>
      <c r="L322" s="81">
        <f t="shared" si="53"/>
        <v>4089254.12</v>
      </c>
      <c r="M322" s="81">
        <f t="shared" si="53"/>
        <v>4268025.3949999996</v>
      </c>
      <c r="N322" s="81">
        <f t="shared" si="53"/>
        <v>6761014.6900000004</v>
      </c>
      <c r="O322" s="81">
        <f t="shared" si="53"/>
        <v>8049946.3400000036</v>
      </c>
      <c r="P322" s="43">
        <f>SUM(C322:O322)</f>
        <v>166356788.02899998</v>
      </c>
    </row>
    <row r="323" spans="2:17" x14ac:dyDescent="0.35">
      <c r="B323" s="8" t="s">
        <v>134</v>
      </c>
      <c r="C323" s="42">
        <f>+P250</f>
        <v>-749542.90000000014</v>
      </c>
      <c r="D323" s="81">
        <f t="shared" ref="D323:O323" si="54">+D305+D314</f>
        <v>-3788</v>
      </c>
      <c r="E323" s="81">
        <f t="shared" si="54"/>
        <v>-3046</v>
      </c>
      <c r="F323" s="81">
        <f t="shared" si="54"/>
        <v>-12735</v>
      </c>
      <c r="G323" s="81">
        <f t="shared" si="54"/>
        <v>-840</v>
      </c>
      <c r="H323" s="81">
        <f t="shared" si="54"/>
        <v>-31692</v>
      </c>
      <c r="I323" s="81">
        <f t="shared" si="54"/>
        <v>-49919</v>
      </c>
      <c r="J323" s="81">
        <f t="shared" si="54"/>
        <v>-45450</v>
      </c>
      <c r="K323" s="81">
        <f t="shared" si="54"/>
        <v>-36878</v>
      </c>
      <c r="L323" s="81">
        <f t="shared" si="54"/>
        <v>-21209</v>
      </c>
      <c r="M323" s="81">
        <f t="shared" si="54"/>
        <v>0</v>
      </c>
      <c r="N323" s="81">
        <f t="shared" si="54"/>
        <v>-318</v>
      </c>
      <c r="O323" s="81">
        <f t="shared" si="54"/>
        <v>-21216</v>
      </c>
      <c r="P323" s="43">
        <f>SUM(C323:O323)</f>
        <v>-976633.90000000014</v>
      </c>
    </row>
    <row r="324" spans="2:17" x14ac:dyDescent="0.35">
      <c r="B324" s="8" t="s">
        <v>135</v>
      </c>
      <c r="C324" s="42">
        <f>+P251</f>
        <v>40205075.010855563</v>
      </c>
      <c r="D324" s="81">
        <f t="shared" ref="D324:O324" si="55">+D306+D315</f>
        <v>786388.8</v>
      </c>
      <c r="E324" s="81">
        <f t="shared" si="55"/>
        <v>1337681</v>
      </c>
      <c r="F324" s="81">
        <f t="shared" si="55"/>
        <v>1174605.7</v>
      </c>
      <c r="G324" s="81">
        <f t="shared" si="55"/>
        <v>1298414.8</v>
      </c>
      <c r="H324" s="81">
        <f t="shared" si="55"/>
        <v>1399340.9</v>
      </c>
      <c r="I324" s="81">
        <f t="shared" si="55"/>
        <v>1431588.2</v>
      </c>
      <c r="J324" s="81">
        <f t="shared" si="55"/>
        <v>1182422.5</v>
      </c>
      <c r="K324" s="81">
        <f t="shared" si="55"/>
        <v>1597305.4000000001</v>
      </c>
      <c r="L324" s="81">
        <f t="shared" si="55"/>
        <v>1168547.9000000001</v>
      </c>
      <c r="M324" s="81">
        <f t="shared" si="55"/>
        <v>2009478.2000000002</v>
      </c>
      <c r="N324" s="81">
        <f t="shared" si="55"/>
        <v>1314469</v>
      </c>
      <c r="O324" s="81">
        <f t="shared" si="55"/>
        <v>1180803.5999999987</v>
      </c>
      <c r="P324" s="43">
        <f>SUM(C324:O324)</f>
        <v>56086121.010855563</v>
      </c>
    </row>
    <row r="325" spans="2:17" x14ac:dyDescent="0.35">
      <c r="B325" s="8" t="s">
        <v>136</v>
      </c>
      <c r="C325" s="42">
        <f>+P252</f>
        <v>1629727.0642857144</v>
      </c>
      <c r="D325" s="81">
        <f t="shared" ref="D325:O325" si="56">+D307+D316</f>
        <v>74165.543428571429</v>
      </c>
      <c r="E325" s="81">
        <f t="shared" si="56"/>
        <v>32297.559142857142</v>
      </c>
      <c r="F325" s="81">
        <f t="shared" si="56"/>
        <v>47795.092571428577</v>
      </c>
      <c r="G325" s="81">
        <f t="shared" si="56"/>
        <v>20057.349714285716</v>
      </c>
      <c r="H325" s="81">
        <f t="shared" si="56"/>
        <v>47608.866571428574</v>
      </c>
      <c r="I325" s="81">
        <f t="shared" si="56"/>
        <v>18787.746000000003</v>
      </c>
      <c r="J325" s="81">
        <f t="shared" si="56"/>
        <v>27861.830571428571</v>
      </c>
      <c r="K325" s="81">
        <f t="shared" si="56"/>
        <v>64518.745714285717</v>
      </c>
      <c r="L325" s="81">
        <f t="shared" si="56"/>
        <v>15188.166000000001</v>
      </c>
      <c r="M325" s="81">
        <f t="shared" si="56"/>
        <v>50886.544571428574</v>
      </c>
      <c r="N325" s="81">
        <f t="shared" si="56"/>
        <v>22849.849142857147</v>
      </c>
      <c r="O325" s="81">
        <f t="shared" si="56"/>
        <v>30868.420857142832</v>
      </c>
      <c r="P325" s="43">
        <f>SUM(C325:O325)</f>
        <v>2082612.7785714285</v>
      </c>
    </row>
    <row r="326" spans="2:17" x14ac:dyDescent="0.35">
      <c r="B326" s="8" t="s">
        <v>137</v>
      </c>
      <c r="C326" s="42">
        <f>+P253</f>
        <v>557262.56214285723</v>
      </c>
      <c r="D326" s="81">
        <f t="shared" ref="D326:O326" si="57">+D308+D317</f>
        <v>29967.911571428573</v>
      </c>
      <c r="E326" s="81">
        <f t="shared" si="57"/>
        <v>63179.872000000003</v>
      </c>
      <c r="F326" s="81">
        <f t="shared" si="57"/>
        <v>22087.449571428573</v>
      </c>
      <c r="G326" s="81">
        <f t="shared" si="57"/>
        <v>23432.004571428573</v>
      </c>
      <c r="H326" s="81">
        <f t="shared" si="57"/>
        <v>-510</v>
      </c>
      <c r="I326" s="81">
        <f t="shared" si="57"/>
        <v>21338.320000000003</v>
      </c>
      <c r="J326" s="81">
        <f t="shared" si="57"/>
        <v>7653.2101428571441</v>
      </c>
      <c r="K326" s="81">
        <f t="shared" si="57"/>
        <v>40499.209714285716</v>
      </c>
      <c r="L326" s="81">
        <f t="shared" si="57"/>
        <v>17322.950857142856</v>
      </c>
      <c r="M326" s="81">
        <f t="shared" si="57"/>
        <v>8782.7847142857154</v>
      </c>
      <c r="N326" s="81">
        <f t="shared" si="57"/>
        <v>-700</v>
      </c>
      <c r="O326" s="81">
        <f t="shared" si="57"/>
        <v>18327.143999999986</v>
      </c>
      <c r="P326" s="43">
        <f>SUM(C326:O326)</f>
        <v>808643.41928571416</v>
      </c>
    </row>
    <row r="327" spans="2:17" x14ac:dyDescent="0.35">
      <c r="B327" s="8" t="s">
        <v>157</v>
      </c>
      <c r="C327" s="46"/>
      <c r="D327" s="46">
        <f>SUM(D322:D326)</f>
        <v>1303391.4500000002</v>
      </c>
      <c r="E327" s="46">
        <f t="shared" ref="E327:O327" si="58">SUM(E322:E326)</f>
        <v>2512562.0511428574</v>
      </c>
      <c r="F327" s="46">
        <f t="shared" si="58"/>
        <v>6142452.0571428584</v>
      </c>
      <c r="G327" s="46">
        <f t="shared" si="58"/>
        <v>2632190.0892857141</v>
      </c>
      <c r="H327" s="46">
        <f t="shared" si="58"/>
        <v>4295043.5215714276</v>
      </c>
      <c r="I327" s="46">
        <f t="shared" si="58"/>
        <v>4995179.0560000008</v>
      </c>
      <c r="J327" s="46">
        <f t="shared" si="58"/>
        <v>4098371.5857142853</v>
      </c>
      <c r="K327" s="46">
        <f t="shared" si="58"/>
        <v>3284271.6554285716</v>
      </c>
      <c r="L327" s="46">
        <f t="shared" si="58"/>
        <v>5269104.1368571436</v>
      </c>
      <c r="M327" s="46">
        <f t="shared" si="58"/>
        <v>6337172.9242857136</v>
      </c>
      <c r="N327" s="46">
        <f t="shared" si="58"/>
        <v>8097315.5391428573</v>
      </c>
      <c r="O327" s="46">
        <f t="shared" si="58"/>
        <v>9258729.5048571434</v>
      </c>
      <c r="P327" s="46"/>
    </row>
    <row r="328" spans="2:17" x14ac:dyDescent="0.35">
      <c r="B328" s="8" t="s">
        <v>214</v>
      </c>
      <c r="C328" s="41">
        <f>SUM(C322:C326)</f>
        <v>166131747.76628411</v>
      </c>
      <c r="D328" s="41">
        <f t="shared" ref="D328:O328" si="59">+D327+C328</f>
        <v>167435139.2162841</v>
      </c>
      <c r="E328" s="41">
        <f t="shared" si="59"/>
        <v>169947701.26742697</v>
      </c>
      <c r="F328" s="41">
        <f t="shared" si="59"/>
        <v>176090153.32456982</v>
      </c>
      <c r="G328" s="41">
        <f t="shared" si="59"/>
        <v>178722343.41385552</v>
      </c>
      <c r="H328" s="41">
        <f t="shared" si="59"/>
        <v>183017386.93542695</v>
      </c>
      <c r="I328" s="41">
        <f t="shared" si="59"/>
        <v>188012565.99142694</v>
      </c>
      <c r="J328" s="41">
        <f t="shared" si="59"/>
        <v>192110937.57714123</v>
      </c>
      <c r="K328" s="41">
        <f t="shared" si="59"/>
        <v>195395209.23256978</v>
      </c>
      <c r="L328" s="41">
        <f t="shared" si="59"/>
        <v>200664313.36942694</v>
      </c>
      <c r="M328" s="41">
        <f t="shared" si="59"/>
        <v>207001486.29371265</v>
      </c>
      <c r="N328" s="41">
        <f t="shared" si="59"/>
        <v>215098801.83285549</v>
      </c>
      <c r="O328" s="41">
        <f t="shared" si="59"/>
        <v>224357531.33771265</v>
      </c>
      <c r="P328" s="41">
        <f>SUM(P322:P326)</f>
        <v>224357531.33771268</v>
      </c>
      <c r="Q328" s="43">
        <f>AVERAGE(C328:O328)</f>
        <v>189537332.11989948</v>
      </c>
    </row>
    <row r="329" spans="2:17" x14ac:dyDescent="0.35">
      <c r="C329" s="42"/>
      <c r="D329" s="42"/>
      <c r="E329" s="42"/>
      <c r="F329" s="42"/>
      <c r="G329" s="42"/>
      <c r="H329" s="42"/>
      <c r="I329" s="42"/>
      <c r="J329" s="42"/>
      <c r="K329" s="42"/>
      <c r="L329" s="42"/>
      <c r="M329" s="42"/>
      <c r="N329" s="42"/>
      <c r="O329" s="42"/>
      <c r="P329" s="43"/>
    </row>
    <row r="330" spans="2:17" x14ac:dyDescent="0.35">
      <c r="C330" s="42"/>
      <c r="D330" s="42"/>
      <c r="E330" s="42"/>
      <c r="F330" s="42"/>
      <c r="G330" s="42"/>
      <c r="H330" s="42"/>
      <c r="I330" s="42"/>
      <c r="J330" s="42"/>
      <c r="K330" s="42"/>
      <c r="L330" s="42"/>
      <c r="M330" s="42"/>
      <c r="N330" s="42"/>
      <c r="O330" s="42"/>
      <c r="P330" s="43"/>
    </row>
    <row r="331" spans="2:17" x14ac:dyDescent="0.35">
      <c r="C331" s="42"/>
      <c r="D331" s="42"/>
      <c r="E331" s="42"/>
      <c r="F331" s="42"/>
      <c r="G331" s="42"/>
      <c r="H331" s="42"/>
      <c r="I331" s="42"/>
      <c r="J331" s="42"/>
      <c r="K331" s="42"/>
      <c r="L331" s="42"/>
      <c r="M331" s="42"/>
      <c r="N331" s="42"/>
      <c r="O331" s="42"/>
      <c r="P331" s="43"/>
    </row>
    <row r="332" spans="2:17" x14ac:dyDescent="0.35">
      <c r="C332" s="42"/>
      <c r="D332" s="42"/>
      <c r="E332" s="42"/>
      <c r="F332" s="42"/>
      <c r="G332" s="42"/>
      <c r="H332" s="42"/>
      <c r="I332" s="42"/>
      <c r="J332" s="42"/>
      <c r="K332" s="42"/>
      <c r="L332" s="42"/>
      <c r="M332" s="42"/>
      <c r="N332" s="42"/>
      <c r="O332" s="42"/>
      <c r="P332" s="43"/>
    </row>
    <row r="333" spans="2:17" x14ac:dyDescent="0.35">
      <c r="C333" s="42"/>
      <c r="D333" s="42"/>
      <c r="E333" s="42"/>
      <c r="F333" s="42"/>
      <c r="G333" s="42"/>
      <c r="H333" s="42"/>
      <c r="I333" s="42"/>
      <c r="J333" s="42"/>
      <c r="K333" s="42"/>
      <c r="L333" s="42"/>
      <c r="M333" s="42"/>
      <c r="N333" s="42"/>
      <c r="O333" s="42"/>
      <c r="P333" s="43"/>
    </row>
    <row r="334" spans="2:17" x14ac:dyDescent="0.35">
      <c r="C334" s="42"/>
      <c r="D334" s="42"/>
      <c r="E334" s="42"/>
      <c r="F334" s="42"/>
      <c r="G334" s="42"/>
      <c r="H334" s="42"/>
      <c r="I334" s="42"/>
      <c r="J334" s="42"/>
      <c r="K334" s="42"/>
      <c r="L334" s="42"/>
      <c r="M334" s="42"/>
      <c r="N334" s="42"/>
      <c r="O334" s="42"/>
      <c r="P334" s="43"/>
    </row>
    <row r="335" spans="2:17" x14ac:dyDescent="0.35">
      <c r="C335" s="42"/>
      <c r="D335" s="42"/>
      <c r="E335" s="42"/>
      <c r="F335" s="42"/>
      <c r="G335" s="42"/>
      <c r="H335" s="42"/>
      <c r="I335" s="42"/>
      <c r="J335" s="42"/>
      <c r="K335" s="42"/>
      <c r="L335" s="42"/>
      <c r="M335" s="42"/>
      <c r="N335" s="42"/>
      <c r="O335" s="42"/>
      <c r="P335" s="43"/>
    </row>
    <row r="336" spans="2:17" x14ac:dyDescent="0.35">
      <c r="C336" s="42"/>
      <c r="D336" s="42"/>
      <c r="E336" s="42"/>
      <c r="F336" s="42"/>
      <c r="G336" s="42"/>
      <c r="H336" s="42"/>
      <c r="I336" s="42"/>
      <c r="J336" s="42"/>
      <c r="K336" s="42"/>
      <c r="L336" s="42"/>
      <c r="M336" s="42"/>
      <c r="N336" s="42"/>
      <c r="O336" s="42"/>
      <c r="P336" s="43"/>
    </row>
    <row r="337" spans="3:17" x14ac:dyDescent="0.35">
      <c r="C337" s="42"/>
      <c r="D337" s="42"/>
      <c r="E337" s="42"/>
      <c r="F337" s="42"/>
      <c r="G337" s="42"/>
      <c r="H337" s="42"/>
      <c r="I337" s="42"/>
      <c r="J337" s="42"/>
      <c r="K337" s="42"/>
      <c r="L337" s="42"/>
      <c r="M337" s="42"/>
      <c r="N337" s="42"/>
      <c r="O337" s="42"/>
      <c r="P337" s="43"/>
    </row>
    <row r="338" spans="3:17" x14ac:dyDescent="0.35">
      <c r="C338" s="42"/>
      <c r="D338" s="42"/>
      <c r="E338" s="42"/>
      <c r="F338" s="42"/>
      <c r="G338" s="42"/>
      <c r="H338" s="42"/>
      <c r="I338" s="42"/>
      <c r="J338" s="42"/>
      <c r="K338" s="42"/>
      <c r="L338" s="42"/>
      <c r="M338" s="42"/>
      <c r="N338" s="42"/>
      <c r="O338" s="42"/>
      <c r="P338" s="43"/>
    </row>
    <row r="339" spans="3:17" x14ac:dyDescent="0.35">
      <c r="C339" s="42"/>
      <c r="D339" s="42"/>
      <c r="E339" s="42"/>
      <c r="F339" s="42"/>
      <c r="G339" s="42"/>
      <c r="H339" s="42"/>
      <c r="I339" s="42"/>
      <c r="J339" s="42"/>
      <c r="K339" s="42"/>
      <c r="L339" s="42"/>
      <c r="M339" s="42"/>
      <c r="N339" s="42"/>
      <c r="O339" s="42"/>
      <c r="P339" s="43"/>
    </row>
    <row r="340" spans="3:17" x14ac:dyDescent="0.35">
      <c r="C340" s="42"/>
      <c r="D340" s="42"/>
      <c r="E340" s="42"/>
      <c r="F340" s="42"/>
      <c r="G340" s="42"/>
      <c r="H340" s="42"/>
      <c r="I340" s="42"/>
      <c r="J340" s="42"/>
      <c r="K340" s="42"/>
      <c r="L340" s="42"/>
      <c r="M340" s="42"/>
      <c r="N340" s="42"/>
      <c r="O340" s="42"/>
      <c r="P340" s="43"/>
    </row>
    <row r="341" spans="3:17" x14ac:dyDescent="0.35">
      <c r="C341" s="41"/>
      <c r="D341" s="41"/>
      <c r="E341" s="41"/>
      <c r="F341" s="41"/>
      <c r="G341" s="41"/>
      <c r="H341" s="41"/>
      <c r="I341" s="41"/>
      <c r="J341" s="41"/>
      <c r="K341" s="41"/>
      <c r="L341" s="41"/>
      <c r="M341" s="41"/>
      <c r="N341" s="41"/>
      <c r="O341" s="41"/>
      <c r="P341" s="41"/>
      <c r="Q341" s="43"/>
    </row>
  </sheetData>
  <mergeCells count="18">
    <mergeCell ref="A4:Q4"/>
    <mergeCell ref="A5:Q5"/>
    <mergeCell ref="A6:Q6"/>
    <mergeCell ref="D9:K9"/>
    <mergeCell ref="A148:Q148"/>
    <mergeCell ref="A74:Q74"/>
    <mergeCell ref="A75:Q75"/>
    <mergeCell ref="A76:Q76"/>
    <mergeCell ref="A147:Q147"/>
    <mergeCell ref="D79:K79"/>
    <mergeCell ref="A149:Q149"/>
    <mergeCell ref="B184:O186"/>
    <mergeCell ref="A293:Q293"/>
    <mergeCell ref="A294:Q294"/>
    <mergeCell ref="A295:Q295"/>
    <mergeCell ref="A220:Q220"/>
    <mergeCell ref="A221:Q221"/>
    <mergeCell ref="A222:Q222"/>
  </mergeCells>
  <phoneticPr fontId="3" type="noConversion"/>
  <pageMargins left="0.25" right="0.25" top="0.75" bottom="0.75" header="0.3" footer="0.3"/>
  <pageSetup scale="43" fitToHeight="3" orientation="landscape" horizontalDpi="1200" verticalDpi="1200" r:id="rId1"/>
  <rowBreaks count="4" manualBreakCount="4">
    <brk id="70" max="16" man="1"/>
    <brk id="143" max="16" man="1"/>
    <brk id="216" max="16" man="1"/>
    <brk id="289" max="1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85659-37C0-4938-8F30-57A6A6DAC290}">
  <dimension ref="A1:R373"/>
  <sheetViews>
    <sheetView topLeftCell="A245" zoomScale="60" zoomScaleNormal="60" workbookViewId="0">
      <selection activeCell="S350" sqref="S350"/>
    </sheetView>
  </sheetViews>
  <sheetFormatPr defaultColWidth="8.81640625" defaultRowHeight="15.5" x14ac:dyDescent="0.35"/>
  <cols>
    <col min="1" max="1" width="2" style="8" customWidth="1"/>
    <col min="2" max="2" width="46.1796875" style="8" bestFit="1" customWidth="1"/>
    <col min="3" max="3" width="16.81640625" style="8" bestFit="1" customWidth="1"/>
    <col min="4" max="8" width="15.453125" style="8" bestFit="1" customWidth="1"/>
    <col min="9" max="9" width="15.81640625" style="8" bestFit="1" customWidth="1"/>
    <col min="10" max="11" width="16.1796875" style="8" bestFit="1" customWidth="1"/>
    <col min="12" max="12" width="16.54296875" style="8" bestFit="1" customWidth="1"/>
    <col min="13" max="13" width="15.453125" style="8" bestFit="1" customWidth="1"/>
    <col min="14" max="14" width="16.1796875" style="8" bestFit="1" customWidth="1"/>
    <col min="15" max="15" width="16.7265625" style="8" bestFit="1" customWidth="1"/>
    <col min="16" max="16" width="24.453125" style="8" bestFit="1" customWidth="1"/>
    <col min="17" max="17" width="28.81640625" style="8" customWidth="1"/>
    <col min="18" max="16384" width="8.81640625" style="8"/>
  </cols>
  <sheetData>
    <row r="1" spans="1:17" x14ac:dyDescent="0.35">
      <c r="Q1" s="9" t="str">
        <f>'Table of Contents'!F1</f>
        <v>Case No. 2026-00306</v>
      </c>
    </row>
    <row r="2" spans="1:17" x14ac:dyDescent="0.35">
      <c r="N2" s="9"/>
      <c r="Q2" s="9" t="s">
        <v>202</v>
      </c>
    </row>
    <row r="3" spans="1:17" x14ac:dyDescent="0.35">
      <c r="N3" s="9"/>
      <c r="Q3" s="9" t="s">
        <v>293</v>
      </c>
    </row>
    <row r="4" spans="1:17" x14ac:dyDescent="0.35">
      <c r="A4" s="144" t="s">
        <v>12</v>
      </c>
      <c r="B4" s="144"/>
      <c r="C4" s="144"/>
      <c r="D4" s="144"/>
      <c r="E4" s="144"/>
      <c r="F4" s="144"/>
      <c r="G4" s="144"/>
      <c r="H4" s="144"/>
      <c r="I4" s="144"/>
      <c r="J4" s="144"/>
      <c r="K4" s="144"/>
      <c r="L4" s="144"/>
      <c r="M4" s="144"/>
      <c r="N4" s="144"/>
      <c r="O4" s="144"/>
      <c r="P4" s="144"/>
      <c r="Q4" s="144"/>
    </row>
    <row r="5" spans="1:17" x14ac:dyDescent="0.35">
      <c r="A5" s="144" t="s">
        <v>109</v>
      </c>
      <c r="B5" s="144"/>
      <c r="C5" s="144"/>
      <c r="D5" s="144"/>
      <c r="E5" s="144"/>
      <c r="F5" s="144"/>
      <c r="G5" s="144"/>
      <c r="H5" s="144"/>
      <c r="I5" s="144"/>
      <c r="J5" s="144"/>
      <c r="K5" s="144"/>
      <c r="L5" s="144"/>
      <c r="M5" s="144"/>
      <c r="N5" s="144"/>
      <c r="O5" s="144"/>
      <c r="P5" s="144"/>
      <c r="Q5" s="144"/>
    </row>
    <row r="6" spans="1:17" x14ac:dyDescent="0.35">
      <c r="A6" s="144" t="s">
        <v>280</v>
      </c>
      <c r="B6" s="144"/>
      <c r="C6" s="144"/>
      <c r="D6" s="144"/>
      <c r="E6" s="144"/>
      <c r="F6" s="144"/>
      <c r="G6" s="144"/>
      <c r="H6" s="144"/>
      <c r="I6" s="144"/>
      <c r="J6" s="144"/>
      <c r="K6" s="144"/>
      <c r="L6" s="144"/>
      <c r="M6" s="144"/>
      <c r="N6" s="144"/>
      <c r="O6" s="144"/>
      <c r="P6" s="144"/>
      <c r="Q6" s="144"/>
    </row>
    <row r="7" spans="1:17" x14ac:dyDescent="0.35">
      <c r="A7" s="10"/>
      <c r="B7" s="10"/>
      <c r="C7" s="10"/>
      <c r="D7" s="10"/>
      <c r="E7" s="10"/>
      <c r="F7" s="10"/>
      <c r="G7" s="10"/>
      <c r="H7" s="10"/>
      <c r="I7" s="10"/>
      <c r="J7" s="10"/>
      <c r="K7" s="10"/>
      <c r="L7" s="10"/>
      <c r="M7" s="10"/>
      <c r="N7" s="10"/>
      <c r="O7" s="10"/>
      <c r="P7" s="10"/>
      <c r="Q7" s="10"/>
    </row>
    <row r="8" spans="1:17" x14ac:dyDescent="0.35">
      <c r="A8" s="10"/>
      <c r="B8" s="10"/>
      <c r="C8" s="10"/>
      <c r="D8" s="10"/>
      <c r="E8" s="10"/>
      <c r="F8" s="10"/>
      <c r="G8" s="10"/>
      <c r="H8" s="10"/>
      <c r="I8" s="10"/>
      <c r="J8" s="10"/>
      <c r="K8" s="10"/>
      <c r="L8" s="10"/>
      <c r="M8" s="10"/>
      <c r="N8" s="10"/>
      <c r="O8" s="10"/>
      <c r="P8" s="10"/>
      <c r="Q8" s="10"/>
    </row>
    <row r="9" spans="1:17" x14ac:dyDescent="0.35">
      <c r="A9" s="10"/>
      <c r="B9" s="10"/>
      <c r="C9" s="10"/>
      <c r="D9" s="10"/>
      <c r="E9" s="10"/>
      <c r="F9" s="10"/>
      <c r="G9" s="10"/>
      <c r="H9" s="10"/>
      <c r="I9" s="10"/>
      <c r="J9" s="10"/>
      <c r="K9" s="10"/>
      <c r="L9" s="10"/>
      <c r="M9" s="10"/>
      <c r="N9" s="10"/>
      <c r="O9" s="10"/>
      <c r="P9" s="10"/>
      <c r="Q9" s="10"/>
    </row>
    <row r="10" spans="1:17" x14ac:dyDescent="0.35">
      <c r="I10" s="10"/>
      <c r="J10" s="10"/>
      <c r="K10" s="10"/>
      <c r="Q10" s="43"/>
    </row>
    <row r="11" spans="1:17" x14ac:dyDescent="0.35">
      <c r="C11" s="10">
        <v>2022</v>
      </c>
      <c r="D11" s="10">
        <f>+C11+1</f>
        <v>2023</v>
      </c>
      <c r="E11" s="10">
        <f t="shared" ref="E11:Q11" si="0">+D11</f>
        <v>2023</v>
      </c>
      <c r="F11" s="10">
        <f t="shared" si="0"/>
        <v>2023</v>
      </c>
      <c r="G11" s="10">
        <f t="shared" si="0"/>
        <v>2023</v>
      </c>
      <c r="H11" s="10">
        <f t="shared" si="0"/>
        <v>2023</v>
      </c>
      <c r="I11" s="10">
        <f t="shared" si="0"/>
        <v>2023</v>
      </c>
      <c r="J11" s="10">
        <f t="shared" si="0"/>
        <v>2023</v>
      </c>
      <c r="K11" s="10">
        <f t="shared" si="0"/>
        <v>2023</v>
      </c>
      <c r="L11" s="10">
        <f t="shared" si="0"/>
        <v>2023</v>
      </c>
      <c r="M11" s="10">
        <f t="shared" si="0"/>
        <v>2023</v>
      </c>
      <c r="N11" s="10">
        <f t="shared" si="0"/>
        <v>2023</v>
      </c>
      <c r="O11" s="10">
        <f t="shared" si="0"/>
        <v>2023</v>
      </c>
      <c r="P11" s="10">
        <f t="shared" si="0"/>
        <v>2023</v>
      </c>
      <c r="Q11" s="10">
        <f t="shared" si="0"/>
        <v>2023</v>
      </c>
    </row>
    <row r="12" spans="1:17" x14ac:dyDescent="0.35">
      <c r="C12" s="10" t="s">
        <v>140</v>
      </c>
      <c r="D12" s="10" t="s">
        <v>141</v>
      </c>
      <c r="E12" s="10" t="s">
        <v>142</v>
      </c>
      <c r="F12" s="10" t="s">
        <v>143</v>
      </c>
      <c r="G12" s="10" t="s">
        <v>144</v>
      </c>
      <c r="H12" s="10" t="s">
        <v>81</v>
      </c>
      <c r="I12" s="10" t="s">
        <v>145</v>
      </c>
      <c r="J12" s="10" t="s">
        <v>146</v>
      </c>
      <c r="K12" s="10" t="s">
        <v>147</v>
      </c>
      <c r="L12" s="10" t="s">
        <v>148</v>
      </c>
      <c r="M12" s="10" t="s">
        <v>149</v>
      </c>
      <c r="N12" s="10" t="s">
        <v>150</v>
      </c>
      <c r="O12" s="10" t="s">
        <v>140</v>
      </c>
      <c r="P12" s="10" t="s">
        <v>151</v>
      </c>
      <c r="Q12" s="10" t="s">
        <v>152</v>
      </c>
    </row>
    <row r="13" spans="1:17" x14ac:dyDescent="0.35">
      <c r="C13" s="10" t="s">
        <v>92</v>
      </c>
      <c r="D13" s="10" t="s">
        <v>257</v>
      </c>
      <c r="E13" s="10" t="s">
        <v>257</v>
      </c>
      <c r="F13" s="10" t="s">
        <v>257</v>
      </c>
      <c r="G13" s="10" t="s">
        <v>257</v>
      </c>
      <c r="H13" s="10" t="s">
        <v>257</v>
      </c>
      <c r="I13" s="10" t="s">
        <v>257</v>
      </c>
      <c r="J13" s="10" t="s">
        <v>257</v>
      </c>
      <c r="K13" s="10" t="s">
        <v>257</v>
      </c>
      <c r="L13" s="10" t="s">
        <v>257</v>
      </c>
      <c r="M13" s="10" t="s">
        <v>257</v>
      </c>
      <c r="N13" s="10" t="s">
        <v>257</v>
      </c>
      <c r="O13" s="10" t="s">
        <v>257</v>
      </c>
      <c r="P13" s="11"/>
      <c r="Q13" s="11"/>
    </row>
    <row r="15" spans="1:17" x14ac:dyDescent="0.35">
      <c r="B15" s="79" t="s">
        <v>118</v>
      </c>
    </row>
    <row r="16" spans="1:17" x14ac:dyDescent="0.35">
      <c r="B16" s="8" t="s">
        <v>133</v>
      </c>
      <c r="C16" s="42">
        <v>0</v>
      </c>
      <c r="D16" s="42">
        <f>-'5.0 Depr Expense'!E20</f>
        <v>-57.859000000000002</v>
      </c>
      <c r="E16" s="42">
        <f>-'5.0 Depr Expense'!F20</f>
        <v>-738.87800000000004</v>
      </c>
      <c r="F16" s="42">
        <f>-'5.0 Depr Expense'!G20</f>
        <v>-4207.0309999999999</v>
      </c>
      <c r="G16" s="42">
        <f>-'5.0 Depr Expense'!H20</f>
        <v>-7638.1909999999998</v>
      </c>
      <c r="H16" s="42">
        <f>-'5.0 Depr Expense'!I20</f>
        <v>-10390.367</v>
      </c>
      <c r="I16" s="42">
        <f>-'5.0 Depr Expense'!J20</f>
        <v>-15353.328</v>
      </c>
      <c r="J16" s="42">
        <f>-'5.0 Depr Expense'!K20</f>
        <v>-20411.886999999999</v>
      </c>
      <c r="K16" s="42">
        <f>-'5.0 Depr Expense'!L20</f>
        <v>-23652.373</v>
      </c>
      <c r="L16" s="42">
        <f>-'5.0 Depr Expense'!M20</f>
        <v>-28074.769</v>
      </c>
      <c r="M16" s="42">
        <f>-'5.0 Depr Expense'!N20</f>
        <v>-32450.468000000001</v>
      </c>
      <c r="N16" s="42">
        <f>-'5.0 Depr Expense'!O20</f>
        <v>-35916.550000000003</v>
      </c>
      <c r="O16" s="42">
        <f>-'5.0 Depr Expense'!P20</f>
        <v>-41475.421000000002</v>
      </c>
      <c r="P16" s="43">
        <f>SUM(C16:O16)</f>
        <v>-220367.122</v>
      </c>
    </row>
    <row r="17" spans="2:16" x14ac:dyDescent="0.35">
      <c r="B17" s="8" t="s">
        <v>134</v>
      </c>
      <c r="C17" s="42">
        <v>0</v>
      </c>
      <c r="D17" s="42">
        <f>-'5.0 Depr Expense'!E30</f>
        <v>7.9550000000000001</v>
      </c>
      <c r="E17" s="42">
        <f>-'5.0 Depr Expense'!F30</f>
        <v>22.396999999999998</v>
      </c>
      <c r="F17" s="42">
        <f>-'5.0 Depr Expense'!G30</f>
        <v>47.106000000000002</v>
      </c>
      <c r="G17" s="42">
        <f>-'5.0 Depr Expense'!H30</f>
        <v>66.763999999999996</v>
      </c>
      <c r="H17" s="42">
        <f>-'5.0 Depr Expense'!I30</f>
        <v>77.983000000000004</v>
      </c>
      <c r="I17" s="42">
        <f>-'5.0 Depr Expense'!J30</f>
        <v>191.53800000000001</v>
      </c>
      <c r="J17" s="42">
        <f>-'5.0 Depr Expense'!K30</f>
        <v>390.44600000000003</v>
      </c>
      <c r="K17" s="42">
        <f>-'5.0 Depr Expense'!L30</f>
        <v>563.44399999999996</v>
      </c>
      <c r="L17" s="42">
        <f>-'5.0 Depr Expense'!M30</f>
        <v>685.53899999999999</v>
      </c>
      <c r="M17" s="42">
        <f>-'5.0 Depr Expense'!N30</f>
        <v>730</v>
      </c>
      <c r="N17" s="42">
        <f>-'5.0 Depr Expense'!O30</f>
        <v>730.53300000000002</v>
      </c>
      <c r="O17" s="42">
        <f>-'5.0 Depr Expense'!P30</f>
        <v>775.22699999999998</v>
      </c>
      <c r="P17" s="43">
        <f>SUM(C17:O17)</f>
        <v>4288.9319999999998</v>
      </c>
    </row>
    <row r="18" spans="2:16" x14ac:dyDescent="0.35">
      <c r="B18" s="8" t="s">
        <v>135</v>
      </c>
      <c r="C18" s="42">
        <v>0</v>
      </c>
      <c r="D18" s="42">
        <f>-'5.0 Depr Expense'!E40</f>
        <v>-948.98800000000006</v>
      </c>
      <c r="E18" s="42">
        <f>-'5.0 Depr Expense'!F40</f>
        <v>-3408.5969999999998</v>
      </c>
      <c r="F18" s="42">
        <f>-'5.0 Depr Expense'!G40</f>
        <v>-6417.9179999999997</v>
      </c>
      <c r="G18" s="42">
        <f>-'5.0 Depr Expense'!H40</f>
        <v>-9384.6450000000004</v>
      </c>
      <c r="H18" s="42">
        <f>-'5.0 Depr Expense'!I40</f>
        <v>-12458.898999999999</v>
      </c>
      <c r="I18" s="42">
        <f>-'5.0 Depr Expense'!J40</f>
        <v>-15336.183000000001</v>
      </c>
      <c r="J18" s="42">
        <f>-'5.0 Depr Expense'!K40</f>
        <v>-17791.894</v>
      </c>
      <c r="K18" s="42">
        <f>-'5.0 Depr Expense'!L40</f>
        <v>-20792.019</v>
      </c>
      <c r="L18" s="42">
        <f>-'5.0 Depr Expense'!M40</f>
        <v>-23941.057000000001</v>
      </c>
      <c r="M18" s="42">
        <f>-'5.0 Depr Expense'!N40</f>
        <v>-27506.7</v>
      </c>
      <c r="N18" s="42">
        <f>-'5.0 Depr Expense'!O40</f>
        <v>-30712.044999999998</v>
      </c>
      <c r="O18" s="42">
        <f>-'5.0 Depr Expense'!P40</f>
        <v>-32584.988000000001</v>
      </c>
      <c r="P18" s="43">
        <f>SUM(C18:O18)</f>
        <v>-201283.93300000002</v>
      </c>
    </row>
    <row r="19" spans="2:16" x14ac:dyDescent="0.35">
      <c r="B19" s="8" t="s">
        <v>136</v>
      </c>
      <c r="C19" s="42">
        <v>0</v>
      </c>
      <c r="D19" s="42">
        <f>-'5.0 Depr Expense'!E50</f>
        <v>-0.85299999999999998</v>
      </c>
      <c r="E19" s="42">
        <f>-'5.0 Depr Expense'!F50</f>
        <v>-0.83899999999999997</v>
      </c>
      <c r="F19" s="42">
        <f>-'5.0 Depr Expense'!G50</f>
        <v>1.6099999999999999</v>
      </c>
      <c r="G19" s="42">
        <f>-'5.0 Depr Expense'!H50</f>
        <v>5.8889999999999993</v>
      </c>
      <c r="H19" s="42">
        <f>-'5.0 Depr Expense'!I50</f>
        <v>10.481999999999999</v>
      </c>
      <c r="I19" s="42">
        <f>-'5.0 Depr Expense'!J50</f>
        <v>10.375999999999999</v>
      </c>
      <c r="J19" s="42">
        <f>-'5.0 Depr Expense'!K50</f>
        <v>7.649</v>
      </c>
      <c r="K19" s="42">
        <f>-'5.0 Depr Expense'!L50</f>
        <v>-0.70699999999999985</v>
      </c>
      <c r="L19" s="42">
        <f>-'5.0 Depr Expense'!M50</f>
        <v>-9.6880000000000006</v>
      </c>
      <c r="M19" s="42">
        <f>-'5.0 Depr Expense'!N50</f>
        <v>-19.588000000000001</v>
      </c>
      <c r="N19" s="42">
        <f>-'5.0 Depr Expense'!O50</f>
        <v>-36.817</v>
      </c>
      <c r="O19" s="42">
        <f>-'5.0 Depr Expense'!P50</f>
        <v>-50.061</v>
      </c>
      <c r="P19" s="43">
        <f>SUM(C19:O19)</f>
        <v>-82.546999999999997</v>
      </c>
    </row>
    <row r="20" spans="2:16" x14ac:dyDescent="0.35">
      <c r="B20" s="8" t="s">
        <v>137</v>
      </c>
      <c r="C20" s="42">
        <v>0</v>
      </c>
      <c r="D20" s="42">
        <f>-'5.0 Depr Expense'!E60</f>
        <v>0.153</v>
      </c>
      <c r="E20" s="42">
        <f>-'5.0 Depr Expense'!F60</f>
        <v>0.186</v>
      </c>
      <c r="F20" s="42">
        <f>-'5.0 Depr Expense'!G60</f>
        <v>1.127</v>
      </c>
      <c r="G20" s="42">
        <f>-'5.0 Depr Expense'!H60</f>
        <v>1.139</v>
      </c>
      <c r="H20" s="42">
        <f>-'5.0 Depr Expense'!I60</f>
        <v>1.282</v>
      </c>
      <c r="I20" s="42">
        <f>-'5.0 Depr Expense'!J60</f>
        <v>2.1829999999999998</v>
      </c>
      <c r="J20" s="42">
        <f>-'5.0 Depr Expense'!K60</f>
        <v>4.46</v>
      </c>
      <c r="K20" s="42">
        <f>-'5.0 Depr Expense'!L60</f>
        <v>7.1589999999999998</v>
      </c>
      <c r="L20" s="42">
        <f>-'5.0 Depr Expense'!M60</f>
        <v>7.4649999999999999</v>
      </c>
      <c r="M20" s="42">
        <f>-'5.0 Depr Expense'!N60</f>
        <v>8.4550000000000001</v>
      </c>
      <c r="N20" s="42">
        <f>-'5.0 Depr Expense'!O60</f>
        <v>9.5109999999999992</v>
      </c>
      <c r="O20" s="42">
        <f>-'5.0 Depr Expense'!P60</f>
        <v>10.432</v>
      </c>
      <c r="P20" s="43">
        <f>SUM(C20:O20)</f>
        <v>53.552000000000007</v>
      </c>
    </row>
    <row r="21" spans="2:16" x14ac:dyDescent="0.35">
      <c r="B21" s="8" t="s">
        <v>158</v>
      </c>
      <c r="C21" s="46"/>
      <c r="D21" s="46">
        <f>SUM(D16:D20)</f>
        <v>-999.59199999999998</v>
      </c>
      <c r="E21" s="46">
        <f t="shared" ref="E21:P21" si="1">SUM(E16:E20)</f>
        <v>-4125.7309999999998</v>
      </c>
      <c r="F21" s="46">
        <f t="shared" si="1"/>
        <v>-10575.106</v>
      </c>
      <c r="G21" s="46">
        <f t="shared" si="1"/>
        <v>-16949.044000000002</v>
      </c>
      <c r="H21" s="46">
        <f t="shared" si="1"/>
        <v>-22759.519</v>
      </c>
      <c r="I21" s="46">
        <f t="shared" si="1"/>
        <v>-30485.413999999997</v>
      </c>
      <c r="J21" s="46">
        <f t="shared" si="1"/>
        <v>-37801.226000000002</v>
      </c>
      <c r="K21" s="46">
        <f t="shared" si="1"/>
        <v>-43874.496000000006</v>
      </c>
      <c r="L21" s="46">
        <f t="shared" si="1"/>
        <v>-51332.51</v>
      </c>
      <c r="M21" s="46">
        <f t="shared" si="1"/>
        <v>-59238.301000000007</v>
      </c>
      <c r="N21" s="46">
        <f t="shared" si="1"/>
        <v>-65925.368000000002</v>
      </c>
      <c r="O21" s="46">
        <f t="shared" si="1"/>
        <v>-73324.811000000002</v>
      </c>
      <c r="P21" s="46">
        <f t="shared" si="1"/>
        <v>-417391.11800000002</v>
      </c>
    </row>
    <row r="22" spans="2:16" x14ac:dyDescent="0.35">
      <c r="B22" s="8" t="s">
        <v>159</v>
      </c>
      <c r="C22" s="41">
        <f>SUM(C16:C21)</f>
        <v>0</v>
      </c>
      <c r="D22" s="41">
        <f t="shared" ref="D22:O22" si="2">+D21+C22</f>
        <v>-999.59199999999998</v>
      </c>
      <c r="E22" s="41">
        <f t="shared" si="2"/>
        <v>-5125.3229999999994</v>
      </c>
      <c r="F22" s="41">
        <f t="shared" si="2"/>
        <v>-15700.429</v>
      </c>
      <c r="G22" s="41">
        <f t="shared" si="2"/>
        <v>-32649.473000000002</v>
      </c>
      <c r="H22" s="41">
        <f t="shared" si="2"/>
        <v>-55408.991999999998</v>
      </c>
      <c r="I22" s="41">
        <f t="shared" si="2"/>
        <v>-85894.405999999988</v>
      </c>
      <c r="J22" s="41">
        <f t="shared" si="2"/>
        <v>-123695.63199999998</v>
      </c>
      <c r="K22" s="41">
        <f t="shared" si="2"/>
        <v>-167570.128</v>
      </c>
      <c r="L22" s="41">
        <f t="shared" si="2"/>
        <v>-218902.63800000001</v>
      </c>
      <c r="M22" s="41">
        <f t="shared" si="2"/>
        <v>-278140.93900000001</v>
      </c>
      <c r="N22" s="41">
        <f t="shared" si="2"/>
        <v>-344066.30700000003</v>
      </c>
      <c r="O22" s="41">
        <f t="shared" si="2"/>
        <v>-417391.11800000002</v>
      </c>
      <c r="P22" s="41"/>
    </row>
    <row r="23" spans="2:16" x14ac:dyDescent="0.35">
      <c r="C23" s="41"/>
      <c r="D23" s="41"/>
      <c r="E23" s="41"/>
      <c r="F23" s="41"/>
      <c r="G23" s="41"/>
      <c r="H23" s="41"/>
      <c r="I23" s="41"/>
      <c r="J23" s="41"/>
      <c r="K23" s="41"/>
      <c r="L23" s="41"/>
      <c r="M23" s="41"/>
      <c r="N23" s="41"/>
      <c r="O23" s="41"/>
      <c r="P23" s="41"/>
    </row>
    <row r="24" spans="2:16" x14ac:dyDescent="0.35">
      <c r="B24" s="79" t="s">
        <v>62</v>
      </c>
    </row>
    <row r="25" spans="2:16" x14ac:dyDescent="0.35">
      <c r="B25" s="8" t="s">
        <v>133</v>
      </c>
      <c r="C25" s="42">
        <v>0</v>
      </c>
      <c r="D25" s="42">
        <f>-'5.0 Depr Expense'!E14</f>
        <v>0</v>
      </c>
      <c r="E25" s="42">
        <f>-'5.0 Depr Expense'!F14</f>
        <v>0</v>
      </c>
      <c r="F25" s="42">
        <f>-'5.0 Depr Expense'!G14</f>
        <v>0</v>
      </c>
      <c r="G25" s="42">
        <f>-'5.0 Depr Expense'!H14</f>
        <v>0</v>
      </c>
      <c r="H25" s="42">
        <f>-'5.0 Depr Expense'!I14</f>
        <v>14490.58</v>
      </c>
      <c r="I25" s="42">
        <f>-'5.0 Depr Expense'!J14</f>
        <v>207</v>
      </c>
      <c r="J25" s="42">
        <f>-'5.0 Depr Expense'!K14</f>
        <v>64.34</v>
      </c>
      <c r="K25" s="42">
        <f>-'5.0 Depr Expense'!L14</f>
        <v>207</v>
      </c>
      <c r="L25" s="42">
        <f>-'5.0 Depr Expense'!M14</f>
        <v>175288.07</v>
      </c>
      <c r="M25" s="42">
        <f>-'5.0 Depr Expense'!N14</f>
        <v>557.34</v>
      </c>
      <c r="N25" s="42">
        <f>-'5.0 Depr Expense'!O14</f>
        <v>0</v>
      </c>
      <c r="O25" s="42">
        <f>-'5.0 Depr Expense'!P14</f>
        <v>94799.38</v>
      </c>
      <c r="P25" s="43">
        <f>SUM(C25:O25)</f>
        <v>285613.71000000002</v>
      </c>
    </row>
    <row r="26" spans="2:16" x14ac:dyDescent="0.35">
      <c r="B26" s="8" t="s">
        <v>134</v>
      </c>
      <c r="C26" s="42">
        <v>0</v>
      </c>
      <c r="D26" s="42">
        <f>-'5.0 Depr Expense'!E24</f>
        <v>7576.5300000000007</v>
      </c>
      <c r="E26" s="42">
        <f>-'5.0 Depr Expense'!F24</f>
        <v>6092.8</v>
      </c>
      <c r="F26" s="42">
        <f>-'5.0 Depr Expense'!G24</f>
        <v>17244.22</v>
      </c>
      <c r="G26" s="42">
        <f>-'5.0 Depr Expense'!H24</f>
        <v>1679.98</v>
      </c>
      <c r="H26" s="42">
        <f>-'5.0 Depr Expense'!I24</f>
        <v>9507.9599999999991</v>
      </c>
      <c r="I26" s="42">
        <f>-'5.0 Depr Expense'!J24</f>
        <v>98607.48000000001</v>
      </c>
      <c r="J26" s="42">
        <f>-'5.0 Depr Expense'!K24</f>
        <v>90900.479999999996</v>
      </c>
      <c r="K26" s="42">
        <f>-'5.0 Depr Expense'!L24</f>
        <v>73755.900000000009</v>
      </c>
      <c r="L26" s="42">
        <f>-'5.0 Depr Expense'!M24</f>
        <v>42418.09</v>
      </c>
      <c r="M26" s="42">
        <f>-'5.0 Depr Expense'!N24</f>
        <v>0</v>
      </c>
      <c r="N26" s="42">
        <f>-'5.0 Depr Expense'!O24</f>
        <v>507.39</v>
      </c>
      <c r="O26" s="42">
        <f>-'5.0 Depr Expense'!P24</f>
        <v>42121.18</v>
      </c>
      <c r="P26" s="43">
        <f>SUM(C26:O26)</f>
        <v>390412.01000000007</v>
      </c>
    </row>
    <row r="27" spans="2:16" x14ac:dyDescent="0.35">
      <c r="B27" s="8" t="s">
        <v>135</v>
      </c>
      <c r="C27" s="42">
        <v>0</v>
      </c>
      <c r="D27" s="42">
        <f>-'5.0 Depr Expense'!E34</f>
        <v>277338.54684376396</v>
      </c>
      <c r="E27" s="42">
        <f>-'5.0 Depr Expense'!F34</f>
        <v>116568.9110269363</v>
      </c>
      <c r="F27" s="42">
        <f>-'5.0 Depr Expense'!G34</f>
        <v>192040.81348253199</v>
      </c>
      <c r="G27" s="42">
        <f>-'5.0 Depr Expense'!H34</f>
        <v>189065.28196242961</v>
      </c>
      <c r="H27" s="42">
        <f>-'5.0 Depr Expense'!I34</f>
        <v>292187.67817744327</v>
      </c>
      <c r="I27" s="42">
        <f>-'5.0 Depr Expense'!J34</f>
        <v>358664.11432266055</v>
      </c>
      <c r="J27" s="42">
        <f>-'5.0 Depr Expense'!K34</f>
        <v>231124.9352651996</v>
      </c>
      <c r="K27" s="42">
        <f>-'5.0 Depr Expense'!L34</f>
        <v>168870.39495231336</v>
      </c>
      <c r="L27" s="42">
        <f>-'5.0 Depr Expense'!M34</f>
        <v>273184.83045736718</v>
      </c>
      <c r="M27" s="42">
        <f>-'5.0 Depr Expense'!N34</f>
        <v>178657.54023643697</v>
      </c>
      <c r="N27" s="42">
        <f>-'5.0 Depr Expense'!O34</f>
        <v>274398.30615260021</v>
      </c>
      <c r="O27" s="42">
        <f>-'5.0 Depr Expense'!P34</f>
        <v>240285.08654995094</v>
      </c>
      <c r="P27" s="43">
        <f>SUM(C27:O27)</f>
        <v>2792386.4394296333</v>
      </c>
    </row>
    <row r="28" spans="2:16" x14ac:dyDescent="0.35">
      <c r="B28" s="8" t="s">
        <v>136</v>
      </c>
      <c r="C28" s="42">
        <v>0</v>
      </c>
      <c r="D28" s="42">
        <f>-'5.0 Depr Expense'!E44</f>
        <v>489.15000000000003</v>
      </c>
      <c r="E28" s="42">
        <f>-'5.0 Depr Expense'!F44</f>
        <v>1574.7300000000002</v>
      </c>
      <c r="F28" s="42">
        <f>-'5.0 Depr Expense'!G44</f>
        <v>2045.7900000000002</v>
      </c>
      <c r="G28" s="42">
        <f>-'5.0 Depr Expense'!H44</f>
        <v>5647.4500000000007</v>
      </c>
      <c r="H28" s="42">
        <f>-'5.0 Depr Expense'!I44</f>
        <v>3453.44</v>
      </c>
      <c r="I28" s="42">
        <f>-'5.0 Depr Expense'!J44</f>
        <v>3705.5099999999998</v>
      </c>
      <c r="J28" s="42">
        <f>-'5.0 Depr Expense'!K44</f>
        <v>5252.36</v>
      </c>
      <c r="K28" s="42">
        <f>-'5.0 Depr Expense'!L44</f>
        <v>9322.3200000000015</v>
      </c>
      <c r="L28" s="42">
        <f>-'5.0 Depr Expense'!M44</f>
        <v>4705.1100000000006</v>
      </c>
      <c r="M28" s="42">
        <f>-'5.0 Depr Expense'!N44</f>
        <v>4703.41</v>
      </c>
      <c r="N28" s="42">
        <f>-'5.0 Depr Expense'!O44</f>
        <v>3639.67</v>
      </c>
      <c r="O28" s="42">
        <f>-'5.0 Depr Expense'!P44</f>
        <v>3691.8300000000004</v>
      </c>
      <c r="P28" s="43">
        <f>SUM(C28:O28)</f>
        <v>48230.770000000004</v>
      </c>
    </row>
    <row r="29" spans="2:16" x14ac:dyDescent="0.35">
      <c r="B29" s="8" t="s">
        <v>137</v>
      </c>
      <c r="C29" s="42">
        <v>0</v>
      </c>
      <c r="D29" s="42">
        <f>-'5.0 Depr Expense'!E54</f>
        <v>188.66000000000003</v>
      </c>
      <c r="E29" s="42">
        <f>-'5.0 Depr Expense'!F54</f>
        <v>230.70000000000002</v>
      </c>
      <c r="F29" s="42">
        <f>-'5.0 Depr Expense'!G54</f>
        <v>156.80000000000001</v>
      </c>
      <c r="G29" s="42">
        <f>-'5.0 Depr Expense'!H54</f>
        <v>171.39000000000001</v>
      </c>
      <c r="H29" s="42">
        <f>-'5.0 Depr Expense'!I54</f>
        <v>348.81</v>
      </c>
      <c r="I29" s="42">
        <f>-'5.0 Depr Expense'!J54</f>
        <v>226.33</v>
      </c>
      <c r="J29" s="42">
        <f>-'5.0 Depr Expense'!K54</f>
        <v>3043.2999999999997</v>
      </c>
      <c r="K29" s="42">
        <f>-'5.0 Depr Expense'!L54</f>
        <v>197.14000000000001</v>
      </c>
      <c r="L29" s="42">
        <f>-'5.0 Depr Expense'!M54</f>
        <v>575.59</v>
      </c>
      <c r="M29" s="42">
        <f>-'5.0 Depr Expense'!N54</f>
        <v>562.87</v>
      </c>
      <c r="N29" s="42">
        <f>-'5.0 Depr Expense'!O54</f>
        <v>632.7299999999999</v>
      </c>
      <c r="O29" s="42">
        <f>-'5.0 Depr Expense'!P54</f>
        <v>534.66999999999996</v>
      </c>
      <c r="P29" s="43">
        <f>SUM(C29:O29)</f>
        <v>6868.99</v>
      </c>
    </row>
    <row r="30" spans="2:16" x14ac:dyDescent="0.35">
      <c r="B30" s="8" t="s">
        <v>155</v>
      </c>
      <c r="C30" s="46"/>
      <c r="D30" s="46">
        <f t="shared" ref="D30:P30" si="3">SUM(D25:D29)</f>
        <v>285592.88684376399</v>
      </c>
      <c r="E30" s="46">
        <f t="shared" si="3"/>
        <v>124467.1410269363</v>
      </c>
      <c r="F30" s="46">
        <f t="shared" si="3"/>
        <v>211487.62348253198</v>
      </c>
      <c r="G30" s="46">
        <f t="shared" si="3"/>
        <v>196564.10196242965</v>
      </c>
      <c r="H30" s="46">
        <f t="shared" si="3"/>
        <v>319988.46817744325</v>
      </c>
      <c r="I30" s="46">
        <f t="shared" si="3"/>
        <v>461410.43432266061</v>
      </c>
      <c r="J30" s="46">
        <f t="shared" si="3"/>
        <v>330385.41526519955</v>
      </c>
      <c r="K30" s="46">
        <f t="shared" si="3"/>
        <v>252352.75495231338</v>
      </c>
      <c r="L30" s="46">
        <f t="shared" si="3"/>
        <v>496171.69045736716</v>
      </c>
      <c r="M30" s="46">
        <f t="shared" si="3"/>
        <v>184481.16023643696</v>
      </c>
      <c r="N30" s="46">
        <f t="shared" si="3"/>
        <v>279178.09615260019</v>
      </c>
      <c r="O30" s="46">
        <f t="shared" si="3"/>
        <v>381432.14654995094</v>
      </c>
      <c r="P30" s="46">
        <f t="shared" si="3"/>
        <v>3523511.9194296338</v>
      </c>
    </row>
    <row r="31" spans="2:16" x14ac:dyDescent="0.35">
      <c r="B31" s="8" t="s">
        <v>156</v>
      </c>
      <c r="C31" s="41">
        <f>SUM(C25:C30)</f>
        <v>0</v>
      </c>
      <c r="D31" s="41">
        <f t="shared" ref="D31:O31" si="4">+D30+C31</f>
        <v>285592.88684376399</v>
      </c>
      <c r="E31" s="41">
        <f t="shared" si="4"/>
        <v>410060.02787070029</v>
      </c>
      <c r="F31" s="41">
        <f t="shared" si="4"/>
        <v>621547.65135323233</v>
      </c>
      <c r="G31" s="41">
        <f t="shared" si="4"/>
        <v>818111.75331566203</v>
      </c>
      <c r="H31" s="41">
        <f t="shared" si="4"/>
        <v>1138100.2214931054</v>
      </c>
      <c r="I31" s="41">
        <f t="shared" si="4"/>
        <v>1599510.655815766</v>
      </c>
      <c r="J31" s="41">
        <f t="shared" si="4"/>
        <v>1929896.0710809655</v>
      </c>
      <c r="K31" s="41">
        <f t="shared" si="4"/>
        <v>2182248.8260332788</v>
      </c>
      <c r="L31" s="41">
        <f t="shared" si="4"/>
        <v>2678420.5164906462</v>
      </c>
      <c r="M31" s="41">
        <f t="shared" si="4"/>
        <v>2862901.676727083</v>
      </c>
      <c r="N31" s="41">
        <f t="shared" si="4"/>
        <v>3142079.7728796834</v>
      </c>
      <c r="O31" s="41">
        <f t="shared" si="4"/>
        <v>3523511.9194296342</v>
      </c>
      <c r="P31" s="41"/>
    </row>
    <row r="33" spans="2:16" x14ac:dyDescent="0.35">
      <c r="B33" s="79" t="s">
        <v>52</v>
      </c>
    </row>
    <row r="34" spans="2:16" x14ac:dyDescent="0.35">
      <c r="B34" s="8" t="s">
        <v>242</v>
      </c>
      <c r="C34" s="42">
        <v>0</v>
      </c>
      <c r="D34" s="42">
        <v>0</v>
      </c>
      <c r="E34" s="42">
        <v>9794.68</v>
      </c>
      <c r="F34" s="42">
        <v>0</v>
      </c>
      <c r="G34" s="42">
        <v>2568.83</v>
      </c>
      <c r="H34" s="42">
        <v>939.63</v>
      </c>
      <c r="I34" s="42">
        <v>0</v>
      </c>
      <c r="J34" s="42">
        <v>8203.5400000000009</v>
      </c>
      <c r="K34" s="42">
        <v>0</v>
      </c>
      <c r="L34" s="42">
        <v>0</v>
      </c>
      <c r="M34" s="42">
        <v>65.73</v>
      </c>
      <c r="N34" s="42">
        <v>0</v>
      </c>
      <c r="O34" s="42">
        <v>0</v>
      </c>
      <c r="P34" s="43">
        <f>SUM(C34:O34)</f>
        <v>21572.41</v>
      </c>
    </row>
    <row r="35" spans="2:16" x14ac:dyDescent="0.35">
      <c r="B35" s="8" t="s">
        <v>243</v>
      </c>
      <c r="C35" s="42">
        <v>0</v>
      </c>
      <c r="D35" s="42">
        <v>685.86</v>
      </c>
      <c r="E35" s="42">
        <v>0</v>
      </c>
      <c r="F35" s="42">
        <v>970.13</v>
      </c>
      <c r="G35" s="42">
        <v>5246.21</v>
      </c>
      <c r="H35" s="42">
        <v>4099.3599999999997</v>
      </c>
      <c r="I35" s="42">
        <v>9703.0300000000007</v>
      </c>
      <c r="J35" s="42">
        <v>3350.24</v>
      </c>
      <c r="K35" s="42">
        <v>14666.38</v>
      </c>
      <c r="L35" s="42">
        <v>1626.68</v>
      </c>
      <c r="M35" s="42">
        <v>0</v>
      </c>
      <c r="N35" s="42">
        <v>945.06</v>
      </c>
      <c r="O35" s="42">
        <v>12469.08</v>
      </c>
      <c r="P35" s="43">
        <f>SUM(C35:O35)</f>
        <v>53762.03</v>
      </c>
    </row>
    <row r="36" spans="2:16" x14ac:dyDescent="0.35">
      <c r="B36" s="8" t="s">
        <v>219</v>
      </c>
      <c r="C36" s="42">
        <v>0</v>
      </c>
      <c r="D36" s="42">
        <v>467104.37436399999</v>
      </c>
      <c r="E36" s="42">
        <v>83958.337339999998</v>
      </c>
      <c r="F36" s="42">
        <v>92751.653088000006</v>
      </c>
      <c r="G36" s="42">
        <v>125279.384428</v>
      </c>
      <c r="H36" s="42">
        <v>136891.883107</v>
      </c>
      <c r="I36" s="42">
        <v>133263.05598800001</v>
      </c>
      <c r="J36" s="42">
        <v>147739.33692500001</v>
      </c>
      <c r="K36" s="42">
        <v>166411.49952499999</v>
      </c>
      <c r="L36" s="42">
        <v>141814.28255199999</v>
      </c>
      <c r="M36" s="42">
        <v>171317.10853699999</v>
      </c>
      <c r="N36" s="42">
        <v>176170.76146000001</v>
      </c>
      <c r="O36" s="42">
        <v>133360.562278</v>
      </c>
      <c r="P36" s="43">
        <f>SUM(C36:O36)</f>
        <v>1976062.2395919999</v>
      </c>
    </row>
    <row r="37" spans="2:16" x14ac:dyDescent="0.35">
      <c r="B37" s="8" t="s">
        <v>136</v>
      </c>
      <c r="C37" s="42">
        <v>0</v>
      </c>
      <c r="D37" s="42">
        <v>0</v>
      </c>
      <c r="E37" s="42">
        <v>0</v>
      </c>
      <c r="F37" s="42">
        <v>0</v>
      </c>
      <c r="G37" s="42">
        <v>0</v>
      </c>
      <c r="H37" s="42">
        <v>0</v>
      </c>
      <c r="I37" s="42">
        <v>0</v>
      </c>
      <c r="J37" s="42">
        <v>0</v>
      </c>
      <c r="K37" s="42">
        <v>0</v>
      </c>
      <c r="L37" s="42">
        <v>0</v>
      </c>
      <c r="M37" s="42">
        <v>0</v>
      </c>
      <c r="N37" s="42">
        <v>0</v>
      </c>
      <c r="O37" s="42">
        <v>0</v>
      </c>
      <c r="P37" s="43">
        <f>SUM(C37:O37)</f>
        <v>0</v>
      </c>
    </row>
    <row r="38" spans="2:16" x14ac:dyDescent="0.35">
      <c r="B38" s="8" t="s">
        <v>137</v>
      </c>
      <c r="C38" s="42">
        <v>0</v>
      </c>
      <c r="D38" s="42">
        <v>0</v>
      </c>
      <c r="E38" s="42">
        <v>0</v>
      </c>
      <c r="F38" s="42">
        <v>0</v>
      </c>
      <c r="G38" s="42">
        <v>0</v>
      </c>
      <c r="H38" s="42">
        <v>0</v>
      </c>
      <c r="I38" s="42">
        <v>0</v>
      </c>
      <c r="J38" s="42">
        <v>0</v>
      </c>
      <c r="K38" s="42">
        <v>0</v>
      </c>
      <c r="L38" s="42">
        <v>0</v>
      </c>
      <c r="M38" s="42">
        <v>0</v>
      </c>
      <c r="N38" s="42">
        <v>0</v>
      </c>
      <c r="O38" s="42">
        <v>0</v>
      </c>
      <c r="P38" s="43">
        <f>SUM(C38:O38)</f>
        <v>0</v>
      </c>
    </row>
    <row r="39" spans="2:16" x14ac:dyDescent="0.35">
      <c r="B39" s="8" t="s">
        <v>160</v>
      </c>
      <c r="C39" s="46"/>
      <c r="D39" s="46">
        <f t="shared" ref="D39:P39" si="5">SUM(D34:D38)</f>
        <v>467790.23436399997</v>
      </c>
      <c r="E39" s="46">
        <f t="shared" si="5"/>
        <v>93753.017339999991</v>
      </c>
      <c r="F39" s="46">
        <f t="shared" si="5"/>
        <v>93721.783088000011</v>
      </c>
      <c r="G39" s="46">
        <f t="shared" si="5"/>
        <v>133094.424428</v>
      </c>
      <c r="H39" s="46">
        <f t="shared" si="5"/>
        <v>141930.87310699999</v>
      </c>
      <c r="I39" s="46">
        <f t="shared" si="5"/>
        <v>142966.08598800001</v>
      </c>
      <c r="J39" s="46">
        <f t="shared" si="5"/>
        <v>159293.11692500001</v>
      </c>
      <c r="K39" s="46">
        <f t="shared" si="5"/>
        <v>181077.879525</v>
      </c>
      <c r="L39" s="46">
        <f t="shared" si="5"/>
        <v>143440.96255199998</v>
      </c>
      <c r="M39" s="46">
        <f t="shared" si="5"/>
        <v>171382.838537</v>
      </c>
      <c r="N39" s="46">
        <f t="shared" si="5"/>
        <v>177115.82146000001</v>
      </c>
      <c r="O39" s="46">
        <f t="shared" si="5"/>
        <v>145829.64227799998</v>
      </c>
      <c r="P39" s="46">
        <f t="shared" si="5"/>
        <v>2051396.6795919999</v>
      </c>
    </row>
    <row r="40" spans="2:16" x14ac:dyDescent="0.35">
      <c r="B40" s="8" t="s">
        <v>161</v>
      </c>
      <c r="C40" s="41">
        <f>SUM(C34:C39)</f>
        <v>0</v>
      </c>
      <c r="D40" s="41">
        <f t="shared" ref="D40:O40" si="6">+D39+C40</f>
        <v>467790.23436399997</v>
      </c>
      <c r="E40" s="41">
        <f t="shared" si="6"/>
        <v>561543.25170399994</v>
      </c>
      <c r="F40" s="41">
        <f t="shared" si="6"/>
        <v>655265.03479199996</v>
      </c>
      <c r="G40" s="41">
        <f t="shared" si="6"/>
        <v>788359.45921999996</v>
      </c>
      <c r="H40" s="41">
        <f t="shared" si="6"/>
        <v>930290.33232699998</v>
      </c>
      <c r="I40" s="41">
        <f t="shared" si="6"/>
        <v>1073256.4183149999</v>
      </c>
      <c r="J40" s="41">
        <f t="shared" si="6"/>
        <v>1232549.5352399999</v>
      </c>
      <c r="K40" s="41">
        <f t="shared" si="6"/>
        <v>1413627.4147649999</v>
      </c>
      <c r="L40" s="41">
        <f t="shared" si="6"/>
        <v>1557068.3773169999</v>
      </c>
      <c r="M40" s="41">
        <f t="shared" si="6"/>
        <v>1728451.2158539998</v>
      </c>
      <c r="N40" s="41">
        <f t="shared" si="6"/>
        <v>1905567.0373139998</v>
      </c>
      <c r="O40" s="41">
        <f t="shared" si="6"/>
        <v>2051396.6795919999</v>
      </c>
      <c r="P40" s="41"/>
    </row>
    <row r="42" spans="2:16" x14ac:dyDescent="0.35">
      <c r="B42" s="79" t="s">
        <v>170</v>
      </c>
    </row>
    <row r="43" spans="2:16" x14ac:dyDescent="0.35">
      <c r="B43" s="8" t="s">
        <v>133</v>
      </c>
      <c r="C43" s="81">
        <f>+C16+C25+C34</f>
        <v>0</v>
      </c>
      <c r="D43" s="81">
        <f>+D16+D25+D34</f>
        <v>-57.859000000000002</v>
      </c>
      <c r="E43" s="81">
        <f t="shared" ref="E43:O43" si="7">+E16+E25+E34</f>
        <v>9055.8019999999997</v>
      </c>
      <c r="F43" s="81">
        <f t="shared" si="7"/>
        <v>-4207.0309999999999</v>
      </c>
      <c r="G43" s="81">
        <f t="shared" si="7"/>
        <v>-5069.3609999999999</v>
      </c>
      <c r="H43" s="81">
        <f t="shared" si="7"/>
        <v>5039.8429999999998</v>
      </c>
      <c r="I43" s="81">
        <f t="shared" si="7"/>
        <v>-15146.328</v>
      </c>
      <c r="J43" s="81">
        <f t="shared" si="7"/>
        <v>-12144.006999999998</v>
      </c>
      <c r="K43" s="81">
        <f t="shared" si="7"/>
        <v>-23445.373</v>
      </c>
      <c r="L43" s="81">
        <f t="shared" si="7"/>
        <v>147213.30100000001</v>
      </c>
      <c r="M43" s="81">
        <f t="shared" si="7"/>
        <v>-31827.398000000001</v>
      </c>
      <c r="N43" s="81">
        <f t="shared" si="7"/>
        <v>-35916.550000000003</v>
      </c>
      <c r="O43" s="81">
        <f t="shared" si="7"/>
        <v>53323.959000000003</v>
      </c>
      <c r="P43" s="43">
        <f>SUM(C43:O43)</f>
        <v>86818.998000000007</v>
      </c>
    </row>
    <row r="44" spans="2:16" x14ac:dyDescent="0.35">
      <c r="B44" s="8" t="s">
        <v>134</v>
      </c>
      <c r="C44" s="81">
        <f>+C17+C26+C35</f>
        <v>0</v>
      </c>
      <c r="D44" s="81">
        <f t="shared" ref="D44:O44" si="8">+D17+D26+D35</f>
        <v>8270.3450000000012</v>
      </c>
      <c r="E44" s="81">
        <f t="shared" si="8"/>
        <v>6115.1970000000001</v>
      </c>
      <c r="F44" s="81">
        <f t="shared" si="8"/>
        <v>18261.456000000002</v>
      </c>
      <c r="G44" s="81">
        <f t="shared" si="8"/>
        <v>6992.9539999999997</v>
      </c>
      <c r="H44" s="81">
        <f t="shared" si="8"/>
        <v>13685.303</v>
      </c>
      <c r="I44" s="81">
        <f t="shared" si="8"/>
        <v>108502.04800000001</v>
      </c>
      <c r="J44" s="81">
        <f t="shared" si="8"/>
        <v>94641.165999999997</v>
      </c>
      <c r="K44" s="81">
        <f t="shared" si="8"/>
        <v>88985.724000000017</v>
      </c>
      <c r="L44" s="81">
        <f t="shared" si="8"/>
        <v>44730.308999999994</v>
      </c>
      <c r="M44" s="81">
        <f t="shared" si="8"/>
        <v>730</v>
      </c>
      <c r="N44" s="81">
        <f t="shared" si="8"/>
        <v>2182.9830000000002</v>
      </c>
      <c r="O44" s="81">
        <f t="shared" si="8"/>
        <v>55365.487000000001</v>
      </c>
      <c r="P44" s="43">
        <f>SUM(C44:O44)</f>
        <v>448462.97200000007</v>
      </c>
    </row>
    <row r="45" spans="2:16" x14ac:dyDescent="0.35">
      <c r="B45" s="8" t="s">
        <v>135</v>
      </c>
      <c r="C45" s="81">
        <f>+C18+C27+C36</f>
        <v>0</v>
      </c>
      <c r="D45" s="81">
        <f t="shared" ref="D45:O45" si="9">+D18+D27+D36</f>
        <v>743493.93320776394</v>
      </c>
      <c r="E45" s="81">
        <f t="shared" si="9"/>
        <v>197118.6513669363</v>
      </c>
      <c r="F45" s="81">
        <f t="shared" si="9"/>
        <v>278374.548570532</v>
      </c>
      <c r="G45" s="81">
        <f t="shared" si="9"/>
        <v>304960.02139042964</v>
      </c>
      <c r="H45" s="81">
        <f t="shared" si="9"/>
        <v>416620.66228444327</v>
      </c>
      <c r="I45" s="81">
        <f t="shared" si="9"/>
        <v>476590.98731066054</v>
      </c>
      <c r="J45" s="81">
        <f t="shared" si="9"/>
        <v>361072.37819019961</v>
      </c>
      <c r="K45" s="81">
        <f t="shared" si="9"/>
        <v>314489.87547731336</v>
      </c>
      <c r="L45" s="81">
        <f t="shared" si="9"/>
        <v>391058.05600936717</v>
      </c>
      <c r="M45" s="81">
        <f t="shared" si="9"/>
        <v>322467.94877343695</v>
      </c>
      <c r="N45" s="81">
        <f t="shared" si="9"/>
        <v>419857.02261260024</v>
      </c>
      <c r="O45" s="81">
        <f t="shared" si="9"/>
        <v>341060.66082795092</v>
      </c>
      <c r="P45" s="43">
        <f>SUM(C45:O45)</f>
        <v>4567164.746021634</v>
      </c>
    </row>
    <row r="46" spans="2:16" x14ac:dyDescent="0.35">
      <c r="B46" s="8" t="s">
        <v>136</v>
      </c>
      <c r="C46" s="81">
        <f>+C19+C28+C37</f>
        <v>0</v>
      </c>
      <c r="D46" s="81">
        <f t="shared" ref="D46:O46" si="10">+D19+D28+D37</f>
        <v>488.29700000000003</v>
      </c>
      <c r="E46" s="81">
        <f t="shared" si="10"/>
        <v>1573.8910000000003</v>
      </c>
      <c r="F46" s="81">
        <f t="shared" si="10"/>
        <v>2047.4</v>
      </c>
      <c r="G46" s="81">
        <f t="shared" si="10"/>
        <v>5653.3390000000009</v>
      </c>
      <c r="H46" s="81">
        <f t="shared" si="10"/>
        <v>3463.922</v>
      </c>
      <c r="I46" s="81">
        <f t="shared" si="10"/>
        <v>3715.886</v>
      </c>
      <c r="J46" s="81">
        <f t="shared" si="10"/>
        <v>5260.009</v>
      </c>
      <c r="K46" s="81">
        <f t="shared" si="10"/>
        <v>9321.6130000000012</v>
      </c>
      <c r="L46" s="81">
        <f t="shared" si="10"/>
        <v>4695.4220000000005</v>
      </c>
      <c r="M46" s="81">
        <f t="shared" si="10"/>
        <v>4683.8220000000001</v>
      </c>
      <c r="N46" s="81">
        <f t="shared" si="10"/>
        <v>3602.8530000000001</v>
      </c>
      <c r="O46" s="81">
        <f t="shared" si="10"/>
        <v>3641.7690000000002</v>
      </c>
      <c r="P46" s="43">
        <f>SUM(C46:O46)</f>
        <v>48148.223000000005</v>
      </c>
    </row>
    <row r="47" spans="2:16" x14ac:dyDescent="0.35">
      <c r="B47" s="8" t="s">
        <v>137</v>
      </c>
      <c r="C47" s="81">
        <f>+C20+C29+C38</f>
        <v>0</v>
      </c>
      <c r="D47" s="81">
        <f t="shared" ref="D47:O47" si="11">+D20+D29+D38</f>
        <v>188.81300000000002</v>
      </c>
      <c r="E47" s="81">
        <f t="shared" si="11"/>
        <v>230.88600000000002</v>
      </c>
      <c r="F47" s="81">
        <f t="shared" si="11"/>
        <v>157.92700000000002</v>
      </c>
      <c r="G47" s="81">
        <f t="shared" si="11"/>
        <v>172.52900000000002</v>
      </c>
      <c r="H47" s="81">
        <f t="shared" si="11"/>
        <v>350.09199999999998</v>
      </c>
      <c r="I47" s="81">
        <f t="shared" si="11"/>
        <v>228.51300000000001</v>
      </c>
      <c r="J47" s="81">
        <f t="shared" si="11"/>
        <v>3047.7599999999998</v>
      </c>
      <c r="K47" s="81">
        <f t="shared" si="11"/>
        <v>204.29900000000001</v>
      </c>
      <c r="L47" s="81">
        <f t="shared" si="11"/>
        <v>583.05500000000006</v>
      </c>
      <c r="M47" s="81">
        <f t="shared" si="11"/>
        <v>571.32500000000005</v>
      </c>
      <c r="N47" s="81">
        <f t="shared" si="11"/>
        <v>642.24099999999987</v>
      </c>
      <c r="O47" s="81">
        <f t="shared" si="11"/>
        <v>545.10199999999998</v>
      </c>
      <c r="P47" s="43">
        <f>SUM(C47:O47)</f>
        <v>6922.5419999999995</v>
      </c>
    </row>
    <row r="48" spans="2:16" x14ac:dyDescent="0.35">
      <c r="B48" s="8" t="s">
        <v>171</v>
      </c>
      <c r="C48" s="46"/>
      <c r="D48" s="46">
        <f t="shared" ref="D48:P48" si="12">SUM(D43:D47)</f>
        <v>752383.52920776396</v>
      </c>
      <c r="E48" s="46">
        <f t="shared" si="12"/>
        <v>214094.42736693632</v>
      </c>
      <c r="F48" s="46">
        <f t="shared" si="12"/>
        <v>294634.30057053204</v>
      </c>
      <c r="G48" s="46">
        <f t="shared" si="12"/>
        <v>312709.48239042959</v>
      </c>
      <c r="H48" s="46">
        <f t="shared" si="12"/>
        <v>439159.8222844433</v>
      </c>
      <c r="I48" s="46">
        <f t="shared" si="12"/>
        <v>573891.1063106606</v>
      </c>
      <c r="J48" s="46">
        <f t="shared" si="12"/>
        <v>451877.30619019963</v>
      </c>
      <c r="K48" s="46">
        <f t="shared" si="12"/>
        <v>389556.13847731339</v>
      </c>
      <c r="L48" s="46">
        <f t="shared" si="12"/>
        <v>588280.14300936728</v>
      </c>
      <c r="M48" s="46">
        <f t="shared" si="12"/>
        <v>296625.69777343696</v>
      </c>
      <c r="N48" s="46">
        <f t="shared" si="12"/>
        <v>390368.54961260024</v>
      </c>
      <c r="O48" s="46">
        <f t="shared" si="12"/>
        <v>453936.9778279509</v>
      </c>
      <c r="P48" s="46">
        <f t="shared" si="12"/>
        <v>5157517.4810216343</v>
      </c>
    </row>
    <row r="49" spans="2:17" x14ac:dyDescent="0.35">
      <c r="B49" s="8" t="s">
        <v>172</v>
      </c>
      <c r="C49" s="41">
        <f>SUM(C43:C48)</f>
        <v>0</v>
      </c>
      <c r="D49" s="41">
        <f t="shared" ref="D49:O49" si="13">+D48+C49</f>
        <v>752383.52920776396</v>
      </c>
      <c r="E49" s="41">
        <f t="shared" si="13"/>
        <v>966477.95657470031</v>
      </c>
      <c r="F49" s="41">
        <f t="shared" si="13"/>
        <v>1261112.2571452323</v>
      </c>
      <c r="G49" s="41">
        <f t="shared" si="13"/>
        <v>1573821.7395356619</v>
      </c>
      <c r="H49" s="41">
        <f t="shared" si="13"/>
        <v>2012981.5618201052</v>
      </c>
      <c r="I49" s="41">
        <f t="shared" si="13"/>
        <v>2586872.6681307657</v>
      </c>
      <c r="J49" s="41">
        <f t="shared" si="13"/>
        <v>3038749.9743209654</v>
      </c>
      <c r="K49" s="41">
        <f t="shared" si="13"/>
        <v>3428306.1127982787</v>
      </c>
      <c r="L49" s="41">
        <f t="shared" si="13"/>
        <v>4016586.2558076461</v>
      </c>
      <c r="M49" s="41">
        <f t="shared" si="13"/>
        <v>4313211.9535810826</v>
      </c>
      <c r="N49" s="41">
        <f t="shared" si="13"/>
        <v>4703580.503193683</v>
      </c>
      <c r="O49" s="41">
        <f t="shared" si="13"/>
        <v>5157517.4810216343</v>
      </c>
      <c r="P49" s="41"/>
      <c r="Q49" s="43">
        <f>AVERAGE(C49:O49)</f>
        <v>2600892.4610105781</v>
      </c>
    </row>
    <row r="82" spans="1:18" x14ac:dyDescent="0.35">
      <c r="Q82" s="9" t="str">
        <f>Q1</f>
        <v>Case No. 2026-00306</v>
      </c>
    </row>
    <row r="83" spans="1:18" x14ac:dyDescent="0.35">
      <c r="N83" s="9"/>
      <c r="Q83" s="9" t="s">
        <v>202</v>
      </c>
    </row>
    <row r="84" spans="1:18" x14ac:dyDescent="0.35">
      <c r="N84" s="9"/>
      <c r="Q84" s="9" t="s">
        <v>294</v>
      </c>
    </row>
    <row r="85" spans="1:18" x14ac:dyDescent="0.35">
      <c r="A85" s="144" t="s">
        <v>12</v>
      </c>
      <c r="B85" s="144"/>
      <c r="C85" s="144"/>
      <c r="D85" s="144"/>
      <c r="E85" s="144"/>
      <c r="F85" s="144"/>
      <c r="G85" s="144"/>
      <c r="H85" s="144"/>
      <c r="I85" s="144"/>
      <c r="J85" s="144"/>
      <c r="K85" s="144"/>
      <c r="L85" s="144"/>
      <c r="M85" s="144"/>
      <c r="N85" s="144"/>
      <c r="O85" s="144"/>
      <c r="P85" s="144"/>
      <c r="Q85" s="144"/>
    </row>
    <row r="86" spans="1:18" x14ac:dyDescent="0.35">
      <c r="A86" s="144" t="s">
        <v>109</v>
      </c>
      <c r="B86" s="144"/>
      <c r="C86" s="144"/>
      <c r="D86" s="144"/>
      <c r="E86" s="144"/>
      <c r="F86" s="144"/>
      <c r="G86" s="144"/>
      <c r="H86" s="144"/>
      <c r="I86" s="144"/>
      <c r="J86" s="144"/>
      <c r="K86" s="144"/>
      <c r="L86" s="144"/>
      <c r="M86" s="144"/>
      <c r="N86" s="144"/>
      <c r="O86" s="144"/>
      <c r="P86" s="144"/>
      <c r="Q86" s="144"/>
    </row>
    <row r="87" spans="1:18" x14ac:dyDescent="0.35">
      <c r="A87" s="144" t="s">
        <v>251</v>
      </c>
      <c r="B87" s="144"/>
      <c r="C87" s="144"/>
      <c r="D87" s="144"/>
      <c r="E87" s="144"/>
      <c r="F87" s="144"/>
      <c r="G87" s="144"/>
      <c r="H87" s="144"/>
      <c r="I87" s="144"/>
      <c r="J87" s="144"/>
      <c r="K87" s="144"/>
      <c r="L87" s="144"/>
      <c r="M87" s="144"/>
      <c r="N87" s="144"/>
      <c r="O87" s="144"/>
      <c r="P87" s="144"/>
      <c r="Q87" s="144"/>
    </row>
    <row r="88" spans="1:18" x14ac:dyDescent="0.35">
      <c r="A88" s="10"/>
      <c r="B88" s="10"/>
      <c r="C88" s="10"/>
      <c r="D88" s="10"/>
      <c r="E88" s="10"/>
      <c r="F88" s="10"/>
      <c r="G88" s="10"/>
      <c r="H88" s="10"/>
      <c r="I88" s="10"/>
      <c r="J88" s="10"/>
      <c r="K88" s="10"/>
      <c r="L88" s="10"/>
      <c r="M88" s="10"/>
      <c r="N88" s="10"/>
      <c r="O88" s="10"/>
      <c r="P88" s="10"/>
      <c r="Q88" s="10"/>
    </row>
    <row r="89" spans="1:18" x14ac:dyDescent="0.35">
      <c r="A89" s="10"/>
      <c r="B89" s="10"/>
      <c r="C89" s="10"/>
      <c r="D89" s="10"/>
      <c r="E89" s="10"/>
      <c r="F89" s="10"/>
      <c r="G89" s="10"/>
      <c r="H89" s="10"/>
      <c r="I89" s="10"/>
      <c r="J89" s="10"/>
      <c r="K89" s="10"/>
      <c r="L89" s="10"/>
      <c r="M89" s="10"/>
      <c r="N89" s="10"/>
      <c r="O89" s="10"/>
      <c r="P89" s="10"/>
      <c r="Q89" s="10"/>
    </row>
    <row r="90" spans="1:18" x14ac:dyDescent="0.35">
      <c r="A90" s="10"/>
      <c r="B90" s="10"/>
      <c r="C90" s="10"/>
      <c r="D90" s="10"/>
      <c r="E90" s="10"/>
      <c r="F90" s="10"/>
      <c r="G90" s="10"/>
      <c r="H90" s="10"/>
      <c r="I90" s="10"/>
      <c r="J90" s="10"/>
      <c r="K90" s="10"/>
      <c r="L90" s="10"/>
      <c r="M90" s="10"/>
      <c r="N90" s="10"/>
      <c r="O90" s="10"/>
      <c r="P90" s="10"/>
      <c r="Q90" s="10"/>
    </row>
    <row r="91" spans="1:18" x14ac:dyDescent="0.35">
      <c r="I91" s="10"/>
      <c r="J91" s="10"/>
      <c r="K91" s="10"/>
      <c r="Q91" s="43"/>
    </row>
    <row r="92" spans="1:18" x14ac:dyDescent="0.35">
      <c r="C92" s="10">
        <v>2023</v>
      </c>
      <c r="D92" s="10">
        <f>+C92+1</f>
        <v>2024</v>
      </c>
      <c r="E92" s="10">
        <f>+D92</f>
        <v>2024</v>
      </c>
      <c r="F92" s="10">
        <f t="shared" ref="F92:P92" si="14">+E92</f>
        <v>2024</v>
      </c>
      <c r="G92" s="10">
        <f t="shared" si="14"/>
        <v>2024</v>
      </c>
      <c r="H92" s="10">
        <f t="shared" si="14"/>
        <v>2024</v>
      </c>
      <c r="I92" s="10">
        <f t="shared" si="14"/>
        <v>2024</v>
      </c>
      <c r="J92" s="10">
        <f t="shared" si="14"/>
        <v>2024</v>
      </c>
      <c r="K92" s="10">
        <f t="shared" si="14"/>
        <v>2024</v>
      </c>
      <c r="L92" s="10">
        <f t="shared" si="14"/>
        <v>2024</v>
      </c>
      <c r="M92" s="10">
        <f t="shared" si="14"/>
        <v>2024</v>
      </c>
      <c r="N92" s="10">
        <f t="shared" si="14"/>
        <v>2024</v>
      </c>
      <c r="O92" s="10">
        <f t="shared" si="14"/>
        <v>2024</v>
      </c>
      <c r="P92" s="10">
        <f t="shared" si="14"/>
        <v>2024</v>
      </c>
      <c r="Q92" s="10">
        <f>+P92</f>
        <v>2024</v>
      </c>
    </row>
    <row r="93" spans="1:18" x14ac:dyDescent="0.35">
      <c r="C93" s="10" t="s">
        <v>140</v>
      </c>
      <c r="D93" s="10" t="s">
        <v>141</v>
      </c>
      <c r="E93" s="10" t="s">
        <v>142</v>
      </c>
      <c r="F93" s="10" t="s">
        <v>143</v>
      </c>
      <c r="G93" s="10" t="s">
        <v>144</v>
      </c>
      <c r="H93" s="10" t="s">
        <v>81</v>
      </c>
      <c r="I93" s="10" t="s">
        <v>145</v>
      </c>
      <c r="J93" s="10" t="s">
        <v>146</v>
      </c>
      <c r="K93" s="10" t="s">
        <v>147</v>
      </c>
      <c r="L93" s="10" t="s">
        <v>148</v>
      </c>
      <c r="M93" s="10" t="s">
        <v>149</v>
      </c>
      <c r="N93" s="10" t="s">
        <v>150</v>
      </c>
      <c r="O93" s="10" t="s">
        <v>140</v>
      </c>
      <c r="P93" s="10" t="s">
        <v>151</v>
      </c>
      <c r="Q93" s="10" t="s">
        <v>152</v>
      </c>
    </row>
    <row r="94" spans="1:18" x14ac:dyDescent="0.35">
      <c r="C94" s="10" t="s">
        <v>92</v>
      </c>
      <c r="D94" s="10" t="s">
        <v>257</v>
      </c>
      <c r="E94" s="10" t="s">
        <v>257</v>
      </c>
      <c r="F94" s="10" t="s">
        <v>257</v>
      </c>
      <c r="G94" s="10" t="s">
        <v>257</v>
      </c>
      <c r="H94" s="10" t="s">
        <v>257</v>
      </c>
      <c r="I94" s="10" t="s">
        <v>257</v>
      </c>
      <c r="J94" s="10" t="s">
        <v>257</v>
      </c>
      <c r="K94" s="10" t="s">
        <v>257</v>
      </c>
      <c r="L94" s="10" t="s">
        <v>257</v>
      </c>
      <c r="M94" s="10" t="s">
        <v>257</v>
      </c>
      <c r="N94" s="10" t="s">
        <v>257</v>
      </c>
      <c r="O94" s="10" t="s">
        <v>257</v>
      </c>
      <c r="P94" s="11"/>
      <c r="Q94" s="11"/>
      <c r="R94" s="135"/>
    </row>
    <row r="96" spans="1:18" x14ac:dyDescent="0.35">
      <c r="B96" s="79" t="s">
        <v>118</v>
      </c>
    </row>
    <row r="97" spans="2:16" x14ac:dyDescent="0.35">
      <c r="B97" s="8" t="s">
        <v>133</v>
      </c>
      <c r="C97" s="42">
        <f>P16</f>
        <v>-220367.122</v>
      </c>
      <c r="D97" s="42">
        <f>-'5.0 Depr Expense'!E104</f>
        <v>-44855.832000000002</v>
      </c>
      <c r="E97" s="42">
        <f>-'5.0 Depr Expense'!F104</f>
        <v>-45671.527999999998</v>
      </c>
      <c r="F97" s="42">
        <f>-'5.0 Depr Expense'!G104</f>
        <v>-48186.425000000003</v>
      </c>
      <c r="G97" s="42">
        <f>-'5.0 Depr Expense'!H104</f>
        <v>-50947.5</v>
      </c>
      <c r="H97" s="42">
        <f>-'5.0 Depr Expense'!I104</f>
        <v>-52355.635999999999</v>
      </c>
      <c r="I97" s="42">
        <f>-'5.0 Depr Expense'!J104</f>
        <v>-53830.981</v>
      </c>
      <c r="J97" s="42">
        <f>-'5.0 Depr Expense'!K104</f>
        <v>-55257.59</v>
      </c>
      <c r="K97" s="42">
        <f>-'5.0 Depr Expense'!L104</f>
        <v>-56551.442000000003</v>
      </c>
      <c r="L97" s="42">
        <f>-'5.0 Depr Expense'!M104</f>
        <v>-57836.944000000003</v>
      </c>
      <c r="M97" s="42">
        <f>-'5.0 Depr Expense'!N104</f>
        <v>-61815.940999999999</v>
      </c>
      <c r="N97" s="42">
        <f>-'5.0 Depr Expense'!O104</f>
        <v>-69367.736000000004</v>
      </c>
      <c r="O97" s="42">
        <f>-'5.0 Depr Expense'!P104</f>
        <v>-78604.591</v>
      </c>
      <c r="P97" s="43">
        <f>SUM(C97:O97)</f>
        <v>-895649.26800000004</v>
      </c>
    </row>
    <row r="98" spans="2:16" x14ac:dyDescent="0.35">
      <c r="B98" s="8" t="s">
        <v>134</v>
      </c>
      <c r="C98" s="42">
        <f>P17</f>
        <v>4288.9319999999998</v>
      </c>
      <c r="D98" s="42">
        <f>-'5.0 Depr Expense'!E114</f>
        <v>820</v>
      </c>
      <c r="E98" s="42">
        <f>-'5.0 Depr Expense'!F114</f>
        <v>820</v>
      </c>
      <c r="F98" s="42">
        <f>-'5.0 Depr Expense'!G114</f>
        <v>828.63699999999994</v>
      </c>
      <c r="G98" s="42">
        <f>-'5.0 Depr Expense'!H114</f>
        <v>837</v>
      </c>
      <c r="H98" s="42">
        <f>-'5.0 Depr Expense'!I114</f>
        <v>893.56899999999996</v>
      </c>
      <c r="I98" s="42">
        <f>-'5.0 Depr Expense'!J114</f>
        <v>951.29100000000005</v>
      </c>
      <c r="J98" s="42">
        <f>-'5.0 Depr Expense'!K114</f>
        <v>953</v>
      </c>
      <c r="K98" s="42">
        <f>-'5.0 Depr Expense'!L114</f>
        <v>953</v>
      </c>
      <c r="L98" s="42">
        <f>-'5.0 Depr Expense'!M114</f>
        <v>953</v>
      </c>
      <c r="M98" s="42">
        <f>-'5.0 Depr Expense'!N114</f>
        <v>953</v>
      </c>
      <c r="N98" s="42">
        <f>-'5.0 Depr Expense'!O114</f>
        <v>953.13599999999997</v>
      </c>
      <c r="O98" s="42">
        <f>-'5.0 Depr Expense'!P114</f>
        <v>953.32500000000005</v>
      </c>
      <c r="P98" s="43">
        <f>SUM(C98:O98)</f>
        <v>15157.89</v>
      </c>
    </row>
    <row r="99" spans="2:16" x14ac:dyDescent="0.35">
      <c r="B99" s="8" t="s">
        <v>135</v>
      </c>
      <c r="C99" s="42">
        <f>P18</f>
        <v>-201283.93300000002</v>
      </c>
      <c r="D99" s="42">
        <f>-'5.0 Depr Expense'!E124</f>
        <v>-34226.629999999997</v>
      </c>
      <c r="E99" s="42">
        <f>-'5.0 Depr Expense'!F124</f>
        <v>-36333.550999999999</v>
      </c>
      <c r="F99" s="42">
        <f>-'5.0 Depr Expense'!G124</f>
        <v>-38723.605000000003</v>
      </c>
      <c r="G99" s="42">
        <f>-'5.0 Depr Expense'!H124</f>
        <v>-41071.245999999999</v>
      </c>
      <c r="H99" s="42">
        <f>-'5.0 Depr Expense'!I124</f>
        <v>-43795.574999999997</v>
      </c>
      <c r="I99" s="42">
        <f>-'5.0 Depr Expense'!J124</f>
        <v>-47004.487999999998</v>
      </c>
      <c r="J99" s="42">
        <f>-'5.0 Depr Expense'!K124</f>
        <v>-50168.05</v>
      </c>
      <c r="K99" s="42">
        <f>-'5.0 Depr Expense'!L124</f>
        <v>-53145.106</v>
      </c>
      <c r="L99" s="42">
        <f>-'5.0 Depr Expense'!M124</f>
        <v>-55942.84</v>
      </c>
      <c r="M99" s="42">
        <f>-'5.0 Depr Expense'!N124</f>
        <v>-59209.701000000001</v>
      </c>
      <c r="N99" s="42">
        <f>-'5.0 Depr Expense'!O124</f>
        <v>-63152.682999999997</v>
      </c>
      <c r="O99" s="42">
        <f>-'5.0 Depr Expense'!P124</f>
        <v>-66648.263999999996</v>
      </c>
      <c r="P99" s="43">
        <f>SUM(C99:O99)</f>
        <v>-790705.6719999999</v>
      </c>
    </row>
    <row r="100" spans="2:16" x14ac:dyDescent="0.35">
      <c r="B100" s="8" t="s">
        <v>136</v>
      </c>
      <c r="C100" s="42">
        <f>P19</f>
        <v>-82.546999999999997</v>
      </c>
      <c r="D100" s="42">
        <f>-'5.0 Depr Expense'!E134</f>
        <v>-127.127</v>
      </c>
      <c r="E100" s="42">
        <f>-'5.0 Depr Expense'!F134</f>
        <v>-231.172</v>
      </c>
      <c r="F100" s="42">
        <f>-'5.0 Depr Expense'!G134</f>
        <v>-309.11200000000002</v>
      </c>
      <c r="G100" s="42">
        <f>-'5.0 Depr Expense'!H134</f>
        <v>-376.416</v>
      </c>
      <c r="H100" s="42">
        <f>-'5.0 Depr Expense'!I134</f>
        <v>-444.23199999999997</v>
      </c>
      <c r="I100" s="42">
        <f>-'5.0 Depr Expense'!J134</f>
        <v>-505.113</v>
      </c>
      <c r="J100" s="42">
        <f>-'5.0 Depr Expense'!K134</f>
        <v>-545.35900000000004</v>
      </c>
      <c r="K100" s="42">
        <f>-'5.0 Depr Expense'!L134</f>
        <v>-622.36300000000006</v>
      </c>
      <c r="L100" s="42">
        <f>-'5.0 Depr Expense'!M134</f>
        <v>-683.98400000000004</v>
      </c>
      <c r="M100" s="42">
        <f>-'5.0 Depr Expense'!N134</f>
        <v>-731.40899999999999</v>
      </c>
      <c r="N100" s="42">
        <f>-'5.0 Depr Expense'!O134</f>
        <v>-780.13199999999995</v>
      </c>
      <c r="O100" s="42">
        <f>-'5.0 Depr Expense'!P134</f>
        <v>-814.01300000000003</v>
      </c>
      <c r="P100" s="43">
        <f>SUM(C100:O100)</f>
        <v>-6252.9789999999994</v>
      </c>
    </row>
    <row r="101" spans="2:16" x14ac:dyDescent="0.35">
      <c r="B101" s="8" t="s">
        <v>137</v>
      </c>
      <c r="C101" s="42">
        <f>P20</f>
        <v>53.552000000000007</v>
      </c>
      <c r="D101" s="42">
        <f>-'5.0 Depr Expense'!E144</f>
        <v>4.9429999999999996</v>
      </c>
      <c r="E101" s="42">
        <f>-'5.0 Depr Expense'!F144</f>
        <v>-13.814</v>
      </c>
      <c r="F101" s="42">
        <f>-'5.0 Depr Expense'!G144</f>
        <v>-30.975000000000001</v>
      </c>
      <c r="G101" s="42">
        <f>-'5.0 Depr Expense'!H144</f>
        <v>-39.89</v>
      </c>
      <c r="H101" s="42">
        <f>-'5.0 Depr Expense'!I144</f>
        <v>-43.423000000000002</v>
      </c>
      <c r="I101" s="42">
        <f>-'5.0 Depr Expense'!J144</f>
        <v>-47.165999999999997</v>
      </c>
      <c r="J101" s="42">
        <f>-'5.0 Depr Expense'!K144</f>
        <v>-53.718000000000004</v>
      </c>
      <c r="K101" s="42">
        <f>-'5.0 Depr Expense'!L144</f>
        <v>-62.942</v>
      </c>
      <c r="L101" s="42">
        <f>-'5.0 Depr Expense'!M144</f>
        <v>-74.185000000000002</v>
      </c>
      <c r="M101" s="42">
        <f>-'5.0 Depr Expense'!N144</f>
        <v>-78.468000000000004</v>
      </c>
      <c r="N101" s="42">
        <f>-'5.0 Depr Expense'!O144</f>
        <v>-78.853999999999999</v>
      </c>
      <c r="O101" s="42">
        <f>-'5.0 Depr Expense'!P144</f>
        <v>-82.174000000000007</v>
      </c>
      <c r="P101" s="43">
        <f>SUM(C101:O101)</f>
        <v>-547.11400000000003</v>
      </c>
    </row>
    <row r="102" spans="2:16" x14ac:dyDescent="0.35">
      <c r="B102" s="8" t="s">
        <v>158</v>
      </c>
      <c r="C102" s="46"/>
      <c r="D102" s="46">
        <f>SUM(D97:D101)</f>
        <v>-78384.645999999993</v>
      </c>
      <c r="E102" s="46">
        <f t="shared" ref="E102:P102" si="15">SUM(E97:E101)</f>
        <v>-81430.065000000002</v>
      </c>
      <c r="F102" s="46">
        <f t="shared" si="15"/>
        <v>-86421.48000000001</v>
      </c>
      <c r="G102" s="46">
        <f t="shared" si="15"/>
        <v>-91598.051999999996</v>
      </c>
      <c r="H102" s="46">
        <f t="shared" si="15"/>
        <v>-95745.296999999991</v>
      </c>
      <c r="I102" s="46">
        <f t="shared" si="15"/>
        <v>-100436.45699999999</v>
      </c>
      <c r="J102" s="46">
        <f t="shared" si="15"/>
        <v>-105071.71699999999</v>
      </c>
      <c r="K102" s="46">
        <f t="shared" si="15"/>
        <v>-109428.853</v>
      </c>
      <c r="L102" s="46">
        <f t="shared" si="15"/>
        <v>-113584.95299999999</v>
      </c>
      <c r="M102" s="46">
        <f t="shared" si="15"/>
        <v>-120882.51899999999</v>
      </c>
      <c r="N102" s="46">
        <f t="shared" si="15"/>
        <v>-132426.269</v>
      </c>
      <c r="O102" s="46">
        <f t="shared" si="15"/>
        <v>-145195.717</v>
      </c>
      <c r="P102" s="46">
        <f t="shared" si="15"/>
        <v>-1677997.1429999999</v>
      </c>
    </row>
    <row r="103" spans="2:16" x14ac:dyDescent="0.35">
      <c r="B103" s="8" t="s">
        <v>159</v>
      </c>
      <c r="C103" s="41">
        <f>SUM(C97:C102)</f>
        <v>-417391.11800000002</v>
      </c>
      <c r="D103" s="41">
        <f>+D102+C103</f>
        <v>-495775.76400000002</v>
      </c>
      <c r="E103" s="41">
        <f t="shared" ref="E103:O103" si="16">+E102+D103</f>
        <v>-577205.82900000003</v>
      </c>
      <c r="F103" s="41">
        <f t="shared" si="16"/>
        <v>-663627.30900000001</v>
      </c>
      <c r="G103" s="41">
        <f t="shared" si="16"/>
        <v>-755225.36100000003</v>
      </c>
      <c r="H103" s="41">
        <f t="shared" si="16"/>
        <v>-850970.65800000005</v>
      </c>
      <c r="I103" s="41">
        <f t="shared" si="16"/>
        <v>-951407.11499999999</v>
      </c>
      <c r="J103" s="41">
        <f t="shared" si="16"/>
        <v>-1056478.8319999999</v>
      </c>
      <c r="K103" s="41">
        <f t="shared" si="16"/>
        <v>-1165907.6850000001</v>
      </c>
      <c r="L103" s="41">
        <f t="shared" si="16"/>
        <v>-1279492.638</v>
      </c>
      <c r="M103" s="41">
        <f t="shared" si="16"/>
        <v>-1400375.1570000001</v>
      </c>
      <c r="N103" s="41">
        <f t="shared" si="16"/>
        <v>-1532801.4260000002</v>
      </c>
      <c r="O103" s="41">
        <f t="shared" si="16"/>
        <v>-1677997.1430000002</v>
      </c>
      <c r="P103" s="41"/>
    </row>
    <row r="104" spans="2:16" x14ac:dyDescent="0.35">
      <c r="C104" s="41"/>
      <c r="D104" s="41"/>
      <c r="E104" s="41"/>
      <c r="F104" s="41"/>
      <c r="G104" s="41"/>
      <c r="H104" s="41"/>
      <c r="I104" s="41"/>
      <c r="J104" s="41"/>
      <c r="K104" s="41"/>
      <c r="L104" s="41"/>
      <c r="M104" s="41"/>
      <c r="N104" s="41"/>
      <c r="O104" s="41"/>
      <c r="P104" s="41"/>
    </row>
    <row r="105" spans="2:16" x14ac:dyDescent="0.35">
      <c r="B105" s="79" t="s">
        <v>62</v>
      </c>
    </row>
    <row r="106" spans="2:16" x14ac:dyDescent="0.35">
      <c r="B106" s="8" t="s">
        <v>133</v>
      </c>
      <c r="C106" s="42">
        <f>P25</f>
        <v>285613.71000000002</v>
      </c>
      <c r="D106" s="42">
        <f>-'5.0 Depr Expense'!E98</f>
        <v>0</v>
      </c>
      <c r="E106" s="42">
        <f>-'5.0 Depr Expense'!F98</f>
        <v>0</v>
      </c>
      <c r="F106" s="42">
        <f>-'5.0 Depr Expense'!G98</f>
        <v>34095.33</v>
      </c>
      <c r="G106" s="42">
        <f>-'5.0 Depr Expense'!H98</f>
        <v>2475.7399999999998</v>
      </c>
      <c r="H106" s="42">
        <f>-'5.0 Depr Expense'!I98</f>
        <v>0</v>
      </c>
      <c r="I106" s="42">
        <f>-'5.0 Depr Expense'!J98</f>
        <v>12190.76</v>
      </c>
      <c r="J106" s="42">
        <f>-'5.0 Depr Expense'!K98</f>
        <v>744119.04</v>
      </c>
      <c r="K106" s="42">
        <f>-'5.0 Depr Expense'!L98</f>
        <v>18271.8</v>
      </c>
      <c r="L106" s="42">
        <f>-'5.0 Depr Expense'!M98</f>
        <v>-193737.59</v>
      </c>
      <c r="M106" s="42">
        <f>-'5.0 Depr Expense'!N98</f>
        <v>137754.31</v>
      </c>
      <c r="N106" s="42">
        <f>-'5.0 Depr Expense'!O98</f>
        <v>-7853.39</v>
      </c>
      <c r="O106" s="42">
        <f>-'5.0 Depr Expense'!P98</f>
        <v>437354.73</v>
      </c>
      <c r="P106" s="43">
        <f>SUM(C106:O106)</f>
        <v>1470284.44</v>
      </c>
    </row>
    <row r="107" spans="2:16" x14ac:dyDescent="0.35">
      <c r="B107" s="8" t="s">
        <v>134</v>
      </c>
      <c r="C107" s="42">
        <f>P26</f>
        <v>390412.01000000007</v>
      </c>
      <c r="D107" s="42">
        <f>-'5.0 Depr Expense'!E108</f>
        <v>0</v>
      </c>
      <c r="E107" s="42">
        <f>-'5.0 Depr Expense'!F108</f>
        <v>0</v>
      </c>
      <c r="F107" s="42">
        <f>-'5.0 Depr Expense'!G108</f>
        <v>8225.5300000000007</v>
      </c>
      <c r="G107" s="42">
        <f>-'5.0 Depr Expense'!H108</f>
        <v>0</v>
      </c>
      <c r="H107" s="42">
        <f>-'5.0 Depr Expense'!I108</f>
        <v>53875.33</v>
      </c>
      <c r="I107" s="42">
        <f>-'5.0 Depr Expense'!J108</f>
        <v>1229.8599999999999</v>
      </c>
      <c r="J107" s="42">
        <f>-'5.0 Depr Expense'!K108</f>
        <v>0</v>
      </c>
      <c r="K107" s="42">
        <f>-'5.0 Depr Expense'!L108</f>
        <v>0</v>
      </c>
      <c r="L107" s="42">
        <f>-'5.0 Depr Expense'!M108</f>
        <v>0</v>
      </c>
      <c r="M107" s="42">
        <f>-'5.0 Depr Expense'!N108</f>
        <v>0</v>
      </c>
      <c r="N107" s="42">
        <f>-'5.0 Depr Expense'!O108</f>
        <v>129.32</v>
      </c>
      <c r="O107" s="42">
        <f>-'5.0 Depr Expense'!P108</f>
        <v>309.87</v>
      </c>
      <c r="P107" s="43">
        <f>SUM(C107:O107)</f>
        <v>454181.9200000001</v>
      </c>
    </row>
    <row r="108" spans="2:16" x14ac:dyDescent="0.35">
      <c r="B108" s="8" t="s">
        <v>135</v>
      </c>
      <c r="C108" s="42">
        <f>P27</f>
        <v>2792386.4394296333</v>
      </c>
      <c r="D108" s="42">
        <f>-'5.0 Depr Expense'!E118</f>
        <v>80627.679999999993</v>
      </c>
      <c r="E108" s="42">
        <f>-'5.0 Depr Expense'!F118</f>
        <v>142561.49</v>
      </c>
      <c r="F108" s="42">
        <f>-'5.0 Depr Expense'!G118</f>
        <v>363834.12</v>
      </c>
      <c r="G108" s="42">
        <f>-'5.0 Depr Expense'!H118</f>
        <v>22542.799999999999</v>
      </c>
      <c r="H108" s="42">
        <f>-'5.0 Depr Expense'!I118</f>
        <v>122658.81</v>
      </c>
      <c r="I108" s="42">
        <f>-'5.0 Depr Expense'!J118</f>
        <v>187805.38</v>
      </c>
      <c r="J108" s="42">
        <f>-'5.0 Depr Expense'!K118</f>
        <v>294042.90000000002</v>
      </c>
      <c r="K108" s="42">
        <f>-'5.0 Depr Expense'!L118</f>
        <v>261287.98</v>
      </c>
      <c r="L108" s="42">
        <f>-'5.0 Depr Expense'!M118</f>
        <v>233683.67</v>
      </c>
      <c r="M108" s="42">
        <f>-'5.0 Depr Expense'!N118</f>
        <v>214091.11</v>
      </c>
      <c r="N108" s="42">
        <f>-'5.0 Depr Expense'!O118</f>
        <v>325921.15999999997</v>
      </c>
      <c r="O108" s="42">
        <f>-'5.0 Depr Expense'!P118</f>
        <v>258857.48</v>
      </c>
      <c r="P108" s="43">
        <f>SUM(C108:O108)</f>
        <v>5300301.0194296343</v>
      </c>
    </row>
    <row r="109" spans="2:16" x14ac:dyDescent="0.35">
      <c r="B109" s="8" t="s">
        <v>136</v>
      </c>
      <c r="C109" s="42">
        <f>P28</f>
        <v>48230.770000000004</v>
      </c>
      <c r="D109" s="42">
        <f>-'5.0 Depr Expense'!E128</f>
        <v>1867.38</v>
      </c>
      <c r="E109" s="42">
        <f>-'5.0 Depr Expense'!F128</f>
        <v>2576.42</v>
      </c>
      <c r="F109" s="42">
        <f>-'5.0 Depr Expense'!G128</f>
        <v>9968.3799999999992</v>
      </c>
      <c r="G109" s="42">
        <f>-'5.0 Depr Expense'!H128</f>
        <v>0</v>
      </c>
      <c r="H109" s="42">
        <f>-'5.0 Depr Expense'!I128</f>
        <v>6767.86</v>
      </c>
      <c r="I109" s="42">
        <f>-'5.0 Depr Expense'!J128</f>
        <v>4172.42</v>
      </c>
      <c r="J109" s="42">
        <f>-'5.0 Depr Expense'!K128</f>
        <v>2618.31</v>
      </c>
      <c r="K109" s="42">
        <f>-'5.0 Depr Expense'!L128</f>
        <v>6967.02</v>
      </c>
      <c r="L109" s="42">
        <f>-'5.0 Depr Expense'!M128</f>
        <v>17586.990000000002</v>
      </c>
      <c r="M109" s="42">
        <f>-'5.0 Depr Expense'!N128</f>
        <v>5456.08</v>
      </c>
      <c r="N109" s="42">
        <f>-'5.0 Depr Expense'!O128</f>
        <v>15799.48</v>
      </c>
      <c r="O109" s="42">
        <f>-'5.0 Depr Expense'!P128</f>
        <v>2905.87</v>
      </c>
      <c r="P109" s="43">
        <f>SUM(C109:O109)</f>
        <v>124916.98</v>
      </c>
    </row>
    <row r="110" spans="2:16" x14ac:dyDescent="0.35">
      <c r="B110" s="8" t="s">
        <v>137</v>
      </c>
      <c r="C110" s="42">
        <f>P29</f>
        <v>6868.99</v>
      </c>
      <c r="D110" s="42">
        <f>-'5.0 Depr Expense'!E138</f>
        <v>270.10000000000002</v>
      </c>
      <c r="E110" s="42">
        <f>-'5.0 Depr Expense'!F138</f>
        <v>489.95</v>
      </c>
      <c r="F110" s="42">
        <f>-'5.0 Depr Expense'!G138</f>
        <v>900.07</v>
      </c>
      <c r="G110" s="42">
        <f>-'5.0 Depr Expense'!H138</f>
        <v>0</v>
      </c>
      <c r="H110" s="42">
        <f>-'5.0 Depr Expense'!I138</f>
        <v>670.82</v>
      </c>
      <c r="I110" s="42">
        <f>-'5.0 Depr Expense'!J138</f>
        <v>419.35</v>
      </c>
      <c r="J110" s="42">
        <f>-'5.0 Depr Expense'!K138</f>
        <v>267.74</v>
      </c>
      <c r="K110" s="42">
        <f>-'5.0 Depr Expense'!L138</f>
        <v>705.31</v>
      </c>
      <c r="L110" s="42">
        <f>-'5.0 Depr Expense'!M138</f>
        <v>674.09</v>
      </c>
      <c r="M110" s="42">
        <f>-'5.0 Depr Expense'!N138</f>
        <v>593.1</v>
      </c>
      <c r="N110" s="42">
        <f>-'5.0 Depr Expense'!O138</f>
        <v>767.43</v>
      </c>
      <c r="O110" s="42">
        <f>-'5.0 Depr Expense'!P138</f>
        <v>356.34</v>
      </c>
      <c r="P110" s="43">
        <f>SUM(C110:O110)</f>
        <v>12983.29</v>
      </c>
    </row>
    <row r="111" spans="2:16" x14ac:dyDescent="0.35">
      <c r="B111" s="8" t="s">
        <v>155</v>
      </c>
      <c r="C111" s="46"/>
      <c r="D111" s="46">
        <f t="shared" ref="D111:P111" si="17">SUM(D106:D110)</f>
        <v>82765.16</v>
      </c>
      <c r="E111" s="46">
        <f t="shared" si="17"/>
        <v>145627.86000000002</v>
      </c>
      <c r="F111" s="46">
        <f t="shared" si="17"/>
        <v>417023.43</v>
      </c>
      <c r="G111" s="46">
        <f t="shared" si="17"/>
        <v>25018.54</v>
      </c>
      <c r="H111" s="46">
        <f t="shared" si="17"/>
        <v>183972.82</v>
      </c>
      <c r="I111" s="46">
        <f t="shared" si="17"/>
        <v>205817.77000000002</v>
      </c>
      <c r="J111" s="46">
        <f t="shared" si="17"/>
        <v>1041047.9900000001</v>
      </c>
      <c r="K111" s="46">
        <f t="shared" si="17"/>
        <v>287232.11000000004</v>
      </c>
      <c r="L111" s="46">
        <f t="shared" si="17"/>
        <v>58207.160000000018</v>
      </c>
      <c r="M111" s="46">
        <f t="shared" si="17"/>
        <v>357894.6</v>
      </c>
      <c r="N111" s="46">
        <f t="shared" si="17"/>
        <v>334763.99999999994</v>
      </c>
      <c r="O111" s="46">
        <f t="shared" si="17"/>
        <v>699784.28999999992</v>
      </c>
      <c r="P111" s="46">
        <f t="shared" si="17"/>
        <v>7362667.6494296351</v>
      </c>
    </row>
    <row r="112" spans="2:16" x14ac:dyDescent="0.35">
      <c r="B112" s="8" t="s">
        <v>156</v>
      </c>
      <c r="C112" s="41">
        <f>SUM(C106:C111)</f>
        <v>3523511.9194296338</v>
      </c>
      <c r="D112" s="41">
        <f t="shared" ref="D112:O112" si="18">+D111+C112</f>
        <v>3606277.0794296339</v>
      </c>
      <c r="E112" s="41">
        <f t="shared" si="18"/>
        <v>3751904.9394296338</v>
      </c>
      <c r="F112" s="41">
        <f t="shared" si="18"/>
        <v>4168928.369429634</v>
      </c>
      <c r="G112" s="41">
        <f t="shared" si="18"/>
        <v>4193946.909429634</v>
      </c>
      <c r="H112" s="41">
        <f t="shared" si="18"/>
        <v>4377919.7294296343</v>
      </c>
      <c r="I112" s="41">
        <f t="shared" si="18"/>
        <v>4583737.4994296338</v>
      </c>
      <c r="J112" s="41">
        <f t="shared" si="18"/>
        <v>5624785.4894296341</v>
      </c>
      <c r="K112" s="41">
        <f t="shared" si="18"/>
        <v>5912017.5994296344</v>
      </c>
      <c r="L112" s="41">
        <f t="shared" si="18"/>
        <v>5970224.7594296345</v>
      </c>
      <c r="M112" s="41">
        <f t="shared" si="18"/>
        <v>6328119.3594296342</v>
      </c>
      <c r="N112" s="41">
        <f t="shared" si="18"/>
        <v>6662883.3594296342</v>
      </c>
      <c r="O112" s="41">
        <f t="shared" si="18"/>
        <v>7362667.6494296342</v>
      </c>
      <c r="P112" s="41"/>
    </row>
    <row r="114" spans="2:16" x14ac:dyDescent="0.35">
      <c r="B114" s="79" t="s">
        <v>52</v>
      </c>
    </row>
    <row r="115" spans="2:16" x14ac:dyDescent="0.35">
      <c r="B115" s="8" t="s">
        <v>242</v>
      </c>
      <c r="C115" s="42">
        <f>P34</f>
        <v>21572.41</v>
      </c>
      <c r="D115" s="42">
        <v>1024.8599999999999</v>
      </c>
      <c r="E115" s="42">
        <v>5197.96</v>
      </c>
      <c r="F115" s="42">
        <v>6049.99</v>
      </c>
      <c r="G115" s="42">
        <v>6965.55</v>
      </c>
      <c r="H115" s="42">
        <v>330</v>
      </c>
      <c r="I115" s="42">
        <v>0</v>
      </c>
      <c r="J115" s="42">
        <v>8957.86</v>
      </c>
      <c r="K115" s="42">
        <v>136.28</v>
      </c>
      <c r="L115" s="42">
        <v>0</v>
      </c>
      <c r="M115" s="42">
        <v>109.14</v>
      </c>
      <c r="N115" s="42">
        <v>114922.36</v>
      </c>
      <c r="O115" s="42">
        <v>0</v>
      </c>
      <c r="P115" s="43">
        <f>SUM(C115:O115)</f>
        <v>165266.41</v>
      </c>
    </row>
    <row r="116" spans="2:16" x14ac:dyDescent="0.35">
      <c r="B116" s="8" t="s">
        <v>243</v>
      </c>
      <c r="C116" s="42">
        <f>P35</f>
        <v>53762.03</v>
      </c>
      <c r="D116" s="42">
        <v>0</v>
      </c>
      <c r="E116" s="42">
        <v>0</v>
      </c>
      <c r="F116" s="42">
        <v>0</v>
      </c>
      <c r="G116" s="42">
        <v>0</v>
      </c>
      <c r="H116" s="42">
        <v>0</v>
      </c>
      <c r="I116" s="42">
        <v>0</v>
      </c>
      <c r="J116" s="42">
        <v>2779.72</v>
      </c>
      <c r="K116" s="42">
        <v>0</v>
      </c>
      <c r="L116" s="42">
        <v>0</v>
      </c>
      <c r="M116" s="42">
        <v>381.64</v>
      </c>
      <c r="N116" s="42">
        <v>0</v>
      </c>
      <c r="O116" s="42">
        <v>0</v>
      </c>
      <c r="P116" s="43">
        <f>SUM(C116:O116)</f>
        <v>56923.39</v>
      </c>
    </row>
    <row r="117" spans="2:16" x14ac:dyDescent="0.35">
      <c r="B117" s="8" t="s">
        <v>219</v>
      </c>
      <c r="C117" s="42">
        <f>P36</f>
        <v>1976062.2395919999</v>
      </c>
      <c r="D117" s="42">
        <v>91221.67</v>
      </c>
      <c r="E117" s="42">
        <v>91122.1</v>
      </c>
      <c r="F117" s="42">
        <v>79078.7</v>
      </c>
      <c r="G117" s="42">
        <v>74143.77</v>
      </c>
      <c r="H117" s="42">
        <v>63358.89</v>
      </c>
      <c r="I117" s="42">
        <v>66768.28</v>
      </c>
      <c r="J117" s="42">
        <v>50527.99</v>
      </c>
      <c r="K117" s="42">
        <v>50801.94</v>
      </c>
      <c r="L117" s="42">
        <v>42148.39</v>
      </c>
      <c r="M117" s="42">
        <v>99928.98</v>
      </c>
      <c r="N117" s="42">
        <v>103165.57</v>
      </c>
      <c r="O117" s="42">
        <v>74809.039999999994</v>
      </c>
      <c r="P117" s="43">
        <f>SUM(C117:O117)</f>
        <v>2863137.5595920002</v>
      </c>
    </row>
    <row r="118" spans="2:16" x14ac:dyDescent="0.35">
      <c r="B118" s="8" t="s">
        <v>136</v>
      </c>
      <c r="C118" s="42">
        <f>P37</f>
        <v>0</v>
      </c>
      <c r="D118" s="42">
        <v>0</v>
      </c>
      <c r="E118" s="42">
        <v>0</v>
      </c>
      <c r="F118" s="42">
        <v>0</v>
      </c>
      <c r="G118" s="42">
        <v>0</v>
      </c>
      <c r="H118" s="42">
        <v>0</v>
      </c>
      <c r="I118" s="42">
        <v>0</v>
      </c>
      <c r="J118" s="42">
        <v>0</v>
      </c>
      <c r="K118" s="42">
        <v>0</v>
      </c>
      <c r="L118" s="42">
        <v>0</v>
      </c>
      <c r="M118" s="42">
        <v>0</v>
      </c>
      <c r="N118" s="42">
        <v>0</v>
      </c>
      <c r="O118" s="42">
        <v>0</v>
      </c>
      <c r="P118" s="43">
        <f>SUM(C118:O118)</f>
        <v>0</v>
      </c>
    </row>
    <row r="119" spans="2:16" x14ac:dyDescent="0.35">
      <c r="B119" s="8" t="s">
        <v>137</v>
      </c>
      <c r="C119" s="42">
        <f>P38</f>
        <v>0</v>
      </c>
      <c r="D119" s="42">
        <v>0</v>
      </c>
      <c r="E119" s="42">
        <v>0</v>
      </c>
      <c r="F119" s="42">
        <v>0</v>
      </c>
      <c r="G119" s="42">
        <v>0</v>
      </c>
      <c r="H119" s="42">
        <v>0</v>
      </c>
      <c r="I119" s="42">
        <v>0</v>
      </c>
      <c r="J119" s="42">
        <v>0</v>
      </c>
      <c r="K119" s="42">
        <v>0</v>
      </c>
      <c r="L119" s="42">
        <v>0</v>
      </c>
      <c r="M119" s="42">
        <v>0</v>
      </c>
      <c r="N119" s="42">
        <v>0</v>
      </c>
      <c r="O119" s="42">
        <v>0</v>
      </c>
      <c r="P119" s="43">
        <f>SUM(C119:O119)</f>
        <v>0</v>
      </c>
    </row>
    <row r="120" spans="2:16" x14ac:dyDescent="0.35">
      <c r="B120" s="8" t="s">
        <v>160</v>
      </c>
      <c r="C120" s="46"/>
      <c r="D120" s="46">
        <f t="shared" ref="D120:P120" si="19">SUM(D115:D119)</f>
        <v>92246.53</v>
      </c>
      <c r="E120" s="46">
        <f t="shared" si="19"/>
        <v>96320.060000000012</v>
      </c>
      <c r="F120" s="46">
        <f t="shared" si="19"/>
        <v>85128.69</v>
      </c>
      <c r="G120" s="46">
        <f t="shared" si="19"/>
        <v>81109.320000000007</v>
      </c>
      <c r="H120" s="46">
        <f t="shared" si="19"/>
        <v>63688.89</v>
      </c>
      <c r="I120" s="46">
        <f t="shared" si="19"/>
        <v>66768.28</v>
      </c>
      <c r="J120" s="46">
        <f t="shared" si="19"/>
        <v>62265.57</v>
      </c>
      <c r="K120" s="46">
        <f t="shared" si="19"/>
        <v>50938.22</v>
      </c>
      <c r="L120" s="46">
        <f t="shared" si="19"/>
        <v>42148.39</v>
      </c>
      <c r="M120" s="46">
        <f t="shared" si="19"/>
        <v>100419.76</v>
      </c>
      <c r="N120" s="46">
        <f t="shared" si="19"/>
        <v>218087.93</v>
      </c>
      <c r="O120" s="46">
        <f t="shared" si="19"/>
        <v>74809.039999999994</v>
      </c>
      <c r="P120" s="46">
        <f t="shared" si="19"/>
        <v>3085327.359592</v>
      </c>
    </row>
    <row r="121" spans="2:16" x14ac:dyDescent="0.35">
      <c r="B121" s="8" t="s">
        <v>161</v>
      </c>
      <c r="C121" s="41">
        <f>SUM(C115:C120)</f>
        <v>2051396.6795919999</v>
      </c>
      <c r="D121" s="41">
        <f t="shared" ref="D121:O121" si="20">+D120+C121</f>
        <v>2143643.2095919997</v>
      </c>
      <c r="E121" s="41">
        <f t="shared" si="20"/>
        <v>2239963.2695919997</v>
      </c>
      <c r="F121" s="41">
        <f t="shared" si="20"/>
        <v>2325091.9595919997</v>
      </c>
      <c r="G121" s="41">
        <f t="shared" si="20"/>
        <v>2406201.2795919995</v>
      </c>
      <c r="H121" s="41">
        <f t="shared" si="20"/>
        <v>2469890.1695919996</v>
      </c>
      <c r="I121" s="41">
        <f t="shared" si="20"/>
        <v>2536658.4495919994</v>
      </c>
      <c r="J121" s="41">
        <f t="shared" si="20"/>
        <v>2598924.0195919992</v>
      </c>
      <c r="K121" s="41">
        <f t="shared" si="20"/>
        <v>2649862.2395919994</v>
      </c>
      <c r="L121" s="41">
        <f t="shared" si="20"/>
        <v>2692010.6295919996</v>
      </c>
      <c r="M121" s="41">
        <f t="shared" si="20"/>
        <v>2792430.3895919994</v>
      </c>
      <c r="N121" s="41">
        <f t="shared" si="20"/>
        <v>3010518.3195919995</v>
      </c>
      <c r="O121" s="41">
        <f t="shared" si="20"/>
        <v>3085327.3595919996</v>
      </c>
      <c r="P121" s="41"/>
    </row>
    <row r="123" spans="2:16" x14ac:dyDescent="0.35">
      <c r="B123" s="79" t="s">
        <v>170</v>
      </c>
    </row>
    <row r="124" spans="2:16" x14ac:dyDescent="0.35">
      <c r="B124" s="8" t="s">
        <v>133</v>
      </c>
      <c r="C124" s="81">
        <f>P43</f>
        <v>86818.998000000007</v>
      </c>
      <c r="D124" s="81">
        <f>+D97+D106+D115</f>
        <v>-43830.972000000002</v>
      </c>
      <c r="E124" s="81">
        <f t="shared" ref="E124:O124" si="21">+E97+E106+E115</f>
        <v>-40473.567999999999</v>
      </c>
      <c r="F124" s="81">
        <f t="shared" si="21"/>
        <v>-8041.1050000000014</v>
      </c>
      <c r="G124" s="81">
        <f t="shared" si="21"/>
        <v>-41506.21</v>
      </c>
      <c r="H124" s="81">
        <f t="shared" si="21"/>
        <v>-52025.635999999999</v>
      </c>
      <c r="I124" s="81">
        <f t="shared" si="21"/>
        <v>-41640.220999999998</v>
      </c>
      <c r="J124" s="81">
        <f t="shared" si="21"/>
        <v>697819.31</v>
      </c>
      <c r="K124" s="81">
        <f t="shared" si="21"/>
        <v>-38143.362000000008</v>
      </c>
      <c r="L124" s="81">
        <f t="shared" si="21"/>
        <v>-251574.53399999999</v>
      </c>
      <c r="M124" s="81">
        <f t="shared" si="21"/>
        <v>76047.509000000005</v>
      </c>
      <c r="N124" s="81">
        <f t="shared" si="21"/>
        <v>37701.233999999997</v>
      </c>
      <c r="O124" s="81">
        <f t="shared" si="21"/>
        <v>358750.13899999997</v>
      </c>
      <c r="P124" s="43">
        <f>SUM(C124:O124)</f>
        <v>739901.58200000017</v>
      </c>
    </row>
    <row r="125" spans="2:16" x14ac:dyDescent="0.35">
      <c r="B125" s="8" t="s">
        <v>134</v>
      </c>
      <c r="C125" s="81">
        <f>P44</f>
        <v>448462.97200000007</v>
      </c>
      <c r="D125" s="81">
        <f t="shared" ref="D125:O125" si="22">+D98+D107+D116</f>
        <v>820</v>
      </c>
      <c r="E125" s="81">
        <f t="shared" si="22"/>
        <v>820</v>
      </c>
      <c r="F125" s="81">
        <f t="shared" si="22"/>
        <v>9054.1670000000013</v>
      </c>
      <c r="G125" s="81">
        <f t="shared" si="22"/>
        <v>837</v>
      </c>
      <c r="H125" s="81">
        <f t="shared" si="22"/>
        <v>54768.899000000005</v>
      </c>
      <c r="I125" s="81">
        <f t="shared" si="22"/>
        <v>2181.1509999999998</v>
      </c>
      <c r="J125" s="81">
        <f t="shared" si="22"/>
        <v>3732.72</v>
      </c>
      <c r="K125" s="81">
        <f t="shared" si="22"/>
        <v>953</v>
      </c>
      <c r="L125" s="81">
        <f t="shared" si="22"/>
        <v>953</v>
      </c>
      <c r="M125" s="81">
        <f t="shared" si="22"/>
        <v>1334.6399999999999</v>
      </c>
      <c r="N125" s="81">
        <f t="shared" si="22"/>
        <v>1082.4559999999999</v>
      </c>
      <c r="O125" s="81">
        <f t="shared" si="22"/>
        <v>1263.1950000000002</v>
      </c>
      <c r="P125" s="43">
        <f>SUM(C125:O125)</f>
        <v>526263.19999999995</v>
      </c>
    </row>
    <row r="126" spans="2:16" x14ac:dyDescent="0.35">
      <c r="B126" s="8" t="s">
        <v>135</v>
      </c>
      <c r="C126" s="81">
        <f>P45</f>
        <v>4567164.746021634</v>
      </c>
      <c r="D126" s="81">
        <f t="shared" ref="D126:O126" si="23">+D99+D108+D117</f>
        <v>137622.72</v>
      </c>
      <c r="E126" s="81">
        <f t="shared" si="23"/>
        <v>197350.03899999999</v>
      </c>
      <c r="F126" s="81">
        <f t="shared" si="23"/>
        <v>404189.21500000003</v>
      </c>
      <c r="G126" s="81">
        <f t="shared" si="23"/>
        <v>55615.324000000008</v>
      </c>
      <c r="H126" s="81">
        <f t="shared" si="23"/>
        <v>142222.125</v>
      </c>
      <c r="I126" s="81">
        <f t="shared" si="23"/>
        <v>207569.17199999999</v>
      </c>
      <c r="J126" s="81">
        <f t="shared" si="23"/>
        <v>294402.84000000003</v>
      </c>
      <c r="K126" s="81">
        <f t="shared" si="23"/>
        <v>258944.81400000001</v>
      </c>
      <c r="L126" s="81">
        <f t="shared" si="23"/>
        <v>219889.22000000003</v>
      </c>
      <c r="M126" s="81">
        <f t="shared" si="23"/>
        <v>254810.38899999997</v>
      </c>
      <c r="N126" s="81">
        <f t="shared" si="23"/>
        <v>365934.04699999996</v>
      </c>
      <c r="O126" s="81">
        <f t="shared" si="23"/>
        <v>267018.25599999999</v>
      </c>
      <c r="P126" s="43">
        <f>SUM(C126:O126)</f>
        <v>7372732.9070216333</v>
      </c>
    </row>
    <row r="127" spans="2:16" x14ac:dyDescent="0.35">
      <c r="B127" s="8" t="s">
        <v>136</v>
      </c>
      <c r="C127" s="81">
        <f>P46</f>
        <v>48148.223000000005</v>
      </c>
      <c r="D127" s="81">
        <f t="shared" ref="D127:O127" si="24">+D100+D109+D118</f>
        <v>1740.2530000000002</v>
      </c>
      <c r="E127" s="81">
        <f t="shared" si="24"/>
        <v>2345.248</v>
      </c>
      <c r="F127" s="81">
        <f t="shared" si="24"/>
        <v>9659.268</v>
      </c>
      <c r="G127" s="81">
        <f t="shared" si="24"/>
        <v>-376.416</v>
      </c>
      <c r="H127" s="81">
        <f t="shared" si="24"/>
        <v>6323.6279999999997</v>
      </c>
      <c r="I127" s="81">
        <f t="shared" si="24"/>
        <v>3667.3070000000002</v>
      </c>
      <c r="J127" s="81">
        <f t="shared" si="24"/>
        <v>2072.951</v>
      </c>
      <c r="K127" s="81">
        <f t="shared" si="24"/>
        <v>6344.6570000000002</v>
      </c>
      <c r="L127" s="81">
        <f t="shared" si="24"/>
        <v>16903.006000000001</v>
      </c>
      <c r="M127" s="81">
        <f t="shared" si="24"/>
        <v>4724.6710000000003</v>
      </c>
      <c r="N127" s="81">
        <f t="shared" si="24"/>
        <v>15019.348</v>
      </c>
      <c r="O127" s="81">
        <f t="shared" si="24"/>
        <v>2091.857</v>
      </c>
      <c r="P127" s="43">
        <f>SUM(C127:O127)</f>
        <v>118664.001</v>
      </c>
    </row>
    <row r="128" spans="2:16" x14ac:dyDescent="0.35">
      <c r="B128" s="8" t="s">
        <v>137</v>
      </c>
      <c r="C128" s="81">
        <f>P47</f>
        <v>6922.5419999999995</v>
      </c>
      <c r="D128" s="81">
        <f t="shared" ref="D128:O128" si="25">+D101+D110+D119</f>
        <v>275.04300000000001</v>
      </c>
      <c r="E128" s="81">
        <f t="shared" si="25"/>
        <v>476.13599999999997</v>
      </c>
      <c r="F128" s="81">
        <f t="shared" si="25"/>
        <v>869.09500000000003</v>
      </c>
      <c r="G128" s="81">
        <f t="shared" si="25"/>
        <v>-39.89</v>
      </c>
      <c r="H128" s="81">
        <f t="shared" si="25"/>
        <v>627.39700000000005</v>
      </c>
      <c r="I128" s="81">
        <f t="shared" si="25"/>
        <v>372.18400000000003</v>
      </c>
      <c r="J128" s="81">
        <f t="shared" si="25"/>
        <v>214.02199999999999</v>
      </c>
      <c r="K128" s="81">
        <f t="shared" si="25"/>
        <v>642.36799999999994</v>
      </c>
      <c r="L128" s="81">
        <f t="shared" si="25"/>
        <v>599.90499999999997</v>
      </c>
      <c r="M128" s="81">
        <f t="shared" si="25"/>
        <v>514.63200000000006</v>
      </c>
      <c r="N128" s="81">
        <f t="shared" si="25"/>
        <v>688.57599999999991</v>
      </c>
      <c r="O128" s="81">
        <f t="shared" si="25"/>
        <v>274.16599999999994</v>
      </c>
      <c r="P128" s="43">
        <f>SUM(C128:O128)</f>
        <v>12436.175999999999</v>
      </c>
    </row>
    <row r="129" spans="2:17" x14ac:dyDescent="0.35">
      <c r="B129" s="8" t="s">
        <v>171</v>
      </c>
      <c r="C129" s="46"/>
      <c r="D129" s="46">
        <f t="shared" ref="D129:P129" si="26">SUM(D124:D128)</f>
        <v>96627.043999999994</v>
      </c>
      <c r="E129" s="46">
        <f t="shared" si="26"/>
        <v>160517.85499999998</v>
      </c>
      <c r="F129" s="46">
        <f t="shared" si="26"/>
        <v>415730.63999999996</v>
      </c>
      <c r="G129" s="46">
        <f t="shared" si="26"/>
        <v>14529.80800000001</v>
      </c>
      <c r="H129" s="46">
        <f t="shared" si="26"/>
        <v>151916.413</v>
      </c>
      <c r="I129" s="46">
        <f t="shared" si="26"/>
        <v>172149.59299999999</v>
      </c>
      <c r="J129" s="46">
        <f t="shared" si="26"/>
        <v>998241.84300000011</v>
      </c>
      <c r="K129" s="46">
        <f t="shared" si="26"/>
        <v>228741.47699999998</v>
      </c>
      <c r="L129" s="46">
        <f t="shared" si="26"/>
        <v>-13229.402999999953</v>
      </c>
      <c r="M129" s="46">
        <f t="shared" si="26"/>
        <v>337431.8409999999</v>
      </c>
      <c r="N129" s="46">
        <f t="shared" si="26"/>
        <v>420425.66099999996</v>
      </c>
      <c r="O129" s="46">
        <f t="shared" si="26"/>
        <v>629397.6129999999</v>
      </c>
      <c r="P129" s="46">
        <f t="shared" si="26"/>
        <v>8769997.866021635</v>
      </c>
    </row>
    <row r="130" spans="2:17" x14ac:dyDescent="0.35">
      <c r="B130" s="8" t="s">
        <v>172</v>
      </c>
      <c r="C130" s="41">
        <f>SUM(C124:C129)</f>
        <v>5157517.4810216343</v>
      </c>
      <c r="D130" s="41">
        <f t="shared" ref="D130:O130" si="27">+D129+C130</f>
        <v>5254144.5250216341</v>
      </c>
      <c r="E130" s="41">
        <f t="shared" si="27"/>
        <v>5414662.3800216336</v>
      </c>
      <c r="F130" s="41">
        <f t="shared" si="27"/>
        <v>5830393.0200216332</v>
      </c>
      <c r="G130" s="41">
        <f t="shared" si="27"/>
        <v>5844922.8280216334</v>
      </c>
      <c r="H130" s="41">
        <f t="shared" si="27"/>
        <v>5996839.2410216331</v>
      </c>
      <c r="I130" s="41">
        <f t="shared" si="27"/>
        <v>6168988.8340216335</v>
      </c>
      <c r="J130" s="41">
        <f t="shared" si="27"/>
        <v>7167230.6770216338</v>
      </c>
      <c r="K130" s="41">
        <f t="shared" si="27"/>
        <v>7395972.1540216338</v>
      </c>
      <c r="L130" s="41">
        <f t="shared" si="27"/>
        <v>7382742.7510216339</v>
      </c>
      <c r="M130" s="41">
        <f t="shared" si="27"/>
        <v>7720174.5920216339</v>
      </c>
      <c r="N130" s="41">
        <f t="shared" si="27"/>
        <v>8140600.2530216342</v>
      </c>
      <c r="O130" s="41">
        <f t="shared" si="27"/>
        <v>8769997.8660216331</v>
      </c>
      <c r="P130" s="41"/>
      <c r="Q130" s="43">
        <f>AVERAGE(C130:O130)</f>
        <v>6634168.2001754791</v>
      </c>
    </row>
    <row r="163" spans="1:18" x14ac:dyDescent="0.35">
      <c r="Q163" s="9" t="str">
        <f>Q82</f>
        <v>Case No. 2026-00306</v>
      </c>
    </row>
    <row r="164" spans="1:18" x14ac:dyDescent="0.35">
      <c r="N164" s="9"/>
      <c r="Q164" s="9" t="str">
        <f>+Q83</f>
        <v>SMRP Form 4.0</v>
      </c>
    </row>
    <row r="165" spans="1:18" x14ac:dyDescent="0.35">
      <c r="N165" s="9"/>
      <c r="Q165" s="9" t="s">
        <v>295</v>
      </c>
    </row>
    <row r="166" spans="1:18" x14ac:dyDescent="0.35">
      <c r="A166" s="144" t="s">
        <v>12</v>
      </c>
      <c r="B166" s="144"/>
      <c r="C166" s="144"/>
      <c r="D166" s="144"/>
      <c r="E166" s="144"/>
      <c r="F166" s="144"/>
      <c r="G166" s="144"/>
      <c r="H166" s="144"/>
      <c r="I166" s="144"/>
      <c r="J166" s="144"/>
      <c r="K166" s="144"/>
      <c r="L166" s="144"/>
      <c r="M166" s="144"/>
      <c r="N166" s="144"/>
      <c r="O166" s="144"/>
      <c r="P166" s="144"/>
      <c r="Q166" s="144"/>
    </row>
    <row r="167" spans="1:18" x14ac:dyDescent="0.35">
      <c r="A167" s="144" t="s">
        <v>109</v>
      </c>
      <c r="B167" s="144"/>
      <c r="C167" s="144"/>
      <c r="D167" s="144"/>
      <c r="E167" s="144"/>
      <c r="F167" s="144"/>
      <c r="G167" s="144"/>
      <c r="H167" s="144"/>
      <c r="I167" s="144"/>
      <c r="J167" s="144"/>
      <c r="K167" s="144"/>
      <c r="L167" s="144"/>
      <c r="M167" s="144"/>
      <c r="N167" s="144"/>
      <c r="O167" s="144"/>
      <c r="P167" s="144"/>
      <c r="Q167" s="144"/>
    </row>
    <row r="168" spans="1:18" x14ac:dyDescent="0.35">
      <c r="A168" s="144" t="s">
        <v>274</v>
      </c>
      <c r="B168" s="144"/>
      <c r="C168" s="144"/>
      <c r="D168" s="144"/>
      <c r="E168" s="144"/>
      <c r="F168" s="144"/>
      <c r="G168" s="144"/>
      <c r="H168" s="144"/>
      <c r="I168" s="144"/>
      <c r="J168" s="144"/>
      <c r="K168" s="144"/>
      <c r="L168" s="144"/>
      <c r="M168" s="144"/>
      <c r="N168" s="144"/>
      <c r="O168" s="144"/>
      <c r="P168" s="144"/>
      <c r="Q168" s="144"/>
    </row>
    <row r="173" spans="1:18" x14ac:dyDescent="0.35">
      <c r="C173" s="10">
        <f>+P92</f>
        <v>2024</v>
      </c>
      <c r="D173" s="10">
        <f>+C173+1</f>
        <v>2025</v>
      </c>
      <c r="E173" s="10">
        <f>+D173</f>
        <v>2025</v>
      </c>
      <c r="F173" s="10">
        <f t="shared" ref="F173:P173" si="28">+E173</f>
        <v>2025</v>
      </c>
      <c r="G173" s="10">
        <f t="shared" si="28"/>
        <v>2025</v>
      </c>
      <c r="H173" s="10">
        <f t="shared" si="28"/>
        <v>2025</v>
      </c>
      <c r="I173" s="10">
        <f t="shared" si="28"/>
        <v>2025</v>
      </c>
      <c r="J173" s="10">
        <f t="shared" si="28"/>
        <v>2025</v>
      </c>
      <c r="K173" s="10">
        <f t="shared" si="28"/>
        <v>2025</v>
      </c>
      <c r="L173" s="10">
        <f t="shared" si="28"/>
        <v>2025</v>
      </c>
      <c r="M173" s="10">
        <f t="shared" si="28"/>
        <v>2025</v>
      </c>
      <c r="N173" s="10">
        <f t="shared" si="28"/>
        <v>2025</v>
      </c>
      <c r="O173" s="10">
        <f t="shared" si="28"/>
        <v>2025</v>
      </c>
      <c r="P173" s="10">
        <f t="shared" si="28"/>
        <v>2025</v>
      </c>
      <c r="Q173" s="10">
        <f>+P173</f>
        <v>2025</v>
      </c>
    </row>
    <row r="174" spans="1:18" x14ac:dyDescent="0.35">
      <c r="C174" s="10" t="s">
        <v>140</v>
      </c>
      <c r="D174" s="10" t="s">
        <v>141</v>
      </c>
      <c r="E174" s="10" t="s">
        <v>142</v>
      </c>
      <c r="F174" s="10" t="s">
        <v>143</v>
      </c>
      <c r="G174" s="10" t="s">
        <v>144</v>
      </c>
      <c r="H174" s="10" t="s">
        <v>81</v>
      </c>
      <c r="I174" s="10" t="s">
        <v>145</v>
      </c>
      <c r="J174" s="10" t="s">
        <v>146</v>
      </c>
      <c r="K174" s="10" t="s">
        <v>147</v>
      </c>
      <c r="L174" s="10" t="s">
        <v>148</v>
      </c>
      <c r="M174" s="10" t="s">
        <v>149</v>
      </c>
      <c r="N174" s="10" t="s">
        <v>150</v>
      </c>
      <c r="O174" s="10" t="s">
        <v>140</v>
      </c>
      <c r="P174" s="10" t="s">
        <v>151</v>
      </c>
      <c r="Q174" s="10" t="s">
        <v>152</v>
      </c>
    </row>
    <row r="175" spans="1:18" x14ac:dyDescent="0.35">
      <c r="C175" s="10" t="s">
        <v>92</v>
      </c>
      <c r="D175" s="10" t="s">
        <v>257</v>
      </c>
      <c r="E175" s="10" t="s">
        <v>257</v>
      </c>
      <c r="F175" s="10" t="s">
        <v>257</v>
      </c>
      <c r="G175" s="10" t="s">
        <v>257</v>
      </c>
      <c r="H175" s="10" t="s">
        <v>257</v>
      </c>
      <c r="I175" s="10" t="s">
        <v>257</v>
      </c>
      <c r="J175" s="10" t="s">
        <v>257</v>
      </c>
      <c r="K175" s="10" t="s">
        <v>257</v>
      </c>
      <c r="L175" s="10" t="s">
        <v>257</v>
      </c>
      <c r="M175" s="10" t="s">
        <v>257</v>
      </c>
      <c r="N175" s="10" t="s">
        <v>257</v>
      </c>
      <c r="O175" s="10" t="s">
        <v>257</v>
      </c>
      <c r="P175" s="11"/>
      <c r="Q175" s="11"/>
      <c r="R175" s="135"/>
    </row>
    <row r="177" spans="2:16" x14ac:dyDescent="0.35">
      <c r="B177" s="79" t="s">
        <v>118</v>
      </c>
    </row>
    <row r="178" spans="2:16" x14ac:dyDescent="0.35">
      <c r="B178" s="8" t="s">
        <v>133</v>
      </c>
      <c r="C178" s="42">
        <f>+P97</f>
        <v>-895649.26800000004</v>
      </c>
      <c r="D178" s="42">
        <f>-'5.0 Depr Expense'!E177</f>
        <v>-86727.857000000004</v>
      </c>
      <c r="E178" s="42">
        <f>-'5.0 Depr Expense'!F177</f>
        <v>-87285.548999999999</v>
      </c>
      <c r="F178" s="42">
        <f>-'5.0 Depr Expense'!G177</f>
        <v>-88230.97</v>
      </c>
      <c r="G178" s="42">
        <f>-'5.0 Depr Expense'!H177</f>
        <v>-90617.144</v>
      </c>
      <c r="H178" s="42">
        <f>-'5.0 Depr Expense'!I177</f>
        <v>-93652.782999999996</v>
      </c>
      <c r="I178" s="42">
        <f>-'5.0 Depr Expense'!J177</f>
        <v>-97179.936000000002</v>
      </c>
      <c r="J178" s="42">
        <f>-'5.0 Depr Expense'!K177</f>
        <v>-101404.489</v>
      </c>
      <c r="K178" s="42">
        <f>-'5.0 Depr Expense'!L177</f>
        <v>-105052.13499999999</v>
      </c>
      <c r="L178" s="42">
        <f>-'5.0 Depr Expense'!M177</f>
        <v>-108993.14199999999</v>
      </c>
      <c r="M178" s="42">
        <f>-'5.0 Depr Expense'!N177</f>
        <v>-114046.181</v>
      </c>
      <c r="N178" s="42">
        <f>-'5.0 Depr Expense'!O177</f>
        <v>-120861.639</v>
      </c>
      <c r="O178" s="42">
        <f>-'5.0 Depr Expense'!P177</f>
        <v>-129442.382</v>
      </c>
      <c r="P178" s="43">
        <f>SUM(C178:O178)</f>
        <v>-2119143.4750000006</v>
      </c>
    </row>
    <row r="179" spans="2:16" x14ac:dyDescent="0.35">
      <c r="B179" s="8" t="s">
        <v>134</v>
      </c>
      <c r="C179" s="42">
        <f>+P98</f>
        <v>15157.89</v>
      </c>
      <c r="D179" s="42">
        <f>-'5.0 Depr Expense'!E187</f>
        <v>1253</v>
      </c>
      <c r="E179" s="42">
        <f>-'5.0 Depr Expense'!F187</f>
        <v>1253</v>
      </c>
      <c r="F179" s="42">
        <f>-'5.0 Depr Expense'!G187</f>
        <v>1253</v>
      </c>
      <c r="G179" s="42">
        <f>-'5.0 Depr Expense'!H187</f>
        <v>1253</v>
      </c>
      <c r="H179" s="42">
        <f>-'5.0 Depr Expense'!I187</f>
        <v>1253</v>
      </c>
      <c r="I179" s="42">
        <f>-'5.0 Depr Expense'!J187</f>
        <v>1347.1559999999999</v>
      </c>
      <c r="J179" s="42">
        <f>-'5.0 Depr Expense'!K187</f>
        <v>1441</v>
      </c>
      <c r="K179" s="42">
        <f>-'5.0 Depr Expense'!L187</f>
        <v>1441</v>
      </c>
      <c r="L179" s="42">
        <f>-'5.0 Depr Expense'!M187</f>
        <v>1441</v>
      </c>
      <c r="M179" s="42">
        <f>-'5.0 Depr Expense'!N187</f>
        <v>1441</v>
      </c>
      <c r="N179" s="42">
        <f>-'5.0 Depr Expense'!O187</f>
        <v>1441</v>
      </c>
      <c r="O179" s="42">
        <f>-'5.0 Depr Expense'!P187</f>
        <v>1441</v>
      </c>
      <c r="P179" s="43">
        <f>SUM(C179:O179)</f>
        <v>31416.045999999998</v>
      </c>
    </row>
    <row r="180" spans="2:16" x14ac:dyDescent="0.35">
      <c r="B180" s="8" t="s">
        <v>135</v>
      </c>
      <c r="C180" s="42">
        <f>+P99</f>
        <v>-790705.6719999999</v>
      </c>
      <c r="D180" s="42">
        <f>-'5.0 Depr Expense'!E197</f>
        <v>-89441.524000000005</v>
      </c>
      <c r="E180" s="42">
        <f>-'5.0 Depr Expense'!F197</f>
        <v>-91058.456000000006</v>
      </c>
      <c r="F180" s="42">
        <f>-'5.0 Depr Expense'!G197</f>
        <v>-93820.035999999993</v>
      </c>
      <c r="G180" s="42">
        <f>-'5.0 Depr Expense'!H197</f>
        <v>-96518.846999999994</v>
      </c>
      <c r="H180" s="42">
        <f>-'5.0 Depr Expense'!I197</f>
        <v>-98364.244999999995</v>
      </c>
      <c r="I180" s="42">
        <f>-'5.0 Depr Expense'!J197</f>
        <v>-100354.887</v>
      </c>
      <c r="J180" s="42">
        <f>-'5.0 Depr Expense'!K197</f>
        <v>-102332.53200000001</v>
      </c>
      <c r="K180" s="42">
        <f>-'5.0 Depr Expense'!L197</f>
        <v>-104333.963</v>
      </c>
      <c r="L180" s="42">
        <f>-'5.0 Depr Expense'!M197</f>
        <v>-106535.26700000001</v>
      </c>
      <c r="M180" s="42">
        <f>-'5.0 Depr Expense'!N197</f>
        <v>-108967.999</v>
      </c>
      <c r="N180" s="42">
        <f>-'5.0 Depr Expense'!O197</f>
        <v>-111622.79300000001</v>
      </c>
      <c r="O180" s="42">
        <f>-'5.0 Depr Expense'!P197</f>
        <v>-113967.5</v>
      </c>
      <c r="P180" s="43">
        <f>SUM(C180:O180)</f>
        <v>-2008023.7210000001</v>
      </c>
    </row>
    <row r="181" spans="2:16" x14ac:dyDescent="0.35">
      <c r="B181" s="8" t="s">
        <v>136</v>
      </c>
      <c r="C181" s="42">
        <f>+P100</f>
        <v>-6252.9789999999994</v>
      </c>
      <c r="D181" s="42">
        <f>-'5.0 Depr Expense'!E207</f>
        <v>-1082.076</v>
      </c>
      <c r="E181" s="42">
        <f>-'5.0 Depr Expense'!F207</f>
        <v>-1111.828</v>
      </c>
      <c r="F181" s="42">
        <f>-'5.0 Depr Expense'!G207</f>
        <v>-1145.394</v>
      </c>
      <c r="G181" s="42">
        <f>-'5.0 Depr Expense'!H207</f>
        <v>-1162.9169999999999</v>
      </c>
      <c r="H181" s="42">
        <f>-'5.0 Depr Expense'!I207</f>
        <v>-1189.442</v>
      </c>
      <c r="I181" s="42">
        <f>-'5.0 Depr Expense'!J207</f>
        <v>-1258.895</v>
      </c>
      <c r="J181" s="42">
        <f>-'5.0 Depr Expense'!K207</f>
        <v>-1372.491</v>
      </c>
      <c r="K181" s="42">
        <f>-'5.0 Depr Expense'!L207</f>
        <v>-1543.002</v>
      </c>
      <c r="L181" s="42">
        <f>-'5.0 Depr Expense'!M207</f>
        <v>-1718.5450000000001</v>
      </c>
      <c r="M181" s="42">
        <f>-'5.0 Depr Expense'!N207</f>
        <v>-1877.154</v>
      </c>
      <c r="N181" s="42">
        <f>-'5.0 Depr Expense'!O207</f>
        <v>-2035.0419999999999</v>
      </c>
      <c r="O181" s="42">
        <f>-'5.0 Depr Expense'!P207</f>
        <v>-2168.509</v>
      </c>
      <c r="P181" s="43">
        <f>SUM(C181:O181)</f>
        <v>-23918.273999999998</v>
      </c>
    </row>
    <row r="182" spans="2:16" x14ac:dyDescent="0.35">
      <c r="B182" s="8" t="s">
        <v>137</v>
      </c>
      <c r="C182" s="42">
        <f>+P101</f>
        <v>-547.11400000000003</v>
      </c>
      <c r="D182" s="42">
        <f>-'5.0 Depr Expense'!E217</f>
        <v>-101.02500000000001</v>
      </c>
      <c r="E182" s="42">
        <f>-'5.0 Depr Expense'!F217</f>
        <v>-95.210999999999999</v>
      </c>
      <c r="F182" s="42">
        <f>-'5.0 Depr Expense'!G217</f>
        <v>-87.813000000000002</v>
      </c>
      <c r="G182" s="42">
        <f>-'5.0 Depr Expense'!H217</f>
        <v>-91.525000000000006</v>
      </c>
      <c r="H182" s="42">
        <f>-'5.0 Depr Expense'!I217</f>
        <v>-91.337000000000003</v>
      </c>
      <c r="I182" s="42">
        <f>-'5.0 Depr Expense'!J217</f>
        <v>-121.61199999999999</v>
      </c>
      <c r="J182" s="42">
        <f>-'5.0 Depr Expense'!K217</f>
        <v>-185.744</v>
      </c>
      <c r="K182" s="42">
        <f>-'5.0 Depr Expense'!L217</f>
        <v>-264.26900000000001</v>
      </c>
      <c r="L182" s="42">
        <f>-'5.0 Depr Expense'!M217</f>
        <v>-344.56400000000002</v>
      </c>
      <c r="M182" s="42">
        <f>-'5.0 Depr Expense'!N217</f>
        <v>-400.07100000000003</v>
      </c>
      <c r="N182" s="42">
        <f>-'5.0 Depr Expense'!O217</f>
        <v>-455.74200000000002</v>
      </c>
      <c r="O182" s="42">
        <f>-'5.0 Depr Expense'!P217</f>
        <v>-525.69000000000005</v>
      </c>
      <c r="P182" s="43">
        <f>SUM(C182:O182)</f>
        <v>-3311.7170000000001</v>
      </c>
    </row>
    <row r="183" spans="2:16" x14ac:dyDescent="0.35">
      <c r="B183" s="8" t="s">
        <v>158</v>
      </c>
      <c r="C183" s="46"/>
      <c r="D183" s="46">
        <f t="shared" ref="D183:P183" si="29">SUM(D178:D182)</f>
        <v>-176099.48199999999</v>
      </c>
      <c r="E183" s="46">
        <f t="shared" si="29"/>
        <v>-178298.04400000002</v>
      </c>
      <c r="F183" s="46">
        <f t="shared" si="29"/>
        <v>-182031.21299999999</v>
      </c>
      <c r="G183" s="46">
        <f t="shared" si="29"/>
        <v>-187137.43299999996</v>
      </c>
      <c r="H183" s="46">
        <f t="shared" si="29"/>
        <v>-192044.807</v>
      </c>
      <c r="I183" s="46">
        <f t="shared" si="29"/>
        <v>-197568.174</v>
      </c>
      <c r="J183" s="46">
        <f t="shared" si="29"/>
        <v>-203854.25600000002</v>
      </c>
      <c r="K183" s="46">
        <f t="shared" si="29"/>
        <v>-209752.36900000001</v>
      </c>
      <c r="L183" s="46">
        <f t="shared" si="29"/>
        <v>-216150.51800000001</v>
      </c>
      <c r="M183" s="46">
        <f t="shared" si="29"/>
        <v>-223850.405</v>
      </c>
      <c r="N183" s="46">
        <f t="shared" si="29"/>
        <v>-233534.21599999999</v>
      </c>
      <c r="O183" s="46">
        <f t="shared" si="29"/>
        <v>-244663.08099999998</v>
      </c>
      <c r="P183" s="46">
        <f t="shared" si="29"/>
        <v>-4122981.1410000008</v>
      </c>
    </row>
    <row r="184" spans="2:16" x14ac:dyDescent="0.35">
      <c r="B184" s="8" t="s">
        <v>159</v>
      </c>
      <c r="C184" s="41">
        <f>SUM(C178:C183)</f>
        <v>-1677997.1429999999</v>
      </c>
      <c r="D184" s="41">
        <f t="shared" ref="D184:O184" si="30">+D183+C184</f>
        <v>-1854096.625</v>
      </c>
      <c r="E184" s="41">
        <f t="shared" si="30"/>
        <v>-2032394.669</v>
      </c>
      <c r="F184" s="41">
        <f t="shared" si="30"/>
        <v>-2214425.8820000002</v>
      </c>
      <c r="G184" s="41">
        <f t="shared" si="30"/>
        <v>-2401563.3150000004</v>
      </c>
      <c r="H184" s="41">
        <f t="shared" si="30"/>
        <v>-2593608.1220000004</v>
      </c>
      <c r="I184" s="41">
        <f t="shared" si="30"/>
        <v>-2791176.2960000006</v>
      </c>
      <c r="J184" s="41">
        <f t="shared" si="30"/>
        <v>-2995030.5520000006</v>
      </c>
      <c r="K184" s="41">
        <f t="shared" si="30"/>
        <v>-3204782.9210000006</v>
      </c>
      <c r="L184" s="41">
        <f t="shared" si="30"/>
        <v>-3420933.4390000007</v>
      </c>
      <c r="M184" s="41">
        <f t="shared" si="30"/>
        <v>-3644783.8440000005</v>
      </c>
      <c r="N184" s="41">
        <f t="shared" si="30"/>
        <v>-3878318.0600000005</v>
      </c>
      <c r="O184" s="41">
        <f t="shared" si="30"/>
        <v>-4122981.1410000003</v>
      </c>
      <c r="P184" s="41"/>
    </row>
    <row r="185" spans="2:16" x14ac:dyDescent="0.35">
      <c r="C185" s="41"/>
      <c r="D185" s="41"/>
      <c r="E185" s="41"/>
      <c r="F185" s="41"/>
      <c r="G185" s="41"/>
      <c r="H185" s="41"/>
      <c r="I185" s="41"/>
      <c r="J185" s="41"/>
      <c r="K185" s="41"/>
      <c r="L185" s="41"/>
      <c r="M185" s="41"/>
      <c r="N185" s="41"/>
      <c r="O185" s="41"/>
      <c r="P185" s="41"/>
    </row>
    <row r="186" spans="2:16" x14ac:dyDescent="0.35">
      <c r="B186" s="79" t="s">
        <v>62</v>
      </c>
    </row>
    <row r="187" spans="2:16" x14ac:dyDescent="0.35">
      <c r="B187" s="8" t="s">
        <v>133</v>
      </c>
      <c r="C187" s="42">
        <f>+P106</f>
        <v>1470284.44</v>
      </c>
      <c r="D187" s="42">
        <f>-'5.0 Depr Expense'!E171</f>
        <v>44475.64</v>
      </c>
      <c r="E187" s="42">
        <f>-'5.0 Depr Expense'!F171</f>
        <v>174540.68</v>
      </c>
      <c r="F187" s="42">
        <f>-'5.0 Depr Expense'!G171</f>
        <v>9190.56</v>
      </c>
      <c r="G187" s="42">
        <f>-'5.0 Depr Expense'!H171</f>
        <v>0</v>
      </c>
      <c r="H187" s="42">
        <f>-'5.0 Depr Expense'!I171</f>
        <v>1663.44</v>
      </c>
      <c r="I187" s="42">
        <f>-'5.0 Depr Expense'!J171</f>
        <v>38170.82</v>
      </c>
      <c r="J187" s="42">
        <f>-'5.0 Depr Expense'!K171</f>
        <v>396357.47</v>
      </c>
      <c r="K187" s="42">
        <f>-'5.0 Depr Expense'!L171</f>
        <v>14942.26</v>
      </c>
      <c r="L187" s="42">
        <f>-'5.0 Depr Expense'!M171</f>
        <v>416565.29</v>
      </c>
      <c r="M187" s="42">
        <f>-'5.0 Depr Expense'!N171</f>
        <v>109401.97</v>
      </c>
      <c r="N187" s="42">
        <f>-'5.0 Depr Expense'!O171</f>
        <v>0</v>
      </c>
      <c r="O187" s="42">
        <f>-'5.0 Depr Expense'!P171</f>
        <v>645323.34</v>
      </c>
      <c r="P187" s="43">
        <f>SUM(C187:O187)</f>
        <v>3320915.9099999997</v>
      </c>
    </row>
    <row r="188" spans="2:16" x14ac:dyDescent="0.35">
      <c r="B188" s="8" t="s">
        <v>134</v>
      </c>
      <c r="C188" s="42">
        <f>+P107</f>
        <v>454181.9200000001</v>
      </c>
      <c r="D188" s="42">
        <f>-'5.0 Depr Expense'!E181</f>
        <v>0</v>
      </c>
      <c r="E188" s="42">
        <f>-'5.0 Depr Expense'!F181</f>
        <v>0</v>
      </c>
      <c r="F188" s="42">
        <f>-'5.0 Depr Expense'!G181</f>
        <v>0</v>
      </c>
      <c r="G188" s="42">
        <f>-'5.0 Depr Expense'!H181</f>
        <v>0</v>
      </c>
      <c r="H188" s="42">
        <f>-'5.0 Depr Expense'!I181</f>
        <v>0</v>
      </c>
      <c r="I188" s="42">
        <f>-'5.0 Depr Expense'!J181</f>
        <v>68270.02</v>
      </c>
      <c r="J188" s="42">
        <f>-'5.0 Depr Expense'!K181</f>
        <v>0</v>
      </c>
      <c r="K188" s="42">
        <f>-'5.0 Depr Expense'!L181</f>
        <v>0</v>
      </c>
      <c r="L188" s="42">
        <f>-'5.0 Depr Expense'!M181</f>
        <v>0</v>
      </c>
      <c r="M188" s="42">
        <f>-'5.0 Depr Expense'!N181</f>
        <v>0</v>
      </c>
      <c r="N188" s="42">
        <f>-'5.0 Depr Expense'!O181</f>
        <v>0</v>
      </c>
      <c r="O188" s="42">
        <f>-'5.0 Depr Expense'!P181</f>
        <v>0</v>
      </c>
      <c r="P188" s="43">
        <f>SUM(C188:O188)</f>
        <v>522451.94000000012</v>
      </c>
    </row>
    <row r="189" spans="2:16" x14ac:dyDescent="0.35">
      <c r="B189" s="8" t="s">
        <v>135</v>
      </c>
      <c r="C189" s="42">
        <f>+P108</f>
        <v>5300301.0194296343</v>
      </c>
      <c r="D189" s="42">
        <f>-'5.0 Depr Expense'!E191</f>
        <v>218960.79</v>
      </c>
      <c r="E189" s="42">
        <f>-'5.0 Depr Expense'!F191</f>
        <v>270012.05</v>
      </c>
      <c r="F189" s="42">
        <f>-'5.0 Depr Expense'!G191</f>
        <v>379808.66</v>
      </c>
      <c r="G189" s="42">
        <f>-'5.0 Depr Expense'!H191</f>
        <v>339910.17</v>
      </c>
      <c r="H189" s="42">
        <f>-'5.0 Depr Expense'!I191</f>
        <v>220548.09</v>
      </c>
      <c r="I189" s="42">
        <f>-'5.0 Depr Expense'!J191</f>
        <v>227244.34</v>
      </c>
      <c r="J189" s="42">
        <f>-'5.0 Depr Expense'!K191</f>
        <v>244216.31</v>
      </c>
      <c r="K189" s="42">
        <f>-'5.0 Depr Expense'!L191</f>
        <v>251305.51</v>
      </c>
      <c r="L189" s="42">
        <f>-'5.0 Depr Expense'!M191</f>
        <v>230472.62</v>
      </c>
      <c r="M189" s="42">
        <f>-'5.0 Depr Expense'!N191</f>
        <v>227932.89</v>
      </c>
      <c r="N189" s="42">
        <f>-'5.0 Depr Expense'!O191</f>
        <v>226219.29</v>
      </c>
      <c r="O189" s="42">
        <f>-'5.0 Depr Expense'!P191</f>
        <v>215774.36</v>
      </c>
      <c r="P189" s="43">
        <f>SUM(C189:O189)</f>
        <v>8352706.0994296335</v>
      </c>
    </row>
    <row r="190" spans="2:16" x14ac:dyDescent="0.35">
      <c r="B190" s="8" t="s">
        <v>136</v>
      </c>
      <c r="C190" s="42">
        <f>+P109</f>
        <v>124916.98</v>
      </c>
      <c r="D190" s="42">
        <f>-'5.0 Depr Expense'!E201</f>
        <v>11761.3</v>
      </c>
      <c r="E190" s="42">
        <f>-'5.0 Depr Expense'!F201</f>
        <v>3034.54</v>
      </c>
      <c r="F190" s="42">
        <f>-'5.0 Depr Expense'!G201</f>
        <v>3592.91</v>
      </c>
      <c r="G190" s="42">
        <f>-'5.0 Depr Expense'!H201</f>
        <v>5213.71</v>
      </c>
      <c r="H190" s="42">
        <f>-'5.0 Depr Expense'!I201</f>
        <v>3684.07</v>
      </c>
      <c r="I190" s="42">
        <f>-'5.0 Depr Expense'!J201</f>
        <v>8780.16</v>
      </c>
      <c r="J190" s="42">
        <f>-'5.0 Depr Expense'!K201</f>
        <v>440.26</v>
      </c>
      <c r="K190" s="42">
        <f>-'5.0 Depr Expense'!L201</f>
        <v>461.15</v>
      </c>
      <c r="L190" s="42">
        <f>-'5.0 Depr Expense'!M201</f>
        <v>513.77</v>
      </c>
      <c r="M190" s="42">
        <f>-'5.0 Depr Expense'!N201</f>
        <v>547.70000000000005</v>
      </c>
      <c r="N190" s="42">
        <f>-'5.0 Depr Expense'!O201</f>
        <v>28.49</v>
      </c>
      <c r="O190" s="42">
        <f>-'5.0 Depr Expense'!P201</f>
        <v>153.06</v>
      </c>
      <c r="P190" s="43">
        <f>SUM(C190:O190)</f>
        <v>163128.1</v>
      </c>
    </row>
    <row r="191" spans="2:16" x14ac:dyDescent="0.35">
      <c r="B191" s="8" t="s">
        <v>137</v>
      </c>
      <c r="C191" s="42">
        <f>+P110</f>
        <v>12983.29</v>
      </c>
      <c r="D191" s="42">
        <f>-'5.0 Depr Expense'!E211</f>
        <v>391.03</v>
      </c>
      <c r="E191" s="42">
        <f>-'5.0 Depr Expense'!F211</f>
        <v>432.71</v>
      </c>
      <c r="F191" s="42">
        <f>-'5.0 Depr Expense'!G211</f>
        <v>452.29</v>
      </c>
      <c r="G191" s="42">
        <f>-'5.0 Depr Expense'!H211</f>
        <v>376.34</v>
      </c>
      <c r="H191" s="42">
        <f>-'5.0 Depr Expense'!I211</f>
        <v>375.47</v>
      </c>
      <c r="I191" s="42">
        <f>-'5.0 Depr Expense'!J211</f>
        <v>428.67</v>
      </c>
      <c r="J191" s="42">
        <f>-'5.0 Depr Expense'!K211</f>
        <v>31.38</v>
      </c>
      <c r="K191" s="42">
        <f>-'5.0 Depr Expense'!L211</f>
        <v>32.869999999999997</v>
      </c>
      <c r="L191" s="42">
        <f>-'5.0 Depr Expense'!M211</f>
        <v>36.619999999999997</v>
      </c>
      <c r="M191" s="42">
        <f>-'5.0 Depr Expense'!N211</f>
        <v>39.04</v>
      </c>
      <c r="N191" s="42">
        <f>-'5.0 Depr Expense'!O211</f>
        <v>0</v>
      </c>
      <c r="O191" s="42">
        <f>-'5.0 Depr Expense'!P211</f>
        <v>127.09</v>
      </c>
      <c r="P191" s="43">
        <f>SUM(C191:O191)</f>
        <v>15706.800000000003</v>
      </c>
    </row>
    <row r="192" spans="2:16" x14ac:dyDescent="0.35">
      <c r="B192" s="8" t="s">
        <v>155</v>
      </c>
      <c r="C192" s="46"/>
      <c r="D192" s="46">
        <f t="shared" ref="D192:P192" si="31">SUM(D187:D191)</f>
        <v>275588.76</v>
      </c>
      <c r="E192" s="46">
        <f t="shared" si="31"/>
        <v>448019.98</v>
      </c>
      <c r="F192" s="46">
        <f t="shared" si="31"/>
        <v>393044.41999999993</v>
      </c>
      <c r="G192" s="46">
        <f t="shared" si="31"/>
        <v>345500.22000000003</v>
      </c>
      <c r="H192" s="46">
        <f t="shared" si="31"/>
        <v>226271.07</v>
      </c>
      <c r="I192" s="46">
        <f t="shared" si="31"/>
        <v>342894.00999999995</v>
      </c>
      <c r="J192" s="46">
        <f t="shared" si="31"/>
        <v>641045.42000000004</v>
      </c>
      <c r="K192" s="46">
        <f t="shared" si="31"/>
        <v>266741.79000000004</v>
      </c>
      <c r="L192" s="46">
        <f t="shared" si="31"/>
        <v>647588.29999999993</v>
      </c>
      <c r="M192" s="46">
        <f t="shared" si="31"/>
        <v>337921.6</v>
      </c>
      <c r="N192" s="46">
        <f t="shared" si="31"/>
        <v>226247.78</v>
      </c>
      <c r="O192" s="46">
        <f t="shared" si="31"/>
        <v>861377.85</v>
      </c>
      <c r="P192" s="46">
        <f t="shared" si="31"/>
        <v>12374908.849429633</v>
      </c>
    </row>
    <row r="193" spans="2:16" x14ac:dyDescent="0.35">
      <c r="B193" s="8" t="s">
        <v>156</v>
      </c>
      <c r="C193" s="41">
        <f>SUM(C187:C192)</f>
        <v>7362667.6494296351</v>
      </c>
      <c r="D193" s="41">
        <f t="shared" ref="D193:O193" si="32">+D192+C193</f>
        <v>7638256.4094296349</v>
      </c>
      <c r="E193" s="41">
        <f t="shared" si="32"/>
        <v>8086276.3894296344</v>
      </c>
      <c r="F193" s="41">
        <f t="shared" si="32"/>
        <v>8479320.8094296344</v>
      </c>
      <c r="G193" s="41">
        <f t="shared" si="32"/>
        <v>8824821.029429635</v>
      </c>
      <c r="H193" s="41">
        <f t="shared" si="32"/>
        <v>9051092.0994296353</v>
      </c>
      <c r="I193" s="41">
        <f t="shared" si="32"/>
        <v>9393986.1094296351</v>
      </c>
      <c r="J193" s="41">
        <f t="shared" si="32"/>
        <v>10035031.529429635</v>
      </c>
      <c r="K193" s="41">
        <f t="shared" si="32"/>
        <v>10301773.319429636</v>
      </c>
      <c r="L193" s="41">
        <f t="shared" si="32"/>
        <v>10949361.619429637</v>
      </c>
      <c r="M193" s="41">
        <f t="shared" si="32"/>
        <v>11287283.219429636</v>
      </c>
      <c r="N193" s="41">
        <f t="shared" si="32"/>
        <v>11513530.999429636</v>
      </c>
      <c r="O193" s="41">
        <f t="shared" si="32"/>
        <v>12374908.849429635</v>
      </c>
      <c r="P193" s="41"/>
    </row>
    <row r="195" spans="2:16" x14ac:dyDescent="0.35">
      <c r="B195" s="79" t="s">
        <v>52</v>
      </c>
    </row>
    <row r="196" spans="2:16" x14ac:dyDescent="0.35">
      <c r="B196" s="8" t="s">
        <v>133</v>
      </c>
      <c r="C196" s="42">
        <f>+P115</f>
        <v>165266.41</v>
      </c>
      <c r="D196" s="42">
        <v>5507.1</v>
      </c>
      <c r="E196" s="42">
        <v>11559.13</v>
      </c>
      <c r="F196" s="42">
        <v>220</v>
      </c>
      <c r="G196" s="42">
        <v>2559</v>
      </c>
      <c r="H196" s="42">
        <v>0</v>
      </c>
      <c r="I196" s="42">
        <v>2350.12</v>
      </c>
      <c r="J196" s="42">
        <v>42952.2</v>
      </c>
      <c r="K196" s="42">
        <v>0</v>
      </c>
      <c r="L196" s="42">
        <v>0</v>
      </c>
      <c r="M196" s="42">
        <v>717.72</v>
      </c>
      <c r="N196" s="42">
        <v>0</v>
      </c>
      <c r="O196" s="42">
        <v>0</v>
      </c>
      <c r="P196" s="43">
        <f>SUM(C196:O196)</f>
        <v>231131.68000000002</v>
      </c>
    </row>
    <row r="197" spans="2:16" x14ac:dyDescent="0.35">
      <c r="B197" s="8" t="s">
        <v>134</v>
      </c>
      <c r="C197" s="42">
        <f>+P116</f>
        <v>56923.39</v>
      </c>
      <c r="D197" s="42">
        <v>0</v>
      </c>
      <c r="E197" s="42">
        <v>0</v>
      </c>
      <c r="F197" s="42">
        <v>6.59</v>
      </c>
      <c r="G197" s="42">
        <v>2265.12</v>
      </c>
      <c r="H197" s="42">
        <v>0</v>
      </c>
      <c r="I197" s="42">
        <v>0</v>
      </c>
      <c r="J197" s="42">
        <v>10865.51</v>
      </c>
      <c r="K197" s="42">
        <v>0</v>
      </c>
      <c r="L197" s="42">
        <v>0</v>
      </c>
      <c r="M197" s="42">
        <v>0</v>
      </c>
      <c r="N197" s="42">
        <v>0</v>
      </c>
      <c r="O197" s="42">
        <v>0</v>
      </c>
      <c r="P197" s="43">
        <f>SUM(C197:O197)</f>
        <v>70060.61</v>
      </c>
    </row>
    <row r="198" spans="2:16" x14ac:dyDescent="0.35">
      <c r="B198" s="8" t="s">
        <v>135</v>
      </c>
      <c r="C198" s="42">
        <f>+P117</f>
        <v>2863137.5595920002</v>
      </c>
      <c r="D198" s="42">
        <v>98012.19</v>
      </c>
      <c r="E198" s="42">
        <v>164398.87</v>
      </c>
      <c r="F198" s="42">
        <v>178148.56</v>
      </c>
      <c r="G198" s="42">
        <v>179140.52</v>
      </c>
      <c r="H198" s="42">
        <v>115375.62</v>
      </c>
      <c r="I198" s="42">
        <v>108426.27</v>
      </c>
      <c r="J198" s="42">
        <v>126735.98</v>
      </c>
      <c r="K198" s="42">
        <v>55402.080000000002</v>
      </c>
      <c r="L198" s="42">
        <v>0</v>
      </c>
      <c r="M198" s="42">
        <v>2885.99</v>
      </c>
      <c r="N198" s="42">
        <v>0</v>
      </c>
      <c r="O198" s="42">
        <v>0</v>
      </c>
      <c r="P198" s="43">
        <f>SUM(C198:O198)</f>
        <v>3891663.6395920007</v>
      </c>
    </row>
    <row r="199" spans="2:16" x14ac:dyDescent="0.35">
      <c r="B199" s="8" t="s">
        <v>136</v>
      </c>
      <c r="C199" s="42">
        <f>+P118</f>
        <v>0</v>
      </c>
      <c r="D199" s="42">
        <v>0</v>
      </c>
      <c r="E199" s="42">
        <v>0</v>
      </c>
      <c r="F199" s="42">
        <v>0</v>
      </c>
      <c r="G199" s="42">
        <v>0</v>
      </c>
      <c r="H199" s="42">
        <v>0</v>
      </c>
      <c r="I199" s="42">
        <v>0</v>
      </c>
      <c r="J199" s="42">
        <v>0</v>
      </c>
      <c r="K199" s="42">
        <v>0</v>
      </c>
      <c r="L199" s="42">
        <v>0</v>
      </c>
      <c r="M199" s="42">
        <v>0</v>
      </c>
      <c r="N199" s="42">
        <v>0</v>
      </c>
      <c r="O199" s="42">
        <v>0</v>
      </c>
      <c r="P199" s="43">
        <f>SUM(C199:O199)</f>
        <v>0</v>
      </c>
    </row>
    <row r="200" spans="2:16" x14ac:dyDescent="0.35">
      <c r="B200" s="8" t="s">
        <v>137</v>
      </c>
      <c r="C200" s="42">
        <f>+P119</f>
        <v>0</v>
      </c>
      <c r="D200" s="42">
        <v>0</v>
      </c>
      <c r="E200" s="42">
        <v>0</v>
      </c>
      <c r="F200" s="42">
        <v>0</v>
      </c>
      <c r="G200" s="42">
        <v>0</v>
      </c>
      <c r="H200" s="42">
        <v>0</v>
      </c>
      <c r="I200" s="42">
        <v>0</v>
      </c>
      <c r="J200" s="42">
        <v>0</v>
      </c>
      <c r="K200" s="42">
        <v>0</v>
      </c>
      <c r="L200" s="42">
        <v>0</v>
      </c>
      <c r="M200" s="42">
        <v>0</v>
      </c>
      <c r="N200" s="42">
        <v>0</v>
      </c>
      <c r="O200" s="42">
        <v>0</v>
      </c>
      <c r="P200" s="43">
        <f>SUM(C200:O200)</f>
        <v>0</v>
      </c>
    </row>
    <row r="201" spans="2:16" x14ac:dyDescent="0.35">
      <c r="B201" s="8" t="s">
        <v>160</v>
      </c>
      <c r="C201" s="46"/>
      <c r="D201" s="46">
        <f>SUM(D196:D200)</f>
        <v>103519.29000000001</v>
      </c>
      <c r="E201" s="46">
        <f t="shared" ref="E201:O201" si="33">SUM(E196:E200)</f>
        <v>175958</v>
      </c>
      <c r="F201" s="46">
        <f t="shared" si="33"/>
        <v>178375.15</v>
      </c>
      <c r="G201" s="46">
        <f t="shared" si="33"/>
        <v>183964.63999999998</v>
      </c>
      <c r="H201" s="46">
        <f t="shared" si="33"/>
        <v>115375.62</v>
      </c>
      <c r="I201" s="46">
        <f t="shared" si="33"/>
        <v>110776.39</v>
      </c>
      <c r="J201" s="46">
        <f t="shared" si="33"/>
        <v>180553.69</v>
      </c>
      <c r="K201" s="46">
        <f t="shared" si="33"/>
        <v>55402.080000000002</v>
      </c>
      <c r="L201" s="46">
        <f t="shared" si="33"/>
        <v>0</v>
      </c>
      <c r="M201" s="46">
        <f t="shared" si="33"/>
        <v>3603.71</v>
      </c>
      <c r="N201" s="46">
        <f t="shared" si="33"/>
        <v>0</v>
      </c>
      <c r="O201" s="46">
        <f t="shared" si="33"/>
        <v>0</v>
      </c>
      <c r="P201" s="46">
        <f>SUM(P196:P200)</f>
        <v>4192855.9295920008</v>
      </c>
    </row>
    <row r="202" spans="2:16" x14ac:dyDescent="0.35">
      <c r="B202" s="8" t="s">
        <v>161</v>
      </c>
      <c r="C202" s="41">
        <f>SUM(C196:C201)</f>
        <v>3085327.359592</v>
      </c>
      <c r="D202" s="41">
        <f t="shared" ref="D202:O202" si="34">+D201+C202</f>
        <v>3188846.6495920001</v>
      </c>
      <c r="E202" s="41">
        <f t="shared" si="34"/>
        <v>3364804.6495920001</v>
      </c>
      <c r="F202" s="41">
        <f t="shared" si="34"/>
        <v>3543179.799592</v>
      </c>
      <c r="G202" s="41">
        <f t="shared" si="34"/>
        <v>3727144.4395920001</v>
      </c>
      <c r="H202" s="41">
        <f t="shared" si="34"/>
        <v>3842520.0595920002</v>
      </c>
      <c r="I202" s="41">
        <f t="shared" si="34"/>
        <v>3953296.4495920003</v>
      </c>
      <c r="J202" s="41">
        <f t="shared" si="34"/>
        <v>4133850.1395920003</v>
      </c>
      <c r="K202" s="41">
        <f t="shared" si="34"/>
        <v>4189252.2195920004</v>
      </c>
      <c r="L202" s="41">
        <f t="shared" si="34"/>
        <v>4189252.2195920004</v>
      </c>
      <c r="M202" s="41">
        <f t="shared" si="34"/>
        <v>4192855.9295920003</v>
      </c>
      <c r="N202" s="41">
        <f t="shared" si="34"/>
        <v>4192855.9295920003</v>
      </c>
      <c r="O202" s="41">
        <f t="shared" si="34"/>
        <v>4192855.9295920003</v>
      </c>
      <c r="P202" s="41"/>
    </row>
    <row r="204" spans="2:16" x14ac:dyDescent="0.35">
      <c r="B204" s="79" t="s">
        <v>170</v>
      </c>
    </row>
    <row r="205" spans="2:16" x14ac:dyDescent="0.35">
      <c r="B205" s="8" t="s">
        <v>133</v>
      </c>
      <c r="C205" s="81">
        <f>+C178+C187+C196</f>
        <v>739901.58199999994</v>
      </c>
      <c r="D205" s="81">
        <f>+D178+D187+D196</f>
        <v>-36745.117000000006</v>
      </c>
      <c r="E205" s="81">
        <f t="shared" ref="E205:O205" si="35">+E178+E187+E196</f>
        <v>98814.260999999999</v>
      </c>
      <c r="F205" s="81">
        <f t="shared" si="35"/>
        <v>-78820.41</v>
      </c>
      <c r="G205" s="81">
        <f t="shared" si="35"/>
        <v>-88058.144</v>
      </c>
      <c r="H205" s="81">
        <f t="shared" si="35"/>
        <v>-91989.342999999993</v>
      </c>
      <c r="I205" s="81">
        <f t="shared" si="35"/>
        <v>-56658.995999999999</v>
      </c>
      <c r="J205" s="81">
        <f t="shared" si="35"/>
        <v>337905.18099999998</v>
      </c>
      <c r="K205" s="81">
        <f t="shared" si="35"/>
        <v>-90109.875</v>
      </c>
      <c r="L205" s="81">
        <f t="shared" si="35"/>
        <v>307572.14799999999</v>
      </c>
      <c r="M205" s="81">
        <f t="shared" si="35"/>
        <v>-3926.4909999999954</v>
      </c>
      <c r="N205" s="81">
        <f t="shared" si="35"/>
        <v>-120861.639</v>
      </c>
      <c r="O205" s="81">
        <f t="shared" si="35"/>
        <v>515880.95799999998</v>
      </c>
      <c r="P205" s="43">
        <f>SUM(C205:O205)</f>
        <v>1432904.115</v>
      </c>
    </row>
    <row r="206" spans="2:16" x14ac:dyDescent="0.35">
      <c r="B206" s="8" t="s">
        <v>134</v>
      </c>
      <c r="C206" s="81">
        <f>+C179+C188+C197</f>
        <v>526263.20000000007</v>
      </c>
      <c r="D206" s="81">
        <f t="shared" ref="D206:O206" si="36">+D179+D188+D197</f>
        <v>1253</v>
      </c>
      <c r="E206" s="81">
        <f t="shared" si="36"/>
        <v>1253</v>
      </c>
      <c r="F206" s="81">
        <f t="shared" si="36"/>
        <v>1259.5899999999999</v>
      </c>
      <c r="G206" s="81">
        <f t="shared" si="36"/>
        <v>3518.12</v>
      </c>
      <c r="H206" s="81">
        <f t="shared" si="36"/>
        <v>1253</v>
      </c>
      <c r="I206" s="81">
        <f t="shared" si="36"/>
        <v>69617.176000000007</v>
      </c>
      <c r="J206" s="81">
        <f t="shared" si="36"/>
        <v>12306.51</v>
      </c>
      <c r="K206" s="81">
        <f t="shared" si="36"/>
        <v>1441</v>
      </c>
      <c r="L206" s="81">
        <f t="shared" si="36"/>
        <v>1441</v>
      </c>
      <c r="M206" s="81">
        <f t="shared" si="36"/>
        <v>1441</v>
      </c>
      <c r="N206" s="81">
        <f t="shared" si="36"/>
        <v>1441</v>
      </c>
      <c r="O206" s="81">
        <f t="shared" si="36"/>
        <v>1441</v>
      </c>
      <c r="P206" s="43">
        <f>SUM(C206:O206)</f>
        <v>623928.59600000002</v>
      </c>
    </row>
    <row r="207" spans="2:16" x14ac:dyDescent="0.35">
      <c r="B207" s="8" t="s">
        <v>135</v>
      </c>
      <c r="C207" s="81">
        <f>+C180+C189+C198</f>
        <v>7372732.9070216343</v>
      </c>
      <c r="D207" s="81">
        <f t="shared" ref="D207:O207" si="37">+D180+D189+D198</f>
        <v>227531.45600000001</v>
      </c>
      <c r="E207" s="81">
        <f t="shared" si="37"/>
        <v>343352.46399999998</v>
      </c>
      <c r="F207" s="81">
        <f t="shared" si="37"/>
        <v>464137.18399999995</v>
      </c>
      <c r="G207" s="81">
        <f t="shared" si="37"/>
        <v>422531.84299999999</v>
      </c>
      <c r="H207" s="81">
        <f t="shared" si="37"/>
        <v>237559.465</v>
      </c>
      <c r="I207" s="81">
        <f t="shared" si="37"/>
        <v>235315.723</v>
      </c>
      <c r="J207" s="81">
        <f t="shared" si="37"/>
        <v>268619.75799999997</v>
      </c>
      <c r="K207" s="81">
        <f t="shared" si="37"/>
        <v>202373.62700000004</v>
      </c>
      <c r="L207" s="81">
        <f t="shared" si="37"/>
        <v>123937.35299999999</v>
      </c>
      <c r="M207" s="81">
        <f t="shared" si="37"/>
        <v>121850.88100000002</v>
      </c>
      <c r="N207" s="81">
        <f t="shared" si="37"/>
        <v>114596.497</v>
      </c>
      <c r="O207" s="81">
        <f t="shared" si="37"/>
        <v>101806.85999999999</v>
      </c>
      <c r="P207" s="43">
        <f>SUM(C207:O207)</f>
        <v>10236346.018021632</v>
      </c>
    </row>
    <row r="208" spans="2:16" x14ac:dyDescent="0.35">
      <c r="B208" s="8" t="s">
        <v>136</v>
      </c>
      <c r="C208" s="81">
        <f>+C181+C190+C199</f>
        <v>118664.00099999999</v>
      </c>
      <c r="D208" s="81">
        <f t="shared" ref="D208:O208" si="38">+D181+D190+D199</f>
        <v>10679.223999999998</v>
      </c>
      <c r="E208" s="81">
        <f t="shared" si="38"/>
        <v>1922.712</v>
      </c>
      <c r="F208" s="81">
        <f t="shared" si="38"/>
        <v>2447.5159999999996</v>
      </c>
      <c r="G208" s="81">
        <f t="shared" si="38"/>
        <v>4050.7930000000001</v>
      </c>
      <c r="H208" s="81">
        <f t="shared" si="38"/>
        <v>2494.6280000000002</v>
      </c>
      <c r="I208" s="81">
        <f t="shared" si="38"/>
        <v>7521.2649999999994</v>
      </c>
      <c r="J208" s="81">
        <f t="shared" si="38"/>
        <v>-932.23099999999999</v>
      </c>
      <c r="K208" s="81">
        <f t="shared" si="38"/>
        <v>-1081.8519999999999</v>
      </c>
      <c r="L208" s="81">
        <f t="shared" si="38"/>
        <v>-1204.7750000000001</v>
      </c>
      <c r="M208" s="81">
        <f t="shared" si="38"/>
        <v>-1329.454</v>
      </c>
      <c r="N208" s="81">
        <f t="shared" si="38"/>
        <v>-2006.5519999999999</v>
      </c>
      <c r="O208" s="81">
        <f t="shared" si="38"/>
        <v>-2015.4490000000001</v>
      </c>
      <c r="P208" s="43">
        <f>SUM(C208:O208)</f>
        <v>139209.82600000003</v>
      </c>
    </row>
    <row r="209" spans="2:17" x14ac:dyDescent="0.35">
      <c r="B209" s="8" t="s">
        <v>137</v>
      </c>
      <c r="C209" s="81">
        <f>+C182+C191+C200</f>
        <v>12436.176000000001</v>
      </c>
      <c r="D209" s="81">
        <f t="shared" ref="D209:O209" si="39">+D182+D191+D200</f>
        <v>290.005</v>
      </c>
      <c r="E209" s="81">
        <f t="shared" si="39"/>
        <v>337.49899999999997</v>
      </c>
      <c r="F209" s="81">
        <f t="shared" si="39"/>
        <v>364.47700000000003</v>
      </c>
      <c r="G209" s="81">
        <f t="shared" si="39"/>
        <v>284.81499999999994</v>
      </c>
      <c r="H209" s="81">
        <f t="shared" si="39"/>
        <v>284.13300000000004</v>
      </c>
      <c r="I209" s="81">
        <f t="shared" si="39"/>
        <v>307.05799999999999</v>
      </c>
      <c r="J209" s="81">
        <f t="shared" si="39"/>
        <v>-154.364</v>
      </c>
      <c r="K209" s="81">
        <f t="shared" si="39"/>
        <v>-231.399</v>
      </c>
      <c r="L209" s="81">
        <f t="shared" si="39"/>
        <v>-307.94400000000002</v>
      </c>
      <c r="M209" s="81">
        <f t="shared" si="39"/>
        <v>-361.03100000000001</v>
      </c>
      <c r="N209" s="81">
        <f t="shared" si="39"/>
        <v>-455.74200000000002</v>
      </c>
      <c r="O209" s="81">
        <f t="shared" si="39"/>
        <v>-398.6</v>
      </c>
      <c r="P209" s="43">
        <f>SUM(C209:O209)</f>
        <v>12395.083000000001</v>
      </c>
    </row>
    <row r="210" spans="2:17" x14ac:dyDescent="0.35">
      <c r="B210" s="8" t="s">
        <v>171</v>
      </c>
      <c r="C210" s="46"/>
      <c r="D210" s="46">
        <f t="shared" ref="D210:P210" si="40">SUM(D205:D209)</f>
        <v>203008.568</v>
      </c>
      <c r="E210" s="46">
        <f t="shared" si="40"/>
        <v>445679.93599999999</v>
      </c>
      <c r="F210" s="46">
        <f t="shared" si="40"/>
        <v>389388.35699999996</v>
      </c>
      <c r="G210" s="46">
        <f t="shared" si="40"/>
        <v>342327.42700000003</v>
      </c>
      <c r="H210" s="46">
        <f t="shared" si="40"/>
        <v>149601.883</v>
      </c>
      <c r="I210" s="46">
        <f t="shared" si="40"/>
        <v>256102.226</v>
      </c>
      <c r="J210" s="46">
        <f t="shared" si="40"/>
        <v>617744.85400000005</v>
      </c>
      <c r="K210" s="46">
        <f t="shared" si="40"/>
        <v>112391.50100000003</v>
      </c>
      <c r="L210" s="46">
        <f t="shared" si="40"/>
        <v>431437.78199999995</v>
      </c>
      <c r="M210" s="46">
        <f t="shared" si="40"/>
        <v>117674.90500000003</v>
      </c>
      <c r="N210" s="46">
        <f t="shared" si="40"/>
        <v>-7286.4359999999924</v>
      </c>
      <c r="O210" s="46">
        <f t="shared" si="40"/>
        <v>616714.76899999997</v>
      </c>
      <c r="P210" s="46">
        <f t="shared" si="40"/>
        <v>12444783.638021631</v>
      </c>
    </row>
    <row r="211" spans="2:17" x14ac:dyDescent="0.35">
      <c r="B211" s="8" t="s">
        <v>172</v>
      </c>
      <c r="C211" s="41">
        <f>SUM(C205:C210)</f>
        <v>8769997.866021635</v>
      </c>
      <c r="D211" s="41">
        <f t="shared" ref="D211:O211" si="41">+D210+C211</f>
        <v>8973006.434021635</v>
      </c>
      <c r="E211" s="41">
        <f t="shared" si="41"/>
        <v>9418686.3700216357</v>
      </c>
      <c r="F211" s="41">
        <f t="shared" si="41"/>
        <v>9808074.7270216364</v>
      </c>
      <c r="G211" s="41">
        <f t="shared" si="41"/>
        <v>10150402.154021636</v>
      </c>
      <c r="H211" s="41">
        <f t="shared" si="41"/>
        <v>10300004.037021635</v>
      </c>
      <c r="I211" s="41">
        <f t="shared" si="41"/>
        <v>10556106.263021635</v>
      </c>
      <c r="J211" s="41">
        <f t="shared" si="41"/>
        <v>11173851.117021635</v>
      </c>
      <c r="K211" s="41">
        <f t="shared" si="41"/>
        <v>11286242.618021635</v>
      </c>
      <c r="L211" s="41">
        <f t="shared" si="41"/>
        <v>11717680.400021635</v>
      </c>
      <c r="M211" s="41">
        <f t="shared" si="41"/>
        <v>11835355.305021634</v>
      </c>
      <c r="N211" s="41">
        <f t="shared" si="41"/>
        <v>11828068.869021634</v>
      </c>
      <c r="O211" s="41">
        <f t="shared" si="41"/>
        <v>12444783.638021633</v>
      </c>
      <c r="P211" s="41"/>
      <c r="Q211" s="43">
        <f>AVERAGE(C211:O211)</f>
        <v>10635558.446021635</v>
      </c>
    </row>
    <row r="212" spans="2:17" x14ac:dyDescent="0.35">
      <c r="C212" s="41"/>
      <c r="D212" s="41"/>
      <c r="E212" s="41"/>
      <c r="F212" s="41"/>
      <c r="G212" s="41"/>
      <c r="H212" s="41"/>
      <c r="I212" s="41"/>
      <c r="J212" s="41"/>
      <c r="K212" s="41"/>
      <c r="L212" s="41"/>
      <c r="M212" s="41"/>
      <c r="N212" s="41"/>
      <c r="O212" s="41"/>
      <c r="P212" s="41"/>
      <c r="Q212" s="43"/>
    </row>
    <row r="213" spans="2:17" x14ac:dyDescent="0.35">
      <c r="C213" s="41"/>
      <c r="D213" s="41"/>
      <c r="E213" s="41"/>
      <c r="F213" s="41"/>
      <c r="G213" s="41"/>
      <c r="H213" s="41"/>
      <c r="I213" s="41"/>
      <c r="J213" s="41"/>
      <c r="K213" s="41"/>
      <c r="L213" s="41"/>
      <c r="M213" s="41"/>
      <c r="N213" s="41"/>
      <c r="O213" s="41"/>
      <c r="P213" s="41"/>
      <c r="Q213" s="43"/>
    </row>
    <row r="214" spans="2:17" x14ac:dyDescent="0.35">
      <c r="C214" s="41"/>
      <c r="D214" s="41"/>
      <c r="E214" s="41"/>
      <c r="F214" s="41"/>
      <c r="G214" s="41"/>
      <c r="H214" s="41"/>
      <c r="I214" s="41"/>
      <c r="J214" s="41"/>
      <c r="K214" s="41"/>
      <c r="L214" s="41"/>
      <c r="M214" s="41"/>
      <c r="N214" s="41"/>
      <c r="O214" s="41"/>
      <c r="P214" s="41"/>
      <c r="Q214" s="43"/>
    </row>
    <row r="215" spans="2:17" x14ac:dyDescent="0.35">
      <c r="C215" s="41"/>
      <c r="D215" s="41"/>
      <c r="E215" s="41"/>
      <c r="F215" s="41"/>
      <c r="G215" s="41"/>
      <c r="H215" s="41"/>
      <c r="I215" s="41"/>
      <c r="J215" s="41"/>
      <c r="K215" s="41"/>
      <c r="L215" s="41"/>
      <c r="M215" s="41"/>
      <c r="N215" s="41"/>
      <c r="O215" s="41"/>
      <c r="P215" s="41"/>
      <c r="Q215" s="43"/>
    </row>
    <row r="216" spans="2:17" x14ac:dyDescent="0.35">
      <c r="C216" s="41"/>
      <c r="D216" s="41"/>
      <c r="E216" s="41"/>
      <c r="F216" s="41"/>
      <c r="G216" s="41"/>
      <c r="H216" s="41"/>
      <c r="I216" s="41"/>
      <c r="J216" s="41"/>
      <c r="K216" s="41"/>
      <c r="L216" s="41"/>
      <c r="M216" s="41"/>
      <c r="N216" s="41"/>
      <c r="O216" s="41"/>
      <c r="P216" s="41"/>
      <c r="Q216" s="43"/>
    </row>
    <row r="217" spans="2:17" x14ac:dyDescent="0.35">
      <c r="C217" s="41"/>
      <c r="D217" s="41"/>
      <c r="E217" s="41"/>
      <c r="F217" s="41"/>
      <c r="G217" s="41"/>
      <c r="H217" s="41"/>
      <c r="I217" s="41"/>
      <c r="J217" s="41"/>
      <c r="K217" s="41"/>
      <c r="L217" s="41"/>
      <c r="M217" s="41"/>
      <c r="N217" s="41"/>
      <c r="O217" s="41"/>
      <c r="P217" s="41"/>
      <c r="Q217" s="43"/>
    </row>
    <row r="218" spans="2:17" x14ac:dyDescent="0.35">
      <c r="C218" s="41"/>
      <c r="D218" s="41"/>
      <c r="E218" s="41"/>
      <c r="F218" s="41"/>
      <c r="G218" s="41"/>
      <c r="H218" s="41"/>
      <c r="I218" s="41"/>
      <c r="J218" s="41"/>
      <c r="K218" s="41"/>
      <c r="L218" s="41"/>
      <c r="M218" s="41"/>
      <c r="N218" s="41"/>
      <c r="O218" s="41"/>
      <c r="P218" s="41"/>
      <c r="Q218" s="43"/>
    </row>
    <row r="219" spans="2:17" x14ac:dyDescent="0.35">
      <c r="C219" s="41"/>
      <c r="D219" s="41"/>
      <c r="E219" s="41"/>
      <c r="F219" s="41"/>
      <c r="G219" s="41"/>
      <c r="H219" s="41"/>
      <c r="I219" s="41"/>
      <c r="J219" s="41"/>
      <c r="K219" s="41"/>
      <c r="L219" s="41"/>
      <c r="M219" s="41"/>
      <c r="N219" s="41"/>
      <c r="O219" s="41"/>
      <c r="P219" s="41"/>
      <c r="Q219" s="43"/>
    </row>
    <row r="220" spans="2:17" x14ac:dyDescent="0.35">
      <c r="C220" s="41"/>
      <c r="D220" s="41"/>
      <c r="E220" s="41"/>
      <c r="F220" s="41"/>
      <c r="G220" s="41"/>
      <c r="H220" s="41"/>
      <c r="I220" s="41"/>
      <c r="J220" s="41"/>
      <c r="K220" s="41"/>
      <c r="L220" s="41"/>
      <c r="M220" s="41"/>
      <c r="N220" s="41"/>
      <c r="O220" s="41"/>
      <c r="P220" s="41"/>
      <c r="Q220" s="43"/>
    </row>
    <row r="221" spans="2:17" x14ac:dyDescent="0.35">
      <c r="C221" s="41"/>
      <c r="D221" s="41"/>
      <c r="E221" s="41"/>
      <c r="F221" s="41"/>
      <c r="G221" s="41"/>
      <c r="H221" s="41"/>
      <c r="I221" s="41"/>
      <c r="J221" s="41"/>
      <c r="K221" s="41"/>
      <c r="L221" s="41"/>
      <c r="M221" s="41"/>
      <c r="N221" s="41"/>
      <c r="O221" s="41"/>
      <c r="P221" s="41"/>
      <c r="Q221" s="43"/>
    </row>
    <row r="222" spans="2:17" x14ac:dyDescent="0.35">
      <c r="C222" s="41"/>
      <c r="D222" s="41"/>
      <c r="E222" s="41"/>
      <c r="F222" s="41"/>
      <c r="G222" s="41"/>
      <c r="H222" s="41"/>
      <c r="I222" s="41"/>
      <c r="J222" s="41"/>
      <c r="K222" s="41"/>
      <c r="L222" s="41"/>
      <c r="M222" s="41"/>
      <c r="N222" s="41"/>
      <c r="O222" s="41"/>
      <c r="P222" s="41"/>
      <c r="Q222" s="43"/>
    </row>
    <row r="223" spans="2:17" x14ac:dyDescent="0.35">
      <c r="C223" s="41"/>
      <c r="D223" s="41"/>
      <c r="E223" s="41"/>
      <c r="F223" s="41"/>
      <c r="G223" s="41"/>
      <c r="H223" s="41"/>
      <c r="I223" s="41"/>
      <c r="J223" s="41"/>
      <c r="K223" s="41"/>
      <c r="L223" s="41"/>
      <c r="M223" s="41"/>
      <c r="N223" s="41"/>
      <c r="O223" s="41"/>
      <c r="P223" s="41"/>
      <c r="Q223" s="43"/>
    </row>
    <row r="224" spans="2:17" x14ac:dyDescent="0.35">
      <c r="C224" s="41"/>
      <c r="D224" s="41"/>
      <c r="E224" s="41"/>
      <c r="F224" s="41"/>
      <c r="G224" s="41"/>
      <c r="H224" s="41"/>
      <c r="I224" s="41"/>
      <c r="J224" s="41"/>
      <c r="K224" s="41"/>
      <c r="L224" s="41"/>
      <c r="M224" s="41"/>
      <c r="N224" s="41"/>
      <c r="O224" s="41"/>
      <c r="P224" s="41"/>
      <c r="Q224" s="43"/>
    </row>
    <row r="225" spans="3:17" x14ac:dyDescent="0.35">
      <c r="C225" s="41"/>
      <c r="D225" s="41"/>
      <c r="E225" s="41"/>
      <c r="F225" s="41"/>
      <c r="G225" s="41"/>
      <c r="H225" s="41"/>
      <c r="I225" s="41"/>
      <c r="J225" s="41"/>
      <c r="K225" s="41"/>
      <c r="L225" s="41"/>
      <c r="M225" s="41"/>
      <c r="N225" s="41"/>
      <c r="O225" s="41"/>
      <c r="P225" s="41"/>
      <c r="Q225" s="43"/>
    </row>
    <row r="226" spans="3:17" x14ac:dyDescent="0.35">
      <c r="C226" s="41"/>
      <c r="D226" s="41"/>
      <c r="E226" s="41"/>
      <c r="F226" s="41"/>
      <c r="G226" s="41"/>
      <c r="H226" s="41"/>
      <c r="I226" s="41"/>
      <c r="J226" s="41"/>
      <c r="K226" s="41"/>
      <c r="L226" s="41"/>
      <c r="M226" s="41"/>
      <c r="N226" s="41"/>
      <c r="O226" s="41"/>
      <c r="P226" s="41"/>
      <c r="Q226" s="43"/>
    </row>
    <row r="227" spans="3:17" x14ac:dyDescent="0.35">
      <c r="C227" s="41"/>
      <c r="D227" s="41"/>
      <c r="E227" s="41"/>
      <c r="F227" s="41"/>
      <c r="G227" s="41"/>
      <c r="H227" s="41"/>
      <c r="I227" s="41"/>
      <c r="J227" s="41"/>
      <c r="K227" s="41"/>
      <c r="L227" s="41"/>
      <c r="M227" s="41"/>
      <c r="N227" s="41"/>
      <c r="O227" s="41"/>
      <c r="P227" s="41"/>
      <c r="Q227" s="43"/>
    </row>
    <row r="228" spans="3:17" x14ac:dyDescent="0.35">
      <c r="C228" s="41"/>
      <c r="D228" s="41"/>
      <c r="E228" s="41"/>
      <c r="F228" s="41"/>
      <c r="G228" s="41"/>
      <c r="H228" s="41"/>
      <c r="I228" s="41"/>
      <c r="J228" s="41"/>
      <c r="K228" s="41"/>
      <c r="L228" s="41"/>
      <c r="M228" s="41"/>
      <c r="N228" s="41"/>
      <c r="O228" s="41"/>
      <c r="P228" s="41"/>
      <c r="Q228" s="43"/>
    </row>
    <row r="229" spans="3:17" x14ac:dyDescent="0.35">
      <c r="C229" s="41"/>
      <c r="D229" s="41"/>
      <c r="E229" s="41"/>
      <c r="F229" s="41"/>
      <c r="G229" s="41"/>
      <c r="H229" s="41"/>
      <c r="I229" s="41"/>
      <c r="J229" s="41"/>
      <c r="K229" s="41"/>
      <c r="L229" s="41"/>
      <c r="M229" s="41"/>
      <c r="N229" s="41"/>
      <c r="O229" s="41"/>
      <c r="P229" s="41"/>
      <c r="Q229" s="43"/>
    </row>
    <row r="230" spans="3:17" x14ac:dyDescent="0.35">
      <c r="C230" s="41"/>
      <c r="D230" s="41"/>
      <c r="E230" s="41"/>
      <c r="F230" s="41"/>
      <c r="G230" s="41"/>
      <c r="H230" s="41"/>
      <c r="I230" s="41"/>
      <c r="J230" s="41"/>
      <c r="K230" s="41"/>
      <c r="L230" s="41"/>
      <c r="M230" s="41"/>
      <c r="N230" s="41"/>
      <c r="O230" s="41"/>
      <c r="P230" s="41"/>
      <c r="Q230" s="43"/>
    </row>
    <row r="231" spans="3:17" x14ac:dyDescent="0.35">
      <c r="C231" s="41"/>
      <c r="D231" s="41"/>
      <c r="E231" s="41"/>
      <c r="F231" s="41"/>
      <c r="G231" s="41"/>
      <c r="H231" s="41"/>
      <c r="I231" s="41"/>
      <c r="J231" s="41"/>
      <c r="K231" s="41"/>
      <c r="L231" s="41"/>
      <c r="M231" s="41"/>
      <c r="N231" s="41"/>
      <c r="O231" s="41"/>
      <c r="P231" s="41"/>
      <c r="Q231" s="43"/>
    </row>
    <row r="232" spans="3:17" x14ac:dyDescent="0.35">
      <c r="C232" s="41"/>
      <c r="D232" s="41"/>
      <c r="E232" s="41"/>
      <c r="F232" s="41"/>
      <c r="G232" s="41"/>
      <c r="H232" s="41"/>
      <c r="I232" s="41"/>
      <c r="J232" s="41"/>
      <c r="K232" s="41"/>
      <c r="L232" s="41"/>
      <c r="M232" s="41"/>
      <c r="N232" s="41"/>
      <c r="O232" s="41"/>
      <c r="P232" s="41"/>
      <c r="Q232" s="43"/>
    </row>
    <row r="233" spans="3:17" x14ac:dyDescent="0.35">
      <c r="C233" s="41"/>
      <c r="D233" s="41"/>
      <c r="E233" s="41"/>
      <c r="F233" s="41"/>
      <c r="G233" s="41"/>
      <c r="H233" s="41"/>
      <c r="I233" s="41"/>
      <c r="J233" s="41"/>
      <c r="K233" s="41"/>
      <c r="L233" s="41"/>
      <c r="M233" s="41"/>
      <c r="N233" s="41"/>
      <c r="O233" s="41"/>
      <c r="P233" s="41"/>
      <c r="Q233" s="43"/>
    </row>
    <row r="234" spans="3:17" x14ac:dyDescent="0.35">
      <c r="C234" s="41"/>
      <c r="D234" s="41"/>
      <c r="E234" s="41"/>
      <c r="F234" s="41"/>
      <c r="G234" s="41"/>
      <c r="H234" s="41"/>
      <c r="I234" s="41"/>
      <c r="J234" s="41"/>
      <c r="K234" s="41"/>
      <c r="L234" s="41"/>
      <c r="M234" s="41"/>
      <c r="N234" s="41"/>
      <c r="O234" s="41"/>
      <c r="P234" s="41"/>
      <c r="Q234" s="43"/>
    </row>
    <row r="235" spans="3:17" x14ac:dyDescent="0.35">
      <c r="C235" s="41"/>
      <c r="D235" s="41"/>
      <c r="E235" s="41"/>
      <c r="F235" s="41"/>
      <c r="G235" s="41"/>
      <c r="H235" s="41"/>
      <c r="I235" s="41"/>
      <c r="J235" s="41"/>
      <c r="K235" s="41"/>
      <c r="L235" s="41"/>
      <c r="M235" s="41"/>
      <c r="N235" s="41"/>
      <c r="O235" s="41"/>
      <c r="P235" s="41"/>
      <c r="Q235" s="43"/>
    </row>
    <row r="236" spans="3:17" x14ac:dyDescent="0.35">
      <c r="C236" s="41"/>
      <c r="D236" s="41"/>
      <c r="E236" s="41"/>
      <c r="F236" s="41"/>
      <c r="G236" s="41"/>
      <c r="H236" s="41"/>
      <c r="I236" s="41"/>
      <c r="J236" s="41"/>
      <c r="K236" s="41"/>
      <c r="L236" s="41"/>
      <c r="M236" s="41"/>
      <c r="N236" s="41"/>
      <c r="O236" s="41"/>
      <c r="P236" s="41"/>
      <c r="Q236" s="43"/>
    </row>
    <row r="237" spans="3:17" x14ac:dyDescent="0.35">
      <c r="C237" s="41"/>
      <c r="D237" s="41"/>
      <c r="E237" s="41"/>
      <c r="F237" s="41"/>
      <c r="G237" s="41"/>
      <c r="H237" s="41"/>
      <c r="I237" s="41"/>
      <c r="J237" s="41"/>
      <c r="K237" s="41"/>
      <c r="L237" s="41"/>
      <c r="M237" s="41"/>
      <c r="N237" s="41"/>
      <c r="O237" s="41"/>
      <c r="P237" s="41"/>
      <c r="Q237" s="43"/>
    </row>
    <row r="238" spans="3:17" x14ac:dyDescent="0.35">
      <c r="C238" s="41"/>
      <c r="D238" s="41"/>
      <c r="E238" s="41"/>
      <c r="F238" s="41"/>
      <c r="G238" s="41"/>
      <c r="H238" s="41"/>
      <c r="I238" s="41"/>
      <c r="J238" s="41"/>
      <c r="K238" s="41"/>
      <c r="L238" s="41"/>
      <c r="M238" s="41"/>
      <c r="N238" s="41"/>
      <c r="O238" s="41"/>
      <c r="P238" s="41"/>
      <c r="Q238" s="43"/>
    </row>
    <row r="239" spans="3:17" x14ac:dyDescent="0.35">
      <c r="C239" s="41"/>
      <c r="D239" s="41"/>
      <c r="E239" s="41"/>
      <c r="F239" s="41"/>
      <c r="G239" s="41"/>
      <c r="H239" s="41"/>
      <c r="I239" s="41"/>
      <c r="J239" s="41"/>
      <c r="K239" s="41"/>
      <c r="L239" s="41"/>
      <c r="M239" s="41"/>
      <c r="N239" s="41"/>
      <c r="O239" s="41"/>
      <c r="P239" s="41"/>
      <c r="Q239" s="43"/>
    </row>
    <row r="240" spans="3:17" x14ac:dyDescent="0.35">
      <c r="C240" s="41"/>
      <c r="D240" s="41"/>
      <c r="E240" s="41"/>
      <c r="F240" s="41"/>
      <c r="G240" s="41"/>
      <c r="H240" s="41"/>
      <c r="I240" s="41"/>
      <c r="J240" s="41"/>
      <c r="K240" s="41"/>
      <c r="L240" s="41"/>
      <c r="M240" s="41"/>
      <c r="N240" s="41"/>
      <c r="O240" s="41"/>
      <c r="P240" s="41"/>
      <c r="Q240" s="43"/>
    </row>
    <row r="241" spans="1:18" x14ac:dyDescent="0.35">
      <c r="C241" s="41"/>
      <c r="D241" s="41"/>
      <c r="E241" s="41"/>
      <c r="F241" s="41"/>
      <c r="G241" s="41"/>
      <c r="H241" s="41"/>
      <c r="I241" s="41"/>
      <c r="J241" s="41"/>
      <c r="K241" s="41"/>
      <c r="L241" s="41"/>
      <c r="M241" s="41"/>
      <c r="N241" s="41"/>
      <c r="O241" s="41"/>
      <c r="P241" s="41"/>
      <c r="Q241" s="43"/>
    </row>
    <row r="242" spans="1:18" x14ac:dyDescent="0.35">
      <c r="C242" s="41"/>
      <c r="D242" s="41"/>
      <c r="E242" s="41"/>
      <c r="F242" s="41"/>
      <c r="G242" s="41"/>
      <c r="H242" s="41"/>
      <c r="I242" s="41"/>
      <c r="J242" s="41"/>
      <c r="K242" s="41"/>
      <c r="L242" s="41"/>
      <c r="M242" s="41"/>
      <c r="N242" s="41"/>
      <c r="O242" s="41"/>
      <c r="P242" s="41"/>
      <c r="Q242" s="43"/>
    </row>
    <row r="243" spans="1:18" x14ac:dyDescent="0.35">
      <c r="C243" s="41"/>
      <c r="D243" s="41"/>
      <c r="E243" s="41"/>
      <c r="F243" s="41"/>
      <c r="G243" s="41"/>
      <c r="H243" s="41"/>
      <c r="I243" s="41"/>
      <c r="J243" s="41"/>
      <c r="K243" s="41"/>
      <c r="L243" s="41"/>
      <c r="M243" s="41"/>
      <c r="N243" s="41"/>
      <c r="O243" s="41"/>
      <c r="P243" s="41"/>
      <c r="Q243" s="43"/>
    </row>
    <row r="244" spans="1:18" x14ac:dyDescent="0.35">
      <c r="Q244" s="9" t="str">
        <f>+Q163</f>
        <v>Case No. 2026-00306</v>
      </c>
    </row>
    <row r="245" spans="1:18" x14ac:dyDescent="0.35">
      <c r="N245" s="9"/>
      <c r="Q245" s="9" t="str">
        <f>+Q164</f>
        <v>SMRP Form 4.0</v>
      </c>
    </row>
    <row r="246" spans="1:18" x14ac:dyDescent="0.35">
      <c r="N246" s="9"/>
      <c r="Q246" s="9" t="s">
        <v>296</v>
      </c>
    </row>
    <row r="247" spans="1:18" x14ac:dyDescent="0.35">
      <c r="A247" s="144" t="s">
        <v>12</v>
      </c>
      <c r="B247" s="144"/>
      <c r="C247" s="144"/>
      <c r="D247" s="144"/>
      <c r="E247" s="144"/>
      <c r="F247" s="144"/>
      <c r="G247" s="144"/>
      <c r="H247" s="144"/>
      <c r="I247" s="144"/>
      <c r="J247" s="144"/>
      <c r="K247" s="144"/>
      <c r="L247" s="144"/>
      <c r="M247" s="144"/>
      <c r="N247" s="144"/>
      <c r="O247" s="144"/>
      <c r="P247" s="144"/>
      <c r="Q247" s="144"/>
    </row>
    <row r="248" spans="1:18" x14ac:dyDescent="0.35">
      <c r="A248" s="144" t="s">
        <v>109</v>
      </c>
      <c r="B248" s="144"/>
      <c r="C248" s="144"/>
      <c r="D248" s="144"/>
      <c r="E248" s="144"/>
      <c r="F248" s="144"/>
      <c r="G248" s="144"/>
      <c r="H248" s="144"/>
      <c r="I248" s="144"/>
      <c r="J248" s="144"/>
      <c r="K248" s="144"/>
      <c r="L248" s="144"/>
      <c r="M248" s="144"/>
      <c r="N248" s="144"/>
      <c r="O248" s="144"/>
      <c r="P248" s="144"/>
      <c r="Q248" s="144"/>
    </row>
    <row r="249" spans="1:18" x14ac:dyDescent="0.35">
      <c r="A249" s="144" t="s">
        <v>288</v>
      </c>
      <c r="B249" s="144"/>
      <c r="C249" s="144"/>
      <c r="D249" s="144"/>
      <c r="E249" s="144"/>
      <c r="F249" s="144"/>
      <c r="G249" s="144"/>
      <c r="H249" s="144"/>
      <c r="I249" s="144"/>
      <c r="J249" s="144"/>
      <c r="K249" s="144"/>
      <c r="L249" s="144"/>
      <c r="M249" s="144"/>
      <c r="N249" s="144"/>
      <c r="O249" s="144"/>
      <c r="P249" s="144"/>
      <c r="Q249" s="144"/>
    </row>
    <row r="254" spans="1:18" x14ac:dyDescent="0.35">
      <c r="C254" s="10">
        <f>+P173</f>
        <v>2025</v>
      </c>
      <c r="D254" s="10">
        <f>+C254+1</f>
        <v>2026</v>
      </c>
      <c r="E254" s="10">
        <f t="shared" ref="E254:Q254" si="42">+D254</f>
        <v>2026</v>
      </c>
      <c r="F254" s="10">
        <f t="shared" si="42"/>
        <v>2026</v>
      </c>
      <c r="G254" s="10">
        <f t="shared" si="42"/>
        <v>2026</v>
      </c>
      <c r="H254" s="10">
        <f t="shared" si="42"/>
        <v>2026</v>
      </c>
      <c r="I254" s="10">
        <f t="shared" si="42"/>
        <v>2026</v>
      </c>
      <c r="J254" s="10">
        <f t="shared" si="42"/>
        <v>2026</v>
      </c>
      <c r="K254" s="10">
        <f t="shared" si="42"/>
        <v>2026</v>
      </c>
      <c r="L254" s="10">
        <f t="shared" si="42"/>
        <v>2026</v>
      </c>
      <c r="M254" s="10">
        <f t="shared" si="42"/>
        <v>2026</v>
      </c>
      <c r="N254" s="10">
        <f t="shared" si="42"/>
        <v>2026</v>
      </c>
      <c r="O254" s="10">
        <f t="shared" si="42"/>
        <v>2026</v>
      </c>
      <c r="P254" s="10">
        <f t="shared" si="42"/>
        <v>2026</v>
      </c>
      <c r="Q254" s="10">
        <f t="shared" si="42"/>
        <v>2026</v>
      </c>
    </row>
    <row r="255" spans="1:18" x14ac:dyDescent="0.35">
      <c r="C255" s="10" t="s">
        <v>140</v>
      </c>
      <c r="D255" s="10" t="s">
        <v>141</v>
      </c>
      <c r="E255" s="10" t="s">
        <v>142</v>
      </c>
      <c r="F255" s="10" t="s">
        <v>143</v>
      </c>
      <c r="G255" s="10" t="s">
        <v>144</v>
      </c>
      <c r="H255" s="10" t="s">
        <v>81</v>
      </c>
      <c r="I255" s="10" t="s">
        <v>145</v>
      </c>
      <c r="J255" s="10" t="s">
        <v>146</v>
      </c>
      <c r="K255" s="10" t="s">
        <v>147</v>
      </c>
      <c r="L255" s="10" t="s">
        <v>148</v>
      </c>
      <c r="M255" s="10" t="s">
        <v>149</v>
      </c>
      <c r="N255" s="10" t="s">
        <v>150</v>
      </c>
      <c r="O255" s="10" t="s">
        <v>140</v>
      </c>
      <c r="P255" s="10" t="s">
        <v>151</v>
      </c>
      <c r="Q255" s="10" t="s">
        <v>152</v>
      </c>
    </row>
    <row r="256" spans="1:18" x14ac:dyDescent="0.35">
      <c r="C256" s="10" t="s">
        <v>92</v>
      </c>
      <c r="D256" s="10" t="s">
        <v>201</v>
      </c>
      <c r="E256" s="10" t="s">
        <v>201</v>
      </c>
      <c r="F256" s="10" t="s">
        <v>201</v>
      </c>
      <c r="G256" s="10" t="s">
        <v>201</v>
      </c>
      <c r="H256" s="10" t="s">
        <v>201</v>
      </c>
      <c r="I256" s="10" t="s">
        <v>201</v>
      </c>
      <c r="J256" s="10" t="s">
        <v>201</v>
      </c>
      <c r="K256" s="10" t="s">
        <v>201</v>
      </c>
      <c r="L256" s="10" t="s">
        <v>201</v>
      </c>
      <c r="M256" s="10" t="s">
        <v>201</v>
      </c>
      <c r="N256" s="10" t="s">
        <v>201</v>
      </c>
      <c r="O256" s="10" t="s">
        <v>201</v>
      </c>
      <c r="P256" s="11"/>
      <c r="Q256" s="11"/>
      <c r="R256" s="135"/>
    </row>
    <row r="258" spans="2:16" x14ac:dyDescent="0.35">
      <c r="B258" s="79" t="s">
        <v>118</v>
      </c>
    </row>
    <row r="259" spans="2:16" x14ac:dyDescent="0.35">
      <c r="B259" s="8" t="s">
        <v>133</v>
      </c>
      <c r="C259" s="42">
        <f>+P178</f>
        <v>-2119143.4750000006</v>
      </c>
      <c r="D259" s="42">
        <f>-'5.0 Depr Expense'!E258</f>
        <v>-134269.06599999999</v>
      </c>
      <c r="E259" s="42">
        <f>-'5.0 Depr Expense'!F258</f>
        <v>-135209.234</v>
      </c>
      <c r="F259" s="42">
        <f>-'5.0 Depr Expense'!G258</f>
        <v>-138966.63099999999</v>
      </c>
      <c r="G259" s="42">
        <f>-'5.0 Depr Expense'!H258</f>
        <v>-142855.17499999999</v>
      </c>
      <c r="H259" s="42">
        <f>-'5.0 Depr Expense'!I258</f>
        <v>-145470.856</v>
      </c>
      <c r="I259" s="42">
        <f>-'5.0 Depr Expense'!J258</f>
        <v>-149515.99900000001</v>
      </c>
      <c r="J259" s="42">
        <f>-'5.0 Depr Expense'!K258</f>
        <v>-153648.921</v>
      </c>
      <c r="K259" s="42">
        <f>-'5.0 Depr Expense'!L258</f>
        <v>-156557.78599999999</v>
      </c>
      <c r="L259" s="42">
        <f>-'5.0 Depr Expense'!M258</f>
        <v>-160136.21599999999</v>
      </c>
      <c r="M259" s="42">
        <f>-'5.0 Depr Expense'!N258</f>
        <v>-165383.27499999999</v>
      </c>
      <c r="N259" s="42">
        <f>-'5.0 Depr Expense'!O258</f>
        <v>-172305.269</v>
      </c>
      <c r="O259" s="42">
        <f>-'5.0 Depr Expense'!P258</f>
        <v>-181637.25</v>
      </c>
      <c r="P259" s="43">
        <f>SUM(C259:O259)</f>
        <v>-3955099.1530000004</v>
      </c>
    </row>
    <row r="260" spans="2:16" x14ac:dyDescent="0.35">
      <c r="B260" s="8" t="s">
        <v>134</v>
      </c>
      <c r="C260" s="42">
        <f>+P179</f>
        <v>31416.045999999998</v>
      </c>
      <c r="D260" s="42">
        <f>-'5.0 Depr Expense'!E268</f>
        <v>1446.23</v>
      </c>
      <c r="E260" s="42">
        <f>-'5.0 Depr Expense'!F268</f>
        <v>1456.1969999999999</v>
      </c>
      <c r="F260" s="42">
        <f>-'5.0 Depr Expense'!G268</f>
        <v>1477.57</v>
      </c>
      <c r="G260" s="42">
        <f>-'5.0 Depr Expense'!H268</f>
        <v>1496.1590000000001</v>
      </c>
      <c r="H260" s="42">
        <f>-'5.0 Depr Expense'!I268</f>
        <v>1540.722</v>
      </c>
      <c r="I260" s="42">
        <f>-'5.0 Depr Expense'!J268</f>
        <v>1653.8409999999999</v>
      </c>
      <c r="J260" s="42">
        <f>-'5.0 Depr Expense'!K268</f>
        <v>1785.671</v>
      </c>
      <c r="K260" s="42">
        <f>-'5.0 Depr Expense'!L268</f>
        <v>1898.8630000000001</v>
      </c>
      <c r="L260" s="42">
        <f>-'5.0 Depr Expense'!M268</f>
        <v>1979.2529999999999</v>
      </c>
      <c r="M260" s="42">
        <f>-'5.0 Depr Expense'!N268</f>
        <v>2008</v>
      </c>
      <c r="N260" s="42">
        <f>-'5.0 Depr Expense'!O268</f>
        <v>2008.4380000000001</v>
      </c>
      <c r="O260" s="42">
        <f>-'5.0 Depr Expense'!P268</f>
        <v>2038.2529999999999</v>
      </c>
      <c r="P260" s="43">
        <f>SUM(C260:O260)</f>
        <v>52205.242999999995</v>
      </c>
    </row>
    <row r="261" spans="2:16" x14ac:dyDescent="0.35">
      <c r="B261" s="8" t="s">
        <v>135</v>
      </c>
      <c r="C261" s="42">
        <f>+P180</f>
        <v>-2008023.7210000001</v>
      </c>
      <c r="D261" s="42">
        <f>-'5.0 Depr Expense'!E278</f>
        <v>-116525.32399999999</v>
      </c>
      <c r="E261" s="42">
        <f>-'5.0 Depr Expense'!F278</f>
        <v>-120413.007</v>
      </c>
      <c r="F261" s="42">
        <f>-'5.0 Depr Expense'!G278</f>
        <v>-125034.094</v>
      </c>
      <c r="G261" s="42">
        <f>-'5.0 Depr Expense'!H278</f>
        <v>-129573.599</v>
      </c>
      <c r="H261" s="42">
        <f>-'5.0 Depr Expense'!I278</f>
        <v>-134468.071</v>
      </c>
      <c r="I261" s="42">
        <f>-'5.0 Depr Expense'!J278</f>
        <v>-139686.51800000001</v>
      </c>
      <c r="J261" s="42">
        <f>-'5.0 Depr Expense'!K278</f>
        <v>-144555.29300000001</v>
      </c>
      <c r="K261" s="42">
        <f>-'5.0 Depr Expense'!L278</f>
        <v>-149682.671</v>
      </c>
      <c r="L261" s="42">
        <f>-'5.0 Depr Expense'!M278</f>
        <v>-154780.35500000001</v>
      </c>
      <c r="M261" s="42">
        <f>-'5.0 Depr Expense'!N278</f>
        <v>-160590.712</v>
      </c>
      <c r="N261" s="42">
        <f>-'5.0 Depr Expense'!O278</f>
        <v>-166680.288</v>
      </c>
      <c r="O261" s="42">
        <f>-'5.0 Depr Expense'!P278</f>
        <v>-171348.42499999999</v>
      </c>
      <c r="P261" s="43">
        <f>SUM(C261:O261)</f>
        <v>-3721362.0780000002</v>
      </c>
    </row>
    <row r="262" spans="2:16" x14ac:dyDescent="0.35">
      <c r="B262" s="8" t="s">
        <v>136</v>
      </c>
      <c r="C262" s="42">
        <f>+P181</f>
        <v>-23918.273999999998</v>
      </c>
      <c r="D262" s="42">
        <f>-'5.0 Depr Expense'!E288</f>
        <v>-2306.4549999999999</v>
      </c>
      <c r="E262" s="42">
        <f>-'5.0 Depr Expense'!F288</f>
        <v>-2407.6849999999999</v>
      </c>
      <c r="F262" s="42">
        <f>-'5.0 Depr Expense'!G288</f>
        <v>-2483.404</v>
      </c>
      <c r="G262" s="42">
        <f>-'5.0 Depr Expense'!H288</f>
        <v>-2548.0549999999998</v>
      </c>
      <c r="H262" s="42">
        <f>-'5.0 Depr Expense'!I288</f>
        <v>-2612.23</v>
      </c>
      <c r="I262" s="42">
        <f>-'5.0 Depr Expense'!J288</f>
        <v>-2675.846</v>
      </c>
      <c r="J262" s="42">
        <f>-'5.0 Depr Expense'!K288</f>
        <v>-2719.4690000000001</v>
      </c>
      <c r="K262" s="42">
        <f>-'5.0 Depr Expense'!L288</f>
        <v>-2807.2930000000001</v>
      </c>
      <c r="L262" s="42">
        <f>-'5.0 Depr Expense'!M288</f>
        <v>-2883.4259999999999</v>
      </c>
      <c r="M262" s="42">
        <f>-'5.0 Depr Expense'!N288</f>
        <v>-2946.3440000000001</v>
      </c>
      <c r="N262" s="42">
        <f>-'5.0 Depr Expense'!O288</f>
        <v>-3015.7089999999998</v>
      </c>
      <c r="O262" s="42">
        <f>-'5.0 Depr Expense'!P288</f>
        <v>-3067.326</v>
      </c>
      <c r="P262" s="43">
        <f>SUM(C262:O262)</f>
        <v>-56391.515999999996</v>
      </c>
    </row>
    <row r="263" spans="2:16" x14ac:dyDescent="0.35">
      <c r="B263" s="8" t="s">
        <v>137</v>
      </c>
      <c r="C263" s="42">
        <f>+P182</f>
        <v>-3311.7170000000001</v>
      </c>
      <c r="D263" s="42">
        <f>-'5.0 Depr Expense'!E298</f>
        <v>-593.72</v>
      </c>
      <c r="E263" s="42">
        <f>-'5.0 Depr Expense'!F298</f>
        <v>-679.44100000000003</v>
      </c>
      <c r="F263" s="42">
        <f>-'5.0 Depr Expense'!G298</f>
        <v>-758.43100000000004</v>
      </c>
      <c r="G263" s="42">
        <f>-'5.0 Depr Expense'!H298</f>
        <v>-800.67499999999995</v>
      </c>
      <c r="H263" s="42">
        <f>-'5.0 Depr Expense'!I298</f>
        <v>-821.529</v>
      </c>
      <c r="I263" s="42">
        <f>-'5.0 Depr Expense'!J298</f>
        <v>-840.73800000000006</v>
      </c>
      <c r="J263" s="42">
        <f>-'5.0 Depr Expense'!K298</f>
        <v>-868.08</v>
      </c>
      <c r="K263" s="42">
        <f>-'5.0 Depr Expense'!L298</f>
        <v>-912.46199999999999</v>
      </c>
      <c r="L263" s="42">
        <f>-'5.0 Depr Expense'!M298</f>
        <v>-966.024</v>
      </c>
      <c r="M263" s="42">
        <f>-'5.0 Depr Expense'!N298</f>
        <v>-990.12400000000002</v>
      </c>
      <c r="N263" s="42">
        <f>-'5.0 Depr Expense'!O298</f>
        <v>-997.35299999999995</v>
      </c>
      <c r="O263" s="42">
        <f>-'5.0 Depr Expense'!P298</f>
        <v>-1013.952</v>
      </c>
      <c r="P263" s="43">
        <f>SUM(C263:O263)</f>
        <v>-13554.245999999997</v>
      </c>
    </row>
    <row r="264" spans="2:16" x14ac:dyDescent="0.35">
      <c r="B264" s="8" t="s">
        <v>158</v>
      </c>
      <c r="C264" s="46"/>
      <c r="D264" s="46">
        <f t="shared" ref="D264:P264" si="43">SUM(D259:D263)</f>
        <v>-252248.33499999996</v>
      </c>
      <c r="E264" s="46">
        <f t="shared" si="43"/>
        <v>-257253.16999999998</v>
      </c>
      <c r="F264" s="46">
        <f t="shared" si="43"/>
        <v>-265764.98999999993</v>
      </c>
      <c r="G264" s="46">
        <f t="shared" si="43"/>
        <v>-274281.34499999997</v>
      </c>
      <c r="H264" s="46">
        <f t="shared" si="43"/>
        <v>-281831.96399999992</v>
      </c>
      <c r="I264" s="46">
        <f t="shared" si="43"/>
        <v>-291065.26000000007</v>
      </c>
      <c r="J264" s="46">
        <f t="shared" si="43"/>
        <v>-300006.092</v>
      </c>
      <c r="K264" s="46">
        <f t="shared" si="43"/>
        <v>-308061.34899999999</v>
      </c>
      <c r="L264" s="46">
        <f t="shared" si="43"/>
        <v>-316786.76799999992</v>
      </c>
      <c r="M264" s="46">
        <f t="shared" si="43"/>
        <v>-327902.45499999996</v>
      </c>
      <c r="N264" s="46">
        <f t="shared" si="43"/>
        <v>-340990.18099999998</v>
      </c>
      <c r="O264" s="46">
        <f t="shared" si="43"/>
        <v>-355028.7</v>
      </c>
      <c r="P264" s="46">
        <f t="shared" si="43"/>
        <v>-7694201.7500000009</v>
      </c>
    </row>
    <row r="265" spans="2:16" x14ac:dyDescent="0.35">
      <c r="B265" s="8" t="s">
        <v>159</v>
      </c>
      <c r="C265" s="41">
        <f>SUM(C259:C264)</f>
        <v>-4122981.1410000008</v>
      </c>
      <c r="D265" s="41">
        <f t="shared" ref="D265:O265" si="44">+D264+C265</f>
        <v>-4375229.4760000007</v>
      </c>
      <c r="E265" s="41">
        <f t="shared" si="44"/>
        <v>-4632482.6460000006</v>
      </c>
      <c r="F265" s="41">
        <f t="shared" si="44"/>
        <v>-4898247.6360000009</v>
      </c>
      <c r="G265" s="41">
        <f t="shared" si="44"/>
        <v>-5172528.9810000006</v>
      </c>
      <c r="H265" s="41">
        <f t="shared" si="44"/>
        <v>-5454360.9450000003</v>
      </c>
      <c r="I265" s="41">
        <f t="shared" si="44"/>
        <v>-5745426.2050000001</v>
      </c>
      <c r="J265" s="41">
        <f t="shared" si="44"/>
        <v>-6045432.2970000003</v>
      </c>
      <c r="K265" s="41">
        <f t="shared" si="44"/>
        <v>-6353493.6460000006</v>
      </c>
      <c r="L265" s="41">
        <f t="shared" si="44"/>
        <v>-6670280.4140000008</v>
      </c>
      <c r="M265" s="41">
        <f t="shared" si="44"/>
        <v>-6998182.8690000009</v>
      </c>
      <c r="N265" s="41">
        <f t="shared" si="44"/>
        <v>-7339173.0500000007</v>
      </c>
      <c r="O265" s="41">
        <f t="shared" si="44"/>
        <v>-7694201.7500000009</v>
      </c>
      <c r="P265" s="41"/>
    </row>
    <row r="266" spans="2:16" x14ac:dyDescent="0.35">
      <c r="C266" s="41"/>
      <c r="D266" s="41"/>
      <c r="E266" s="41"/>
      <c r="F266" s="41"/>
      <c r="G266" s="41"/>
      <c r="H266" s="41"/>
      <c r="I266" s="41"/>
      <c r="J266" s="41"/>
      <c r="K266" s="41"/>
      <c r="L266" s="41"/>
      <c r="M266" s="41"/>
      <c r="N266" s="41"/>
      <c r="O266" s="41"/>
      <c r="P266" s="41"/>
    </row>
    <row r="267" spans="2:16" x14ac:dyDescent="0.35">
      <c r="B267" s="79" t="s">
        <v>62</v>
      </c>
    </row>
    <row r="268" spans="2:16" x14ac:dyDescent="0.35">
      <c r="B268" s="8" t="s">
        <v>133</v>
      </c>
      <c r="C268" s="42">
        <f>+P187</f>
        <v>3320915.9099999997</v>
      </c>
      <c r="D268" s="42">
        <f>-'5.0 Depr Expense'!E252</f>
        <v>0</v>
      </c>
      <c r="E268" s="42">
        <f>-'5.0 Depr Expense'!F252</f>
        <v>0</v>
      </c>
      <c r="F268" s="42">
        <f>-'5.0 Depr Expense'!G252</f>
        <v>17055.299503999999</v>
      </c>
      <c r="G268" s="42">
        <f>-'5.0 Depr Expense'!H252</f>
        <v>1249.7417739999999</v>
      </c>
      <c r="H268" s="42">
        <f>-'5.0 Depr Expense'!I252</f>
        <v>7277.9079780000002</v>
      </c>
      <c r="I268" s="42">
        <f>-'5.0 Depr Expense'!J252</f>
        <v>6175.1946479999997</v>
      </c>
      <c r="J268" s="42">
        <f>-'5.0 Depr Expense'!K252</f>
        <v>372055.47754200001</v>
      </c>
      <c r="K268" s="42">
        <f>-'5.0 Depr Expense'!L252</f>
        <v>9262.7919719999991</v>
      </c>
      <c r="L268" s="42">
        <f>-'5.0 Depr Expense'!M252</f>
        <v>0</v>
      </c>
      <c r="M268" s="42">
        <f>-'5.0 Depr Expense'!N252</f>
        <v>69176.882901999998</v>
      </c>
      <c r="N268" s="42">
        <f>-'5.0 Depr Expense'!O252</f>
        <v>0</v>
      </c>
      <c r="O268" s="42">
        <f>-'5.0 Depr Expense'!P252</f>
        <v>252888.92367999998</v>
      </c>
      <c r="P268" s="43">
        <f>SUM(C268:O268)</f>
        <v>4056058.1300000004</v>
      </c>
    </row>
    <row r="269" spans="2:16" x14ac:dyDescent="0.35">
      <c r="B269" s="8" t="s">
        <v>134</v>
      </c>
      <c r="C269" s="42">
        <f>+P188</f>
        <v>522451.94000000012</v>
      </c>
      <c r="D269" s="42">
        <f>-'5.0 Depr Expense'!E262</f>
        <v>3792.4190320000002</v>
      </c>
      <c r="E269" s="42">
        <f>-'5.0 Depr Expense'!F262</f>
        <v>3043.0188640000006</v>
      </c>
      <c r="F269" s="42">
        <f>-'5.0 Depr Expense'!G262</f>
        <v>12739.802856</v>
      </c>
      <c r="G269" s="42">
        <f>-'5.0 Depr Expense'!H262</f>
        <v>840.23655200000007</v>
      </c>
      <c r="H269" s="42">
        <f>-'5.0 Depr Expense'!I262</f>
        <v>31701.898016000003</v>
      </c>
      <c r="I269" s="42">
        <f>-'5.0 Depr Expense'!J262</f>
        <v>49914.593008000003</v>
      </c>
      <c r="J269" s="42">
        <f>-'5.0 Depr Expense'!K262</f>
        <v>45440.901096000001</v>
      </c>
      <c r="K269" s="42">
        <f>-'5.0 Depr Expense'!L262</f>
        <v>36879.571904000004</v>
      </c>
      <c r="L269" s="42">
        <f>-'5.0 Depr Expense'!M262</f>
        <v>21210.295664000001</v>
      </c>
      <c r="M269" s="42">
        <f>-'5.0 Depr Expense'!N262</f>
        <v>0</v>
      </c>
      <c r="N269" s="42">
        <f>-'5.0 Depr Expense'!O262</f>
        <v>317.92734400000001</v>
      </c>
      <c r="O269" s="42">
        <f>-'5.0 Depr Expense'!P262</f>
        <v>21210.295664000012</v>
      </c>
      <c r="P269" s="43">
        <f>SUM(C269:O269)</f>
        <v>749542.90000000014</v>
      </c>
    </row>
    <row r="270" spans="2:16" x14ac:dyDescent="0.35">
      <c r="B270" s="8" t="s">
        <v>135</v>
      </c>
      <c r="C270" s="42">
        <f>+P189</f>
        <v>8352706.0994296335</v>
      </c>
      <c r="D270" s="42">
        <f>-'5.0 Depr Expense'!E272</f>
        <v>178885.15940575016</v>
      </c>
      <c r="E270" s="42">
        <f>-'5.0 Depr Expense'!F272</f>
        <v>129592.35992505455</v>
      </c>
      <c r="F270" s="42">
        <f>-'5.0 Depr Expense'!G272</f>
        <v>278000.78846908431</v>
      </c>
      <c r="G270" s="42">
        <f>-'5.0 Depr Expense'!H272</f>
        <v>105741.0053376212</v>
      </c>
      <c r="H270" s="42">
        <f>-'5.0 Depr Expense'!I272</f>
        <v>207506.78491067016</v>
      </c>
      <c r="I270" s="42">
        <f>-'5.0 Depr Expense'!J272</f>
        <v>273230.51755159762</v>
      </c>
      <c r="J270" s="42">
        <f>-'5.0 Depr Expense'!K272</f>
        <v>262629.91551273834</v>
      </c>
      <c r="K270" s="42">
        <f>-'5.0 Depr Expense'!L272</f>
        <v>215192.22138884314</v>
      </c>
      <c r="L270" s="42">
        <f>-'5.0 Depr Expense'!M272</f>
        <v>253354.38872873652</v>
      </c>
      <c r="M270" s="42">
        <f>-'5.0 Depr Expense'!N272</f>
        <v>196376.15276986794</v>
      </c>
      <c r="N270" s="42">
        <f>-'5.0 Depr Expense'!O272</f>
        <v>300262.0527506888</v>
      </c>
      <c r="O270" s="42">
        <f>-'5.0 Depr Expense'!P272</f>
        <v>249379.16296416448</v>
      </c>
      <c r="P270" s="43">
        <f>SUM(C270:O270)</f>
        <v>11002856.609144447</v>
      </c>
    </row>
    <row r="271" spans="2:16" x14ac:dyDescent="0.35">
      <c r="B271" s="8" t="s">
        <v>136</v>
      </c>
      <c r="C271" s="42">
        <f>+P190</f>
        <v>163128.1</v>
      </c>
      <c r="D271" s="42">
        <f>-'5.0 Depr Expense'!E282</f>
        <v>1180.465461</v>
      </c>
      <c r="E271" s="42">
        <f>-'5.0 Depr Expense'!F282</f>
        <v>2073.6218680000002</v>
      </c>
      <c r="F271" s="42">
        <f>-'5.0 Depr Expense'!G282</f>
        <v>6008.5067379999991</v>
      </c>
      <c r="G271" s="42">
        <f>-'5.0 Depr Expense'!H282</f>
        <v>2823.1237479999995</v>
      </c>
      <c r="H271" s="42">
        <f>-'5.0 Depr Expense'!I282</f>
        <v>5109.1044819999997</v>
      </c>
      <c r="I271" s="42">
        <f>-'5.0 Depr Expense'!J282</f>
        <v>3941.1307190000002</v>
      </c>
      <c r="J271" s="42">
        <f>-'5.0 Depr Expense'!K282</f>
        <v>3934.8848699999999</v>
      </c>
      <c r="K271" s="42">
        <f>-'5.0 Depr Expense'!L282</f>
        <v>8144.5870959999993</v>
      </c>
      <c r="L271" s="42">
        <f>-'5.0 Depr Expense'!M282</f>
        <v>11148.840464999999</v>
      </c>
      <c r="M271" s="42">
        <f>-'5.0 Depr Expense'!N282</f>
        <v>5077.8752369999993</v>
      </c>
      <c r="N271" s="42">
        <f>-'5.0 Depr Expense'!O282</f>
        <v>9718.5410439999996</v>
      </c>
      <c r="O271" s="42">
        <f>-'5.0 Depr Expense'!P282</f>
        <v>3297.8082720000043</v>
      </c>
      <c r="P271" s="43">
        <f>SUM(C271:O271)</f>
        <v>225586.59000000003</v>
      </c>
    </row>
    <row r="272" spans="2:16" x14ac:dyDescent="0.35">
      <c r="B272" s="8" t="s">
        <v>137</v>
      </c>
      <c r="C272" s="42">
        <f>+P191</f>
        <v>15706.800000000003</v>
      </c>
      <c r="D272" s="42">
        <f>-'5.0 Depr Expense'!E292</f>
        <v>229.1550685</v>
      </c>
      <c r="E272" s="42">
        <f>-'5.0 Depr Expense'!F292</f>
        <v>360.28629750000005</v>
      </c>
      <c r="F272" s="42">
        <f>-'5.0 Depr Expense'!G292</f>
        <v>528.41990300000009</v>
      </c>
      <c r="G272" s="42">
        <f>-'5.0 Depr Expense'!H292</f>
        <v>85.689714000000009</v>
      </c>
      <c r="H272" s="42">
        <f>-'5.0 Depr Expense'!I292</f>
        <v>509.59413250000006</v>
      </c>
      <c r="I272" s="42">
        <f>-'5.0 Depr Expense'!J292</f>
        <v>322.63475650000004</v>
      </c>
      <c r="J272" s="42">
        <f>-'5.0 Depr Expense'!K292</f>
        <v>1655.3694750000002</v>
      </c>
      <c r="K272" s="42">
        <f>-'5.0 Depr Expense'!L292</f>
        <v>451.16932750000007</v>
      </c>
      <c r="L272" s="42">
        <f>-'5.0 Depr Expense'!M292</f>
        <v>625.14541350000002</v>
      </c>
      <c r="M272" s="42">
        <f>-'5.0 Depr Expense'!N292</f>
        <v>577.75640499999997</v>
      </c>
      <c r="N272" s="42">
        <f>-'5.0 Depr Expense'!O292</f>
        <v>699.79933100000005</v>
      </c>
      <c r="O272" s="42">
        <f>-'5.0 Depr Expense'!P292</f>
        <v>446.62517600000058</v>
      </c>
      <c r="P272" s="43">
        <f>SUM(C272:O272)</f>
        <v>22198.445</v>
      </c>
    </row>
    <row r="273" spans="2:16" x14ac:dyDescent="0.35">
      <c r="B273" s="8" t="s">
        <v>155</v>
      </c>
      <c r="C273" s="46"/>
      <c r="D273" s="46">
        <f t="shared" ref="D273:P273" si="45">SUM(D268:D272)</f>
        <v>184087.19896725018</v>
      </c>
      <c r="E273" s="46">
        <f t="shared" si="45"/>
        <v>135069.28695455453</v>
      </c>
      <c r="F273" s="46">
        <f t="shared" si="45"/>
        <v>314332.81747008435</v>
      </c>
      <c r="G273" s="46">
        <f t="shared" si="45"/>
        <v>110739.79712562119</v>
      </c>
      <c r="H273" s="46">
        <f t="shared" si="45"/>
        <v>252105.28951917015</v>
      </c>
      <c r="I273" s="46">
        <f t="shared" si="45"/>
        <v>333584.07068309764</v>
      </c>
      <c r="J273" s="46">
        <f t="shared" si="45"/>
        <v>685716.54849573819</v>
      </c>
      <c r="K273" s="46">
        <f t="shared" si="45"/>
        <v>269930.34168834309</v>
      </c>
      <c r="L273" s="46">
        <f t="shared" si="45"/>
        <v>286338.67027123657</v>
      </c>
      <c r="M273" s="46">
        <f t="shared" si="45"/>
        <v>271208.66731386795</v>
      </c>
      <c r="N273" s="46">
        <f t="shared" si="45"/>
        <v>310998.32046968886</v>
      </c>
      <c r="O273" s="46">
        <f t="shared" si="45"/>
        <v>527222.81575616449</v>
      </c>
      <c r="P273" s="46">
        <f t="shared" si="45"/>
        <v>16056242.674144447</v>
      </c>
    </row>
    <row r="274" spans="2:16" x14ac:dyDescent="0.35">
      <c r="B274" s="8" t="s">
        <v>156</v>
      </c>
      <c r="C274" s="41">
        <f>SUM(C268:C273)</f>
        <v>12374908.849429633</v>
      </c>
      <c r="D274" s="41">
        <f t="shared" ref="D274:O274" si="46">+D273+C274</f>
        <v>12558996.048396884</v>
      </c>
      <c r="E274" s="41">
        <f t="shared" si="46"/>
        <v>12694065.335351437</v>
      </c>
      <c r="F274" s="41">
        <f t="shared" si="46"/>
        <v>13008398.152821522</v>
      </c>
      <c r="G274" s="41">
        <f t="shared" si="46"/>
        <v>13119137.949947143</v>
      </c>
      <c r="H274" s="41">
        <f t="shared" si="46"/>
        <v>13371243.239466313</v>
      </c>
      <c r="I274" s="41">
        <f t="shared" si="46"/>
        <v>13704827.310149411</v>
      </c>
      <c r="J274" s="41">
        <f t="shared" si="46"/>
        <v>14390543.858645149</v>
      </c>
      <c r="K274" s="41">
        <f t="shared" si="46"/>
        <v>14660474.200333491</v>
      </c>
      <c r="L274" s="41">
        <f t="shared" si="46"/>
        <v>14946812.870604727</v>
      </c>
      <c r="M274" s="41">
        <f t="shared" si="46"/>
        <v>15218021.537918596</v>
      </c>
      <c r="N274" s="41">
        <f t="shared" si="46"/>
        <v>15529019.858388284</v>
      </c>
      <c r="O274" s="41">
        <f t="shared" si="46"/>
        <v>16056242.674144449</v>
      </c>
      <c r="P274" s="41"/>
    </row>
    <row r="276" spans="2:16" x14ac:dyDescent="0.35">
      <c r="B276" s="79" t="s">
        <v>52</v>
      </c>
    </row>
    <row r="277" spans="2:16" x14ac:dyDescent="0.35">
      <c r="B277" s="8" t="s">
        <v>133</v>
      </c>
      <c r="C277" s="42">
        <f>+P196</f>
        <v>231131.68000000002</v>
      </c>
      <c r="D277" s="42">
        <v>512.42999999999995</v>
      </c>
      <c r="E277" s="42">
        <v>7496.32</v>
      </c>
      <c r="F277" s="42">
        <v>3024.9949999999999</v>
      </c>
      <c r="G277" s="42">
        <v>4767.1900000000005</v>
      </c>
      <c r="H277" s="42">
        <v>634.81500000000005</v>
      </c>
      <c r="I277" s="42">
        <v>0</v>
      </c>
      <c r="J277" s="42">
        <v>8580.7000000000007</v>
      </c>
      <c r="K277" s="42">
        <v>68.14</v>
      </c>
      <c r="L277" s="42">
        <v>0</v>
      </c>
      <c r="M277" s="42">
        <v>87.435000000000002</v>
      </c>
      <c r="N277" s="42">
        <v>57461.18</v>
      </c>
      <c r="O277" s="42">
        <v>0</v>
      </c>
      <c r="P277" s="43">
        <f>SUM(C277:O277)</f>
        <v>313764.88500000007</v>
      </c>
    </row>
    <row r="278" spans="2:16" x14ac:dyDescent="0.35">
      <c r="B278" s="8" t="s">
        <v>134</v>
      </c>
      <c r="C278" s="42">
        <f>+P197</f>
        <v>70060.61</v>
      </c>
      <c r="D278" s="42">
        <v>342.93</v>
      </c>
      <c r="E278" s="42">
        <v>0</v>
      </c>
      <c r="F278" s="42">
        <v>485.065</v>
      </c>
      <c r="G278" s="42">
        <v>2623.105</v>
      </c>
      <c r="H278" s="42">
        <v>2049.6799999999998</v>
      </c>
      <c r="I278" s="42">
        <v>4851.5150000000003</v>
      </c>
      <c r="J278" s="42">
        <v>3064.9799999999996</v>
      </c>
      <c r="K278" s="42">
        <v>7333.19</v>
      </c>
      <c r="L278" s="42">
        <v>813.34</v>
      </c>
      <c r="M278" s="42">
        <v>190.82</v>
      </c>
      <c r="N278" s="42">
        <v>472.53</v>
      </c>
      <c r="O278" s="42">
        <v>6234.54</v>
      </c>
      <c r="P278" s="43">
        <f>SUM(C278:O278)</f>
        <v>98522.304999999978</v>
      </c>
    </row>
    <row r="279" spans="2:16" x14ac:dyDescent="0.35">
      <c r="B279" s="8" t="s">
        <v>135</v>
      </c>
      <c r="C279" s="42">
        <f>+P198</f>
        <v>3891663.6395920007</v>
      </c>
      <c r="D279" s="42">
        <v>279163.02218199999</v>
      </c>
      <c r="E279" s="42">
        <v>87540.218670000002</v>
      </c>
      <c r="F279" s="42">
        <v>85915.176544000002</v>
      </c>
      <c r="G279" s="42">
        <v>99711.577214000004</v>
      </c>
      <c r="H279" s="42">
        <v>100125.38655349999</v>
      </c>
      <c r="I279" s="42">
        <v>100015.667994</v>
      </c>
      <c r="J279" s="42">
        <v>99133.663462500001</v>
      </c>
      <c r="K279" s="42">
        <v>108606.7197625</v>
      </c>
      <c r="L279" s="42">
        <v>91981.336275999987</v>
      </c>
      <c r="M279" s="42">
        <v>135623.0442685</v>
      </c>
      <c r="N279" s="42">
        <v>139668.16573000001</v>
      </c>
      <c r="O279" s="42">
        <v>104084.80113899999</v>
      </c>
      <c r="P279" s="43">
        <f>SUM(C279:O279)</f>
        <v>5323232.4193880009</v>
      </c>
    </row>
    <row r="280" spans="2:16" x14ac:dyDescent="0.35">
      <c r="B280" s="8" t="s">
        <v>136</v>
      </c>
      <c r="C280" s="42">
        <f>+P199</f>
        <v>0</v>
      </c>
      <c r="D280" s="42">
        <v>0</v>
      </c>
      <c r="E280" s="42">
        <v>0</v>
      </c>
      <c r="F280" s="42">
        <v>0</v>
      </c>
      <c r="G280" s="42">
        <v>0</v>
      </c>
      <c r="H280" s="42">
        <v>0</v>
      </c>
      <c r="I280" s="42">
        <v>0</v>
      </c>
      <c r="J280" s="42">
        <v>0</v>
      </c>
      <c r="K280" s="42">
        <v>0</v>
      </c>
      <c r="L280" s="42">
        <v>0</v>
      </c>
      <c r="M280" s="42">
        <v>0</v>
      </c>
      <c r="N280" s="42">
        <v>0</v>
      </c>
      <c r="O280" s="42">
        <v>0</v>
      </c>
      <c r="P280" s="43">
        <f>SUM(C280:O280)</f>
        <v>0</v>
      </c>
    </row>
    <row r="281" spans="2:16" x14ac:dyDescent="0.35">
      <c r="B281" s="8" t="s">
        <v>137</v>
      </c>
      <c r="C281" s="42">
        <f>+P200</f>
        <v>0</v>
      </c>
      <c r="D281" s="42">
        <v>0</v>
      </c>
      <c r="E281" s="42">
        <v>0</v>
      </c>
      <c r="F281" s="42">
        <v>0</v>
      </c>
      <c r="G281" s="42">
        <v>0</v>
      </c>
      <c r="H281" s="42">
        <v>0</v>
      </c>
      <c r="I281" s="42">
        <v>0</v>
      </c>
      <c r="J281" s="42">
        <v>0</v>
      </c>
      <c r="K281" s="42">
        <v>0</v>
      </c>
      <c r="L281" s="42">
        <v>0</v>
      </c>
      <c r="M281" s="42">
        <v>0</v>
      </c>
      <c r="N281" s="42">
        <v>0</v>
      </c>
      <c r="O281" s="42">
        <v>0</v>
      </c>
      <c r="P281" s="43">
        <f>SUM(C281:O281)</f>
        <v>0</v>
      </c>
    </row>
    <row r="282" spans="2:16" x14ac:dyDescent="0.35">
      <c r="B282" s="8" t="s">
        <v>160</v>
      </c>
      <c r="C282" s="46"/>
      <c r="D282" s="46">
        <f>SUM(D277:D281)</f>
        <v>280018.38218199997</v>
      </c>
      <c r="E282" s="46">
        <f t="shared" ref="E282:O282" si="47">SUM(E277:E281)</f>
        <v>95036.538670000009</v>
      </c>
      <c r="F282" s="46">
        <f t="shared" si="47"/>
        <v>89425.236543999999</v>
      </c>
      <c r="G282" s="46">
        <f t="shared" si="47"/>
        <v>107101.872214</v>
      </c>
      <c r="H282" s="46">
        <f t="shared" si="47"/>
        <v>102809.88155349999</v>
      </c>
      <c r="I282" s="46">
        <f t="shared" si="47"/>
        <v>104867.182994</v>
      </c>
      <c r="J282" s="46">
        <f t="shared" si="47"/>
        <v>110779.34346249999</v>
      </c>
      <c r="K282" s="46">
        <f t="shared" si="47"/>
        <v>116008.0497625</v>
      </c>
      <c r="L282" s="46">
        <f t="shared" si="47"/>
        <v>92794.676275999984</v>
      </c>
      <c r="M282" s="46">
        <f t="shared" si="47"/>
        <v>135901.29926850001</v>
      </c>
      <c r="N282" s="46">
        <f t="shared" si="47"/>
        <v>197601.87573</v>
      </c>
      <c r="O282" s="46">
        <f t="shared" si="47"/>
        <v>110319.34113899998</v>
      </c>
      <c r="P282" s="46">
        <f>SUM(P277:P281)</f>
        <v>5735519.6093880013</v>
      </c>
    </row>
    <row r="283" spans="2:16" x14ac:dyDescent="0.35">
      <c r="B283" s="8" t="s">
        <v>161</v>
      </c>
      <c r="C283" s="41">
        <f>SUM(C277:C282)</f>
        <v>4192855.9295920008</v>
      </c>
      <c r="D283" s="41">
        <f t="shared" ref="D283:O283" si="48">+D282+C283</f>
        <v>4472874.3117740005</v>
      </c>
      <c r="E283" s="41">
        <f t="shared" si="48"/>
        <v>4567910.8504440002</v>
      </c>
      <c r="F283" s="41">
        <f t="shared" si="48"/>
        <v>4657336.0869880002</v>
      </c>
      <c r="G283" s="41">
        <f t="shared" si="48"/>
        <v>4764437.9592019999</v>
      </c>
      <c r="H283" s="41">
        <f t="shared" si="48"/>
        <v>4867247.8407554999</v>
      </c>
      <c r="I283" s="41">
        <f t="shared" si="48"/>
        <v>4972115.0237494996</v>
      </c>
      <c r="J283" s="41">
        <f t="shared" si="48"/>
        <v>5082894.3672119994</v>
      </c>
      <c r="K283" s="41">
        <f t="shared" si="48"/>
        <v>5198902.4169744998</v>
      </c>
      <c r="L283" s="41">
        <f t="shared" si="48"/>
        <v>5291697.0932505</v>
      </c>
      <c r="M283" s="41">
        <f t="shared" si="48"/>
        <v>5427598.392519</v>
      </c>
      <c r="N283" s="41">
        <f t="shared" si="48"/>
        <v>5625200.2682490004</v>
      </c>
      <c r="O283" s="41">
        <f t="shared" si="48"/>
        <v>5735519.6093880003</v>
      </c>
      <c r="P283" s="41"/>
    </row>
    <row r="285" spans="2:16" x14ac:dyDescent="0.35">
      <c r="B285" s="79" t="s">
        <v>170</v>
      </c>
    </row>
    <row r="286" spans="2:16" x14ac:dyDescent="0.35">
      <c r="B286" s="8" t="s">
        <v>133</v>
      </c>
      <c r="C286" s="81">
        <f>+C259+C268+C277</f>
        <v>1432904.1149999991</v>
      </c>
      <c r="D286" s="81">
        <f>+D259+D268+D277</f>
        <v>-133756.636</v>
      </c>
      <c r="E286" s="81">
        <f t="shared" ref="E286:O286" si="49">+E259+E268+E277</f>
        <v>-127712.91399999999</v>
      </c>
      <c r="F286" s="81">
        <f t="shared" si="49"/>
        <v>-118886.336496</v>
      </c>
      <c r="G286" s="81">
        <f t="shared" si="49"/>
        <v>-136838.24322599999</v>
      </c>
      <c r="H286" s="81">
        <f t="shared" si="49"/>
        <v>-137558.13302199999</v>
      </c>
      <c r="I286" s="81">
        <f t="shared" si="49"/>
        <v>-143340.80435200001</v>
      </c>
      <c r="J286" s="81">
        <f t="shared" si="49"/>
        <v>226987.25654200002</v>
      </c>
      <c r="K286" s="81">
        <f t="shared" si="49"/>
        <v>-147226.85402799997</v>
      </c>
      <c r="L286" s="81">
        <f t="shared" si="49"/>
        <v>-160136.21599999999</v>
      </c>
      <c r="M286" s="81">
        <f t="shared" si="49"/>
        <v>-96118.957097999999</v>
      </c>
      <c r="N286" s="81">
        <f t="shared" si="49"/>
        <v>-114844.08900000001</v>
      </c>
      <c r="O286" s="81">
        <f t="shared" si="49"/>
        <v>71251.673679999978</v>
      </c>
      <c r="P286" s="43">
        <f>SUM(C286:O286)</f>
        <v>414723.86199999915</v>
      </c>
    </row>
    <row r="287" spans="2:16" x14ac:dyDescent="0.35">
      <c r="B287" s="8" t="s">
        <v>134</v>
      </c>
      <c r="C287" s="81">
        <f>+C260+C269+C278</f>
        <v>623928.59600000014</v>
      </c>
      <c r="D287" s="81">
        <f t="shared" ref="D287:O287" si="50">+D260+D269+D278</f>
        <v>5581.5790320000006</v>
      </c>
      <c r="E287" s="81">
        <f t="shared" si="50"/>
        <v>4499.2158640000007</v>
      </c>
      <c r="F287" s="81">
        <f t="shared" si="50"/>
        <v>14702.437856</v>
      </c>
      <c r="G287" s="81">
        <f t="shared" si="50"/>
        <v>4959.5005519999995</v>
      </c>
      <c r="H287" s="81">
        <f t="shared" si="50"/>
        <v>35292.300016000001</v>
      </c>
      <c r="I287" s="81">
        <f t="shared" si="50"/>
        <v>56419.949008000003</v>
      </c>
      <c r="J287" s="81">
        <f t="shared" si="50"/>
        <v>50291.552095999999</v>
      </c>
      <c r="K287" s="81">
        <f t="shared" si="50"/>
        <v>46111.624904000004</v>
      </c>
      <c r="L287" s="81">
        <f t="shared" si="50"/>
        <v>24002.888664000002</v>
      </c>
      <c r="M287" s="81">
        <f t="shared" si="50"/>
        <v>2198.8200000000002</v>
      </c>
      <c r="N287" s="81">
        <f t="shared" si="50"/>
        <v>2798.8953440000005</v>
      </c>
      <c r="O287" s="81">
        <f t="shared" si="50"/>
        <v>29483.088664000014</v>
      </c>
      <c r="P287" s="43">
        <f>SUM(C287:O287)</f>
        <v>900270.44800000021</v>
      </c>
    </row>
    <row r="288" spans="2:16" x14ac:dyDescent="0.35">
      <c r="B288" s="8" t="s">
        <v>135</v>
      </c>
      <c r="C288" s="81">
        <f>+C261+C270+C279</f>
        <v>10236346.018021634</v>
      </c>
      <c r="D288" s="81">
        <f t="shared" ref="D288:O288" si="51">+D261+D270+D279</f>
        <v>341522.85758775019</v>
      </c>
      <c r="E288" s="81">
        <f t="shared" si="51"/>
        <v>96719.571595054556</v>
      </c>
      <c r="F288" s="81">
        <f t="shared" si="51"/>
        <v>238881.87101308431</v>
      </c>
      <c r="G288" s="81">
        <f t="shared" si="51"/>
        <v>75878.983551621204</v>
      </c>
      <c r="H288" s="81">
        <f t="shared" si="51"/>
        <v>173164.10046417016</v>
      </c>
      <c r="I288" s="81">
        <f t="shared" si="51"/>
        <v>233559.66754559759</v>
      </c>
      <c r="J288" s="81">
        <f t="shared" si="51"/>
        <v>217208.28597523834</v>
      </c>
      <c r="K288" s="81">
        <f t="shared" si="51"/>
        <v>174116.27015134314</v>
      </c>
      <c r="L288" s="81">
        <f t="shared" si="51"/>
        <v>190555.3700047365</v>
      </c>
      <c r="M288" s="81">
        <f t="shared" si="51"/>
        <v>171408.48503836794</v>
      </c>
      <c r="N288" s="81">
        <f t="shared" si="51"/>
        <v>273249.93048068881</v>
      </c>
      <c r="O288" s="81">
        <f t="shared" si="51"/>
        <v>182115.53910316448</v>
      </c>
      <c r="P288" s="43">
        <f>SUM(C288:O288)</f>
        <v>12604726.950532453</v>
      </c>
    </row>
    <row r="289" spans="2:17" x14ac:dyDescent="0.35">
      <c r="B289" s="8" t="s">
        <v>136</v>
      </c>
      <c r="C289" s="81">
        <f>+C262+C271+C280</f>
        <v>139209.826</v>
      </c>
      <c r="D289" s="81">
        <f t="shared" ref="D289:O289" si="52">+D262+D271+D280</f>
        <v>-1125.9895389999999</v>
      </c>
      <c r="E289" s="81">
        <f t="shared" si="52"/>
        <v>-334.06313199999977</v>
      </c>
      <c r="F289" s="81">
        <f t="shared" si="52"/>
        <v>3525.1027379999991</v>
      </c>
      <c r="G289" s="81">
        <f t="shared" si="52"/>
        <v>275.06874799999969</v>
      </c>
      <c r="H289" s="81">
        <f t="shared" si="52"/>
        <v>2496.8744819999997</v>
      </c>
      <c r="I289" s="81">
        <f t="shared" si="52"/>
        <v>1265.2847190000002</v>
      </c>
      <c r="J289" s="81">
        <f t="shared" si="52"/>
        <v>1215.4158699999998</v>
      </c>
      <c r="K289" s="81">
        <f t="shared" si="52"/>
        <v>5337.2940959999996</v>
      </c>
      <c r="L289" s="81">
        <f t="shared" si="52"/>
        <v>8265.4144649999998</v>
      </c>
      <c r="M289" s="81">
        <f t="shared" si="52"/>
        <v>2131.5312369999992</v>
      </c>
      <c r="N289" s="81">
        <f t="shared" si="52"/>
        <v>6702.8320439999998</v>
      </c>
      <c r="O289" s="81">
        <f t="shared" si="52"/>
        <v>230.48227200000429</v>
      </c>
      <c r="P289" s="43">
        <f>SUM(C289:O289)</f>
        <v>169195.07399999996</v>
      </c>
    </row>
    <row r="290" spans="2:17" x14ac:dyDescent="0.35">
      <c r="B290" s="8" t="s">
        <v>137</v>
      </c>
      <c r="C290" s="81">
        <f>+C263+C272+C281</f>
        <v>12395.083000000002</v>
      </c>
      <c r="D290" s="81">
        <f t="shared" ref="D290:O290" si="53">+D263+D272+D281</f>
        <v>-364.56493150000006</v>
      </c>
      <c r="E290" s="81">
        <f t="shared" si="53"/>
        <v>-319.15470249999998</v>
      </c>
      <c r="F290" s="81">
        <f t="shared" si="53"/>
        <v>-230.01109699999995</v>
      </c>
      <c r="G290" s="81">
        <f t="shared" si="53"/>
        <v>-714.98528599999997</v>
      </c>
      <c r="H290" s="81">
        <f t="shared" si="53"/>
        <v>-311.93486749999994</v>
      </c>
      <c r="I290" s="81">
        <f t="shared" si="53"/>
        <v>-518.10324349999996</v>
      </c>
      <c r="J290" s="81">
        <f t="shared" si="53"/>
        <v>787.28947500000015</v>
      </c>
      <c r="K290" s="81">
        <f t="shared" si="53"/>
        <v>-461.29267249999992</v>
      </c>
      <c r="L290" s="81">
        <f t="shared" si="53"/>
        <v>-340.87858649999998</v>
      </c>
      <c r="M290" s="81">
        <f t="shared" si="53"/>
        <v>-412.36759500000005</v>
      </c>
      <c r="N290" s="81">
        <f t="shared" si="53"/>
        <v>-297.5536689999999</v>
      </c>
      <c r="O290" s="81">
        <f t="shared" si="53"/>
        <v>-567.32682399999942</v>
      </c>
      <c r="P290" s="43">
        <f>SUM(C290:O290)</f>
        <v>8644.1990000000005</v>
      </c>
    </row>
    <row r="291" spans="2:17" x14ac:dyDescent="0.35">
      <c r="B291" s="8" t="s">
        <v>171</v>
      </c>
      <c r="C291" s="46"/>
      <c r="D291" s="46">
        <f t="shared" ref="D291:P291" si="54">SUM(D286:D290)</f>
        <v>211857.24614925016</v>
      </c>
      <c r="E291" s="46">
        <f t="shared" si="54"/>
        <v>-27147.344375445435</v>
      </c>
      <c r="F291" s="46">
        <f t="shared" si="54"/>
        <v>137993.06401408429</v>
      </c>
      <c r="G291" s="46">
        <f t="shared" si="54"/>
        <v>-56439.67566037878</v>
      </c>
      <c r="H291" s="46">
        <f t="shared" si="54"/>
        <v>73083.207072670164</v>
      </c>
      <c r="I291" s="46">
        <f t="shared" si="54"/>
        <v>147385.99367709758</v>
      </c>
      <c r="J291" s="46">
        <f t="shared" si="54"/>
        <v>496489.79995823838</v>
      </c>
      <c r="K291" s="46">
        <f t="shared" si="54"/>
        <v>77877.042450843161</v>
      </c>
      <c r="L291" s="46">
        <f t="shared" si="54"/>
        <v>62346.57854723651</v>
      </c>
      <c r="M291" s="46">
        <f t="shared" si="54"/>
        <v>79207.511582367952</v>
      </c>
      <c r="N291" s="46">
        <f t="shared" si="54"/>
        <v>167610.01519968882</v>
      </c>
      <c r="O291" s="46">
        <f t="shared" si="54"/>
        <v>282513.45689516451</v>
      </c>
      <c r="P291" s="46">
        <f t="shared" si="54"/>
        <v>14097560.53353245</v>
      </c>
    </row>
    <row r="292" spans="2:17" x14ac:dyDescent="0.35">
      <c r="B292" s="8" t="s">
        <v>172</v>
      </c>
      <c r="C292" s="41">
        <f>SUM(C286:C291)</f>
        <v>12444783.638021633</v>
      </c>
      <c r="D292" s="41">
        <f t="shared" ref="D292:O292" si="55">+D291+C292</f>
        <v>12656640.884170882</v>
      </c>
      <c r="E292" s="41">
        <f t="shared" si="55"/>
        <v>12629493.539795438</v>
      </c>
      <c r="F292" s="41">
        <f t="shared" si="55"/>
        <v>12767486.603809522</v>
      </c>
      <c r="G292" s="41">
        <f t="shared" si="55"/>
        <v>12711046.928149143</v>
      </c>
      <c r="H292" s="41">
        <f t="shared" si="55"/>
        <v>12784130.135221813</v>
      </c>
      <c r="I292" s="41">
        <f t="shared" si="55"/>
        <v>12931516.128898911</v>
      </c>
      <c r="J292" s="41">
        <f t="shared" si="55"/>
        <v>13428005.92885715</v>
      </c>
      <c r="K292" s="41">
        <f t="shared" si="55"/>
        <v>13505882.971307993</v>
      </c>
      <c r="L292" s="41">
        <f t="shared" si="55"/>
        <v>13568229.549855229</v>
      </c>
      <c r="M292" s="41">
        <f t="shared" si="55"/>
        <v>13647437.061437596</v>
      </c>
      <c r="N292" s="41">
        <f t="shared" si="55"/>
        <v>13815047.076637285</v>
      </c>
      <c r="O292" s="41">
        <f t="shared" si="55"/>
        <v>14097560.53353245</v>
      </c>
      <c r="P292" s="41"/>
      <c r="Q292" s="43">
        <f>AVERAGE(C292:O292)</f>
        <v>13152866.229207311</v>
      </c>
    </row>
    <row r="293" spans="2:17" x14ac:dyDescent="0.35">
      <c r="C293" s="41"/>
      <c r="D293" s="41"/>
      <c r="E293" s="41"/>
      <c r="F293" s="41"/>
      <c r="G293" s="41"/>
      <c r="H293" s="41"/>
      <c r="I293" s="41"/>
      <c r="J293" s="41"/>
      <c r="K293" s="41"/>
      <c r="L293" s="41"/>
      <c r="M293" s="41"/>
      <c r="N293" s="41"/>
      <c r="O293" s="41"/>
      <c r="P293" s="41"/>
      <c r="Q293" s="43"/>
    </row>
    <row r="294" spans="2:17" x14ac:dyDescent="0.35">
      <c r="C294" s="41"/>
      <c r="D294" s="41"/>
      <c r="E294" s="41"/>
      <c r="F294" s="41"/>
      <c r="G294" s="41"/>
      <c r="H294" s="41"/>
      <c r="I294" s="41"/>
      <c r="J294" s="41"/>
      <c r="K294" s="41"/>
      <c r="L294" s="41"/>
      <c r="M294" s="41"/>
      <c r="N294" s="41"/>
      <c r="O294" s="41"/>
      <c r="P294" s="41"/>
      <c r="Q294" s="43"/>
    </row>
    <row r="295" spans="2:17" x14ac:dyDescent="0.35">
      <c r="C295" s="41"/>
      <c r="D295" s="41"/>
      <c r="E295" s="41"/>
      <c r="F295" s="41"/>
      <c r="G295" s="41"/>
      <c r="H295" s="41"/>
      <c r="I295" s="41"/>
      <c r="J295" s="41"/>
      <c r="K295" s="41"/>
      <c r="L295" s="41"/>
      <c r="M295" s="41"/>
      <c r="N295" s="41"/>
      <c r="O295" s="41"/>
      <c r="P295" s="41"/>
      <c r="Q295" s="43"/>
    </row>
    <row r="296" spans="2:17" x14ac:dyDescent="0.35">
      <c r="C296" s="41"/>
      <c r="D296" s="41"/>
      <c r="E296" s="41"/>
      <c r="F296" s="41"/>
      <c r="G296" s="41"/>
      <c r="H296" s="41"/>
      <c r="I296" s="41"/>
      <c r="J296" s="41"/>
      <c r="K296" s="41"/>
      <c r="L296" s="41"/>
      <c r="M296" s="41"/>
      <c r="N296" s="41"/>
      <c r="O296" s="41"/>
      <c r="P296" s="41"/>
      <c r="Q296" s="43"/>
    </row>
    <row r="297" spans="2:17" x14ac:dyDescent="0.35">
      <c r="C297" s="41"/>
      <c r="D297" s="41"/>
      <c r="E297" s="41"/>
      <c r="F297" s="41"/>
      <c r="G297" s="41"/>
      <c r="H297" s="41"/>
      <c r="I297" s="41"/>
      <c r="J297" s="41"/>
      <c r="K297" s="41"/>
      <c r="L297" s="41"/>
      <c r="M297" s="41"/>
      <c r="N297" s="41"/>
      <c r="O297" s="41"/>
      <c r="P297" s="41"/>
      <c r="Q297" s="43"/>
    </row>
    <row r="298" spans="2:17" x14ac:dyDescent="0.35">
      <c r="C298" s="41"/>
      <c r="D298" s="41"/>
      <c r="E298" s="41"/>
      <c r="F298" s="41"/>
      <c r="G298" s="41"/>
      <c r="H298" s="41"/>
      <c r="I298" s="41"/>
      <c r="J298" s="41"/>
      <c r="K298" s="41"/>
      <c r="L298" s="41"/>
      <c r="M298" s="41"/>
      <c r="N298" s="41"/>
      <c r="O298" s="41"/>
      <c r="P298" s="41"/>
      <c r="Q298" s="43"/>
    </row>
    <row r="299" spans="2:17" x14ac:dyDescent="0.35">
      <c r="C299" s="41"/>
      <c r="D299" s="41"/>
      <c r="E299" s="41"/>
      <c r="F299" s="41"/>
      <c r="G299" s="41"/>
      <c r="H299" s="41"/>
      <c r="I299" s="41"/>
      <c r="J299" s="41"/>
      <c r="K299" s="41"/>
      <c r="L299" s="41"/>
      <c r="M299" s="41"/>
      <c r="N299" s="41"/>
      <c r="O299" s="41"/>
      <c r="P299" s="41"/>
      <c r="Q299" s="43"/>
    </row>
    <row r="300" spans="2:17" x14ac:dyDescent="0.35">
      <c r="C300" s="41"/>
      <c r="D300" s="41"/>
      <c r="E300" s="41"/>
      <c r="F300" s="41"/>
      <c r="G300" s="41"/>
      <c r="H300" s="41"/>
      <c r="I300" s="41"/>
      <c r="J300" s="41"/>
      <c r="K300" s="41"/>
      <c r="L300" s="41"/>
      <c r="M300" s="41"/>
      <c r="N300" s="41"/>
      <c r="O300" s="41"/>
      <c r="P300" s="41"/>
      <c r="Q300" s="43"/>
    </row>
    <row r="301" spans="2:17" x14ac:dyDescent="0.35">
      <c r="C301" s="41"/>
      <c r="D301" s="41"/>
      <c r="E301" s="41"/>
      <c r="F301" s="41"/>
      <c r="G301" s="41"/>
      <c r="H301" s="41"/>
      <c r="I301" s="41"/>
      <c r="J301" s="41"/>
      <c r="K301" s="41"/>
      <c r="L301" s="41"/>
      <c r="M301" s="41"/>
      <c r="N301" s="41"/>
      <c r="O301" s="41"/>
      <c r="P301" s="41"/>
      <c r="Q301" s="43"/>
    </row>
    <row r="302" spans="2:17" x14ac:dyDescent="0.35">
      <c r="C302" s="41"/>
      <c r="D302" s="41"/>
      <c r="E302" s="41"/>
      <c r="F302" s="41"/>
      <c r="G302" s="41"/>
      <c r="H302" s="41"/>
      <c r="I302" s="41"/>
      <c r="J302" s="41"/>
      <c r="K302" s="41"/>
      <c r="L302" s="41"/>
      <c r="M302" s="41"/>
      <c r="N302" s="41"/>
      <c r="O302" s="41"/>
      <c r="P302" s="41"/>
      <c r="Q302" s="43"/>
    </row>
    <row r="303" spans="2:17" x14ac:dyDescent="0.35">
      <c r="C303" s="41"/>
      <c r="D303" s="41"/>
      <c r="E303" s="41"/>
      <c r="F303" s="41"/>
      <c r="G303" s="41"/>
      <c r="H303" s="41"/>
      <c r="I303" s="41"/>
      <c r="J303" s="41"/>
      <c r="K303" s="41"/>
      <c r="L303" s="41"/>
      <c r="M303" s="41"/>
      <c r="N303" s="41"/>
      <c r="O303" s="41"/>
      <c r="P303" s="41"/>
      <c r="Q303" s="43"/>
    </row>
    <row r="304" spans="2:17" x14ac:dyDescent="0.35">
      <c r="C304" s="41"/>
      <c r="D304" s="41"/>
      <c r="E304" s="41"/>
      <c r="F304" s="41"/>
      <c r="G304" s="41"/>
      <c r="H304" s="41"/>
      <c r="I304" s="41"/>
      <c r="J304" s="41"/>
      <c r="K304" s="41"/>
      <c r="L304" s="41"/>
      <c r="M304" s="41"/>
      <c r="N304" s="41"/>
      <c r="O304" s="41"/>
      <c r="P304" s="41"/>
      <c r="Q304" s="43"/>
    </row>
    <row r="305" spans="3:17" x14ac:dyDescent="0.35">
      <c r="C305" s="41"/>
      <c r="D305" s="41"/>
      <c r="E305" s="41"/>
      <c r="F305" s="41"/>
      <c r="G305" s="41"/>
      <c r="H305" s="41"/>
      <c r="I305" s="41"/>
      <c r="J305" s="41"/>
      <c r="K305" s="41"/>
      <c r="L305" s="41"/>
      <c r="M305" s="41"/>
      <c r="N305" s="41"/>
      <c r="O305" s="41"/>
      <c r="P305" s="41"/>
      <c r="Q305" s="43"/>
    </row>
    <row r="306" spans="3:17" x14ac:dyDescent="0.35">
      <c r="C306" s="41"/>
      <c r="D306" s="41"/>
      <c r="E306" s="41"/>
      <c r="F306" s="41"/>
      <c r="G306" s="41"/>
      <c r="H306" s="41"/>
      <c r="I306" s="41"/>
      <c r="J306" s="41"/>
      <c r="K306" s="41"/>
      <c r="L306" s="41"/>
      <c r="M306" s="41"/>
      <c r="N306" s="41"/>
      <c r="O306" s="41"/>
      <c r="P306" s="41"/>
      <c r="Q306" s="43"/>
    </row>
    <row r="307" spans="3:17" x14ac:dyDescent="0.35">
      <c r="C307" s="41"/>
      <c r="D307" s="41"/>
      <c r="E307" s="41"/>
      <c r="F307" s="41"/>
      <c r="G307" s="41"/>
      <c r="H307" s="41"/>
      <c r="I307" s="41"/>
      <c r="J307" s="41"/>
      <c r="K307" s="41"/>
      <c r="L307" s="41"/>
      <c r="M307" s="41"/>
      <c r="N307" s="41"/>
      <c r="O307" s="41"/>
      <c r="P307" s="41"/>
      <c r="Q307" s="43"/>
    </row>
    <row r="308" spans="3:17" x14ac:dyDescent="0.35">
      <c r="C308" s="41"/>
      <c r="D308" s="41"/>
      <c r="E308" s="41"/>
      <c r="F308" s="41"/>
      <c r="G308" s="41"/>
      <c r="H308" s="41"/>
      <c r="I308" s="41"/>
      <c r="J308" s="41"/>
      <c r="K308" s="41"/>
      <c r="L308" s="41"/>
      <c r="M308" s="41"/>
      <c r="N308" s="41"/>
      <c r="O308" s="41"/>
      <c r="P308" s="41"/>
      <c r="Q308" s="43"/>
    </row>
    <row r="309" spans="3:17" x14ac:dyDescent="0.35">
      <c r="C309" s="41"/>
      <c r="D309" s="41"/>
      <c r="E309" s="41"/>
      <c r="F309" s="41"/>
      <c r="G309" s="41"/>
      <c r="H309" s="41"/>
      <c r="I309" s="41"/>
      <c r="J309" s="41"/>
      <c r="K309" s="41"/>
      <c r="L309" s="41"/>
      <c r="M309" s="41"/>
      <c r="N309" s="41"/>
      <c r="O309" s="41"/>
      <c r="P309" s="41"/>
      <c r="Q309" s="43"/>
    </row>
    <row r="310" spans="3:17" x14ac:dyDescent="0.35">
      <c r="C310" s="41"/>
      <c r="D310" s="41"/>
      <c r="E310" s="41"/>
      <c r="F310" s="41"/>
      <c r="G310" s="41"/>
      <c r="H310" s="41"/>
      <c r="I310" s="41"/>
      <c r="J310" s="41"/>
      <c r="K310" s="41"/>
      <c r="L310" s="41"/>
      <c r="M310" s="41"/>
      <c r="N310" s="41"/>
      <c r="O310" s="41"/>
      <c r="P310" s="41"/>
      <c r="Q310" s="43"/>
    </row>
    <row r="311" spans="3:17" x14ac:dyDescent="0.35">
      <c r="C311" s="41"/>
      <c r="D311" s="41"/>
      <c r="E311" s="41"/>
      <c r="F311" s="41"/>
      <c r="G311" s="41"/>
      <c r="H311" s="41"/>
      <c r="I311" s="41"/>
      <c r="J311" s="41"/>
      <c r="K311" s="41"/>
      <c r="L311" s="41"/>
      <c r="M311" s="41"/>
      <c r="N311" s="41"/>
      <c r="O311" s="41"/>
      <c r="P311" s="41"/>
      <c r="Q311" s="43"/>
    </row>
    <row r="312" spans="3:17" x14ac:dyDescent="0.35">
      <c r="C312" s="41"/>
      <c r="D312" s="41"/>
      <c r="E312" s="41"/>
      <c r="F312" s="41"/>
      <c r="G312" s="41"/>
      <c r="H312" s="41"/>
      <c r="I312" s="41"/>
      <c r="J312" s="41"/>
      <c r="K312" s="41"/>
      <c r="L312" s="41"/>
      <c r="M312" s="41"/>
      <c r="N312" s="41"/>
      <c r="O312" s="41"/>
      <c r="P312" s="41"/>
      <c r="Q312" s="43"/>
    </row>
    <row r="313" spans="3:17" x14ac:dyDescent="0.35">
      <c r="C313" s="41"/>
      <c r="D313" s="41"/>
      <c r="E313" s="41"/>
      <c r="F313" s="41"/>
      <c r="G313" s="41"/>
      <c r="H313" s="41"/>
      <c r="I313" s="41"/>
      <c r="J313" s="41"/>
      <c r="K313" s="41"/>
      <c r="L313" s="41"/>
      <c r="M313" s="41"/>
      <c r="N313" s="41"/>
      <c r="O313" s="41"/>
      <c r="P313" s="41"/>
      <c r="Q313" s="43"/>
    </row>
    <row r="314" spans="3:17" x14ac:dyDescent="0.35">
      <c r="C314" s="41"/>
      <c r="D314" s="41"/>
      <c r="E314" s="41"/>
      <c r="F314" s="41"/>
      <c r="G314" s="41"/>
      <c r="H314" s="41"/>
      <c r="I314" s="41"/>
      <c r="J314" s="41"/>
      <c r="K314" s="41"/>
      <c r="L314" s="41"/>
      <c r="M314" s="41"/>
      <c r="N314" s="41"/>
      <c r="O314" s="41"/>
      <c r="P314" s="41"/>
      <c r="Q314" s="43"/>
    </row>
    <row r="315" spans="3:17" x14ac:dyDescent="0.35">
      <c r="C315" s="41"/>
      <c r="D315" s="41"/>
      <c r="E315" s="41"/>
      <c r="F315" s="41"/>
      <c r="G315" s="41"/>
      <c r="H315" s="41"/>
      <c r="I315" s="41"/>
      <c r="J315" s="41"/>
      <c r="K315" s="41"/>
      <c r="L315" s="41"/>
      <c r="M315" s="41"/>
      <c r="N315" s="41"/>
      <c r="O315" s="41"/>
      <c r="P315" s="41"/>
      <c r="Q315" s="43"/>
    </row>
    <row r="316" spans="3:17" x14ac:dyDescent="0.35">
      <c r="C316" s="41"/>
      <c r="D316" s="41"/>
      <c r="E316" s="41"/>
      <c r="F316" s="41"/>
      <c r="G316" s="41"/>
      <c r="H316" s="41"/>
      <c r="I316" s="41"/>
      <c r="J316" s="41"/>
      <c r="K316" s="41"/>
      <c r="L316" s="41"/>
      <c r="M316" s="41"/>
      <c r="N316" s="41"/>
      <c r="O316" s="41"/>
      <c r="P316" s="41"/>
      <c r="Q316" s="43"/>
    </row>
    <row r="317" spans="3:17" x14ac:dyDescent="0.35">
      <c r="C317" s="41"/>
      <c r="D317" s="41"/>
      <c r="E317" s="41"/>
      <c r="F317" s="41"/>
      <c r="G317" s="41"/>
      <c r="H317" s="41"/>
      <c r="I317" s="41"/>
      <c r="J317" s="41"/>
      <c r="K317" s="41"/>
      <c r="L317" s="41"/>
      <c r="M317" s="41"/>
      <c r="N317" s="41"/>
      <c r="O317" s="41"/>
      <c r="P317" s="41"/>
      <c r="Q317" s="43"/>
    </row>
    <row r="318" spans="3:17" x14ac:dyDescent="0.35">
      <c r="C318" s="41"/>
      <c r="D318" s="41"/>
      <c r="E318" s="41"/>
      <c r="F318" s="41"/>
      <c r="G318" s="41"/>
      <c r="H318" s="41"/>
      <c r="I318" s="41"/>
      <c r="J318" s="41"/>
      <c r="K318" s="41"/>
      <c r="L318" s="41"/>
      <c r="M318" s="41"/>
      <c r="N318" s="41"/>
      <c r="O318" s="41"/>
      <c r="P318" s="41"/>
      <c r="Q318" s="43"/>
    </row>
    <row r="319" spans="3:17" x14ac:dyDescent="0.35">
      <c r="C319" s="41"/>
      <c r="D319" s="41"/>
      <c r="E319" s="41"/>
      <c r="F319" s="41"/>
      <c r="G319" s="41"/>
      <c r="H319" s="41"/>
      <c r="I319" s="41"/>
      <c r="J319" s="41"/>
      <c r="K319" s="41"/>
      <c r="L319" s="41"/>
      <c r="M319" s="41"/>
      <c r="N319" s="41"/>
      <c r="O319" s="41"/>
      <c r="P319" s="41"/>
      <c r="Q319" s="43"/>
    </row>
    <row r="320" spans="3:17" x14ac:dyDescent="0.35">
      <c r="C320" s="41"/>
      <c r="D320" s="41"/>
      <c r="E320" s="41"/>
      <c r="F320" s="41"/>
      <c r="G320" s="41"/>
      <c r="H320" s="41"/>
      <c r="I320" s="41"/>
      <c r="J320" s="41"/>
      <c r="K320" s="41"/>
      <c r="L320" s="41"/>
      <c r="M320" s="41"/>
      <c r="N320" s="41"/>
      <c r="O320" s="41"/>
      <c r="P320" s="41"/>
      <c r="Q320" s="43"/>
    </row>
    <row r="321" spans="1:17" x14ac:dyDescent="0.35">
      <c r="C321" s="41"/>
      <c r="D321" s="41"/>
      <c r="E321" s="41"/>
      <c r="F321" s="41"/>
      <c r="G321" s="41"/>
      <c r="H321" s="41"/>
      <c r="I321" s="41"/>
      <c r="J321" s="41"/>
      <c r="K321" s="41"/>
      <c r="L321" s="41"/>
      <c r="M321" s="41"/>
      <c r="N321" s="41"/>
      <c r="O321" s="41"/>
      <c r="P321" s="41"/>
      <c r="Q321" s="43"/>
    </row>
    <row r="322" spans="1:17" x14ac:dyDescent="0.35">
      <c r="C322" s="41"/>
      <c r="D322" s="41"/>
      <c r="E322" s="41"/>
      <c r="F322" s="41"/>
      <c r="G322" s="41"/>
      <c r="H322" s="41"/>
      <c r="I322" s="41"/>
      <c r="J322" s="41"/>
      <c r="K322" s="41"/>
      <c r="L322" s="41"/>
      <c r="M322" s="41"/>
      <c r="N322" s="41"/>
      <c r="O322" s="41"/>
      <c r="P322" s="41"/>
      <c r="Q322" s="43"/>
    </row>
    <row r="323" spans="1:17" x14ac:dyDescent="0.35">
      <c r="C323" s="41"/>
      <c r="D323" s="41"/>
      <c r="E323" s="41"/>
      <c r="F323" s="41"/>
      <c r="G323" s="41"/>
      <c r="H323" s="41"/>
      <c r="I323" s="41"/>
      <c r="J323" s="41"/>
      <c r="K323" s="41"/>
      <c r="L323" s="41"/>
      <c r="M323" s="41"/>
      <c r="N323" s="41"/>
      <c r="O323" s="41"/>
      <c r="P323" s="41"/>
      <c r="Q323" s="43"/>
    </row>
    <row r="324" spans="1:17" x14ac:dyDescent="0.35">
      <c r="C324" s="41"/>
      <c r="D324" s="41"/>
      <c r="E324" s="41"/>
      <c r="F324" s="41"/>
      <c r="G324" s="41"/>
      <c r="H324" s="41"/>
      <c r="I324" s="41"/>
      <c r="J324" s="41"/>
      <c r="K324" s="41"/>
      <c r="L324" s="41"/>
      <c r="M324" s="41"/>
      <c r="N324" s="41"/>
      <c r="O324" s="41"/>
      <c r="P324" s="41"/>
      <c r="Q324" s="43"/>
    </row>
    <row r="325" spans="1:17" x14ac:dyDescent="0.35">
      <c r="Q325" s="9" t="str">
        <f>+Q244</f>
        <v>Case No. 2026-00306</v>
      </c>
    </row>
    <row r="326" spans="1:17" x14ac:dyDescent="0.35">
      <c r="N326" s="9"/>
      <c r="Q326" s="9" t="str">
        <f>+Q245</f>
        <v>SMRP Form 4.0</v>
      </c>
    </row>
    <row r="327" spans="1:17" x14ac:dyDescent="0.35">
      <c r="N327" s="9"/>
      <c r="Q327" s="9" t="s">
        <v>297</v>
      </c>
    </row>
    <row r="328" spans="1:17" x14ac:dyDescent="0.35">
      <c r="A328" s="144" t="s">
        <v>12</v>
      </c>
      <c r="B328" s="144"/>
      <c r="C328" s="144"/>
      <c r="D328" s="144"/>
      <c r="E328" s="144"/>
      <c r="F328" s="144"/>
      <c r="G328" s="144"/>
      <c r="H328" s="144"/>
      <c r="I328" s="144"/>
      <c r="J328" s="144"/>
      <c r="K328" s="144"/>
      <c r="L328" s="144"/>
      <c r="M328" s="144"/>
      <c r="N328" s="144"/>
      <c r="O328" s="144"/>
      <c r="P328" s="144"/>
      <c r="Q328" s="144"/>
    </row>
    <row r="329" spans="1:17" x14ac:dyDescent="0.35">
      <c r="A329" s="144" t="s">
        <v>109</v>
      </c>
      <c r="B329" s="144"/>
      <c r="C329" s="144"/>
      <c r="D329" s="144"/>
      <c r="E329" s="144"/>
      <c r="F329" s="144"/>
      <c r="G329" s="144"/>
      <c r="H329" s="144"/>
      <c r="I329" s="144"/>
      <c r="J329" s="144"/>
      <c r="K329" s="144"/>
      <c r="L329" s="144"/>
      <c r="M329" s="144"/>
      <c r="N329" s="144"/>
      <c r="O329" s="144"/>
      <c r="P329" s="144"/>
      <c r="Q329" s="144"/>
    </row>
    <row r="330" spans="1:17" x14ac:dyDescent="0.35">
      <c r="A330" s="144" t="s">
        <v>309</v>
      </c>
      <c r="B330" s="144"/>
      <c r="C330" s="144"/>
      <c r="D330" s="144"/>
      <c r="E330" s="144"/>
      <c r="F330" s="144"/>
      <c r="G330" s="144"/>
      <c r="H330" s="144"/>
      <c r="I330" s="144"/>
      <c r="J330" s="144"/>
      <c r="K330" s="144"/>
      <c r="L330" s="144"/>
      <c r="M330" s="144"/>
      <c r="N330" s="144"/>
      <c r="O330" s="144"/>
      <c r="P330" s="144"/>
      <c r="Q330" s="144"/>
    </row>
    <row r="335" spans="1:17" x14ac:dyDescent="0.35">
      <c r="C335" s="10">
        <f>+P254</f>
        <v>2026</v>
      </c>
      <c r="D335" s="10">
        <f>+C335+1</f>
        <v>2027</v>
      </c>
      <c r="E335" s="10">
        <f t="shared" ref="E335:Q335" si="56">+D335</f>
        <v>2027</v>
      </c>
      <c r="F335" s="10">
        <f t="shared" si="56"/>
        <v>2027</v>
      </c>
      <c r="G335" s="10">
        <f t="shared" si="56"/>
        <v>2027</v>
      </c>
      <c r="H335" s="10">
        <f t="shared" si="56"/>
        <v>2027</v>
      </c>
      <c r="I335" s="10">
        <f t="shared" si="56"/>
        <v>2027</v>
      </c>
      <c r="J335" s="10">
        <f t="shared" si="56"/>
        <v>2027</v>
      </c>
      <c r="K335" s="10">
        <f t="shared" si="56"/>
        <v>2027</v>
      </c>
      <c r="L335" s="10">
        <f t="shared" si="56"/>
        <v>2027</v>
      </c>
      <c r="M335" s="10">
        <f t="shared" si="56"/>
        <v>2027</v>
      </c>
      <c r="N335" s="10">
        <f t="shared" si="56"/>
        <v>2027</v>
      </c>
      <c r="O335" s="10">
        <f t="shared" si="56"/>
        <v>2027</v>
      </c>
      <c r="P335" s="10">
        <f t="shared" si="56"/>
        <v>2027</v>
      </c>
      <c r="Q335" s="10">
        <f t="shared" si="56"/>
        <v>2027</v>
      </c>
    </row>
    <row r="336" spans="1:17" x14ac:dyDescent="0.35">
      <c r="C336" s="10" t="s">
        <v>140</v>
      </c>
      <c r="D336" s="10" t="s">
        <v>141</v>
      </c>
      <c r="E336" s="10" t="s">
        <v>142</v>
      </c>
      <c r="F336" s="10" t="s">
        <v>143</v>
      </c>
      <c r="G336" s="10" t="s">
        <v>144</v>
      </c>
      <c r="H336" s="10" t="s">
        <v>81</v>
      </c>
      <c r="I336" s="10" t="s">
        <v>145</v>
      </c>
      <c r="J336" s="10" t="s">
        <v>146</v>
      </c>
      <c r="K336" s="10" t="s">
        <v>147</v>
      </c>
      <c r="L336" s="10" t="s">
        <v>148</v>
      </c>
      <c r="M336" s="10" t="s">
        <v>149</v>
      </c>
      <c r="N336" s="10" t="s">
        <v>150</v>
      </c>
      <c r="O336" s="10" t="s">
        <v>140</v>
      </c>
      <c r="P336" s="10" t="s">
        <v>151</v>
      </c>
      <c r="Q336" s="10" t="s">
        <v>152</v>
      </c>
    </row>
    <row r="337" spans="2:18" x14ac:dyDescent="0.35">
      <c r="C337" s="10" t="s">
        <v>92</v>
      </c>
      <c r="D337" s="10" t="s">
        <v>201</v>
      </c>
      <c r="E337" s="10" t="s">
        <v>201</v>
      </c>
      <c r="F337" s="10" t="s">
        <v>201</v>
      </c>
      <c r="G337" s="10" t="s">
        <v>201</v>
      </c>
      <c r="H337" s="10" t="s">
        <v>201</v>
      </c>
      <c r="I337" s="10" t="s">
        <v>201</v>
      </c>
      <c r="J337" s="10" t="s">
        <v>201</v>
      </c>
      <c r="K337" s="10" t="s">
        <v>201</v>
      </c>
      <c r="L337" s="10" t="s">
        <v>201</v>
      </c>
      <c r="M337" s="10" t="s">
        <v>201</v>
      </c>
      <c r="N337" s="10" t="s">
        <v>201</v>
      </c>
      <c r="O337" s="10" t="s">
        <v>201</v>
      </c>
      <c r="P337" s="11"/>
      <c r="Q337" s="11"/>
      <c r="R337" s="135"/>
    </row>
    <row r="339" spans="2:18" x14ac:dyDescent="0.35">
      <c r="B339" s="79" t="s">
        <v>118</v>
      </c>
    </row>
    <row r="340" spans="2:18" x14ac:dyDescent="0.35">
      <c r="B340" s="8" t="s">
        <v>133</v>
      </c>
      <c r="C340" s="42">
        <f>+P259</f>
        <v>-3955099.1530000004</v>
      </c>
      <c r="D340" s="42">
        <f>-'5.0 Depr Expense'!E339</f>
        <v>-187046.49299999999</v>
      </c>
      <c r="E340" s="42">
        <f>-'5.0 Depr Expense'!F339</f>
        <v>-188170.837</v>
      </c>
      <c r="F340" s="42">
        <f>-'5.0 Depr Expense'!G339</f>
        <v>-192665.024</v>
      </c>
      <c r="G340" s="42">
        <f>-'5.0 Depr Expense'!H339</f>
        <v>-197317.34400000001</v>
      </c>
      <c r="H340" s="42">
        <f>-'5.0 Depr Expense'!I339</f>
        <v>-200445.22200000001</v>
      </c>
      <c r="I340" s="42">
        <f>-'5.0 Depr Expense'!J339</f>
        <v>-205286.038</v>
      </c>
      <c r="J340" s="42">
        <f>-'5.0 Depr Expense'!K339</f>
        <v>-210160.413</v>
      </c>
      <c r="K340" s="42">
        <f>-'5.0 Depr Expense'!L339</f>
        <v>-213569.12</v>
      </c>
      <c r="L340" s="42">
        <f>-'5.0 Depr Expense'!M339</f>
        <v>-217849.94099999999</v>
      </c>
      <c r="M340" s="42">
        <f>-'5.0 Depr Expense'!N339</f>
        <v>-224118.019</v>
      </c>
      <c r="N340" s="42">
        <f>-'5.0 Depr Expense'!O339</f>
        <v>-232389.761</v>
      </c>
      <c r="O340" s="42">
        <f>-'5.0 Depr Expense'!P339</f>
        <v>-243497.46</v>
      </c>
      <c r="P340" s="43">
        <f>SUM(C340:O340)</f>
        <v>-6467614.8249999993</v>
      </c>
    </row>
    <row r="341" spans="2:18" x14ac:dyDescent="0.35">
      <c r="B341" s="8" t="s">
        <v>134</v>
      </c>
      <c r="C341" s="42">
        <f>+P260</f>
        <v>52205.242999999995</v>
      </c>
      <c r="D341" s="42">
        <f>-'5.0 Depr Expense'!E349</f>
        <v>2072.2240000000002</v>
      </c>
      <c r="E341" s="42">
        <f>-'5.0 Depr Expense'!F349</f>
        <v>2082.201</v>
      </c>
      <c r="F341" s="42">
        <f>-'5.0 Depr Expense'!G349</f>
        <v>2103.5639999999999</v>
      </c>
      <c r="G341" s="42">
        <f>-'5.0 Depr Expense'!H349</f>
        <v>2122.1590000000001</v>
      </c>
      <c r="H341" s="42">
        <f>-'5.0 Depr Expense'!I349</f>
        <v>2167.7089999999998</v>
      </c>
      <c r="I341" s="42">
        <f>-'5.0 Depr Expense'!J349</f>
        <v>2279.8470000000002</v>
      </c>
      <c r="J341" s="42">
        <f>-'5.0 Depr Expense'!K349</f>
        <v>2411.683</v>
      </c>
      <c r="K341" s="42">
        <f>-'5.0 Depr Expense'!L349</f>
        <v>2524.8609999999999</v>
      </c>
      <c r="L341" s="42">
        <f>-'5.0 Depr Expense'!M349</f>
        <v>2605.2510000000002</v>
      </c>
      <c r="M341" s="42">
        <f>-'5.0 Depr Expense'!N349</f>
        <v>2634</v>
      </c>
      <c r="N341" s="42">
        <f>-'5.0 Depr Expense'!O349</f>
        <v>2634.4389999999999</v>
      </c>
      <c r="O341" s="42">
        <f>-'5.0 Depr Expense'!P349</f>
        <v>2664.26</v>
      </c>
      <c r="P341" s="43">
        <f>SUM(C341:O341)</f>
        <v>80507.441000000006</v>
      </c>
    </row>
    <row r="342" spans="2:18" x14ac:dyDescent="0.35">
      <c r="B342" s="8" t="s">
        <v>135</v>
      </c>
      <c r="C342" s="42">
        <f>+P261</f>
        <v>-3721362.0780000002</v>
      </c>
      <c r="D342" s="42">
        <f>-'5.0 Depr Expense'!E359</f>
        <v>-175249.28899999999</v>
      </c>
      <c r="E342" s="42">
        <f>-'5.0 Depr Expense'!F359</f>
        <v>-179833.16099999999</v>
      </c>
      <c r="F342" s="42">
        <f>-'5.0 Depr Expense'!G359</f>
        <v>-185256.19099999999</v>
      </c>
      <c r="G342" s="42">
        <f>-'5.0 Depr Expense'!H359</f>
        <v>-190593.41200000001</v>
      </c>
      <c r="H342" s="42">
        <f>-'5.0 Depr Expense'!I359</f>
        <v>-196416.24400000001</v>
      </c>
      <c r="I342" s="42">
        <f>-'5.0 Depr Expense'!J359</f>
        <v>-202526.845</v>
      </c>
      <c r="J342" s="42">
        <f>-'5.0 Depr Expense'!K359</f>
        <v>-208168.06200000001</v>
      </c>
      <c r="K342" s="42">
        <f>-'5.0 Depr Expense'!L359</f>
        <v>-214167.51699999999</v>
      </c>
      <c r="L342" s="42">
        <f>-'5.0 Depr Expense'!M359</f>
        <v>-220137.11600000001</v>
      </c>
      <c r="M342" s="42">
        <f>-'5.0 Depr Expense'!N359</f>
        <v>-226997.12400000001</v>
      </c>
      <c r="N342" s="42">
        <f>-'5.0 Depr Expense'!O359</f>
        <v>-234171.06200000001</v>
      </c>
      <c r="O342" s="42">
        <f>-'5.0 Depr Expense'!P359</f>
        <v>-239556.568</v>
      </c>
      <c r="P342" s="43">
        <f>SUM(C342:O342)</f>
        <v>-6194434.6689999988</v>
      </c>
    </row>
    <row r="343" spans="2:18" x14ac:dyDescent="0.35">
      <c r="B343" s="8" t="s">
        <v>136</v>
      </c>
      <c r="C343" s="42">
        <f>+P262</f>
        <v>-56391.515999999996</v>
      </c>
      <c r="D343" s="42">
        <f>-'5.0 Depr Expense'!E369</f>
        <v>-3166.4569999999999</v>
      </c>
      <c r="E343" s="42">
        <f>-'5.0 Depr Expense'!F369</f>
        <v>-3267.683</v>
      </c>
      <c r="F343" s="42">
        <f>-'5.0 Depr Expense'!G369</f>
        <v>-3344.4050000000002</v>
      </c>
      <c r="G343" s="42">
        <f>-'5.0 Depr Expense'!H369</f>
        <v>-3409.0540000000001</v>
      </c>
      <c r="H343" s="42">
        <f>-'5.0 Depr Expense'!I369</f>
        <v>-3473.2280000000001</v>
      </c>
      <c r="I343" s="42">
        <f>-'5.0 Depr Expense'!J369</f>
        <v>-3535.848</v>
      </c>
      <c r="J343" s="42">
        <f>-'5.0 Depr Expense'!K369</f>
        <v>-3580.4690000000001</v>
      </c>
      <c r="K343" s="42">
        <f>-'5.0 Depr Expense'!L369</f>
        <v>-3668.2930000000001</v>
      </c>
      <c r="L343" s="42">
        <f>-'5.0 Depr Expense'!M369</f>
        <v>-3743.4290000000001</v>
      </c>
      <c r="M343" s="42">
        <f>-'5.0 Depr Expense'!N369</f>
        <v>-3806.3420000000001</v>
      </c>
      <c r="N343" s="42">
        <f>-'5.0 Depr Expense'!O369</f>
        <v>-3876.7069999999999</v>
      </c>
      <c r="O343" s="42">
        <f>-'5.0 Depr Expense'!P369</f>
        <v>-3927.3249999999998</v>
      </c>
      <c r="P343" s="43">
        <f>SUM(C343:O343)</f>
        <v>-99190.756000000008</v>
      </c>
    </row>
    <row r="344" spans="2:18" x14ac:dyDescent="0.35">
      <c r="B344" s="8" t="s">
        <v>137</v>
      </c>
      <c r="C344" s="42">
        <f>+P263</f>
        <v>-13554.245999999997</v>
      </c>
      <c r="D344" s="42">
        <f>-'5.0 Depr Expense'!E379</f>
        <v>-1058.72</v>
      </c>
      <c r="E344" s="42">
        <f>-'5.0 Depr Expense'!F379</f>
        <v>-1144.441</v>
      </c>
      <c r="F344" s="42">
        <f>-'5.0 Depr Expense'!G379</f>
        <v>-1223.431</v>
      </c>
      <c r="G344" s="42">
        <f>-'5.0 Depr Expense'!H379</f>
        <v>-1265.675</v>
      </c>
      <c r="H344" s="42">
        <f>-'5.0 Depr Expense'!I379</f>
        <v>-1286.528</v>
      </c>
      <c r="I344" s="42">
        <f>-'5.0 Depr Expense'!J379</f>
        <v>-1306.7380000000001</v>
      </c>
      <c r="J344" s="42">
        <f>-'5.0 Depr Expense'!K379</f>
        <v>-1333.079</v>
      </c>
      <c r="K344" s="42">
        <f>-'5.0 Depr Expense'!L379</f>
        <v>-1377.462</v>
      </c>
      <c r="L344" s="42">
        <f>-'5.0 Depr Expense'!M379</f>
        <v>-1431.0239999999999</v>
      </c>
      <c r="M344" s="42">
        <f>-'5.0 Depr Expense'!N379</f>
        <v>-1455.124</v>
      </c>
      <c r="N344" s="42">
        <f>-'5.0 Depr Expense'!O379</f>
        <v>-1462.3520000000001</v>
      </c>
      <c r="O344" s="42">
        <f>-'5.0 Depr Expense'!P379</f>
        <v>-1478.953</v>
      </c>
      <c r="P344" s="43">
        <f>SUM(C344:O344)</f>
        <v>-29377.772999999997</v>
      </c>
    </row>
    <row r="345" spans="2:18" x14ac:dyDescent="0.35">
      <c r="B345" s="8" t="s">
        <v>158</v>
      </c>
      <c r="C345" s="46"/>
      <c r="D345" s="46">
        <f t="shared" ref="D345:P345" si="57">SUM(D340:D344)</f>
        <v>-364448.73499999993</v>
      </c>
      <c r="E345" s="46">
        <f t="shared" si="57"/>
        <v>-370333.92100000003</v>
      </c>
      <c r="F345" s="46">
        <f t="shared" si="57"/>
        <v>-380385.48699999996</v>
      </c>
      <c r="G345" s="46">
        <f t="shared" si="57"/>
        <v>-390463.326</v>
      </c>
      <c r="H345" s="46">
        <f t="shared" si="57"/>
        <v>-399453.51299999998</v>
      </c>
      <c r="I345" s="46">
        <f t="shared" si="57"/>
        <v>-410375.62199999997</v>
      </c>
      <c r="J345" s="46">
        <f t="shared" si="57"/>
        <v>-420830.34</v>
      </c>
      <c r="K345" s="46">
        <f t="shared" si="57"/>
        <v>-430257.53099999996</v>
      </c>
      <c r="L345" s="46">
        <f t="shared" si="57"/>
        <v>-440556.25899999996</v>
      </c>
      <c r="M345" s="46">
        <f t="shared" si="57"/>
        <v>-453742.60900000005</v>
      </c>
      <c r="N345" s="46">
        <f t="shared" si="57"/>
        <v>-469265.44299999997</v>
      </c>
      <c r="O345" s="46">
        <f t="shared" si="57"/>
        <v>-485796.04599999997</v>
      </c>
      <c r="P345" s="46">
        <f t="shared" si="57"/>
        <v>-12710110.581999999</v>
      </c>
    </row>
    <row r="346" spans="2:18" x14ac:dyDescent="0.35">
      <c r="B346" s="8" t="s">
        <v>159</v>
      </c>
      <c r="C346" s="41">
        <f>SUM(C340:C345)</f>
        <v>-7694201.7500000009</v>
      </c>
      <c r="D346" s="41">
        <f t="shared" ref="D346:O346" si="58">+D345+C346</f>
        <v>-8058650.4850000013</v>
      </c>
      <c r="E346" s="41">
        <f t="shared" si="58"/>
        <v>-8428984.4060000014</v>
      </c>
      <c r="F346" s="41">
        <f t="shared" si="58"/>
        <v>-8809369.8930000011</v>
      </c>
      <c r="G346" s="41">
        <f t="shared" si="58"/>
        <v>-9199833.2190000005</v>
      </c>
      <c r="H346" s="41">
        <f t="shared" si="58"/>
        <v>-9599286.7320000008</v>
      </c>
      <c r="I346" s="41">
        <f t="shared" si="58"/>
        <v>-10009662.354</v>
      </c>
      <c r="J346" s="41">
        <f t="shared" si="58"/>
        <v>-10430492.694</v>
      </c>
      <c r="K346" s="41">
        <f t="shared" si="58"/>
        <v>-10860750.225</v>
      </c>
      <c r="L346" s="41">
        <f t="shared" si="58"/>
        <v>-11301306.483999999</v>
      </c>
      <c r="M346" s="41">
        <f t="shared" si="58"/>
        <v>-11755049.092999998</v>
      </c>
      <c r="N346" s="41">
        <f t="shared" si="58"/>
        <v>-12224314.535999998</v>
      </c>
      <c r="O346" s="41">
        <f t="shared" si="58"/>
        <v>-12710110.581999999</v>
      </c>
      <c r="P346" s="41"/>
    </row>
    <row r="347" spans="2:18" x14ac:dyDescent="0.35">
      <c r="C347" s="41"/>
      <c r="D347" s="41"/>
      <c r="E347" s="41"/>
      <c r="F347" s="41"/>
      <c r="G347" s="41"/>
      <c r="H347" s="41"/>
      <c r="I347" s="41"/>
      <c r="J347" s="41"/>
      <c r="K347" s="41"/>
      <c r="L347" s="41"/>
      <c r="M347" s="41"/>
      <c r="N347" s="41"/>
      <c r="O347" s="41"/>
      <c r="P347" s="41"/>
    </row>
    <row r="348" spans="2:18" x14ac:dyDescent="0.35">
      <c r="B348" s="79" t="s">
        <v>62</v>
      </c>
    </row>
    <row r="349" spans="2:18" x14ac:dyDescent="0.35">
      <c r="B349" s="8" t="s">
        <v>133</v>
      </c>
      <c r="C349" s="42">
        <f>+P268</f>
        <v>4056058.1300000004</v>
      </c>
      <c r="D349" s="42">
        <f>-'5.0 Depr Expense'!E333</f>
        <v>0</v>
      </c>
      <c r="E349" s="42">
        <f>-'5.0 Depr Expense'!F333</f>
        <v>0</v>
      </c>
      <c r="F349" s="42">
        <f>-'5.0 Depr Expense'!G333</f>
        <v>24756</v>
      </c>
      <c r="G349" s="42">
        <f>-'5.0 Depr Expense'!H333</f>
        <v>1800</v>
      </c>
      <c r="H349" s="42">
        <f>-'5.0 Depr Expense'!I333</f>
        <v>10532</v>
      </c>
      <c r="I349" s="42">
        <f>-'5.0 Depr Expense'!J333</f>
        <v>9009</v>
      </c>
      <c r="J349" s="42">
        <f>-'5.0 Depr Expense'!K333</f>
        <v>540532</v>
      </c>
      <c r="K349" s="42">
        <f>-'5.0 Depr Expense'!L333</f>
        <v>13439</v>
      </c>
      <c r="L349" s="42">
        <f>-'5.0 Depr Expense'!M333</f>
        <v>0</v>
      </c>
      <c r="M349" s="42">
        <f>-'5.0 Depr Expense'!N333</f>
        <v>100432</v>
      </c>
      <c r="N349" s="42">
        <f>-'5.0 Depr Expense'!O333</f>
        <v>0</v>
      </c>
      <c r="O349" s="42">
        <f>-'5.0 Depr Expense'!P333</f>
        <v>386288</v>
      </c>
      <c r="P349" s="43">
        <f>SUM(C349:O349)</f>
        <v>5142846.1300000008</v>
      </c>
    </row>
    <row r="350" spans="2:18" x14ac:dyDescent="0.35">
      <c r="B350" s="8" t="s">
        <v>134</v>
      </c>
      <c r="C350" s="42">
        <f>+P269</f>
        <v>749542.90000000014</v>
      </c>
      <c r="D350" s="42">
        <f>-'5.0 Depr Expense'!E343</f>
        <v>3788</v>
      </c>
      <c r="E350" s="42">
        <f>-'5.0 Depr Expense'!F343</f>
        <v>3046</v>
      </c>
      <c r="F350" s="42">
        <f>-'5.0 Depr Expense'!G343</f>
        <v>12735</v>
      </c>
      <c r="G350" s="42">
        <f>-'5.0 Depr Expense'!H343</f>
        <v>840</v>
      </c>
      <c r="H350" s="42">
        <f>-'5.0 Depr Expense'!I343</f>
        <v>31692</v>
      </c>
      <c r="I350" s="42">
        <f>-'5.0 Depr Expense'!J343</f>
        <v>49919</v>
      </c>
      <c r="J350" s="42">
        <f>-'5.0 Depr Expense'!K343</f>
        <v>45450</v>
      </c>
      <c r="K350" s="42">
        <f>-'5.0 Depr Expense'!L343</f>
        <v>36878</v>
      </c>
      <c r="L350" s="42">
        <f>-'5.0 Depr Expense'!M343</f>
        <v>21209</v>
      </c>
      <c r="M350" s="42">
        <f>-'5.0 Depr Expense'!N343</f>
        <v>0</v>
      </c>
      <c r="N350" s="42">
        <f>-'5.0 Depr Expense'!O343</f>
        <v>318</v>
      </c>
      <c r="O350" s="42">
        <f>-'5.0 Depr Expense'!P343</f>
        <v>21216</v>
      </c>
      <c r="P350" s="43">
        <f>SUM(C350:O350)</f>
        <v>976633.90000000014</v>
      </c>
    </row>
    <row r="351" spans="2:18" x14ac:dyDescent="0.35">
      <c r="B351" s="8" t="s">
        <v>135</v>
      </c>
      <c r="C351" s="42">
        <f>+P270</f>
        <v>11002856.609144447</v>
      </c>
      <c r="D351" s="42">
        <f>-'5.0 Depr Expense'!E353</f>
        <v>275962</v>
      </c>
      <c r="E351" s="42">
        <f>-'5.0 Depr Expense'!F353</f>
        <v>199932</v>
      </c>
      <c r="F351" s="42">
        <f>-'5.0 Depr Expense'!G353</f>
        <v>428905</v>
      </c>
      <c r="G351" s="42">
        <f>-'5.0 Depr Expense'!H353</f>
        <v>163316</v>
      </c>
      <c r="H351" s="42">
        <f>-'5.0 Depr Expense'!I353</f>
        <v>319990</v>
      </c>
      <c r="I351" s="42">
        <f>-'5.0 Depr Expense'!J353</f>
        <v>421535</v>
      </c>
      <c r="J351" s="42">
        <f>-'5.0 Depr Expense'!K353</f>
        <v>405113</v>
      </c>
      <c r="K351" s="42">
        <f>-'5.0 Depr Expense'!L353</f>
        <v>331700</v>
      </c>
      <c r="L351" s="42">
        <f>-'5.0 Depr Expense'!M353</f>
        <v>391031</v>
      </c>
      <c r="M351" s="42">
        <f>-'5.0 Depr Expense'!N353</f>
        <v>302932</v>
      </c>
      <c r="N351" s="42">
        <f>-'5.0 Depr Expense'!O353</f>
        <v>462772</v>
      </c>
      <c r="O351" s="42">
        <f>-'5.0 Depr Expense'!P353</f>
        <v>384766</v>
      </c>
      <c r="P351" s="43">
        <f>SUM(C351:O351)</f>
        <v>15090810.609144447</v>
      </c>
    </row>
    <row r="352" spans="2:18" x14ac:dyDescent="0.35">
      <c r="B352" s="8" t="s">
        <v>136</v>
      </c>
      <c r="C352" s="42">
        <f>+P271</f>
        <v>225586.59000000003</v>
      </c>
      <c r="D352" s="42">
        <f>-'5.0 Depr Expense'!E363</f>
        <v>1178</v>
      </c>
      <c r="E352" s="42">
        <f>-'5.0 Depr Expense'!F363</f>
        <v>2076</v>
      </c>
      <c r="F352" s="42">
        <f>-'5.0 Depr Expense'!G363</f>
        <v>6007</v>
      </c>
      <c r="G352" s="42">
        <f>-'5.0 Depr Expense'!H363</f>
        <v>2824</v>
      </c>
      <c r="H352" s="42">
        <f>-'5.0 Depr Expense'!I363</f>
        <v>5111</v>
      </c>
      <c r="I352" s="42">
        <f>-'5.0 Depr Expense'!J363</f>
        <v>3939</v>
      </c>
      <c r="J352" s="42">
        <f>-'5.0 Depr Expense'!K363</f>
        <v>3935</v>
      </c>
      <c r="K352" s="42">
        <f>-'5.0 Depr Expense'!L363</f>
        <v>8145</v>
      </c>
      <c r="L352" s="42">
        <f>-'5.0 Depr Expense'!M363</f>
        <v>11146</v>
      </c>
      <c r="M352" s="42">
        <f>-'5.0 Depr Expense'!N363</f>
        <v>5080</v>
      </c>
      <c r="N352" s="42">
        <f>-'5.0 Depr Expense'!O363</f>
        <v>9720</v>
      </c>
      <c r="O352" s="42">
        <f>-'5.0 Depr Expense'!P363</f>
        <v>3299</v>
      </c>
      <c r="P352" s="43">
        <f>SUM(C352:O352)</f>
        <v>288046.59000000003</v>
      </c>
    </row>
    <row r="353" spans="2:18" x14ac:dyDescent="0.35">
      <c r="B353" s="8" t="s">
        <v>137</v>
      </c>
      <c r="C353" s="42">
        <f>+P272</f>
        <v>22198.445</v>
      </c>
      <c r="D353" s="42">
        <f>-'5.0 Depr Expense'!E373</f>
        <v>229</v>
      </c>
      <c r="E353" s="42">
        <f>-'5.0 Depr Expense'!F373</f>
        <v>360</v>
      </c>
      <c r="F353" s="42">
        <f>-'5.0 Depr Expense'!G373</f>
        <v>528</v>
      </c>
      <c r="G353" s="42">
        <f>-'5.0 Depr Expense'!H373</f>
        <v>86</v>
      </c>
      <c r="H353" s="42">
        <f>-'5.0 Depr Expense'!I373</f>
        <v>510</v>
      </c>
      <c r="I353" s="42">
        <f>-'5.0 Depr Expense'!J373</f>
        <v>323</v>
      </c>
      <c r="J353" s="42">
        <f>-'5.0 Depr Expense'!K373</f>
        <v>1656</v>
      </c>
      <c r="K353" s="42">
        <f>-'5.0 Depr Expense'!L373</f>
        <v>451</v>
      </c>
      <c r="L353" s="42">
        <f>-'5.0 Depr Expense'!M373</f>
        <v>625</v>
      </c>
      <c r="M353" s="42">
        <f>-'5.0 Depr Expense'!N373</f>
        <v>578</v>
      </c>
      <c r="N353" s="42">
        <f>-'5.0 Depr Expense'!O373</f>
        <v>700</v>
      </c>
      <c r="O353" s="42">
        <f>-'5.0 Depr Expense'!P373</f>
        <v>446</v>
      </c>
      <c r="P353" s="43">
        <f>SUM(C353:O353)</f>
        <v>28690.445</v>
      </c>
    </row>
    <row r="354" spans="2:18" x14ac:dyDescent="0.35">
      <c r="B354" s="8" t="s">
        <v>155</v>
      </c>
      <c r="C354" s="46"/>
      <c r="D354" s="46">
        <f t="shared" ref="D354:P354" si="59">SUM(D349:D353)</f>
        <v>281157</v>
      </c>
      <c r="E354" s="46">
        <f t="shared" si="59"/>
        <v>205414</v>
      </c>
      <c r="F354" s="46">
        <f t="shared" si="59"/>
        <v>472931</v>
      </c>
      <c r="G354" s="46">
        <f t="shared" si="59"/>
        <v>168866</v>
      </c>
      <c r="H354" s="46">
        <f t="shared" si="59"/>
        <v>367835</v>
      </c>
      <c r="I354" s="46">
        <f t="shared" si="59"/>
        <v>484725</v>
      </c>
      <c r="J354" s="46">
        <f t="shared" si="59"/>
        <v>996686</v>
      </c>
      <c r="K354" s="46">
        <f t="shared" si="59"/>
        <v>390613</v>
      </c>
      <c r="L354" s="46">
        <f t="shared" si="59"/>
        <v>424011</v>
      </c>
      <c r="M354" s="46">
        <f t="shared" si="59"/>
        <v>409022</v>
      </c>
      <c r="N354" s="46">
        <f t="shared" si="59"/>
        <v>473510</v>
      </c>
      <c r="O354" s="46">
        <f t="shared" si="59"/>
        <v>796015</v>
      </c>
      <c r="P354" s="46">
        <f t="shared" si="59"/>
        <v>21527027.674144451</v>
      </c>
    </row>
    <row r="355" spans="2:18" x14ac:dyDescent="0.35">
      <c r="B355" s="8" t="s">
        <v>156</v>
      </c>
      <c r="C355" s="41">
        <f>SUM(C349:C354)</f>
        <v>16056242.674144447</v>
      </c>
      <c r="D355" s="41">
        <f t="shared" ref="D355:O355" si="60">+D354+C355</f>
        <v>16337399.674144447</v>
      </c>
      <c r="E355" s="41">
        <f t="shared" si="60"/>
        <v>16542813.674144447</v>
      </c>
      <c r="F355" s="41">
        <f t="shared" si="60"/>
        <v>17015744.674144447</v>
      </c>
      <c r="G355" s="41">
        <f t="shared" si="60"/>
        <v>17184610.674144447</v>
      </c>
      <c r="H355" s="41">
        <f t="shared" si="60"/>
        <v>17552445.674144447</v>
      </c>
      <c r="I355" s="41">
        <f t="shared" si="60"/>
        <v>18037170.674144447</v>
      </c>
      <c r="J355" s="41">
        <f t="shared" si="60"/>
        <v>19033856.674144447</v>
      </c>
      <c r="K355" s="41">
        <f t="shared" si="60"/>
        <v>19424469.674144447</v>
      </c>
      <c r="L355" s="41">
        <f t="shared" si="60"/>
        <v>19848480.674144447</v>
      </c>
      <c r="M355" s="41">
        <f t="shared" si="60"/>
        <v>20257502.674144447</v>
      </c>
      <c r="N355" s="41">
        <f t="shared" si="60"/>
        <v>20731012.674144447</v>
      </c>
      <c r="O355" s="41">
        <f t="shared" si="60"/>
        <v>21527027.674144447</v>
      </c>
      <c r="P355" s="41"/>
    </row>
    <row r="357" spans="2:18" x14ac:dyDescent="0.35">
      <c r="B357" s="79" t="s">
        <v>52</v>
      </c>
    </row>
    <row r="358" spans="2:18" x14ac:dyDescent="0.35">
      <c r="B358" s="8" t="s">
        <v>133</v>
      </c>
      <c r="C358" s="42">
        <f>+P277</f>
        <v>313764.88500000007</v>
      </c>
      <c r="D358" s="140">
        <v>512.42999999999995</v>
      </c>
      <c r="E358" s="140">
        <v>7496.32</v>
      </c>
      <c r="F358" s="140">
        <v>3024.9949999999999</v>
      </c>
      <c r="G358" s="140">
        <v>4767.1900000000005</v>
      </c>
      <c r="H358" s="140">
        <v>634.81500000000005</v>
      </c>
      <c r="I358" s="140">
        <v>0</v>
      </c>
      <c r="J358" s="140">
        <v>8580.7000000000007</v>
      </c>
      <c r="K358" s="140">
        <v>68.14</v>
      </c>
      <c r="L358" s="140">
        <v>0</v>
      </c>
      <c r="M358" s="140">
        <v>87.435000000000002</v>
      </c>
      <c r="N358" s="140">
        <v>0</v>
      </c>
      <c r="O358" s="140">
        <v>0</v>
      </c>
      <c r="P358" s="43">
        <f>SUM(C358:O358)</f>
        <v>338936.91000000009</v>
      </c>
      <c r="R358" s="135"/>
    </row>
    <row r="359" spans="2:18" x14ac:dyDescent="0.35">
      <c r="B359" s="8" t="s">
        <v>134</v>
      </c>
      <c r="C359" s="42">
        <f>+P278</f>
        <v>98522.304999999978</v>
      </c>
      <c r="D359" s="140">
        <v>342.93</v>
      </c>
      <c r="E359" s="140">
        <v>0</v>
      </c>
      <c r="F359" s="140">
        <v>485.065</v>
      </c>
      <c r="G359" s="140">
        <v>2623.105</v>
      </c>
      <c r="H359" s="140">
        <v>2049.6799999999998</v>
      </c>
      <c r="I359" s="140">
        <v>4851.5150000000003</v>
      </c>
      <c r="J359" s="140">
        <v>3064.9799999999996</v>
      </c>
      <c r="K359" s="140">
        <v>7333.19</v>
      </c>
      <c r="L359" s="140">
        <v>813.34</v>
      </c>
      <c r="M359" s="140">
        <v>190.82</v>
      </c>
      <c r="N359" s="140">
        <v>472.53</v>
      </c>
      <c r="O359" s="140">
        <v>6234.54</v>
      </c>
      <c r="P359" s="43">
        <f>SUM(C359:O359)</f>
        <v>126983.99999999996</v>
      </c>
    </row>
    <row r="360" spans="2:18" x14ac:dyDescent="0.35">
      <c r="B360" s="8" t="s">
        <v>135</v>
      </c>
      <c r="C360" s="42">
        <f>+P279</f>
        <v>5323232.4193880009</v>
      </c>
      <c r="D360" s="140">
        <v>430422</v>
      </c>
      <c r="E360" s="140">
        <v>135083</v>
      </c>
      <c r="F360" s="140">
        <v>132582</v>
      </c>
      <c r="G360" s="140">
        <v>153912</v>
      </c>
      <c r="H360" s="140">
        <v>154463</v>
      </c>
      <c r="I360" s="140">
        <v>154300</v>
      </c>
      <c r="J360" s="140">
        <v>152943</v>
      </c>
      <c r="K360" s="140">
        <v>167496</v>
      </c>
      <c r="L360" s="140">
        <v>141921</v>
      </c>
      <c r="M360" s="140">
        <v>209216</v>
      </c>
      <c r="N360" s="140">
        <v>215334</v>
      </c>
      <c r="O360" s="140">
        <v>160469</v>
      </c>
      <c r="P360" s="43">
        <f>SUM(C360:O360)</f>
        <v>7531373.4193880009</v>
      </c>
    </row>
    <row r="361" spans="2:18" x14ac:dyDescent="0.35">
      <c r="B361" s="8" t="s">
        <v>136</v>
      </c>
      <c r="C361" s="42">
        <f>+P280</f>
        <v>0</v>
      </c>
      <c r="D361" s="140">
        <v>0</v>
      </c>
      <c r="E361" s="140">
        <v>0</v>
      </c>
      <c r="F361" s="140">
        <v>0</v>
      </c>
      <c r="G361" s="140">
        <v>0</v>
      </c>
      <c r="H361" s="140">
        <v>0</v>
      </c>
      <c r="I361" s="140">
        <v>0</v>
      </c>
      <c r="J361" s="140">
        <v>0</v>
      </c>
      <c r="K361" s="140">
        <v>0</v>
      </c>
      <c r="L361" s="140">
        <v>0</v>
      </c>
      <c r="M361" s="140">
        <v>0</v>
      </c>
      <c r="N361" s="140">
        <v>0</v>
      </c>
      <c r="O361" s="140">
        <v>0</v>
      </c>
      <c r="P361" s="43">
        <f>SUM(C361:O361)</f>
        <v>0</v>
      </c>
    </row>
    <row r="362" spans="2:18" x14ac:dyDescent="0.35">
      <c r="B362" s="8" t="s">
        <v>137</v>
      </c>
      <c r="C362" s="42">
        <f>+P281</f>
        <v>0</v>
      </c>
      <c r="D362" s="140">
        <v>0</v>
      </c>
      <c r="E362" s="140">
        <v>0</v>
      </c>
      <c r="F362" s="140">
        <v>0</v>
      </c>
      <c r="G362" s="140">
        <v>0</v>
      </c>
      <c r="H362" s="140">
        <v>0</v>
      </c>
      <c r="I362" s="140">
        <v>0</v>
      </c>
      <c r="J362" s="140">
        <v>0</v>
      </c>
      <c r="K362" s="140">
        <v>0</v>
      </c>
      <c r="L362" s="140">
        <v>0</v>
      </c>
      <c r="M362" s="140">
        <v>0</v>
      </c>
      <c r="N362" s="140">
        <v>0</v>
      </c>
      <c r="O362" s="140">
        <v>0</v>
      </c>
      <c r="P362" s="43">
        <f>SUM(C362:O362)</f>
        <v>0</v>
      </c>
    </row>
    <row r="363" spans="2:18" x14ac:dyDescent="0.35">
      <c r="B363" s="8" t="s">
        <v>160</v>
      </c>
      <c r="C363" s="46"/>
      <c r="D363" s="46">
        <f>SUM(D358:D362)</f>
        <v>431277.36</v>
      </c>
      <c r="E363" s="46">
        <f t="shared" ref="E363:O363" si="61">SUM(E358:E362)</f>
        <v>142579.32</v>
      </c>
      <c r="F363" s="46">
        <f t="shared" si="61"/>
        <v>136092.06</v>
      </c>
      <c r="G363" s="46">
        <f t="shared" si="61"/>
        <v>161302.29500000001</v>
      </c>
      <c r="H363" s="46">
        <f t="shared" si="61"/>
        <v>157147.495</v>
      </c>
      <c r="I363" s="46">
        <f t="shared" si="61"/>
        <v>159151.51500000001</v>
      </c>
      <c r="J363" s="46">
        <f t="shared" si="61"/>
        <v>164588.68</v>
      </c>
      <c r="K363" s="46">
        <f t="shared" si="61"/>
        <v>174897.33</v>
      </c>
      <c r="L363" s="46">
        <f t="shared" si="61"/>
        <v>142734.34</v>
      </c>
      <c r="M363" s="46">
        <f t="shared" si="61"/>
        <v>209494.255</v>
      </c>
      <c r="N363" s="46">
        <f t="shared" si="61"/>
        <v>215806.53</v>
      </c>
      <c r="O363" s="46">
        <f t="shared" si="61"/>
        <v>166703.54</v>
      </c>
      <c r="P363" s="46">
        <f>SUM(P358:P362)</f>
        <v>7997294.329388001</v>
      </c>
    </row>
    <row r="364" spans="2:18" x14ac:dyDescent="0.35">
      <c r="B364" s="8" t="s">
        <v>161</v>
      </c>
      <c r="C364" s="41">
        <f>SUM(C358:C363)</f>
        <v>5735519.6093880013</v>
      </c>
      <c r="D364" s="41">
        <f t="shared" ref="D364:O364" si="62">+D363+C364</f>
        <v>6166796.9693880016</v>
      </c>
      <c r="E364" s="41">
        <f t="shared" si="62"/>
        <v>6309376.2893880019</v>
      </c>
      <c r="F364" s="41">
        <f t="shared" si="62"/>
        <v>6445468.3493880015</v>
      </c>
      <c r="G364" s="41">
        <f t="shared" si="62"/>
        <v>6606770.6443880014</v>
      </c>
      <c r="H364" s="41">
        <f t="shared" si="62"/>
        <v>6763918.1393880015</v>
      </c>
      <c r="I364" s="41">
        <f t="shared" si="62"/>
        <v>6923069.6543880012</v>
      </c>
      <c r="J364" s="41">
        <f t="shared" si="62"/>
        <v>7087658.3343880009</v>
      </c>
      <c r="K364" s="41">
        <f t="shared" si="62"/>
        <v>7262555.664388001</v>
      </c>
      <c r="L364" s="41">
        <f t="shared" si="62"/>
        <v>7405290.0043880008</v>
      </c>
      <c r="M364" s="41">
        <f t="shared" si="62"/>
        <v>7614784.2593880007</v>
      </c>
      <c r="N364" s="41">
        <f t="shared" si="62"/>
        <v>7830590.789388001</v>
      </c>
      <c r="O364" s="41">
        <f t="shared" si="62"/>
        <v>7997294.329388001</v>
      </c>
      <c r="P364" s="41"/>
    </row>
    <row r="366" spans="2:18" x14ac:dyDescent="0.35">
      <c r="B366" s="79" t="s">
        <v>170</v>
      </c>
    </row>
    <row r="367" spans="2:18" x14ac:dyDescent="0.35">
      <c r="B367" s="8" t="s">
        <v>133</v>
      </c>
      <c r="C367" s="81">
        <f>+C340+C349+C358</f>
        <v>414723.86200000002</v>
      </c>
      <c r="D367" s="81">
        <f>+D340+D349+D358</f>
        <v>-186534.06299999999</v>
      </c>
      <c r="E367" s="81">
        <f t="shared" ref="E367:O367" si="63">+E340+E349+E358</f>
        <v>-180674.51699999999</v>
      </c>
      <c r="F367" s="81">
        <f t="shared" si="63"/>
        <v>-164884.02900000001</v>
      </c>
      <c r="G367" s="81">
        <f t="shared" si="63"/>
        <v>-190750.15400000001</v>
      </c>
      <c r="H367" s="81">
        <f t="shared" si="63"/>
        <v>-189278.40700000001</v>
      </c>
      <c r="I367" s="81">
        <f t="shared" si="63"/>
        <v>-196277.038</v>
      </c>
      <c r="J367" s="81">
        <f t="shared" si="63"/>
        <v>338952.28700000001</v>
      </c>
      <c r="K367" s="81">
        <f t="shared" si="63"/>
        <v>-200061.97999999998</v>
      </c>
      <c r="L367" s="81">
        <f t="shared" si="63"/>
        <v>-217849.94099999999</v>
      </c>
      <c r="M367" s="81">
        <f t="shared" si="63"/>
        <v>-123598.584</v>
      </c>
      <c r="N367" s="81">
        <f t="shared" si="63"/>
        <v>-232389.761</v>
      </c>
      <c r="O367" s="81">
        <f t="shared" si="63"/>
        <v>142790.54</v>
      </c>
      <c r="P367" s="43">
        <f>SUM(C367:O367)</f>
        <v>-985831.78499999992</v>
      </c>
    </row>
    <row r="368" spans="2:18" x14ac:dyDescent="0.35">
      <c r="B368" s="8" t="s">
        <v>134</v>
      </c>
      <c r="C368" s="81">
        <f>+C341+C350+C359</f>
        <v>900270.44800000009</v>
      </c>
      <c r="D368" s="81">
        <f t="shared" ref="D368:O368" si="64">+D341+D350+D359</f>
        <v>6203.1540000000005</v>
      </c>
      <c r="E368" s="81">
        <f t="shared" si="64"/>
        <v>5128.201</v>
      </c>
      <c r="F368" s="81">
        <f t="shared" si="64"/>
        <v>15323.629000000001</v>
      </c>
      <c r="G368" s="81">
        <f t="shared" si="64"/>
        <v>5585.2640000000001</v>
      </c>
      <c r="H368" s="81">
        <f t="shared" si="64"/>
        <v>35909.389000000003</v>
      </c>
      <c r="I368" s="81">
        <f t="shared" si="64"/>
        <v>57050.362000000001</v>
      </c>
      <c r="J368" s="81">
        <f t="shared" si="64"/>
        <v>50926.663</v>
      </c>
      <c r="K368" s="81">
        <f t="shared" si="64"/>
        <v>46736.050999999999</v>
      </c>
      <c r="L368" s="81">
        <f t="shared" si="64"/>
        <v>24627.591</v>
      </c>
      <c r="M368" s="81">
        <f t="shared" si="64"/>
        <v>2824.82</v>
      </c>
      <c r="N368" s="81">
        <f t="shared" si="64"/>
        <v>3424.9690000000001</v>
      </c>
      <c r="O368" s="81">
        <f t="shared" si="64"/>
        <v>30114.800000000003</v>
      </c>
      <c r="P368" s="43">
        <f>SUM(C368:O368)</f>
        <v>1184125.341</v>
      </c>
    </row>
    <row r="369" spans="2:17" x14ac:dyDescent="0.35">
      <c r="B369" s="8" t="s">
        <v>135</v>
      </c>
      <c r="C369" s="81">
        <f>+C342+C351+C360</f>
        <v>12604726.950532448</v>
      </c>
      <c r="D369" s="81">
        <f t="shared" ref="D369:O369" si="65">+D342+D351+D360</f>
        <v>531134.71100000001</v>
      </c>
      <c r="E369" s="81">
        <f t="shared" si="65"/>
        <v>155181.83900000001</v>
      </c>
      <c r="F369" s="81">
        <f t="shared" si="65"/>
        <v>376230.80900000001</v>
      </c>
      <c r="G369" s="81">
        <f t="shared" si="65"/>
        <v>126634.58799999999</v>
      </c>
      <c r="H369" s="81">
        <f t="shared" si="65"/>
        <v>278036.75599999999</v>
      </c>
      <c r="I369" s="81">
        <f t="shared" si="65"/>
        <v>373308.15500000003</v>
      </c>
      <c r="J369" s="81">
        <f t="shared" si="65"/>
        <v>349887.93799999997</v>
      </c>
      <c r="K369" s="81">
        <f t="shared" si="65"/>
        <v>285028.48300000001</v>
      </c>
      <c r="L369" s="81">
        <f t="shared" si="65"/>
        <v>312814.88399999996</v>
      </c>
      <c r="M369" s="81">
        <f t="shared" si="65"/>
        <v>285150.87599999999</v>
      </c>
      <c r="N369" s="81">
        <f t="shared" si="65"/>
        <v>443934.93799999997</v>
      </c>
      <c r="O369" s="81">
        <f t="shared" si="65"/>
        <v>305678.43200000003</v>
      </c>
      <c r="P369" s="43">
        <f>SUM(C369:O369)</f>
        <v>16427749.359532442</v>
      </c>
    </row>
    <row r="370" spans="2:17" x14ac:dyDescent="0.35">
      <c r="B370" s="8" t="s">
        <v>136</v>
      </c>
      <c r="C370" s="81">
        <f>+C343+C352+C361</f>
        <v>169195.07400000002</v>
      </c>
      <c r="D370" s="81">
        <f t="shared" ref="D370:O370" si="66">+D343+D352+D361</f>
        <v>-1988.4569999999999</v>
      </c>
      <c r="E370" s="81">
        <f t="shared" si="66"/>
        <v>-1191.683</v>
      </c>
      <c r="F370" s="81">
        <f t="shared" si="66"/>
        <v>2662.5949999999998</v>
      </c>
      <c r="G370" s="81">
        <f t="shared" si="66"/>
        <v>-585.05400000000009</v>
      </c>
      <c r="H370" s="81">
        <f t="shared" si="66"/>
        <v>1637.7719999999999</v>
      </c>
      <c r="I370" s="81">
        <f t="shared" si="66"/>
        <v>403.15200000000004</v>
      </c>
      <c r="J370" s="81">
        <f t="shared" si="66"/>
        <v>354.53099999999995</v>
      </c>
      <c r="K370" s="81">
        <f t="shared" si="66"/>
        <v>4476.7070000000003</v>
      </c>
      <c r="L370" s="81">
        <f t="shared" si="66"/>
        <v>7402.5709999999999</v>
      </c>
      <c r="M370" s="81">
        <f t="shared" si="66"/>
        <v>1273.6579999999999</v>
      </c>
      <c r="N370" s="81">
        <f t="shared" si="66"/>
        <v>5843.2929999999997</v>
      </c>
      <c r="O370" s="81">
        <f t="shared" si="66"/>
        <v>-628.32499999999982</v>
      </c>
      <c r="P370" s="43">
        <f>SUM(C370:O370)</f>
        <v>188855.834</v>
      </c>
    </row>
    <row r="371" spans="2:17" x14ac:dyDescent="0.35">
      <c r="B371" s="8" t="s">
        <v>137</v>
      </c>
      <c r="C371" s="81">
        <f>+C344+C353+C362</f>
        <v>8644.1990000000023</v>
      </c>
      <c r="D371" s="81">
        <f t="shared" ref="D371:O371" si="67">+D344+D353+D362</f>
        <v>-829.72</v>
      </c>
      <c r="E371" s="81">
        <f t="shared" si="67"/>
        <v>-784.44100000000003</v>
      </c>
      <c r="F371" s="81">
        <f t="shared" si="67"/>
        <v>-695.43100000000004</v>
      </c>
      <c r="G371" s="81">
        <f t="shared" si="67"/>
        <v>-1179.675</v>
      </c>
      <c r="H371" s="81">
        <f t="shared" si="67"/>
        <v>-776.52800000000002</v>
      </c>
      <c r="I371" s="81">
        <f t="shared" si="67"/>
        <v>-983.73800000000006</v>
      </c>
      <c r="J371" s="81">
        <f t="shared" si="67"/>
        <v>322.92100000000005</v>
      </c>
      <c r="K371" s="81">
        <f t="shared" si="67"/>
        <v>-926.46199999999999</v>
      </c>
      <c r="L371" s="81">
        <f t="shared" si="67"/>
        <v>-806.02399999999989</v>
      </c>
      <c r="M371" s="81">
        <f t="shared" si="67"/>
        <v>-877.12400000000002</v>
      </c>
      <c r="N371" s="81">
        <f t="shared" si="67"/>
        <v>-762.35200000000009</v>
      </c>
      <c r="O371" s="81">
        <f t="shared" si="67"/>
        <v>-1032.953</v>
      </c>
      <c r="P371" s="43">
        <f>SUM(C371:O371)</f>
        <v>-687.32799999999861</v>
      </c>
    </row>
    <row r="372" spans="2:17" x14ac:dyDescent="0.35">
      <c r="B372" s="8" t="s">
        <v>171</v>
      </c>
      <c r="C372" s="46"/>
      <c r="D372" s="46">
        <f t="shared" ref="D372:P372" si="68">SUM(D367:D371)</f>
        <v>347985.62500000006</v>
      </c>
      <c r="E372" s="46">
        <f t="shared" si="68"/>
        <v>-22340.600999999984</v>
      </c>
      <c r="F372" s="46">
        <f t="shared" si="68"/>
        <v>228637.57299999997</v>
      </c>
      <c r="G372" s="46">
        <f t="shared" si="68"/>
        <v>-60295.031000000032</v>
      </c>
      <c r="H372" s="46">
        <f t="shared" si="68"/>
        <v>125528.98199999997</v>
      </c>
      <c r="I372" s="46">
        <f t="shared" si="68"/>
        <v>233500.89300000001</v>
      </c>
      <c r="J372" s="46">
        <f t="shared" si="68"/>
        <v>740444.34</v>
      </c>
      <c r="K372" s="46">
        <f t="shared" si="68"/>
        <v>135252.79900000003</v>
      </c>
      <c r="L372" s="46">
        <f t="shared" si="68"/>
        <v>126189.08099999998</v>
      </c>
      <c r="M372" s="46">
        <f t="shared" si="68"/>
        <v>164773.64599999998</v>
      </c>
      <c r="N372" s="46">
        <f t="shared" si="68"/>
        <v>220051.08699999997</v>
      </c>
      <c r="O372" s="46">
        <f t="shared" si="68"/>
        <v>476922.49400000006</v>
      </c>
      <c r="P372" s="46">
        <f t="shared" si="68"/>
        <v>16814211.421532441</v>
      </c>
    </row>
    <row r="373" spans="2:17" x14ac:dyDescent="0.35">
      <c r="B373" s="8" t="s">
        <v>172</v>
      </c>
      <c r="C373" s="41">
        <f>SUM(C367:C372)</f>
        <v>14097560.533532446</v>
      </c>
      <c r="D373" s="41">
        <f t="shared" ref="D373:O373" si="69">+D372+C373</f>
        <v>14445546.158532446</v>
      </c>
      <c r="E373" s="41">
        <f t="shared" si="69"/>
        <v>14423205.557532446</v>
      </c>
      <c r="F373" s="41">
        <f t="shared" si="69"/>
        <v>14651843.130532447</v>
      </c>
      <c r="G373" s="41">
        <f t="shared" si="69"/>
        <v>14591548.099532448</v>
      </c>
      <c r="H373" s="41">
        <f t="shared" si="69"/>
        <v>14717077.081532449</v>
      </c>
      <c r="I373" s="41">
        <f t="shared" si="69"/>
        <v>14950577.974532448</v>
      </c>
      <c r="J373" s="41">
        <f t="shared" si="69"/>
        <v>15691022.314532448</v>
      </c>
      <c r="K373" s="41">
        <f t="shared" si="69"/>
        <v>15826275.113532448</v>
      </c>
      <c r="L373" s="41">
        <f t="shared" si="69"/>
        <v>15952464.194532448</v>
      </c>
      <c r="M373" s="41">
        <f t="shared" si="69"/>
        <v>16117237.840532448</v>
      </c>
      <c r="N373" s="41">
        <f t="shared" si="69"/>
        <v>16337288.927532448</v>
      </c>
      <c r="O373" s="41">
        <f t="shared" si="69"/>
        <v>16814211.421532448</v>
      </c>
      <c r="P373" s="41"/>
      <c r="Q373" s="43">
        <f>AVERAGE(C373:O373)</f>
        <v>15278142.94984014</v>
      </c>
    </row>
  </sheetData>
  <mergeCells count="15">
    <mergeCell ref="A4:Q4"/>
    <mergeCell ref="A5:Q5"/>
    <mergeCell ref="A6:Q6"/>
    <mergeCell ref="A86:Q86"/>
    <mergeCell ref="A87:Q87"/>
    <mergeCell ref="A166:Q166"/>
    <mergeCell ref="A167:Q167"/>
    <mergeCell ref="A168:Q168"/>
    <mergeCell ref="A85:Q85"/>
    <mergeCell ref="A328:Q328"/>
    <mergeCell ref="A329:Q329"/>
    <mergeCell ref="A330:Q330"/>
    <mergeCell ref="A247:Q247"/>
    <mergeCell ref="A248:Q248"/>
    <mergeCell ref="A249:Q249"/>
  </mergeCells>
  <pageMargins left="0.7" right="0.7" top="0.75" bottom="0.75" header="0.3" footer="0.3"/>
  <pageSetup scale="40" fitToHeight="4" orientation="landscape" horizontalDpi="1200" verticalDpi="1200" r:id="rId1"/>
  <rowBreaks count="2" manualBreakCount="2">
    <brk id="81" max="16" man="1"/>
    <brk id="162" max="1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ED52C-4D65-46BD-9F5D-3434301D2FDA}">
  <dimension ref="A1:S404"/>
  <sheetViews>
    <sheetView topLeftCell="A325" zoomScale="60" zoomScaleNormal="60" workbookViewId="0">
      <selection activeCell="P375" sqref="P375"/>
    </sheetView>
  </sheetViews>
  <sheetFormatPr defaultColWidth="8.81640625" defaultRowHeight="15.5" x14ac:dyDescent="0.35"/>
  <cols>
    <col min="1" max="1" width="2" style="8" customWidth="1"/>
    <col min="2" max="2" width="56.26953125" style="8" bestFit="1" customWidth="1"/>
    <col min="3" max="3" width="19.1796875" style="8" bestFit="1" customWidth="1"/>
    <col min="4" max="4" width="16.81640625" style="8" bestFit="1" customWidth="1"/>
    <col min="5" max="5" width="15.453125" style="8" bestFit="1" customWidth="1"/>
    <col min="6" max="12" width="16.1796875" style="8" bestFit="1" customWidth="1"/>
    <col min="13" max="13" width="16.54296875" style="8" bestFit="1" customWidth="1"/>
    <col min="14" max="14" width="17" style="8" bestFit="1" customWidth="1"/>
    <col min="15" max="15" width="16.54296875" style="8" bestFit="1" customWidth="1"/>
    <col min="16" max="16" width="17" style="8" bestFit="1" customWidth="1"/>
    <col min="17" max="17" width="17.7265625" style="8" customWidth="1"/>
    <col min="18" max="18" width="8.81640625" style="8"/>
    <col min="19" max="19" width="13.453125" style="8" bestFit="1" customWidth="1"/>
    <col min="20" max="16384" width="8.81640625" style="8"/>
  </cols>
  <sheetData>
    <row r="1" spans="1:17" x14ac:dyDescent="0.35">
      <c r="Q1" s="9" t="str">
        <f>'Table of Contents'!F1</f>
        <v>Case No. 2026-00306</v>
      </c>
    </row>
    <row r="2" spans="1:17" x14ac:dyDescent="0.35">
      <c r="Q2" s="9" t="s">
        <v>203</v>
      </c>
    </row>
    <row r="3" spans="1:17" x14ac:dyDescent="0.35">
      <c r="Q3" s="9" t="s">
        <v>293</v>
      </c>
    </row>
    <row r="4" spans="1:17" x14ac:dyDescent="0.35">
      <c r="A4" s="144" t="s">
        <v>12</v>
      </c>
      <c r="B4" s="144"/>
      <c r="C4" s="144"/>
      <c r="D4" s="144"/>
      <c r="E4" s="144"/>
      <c r="F4" s="144"/>
      <c r="G4" s="144"/>
      <c r="H4" s="144"/>
      <c r="I4" s="144"/>
      <c r="J4" s="144"/>
      <c r="K4" s="144"/>
      <c r="L4" s="144"/>
      <c r="M4" s="144"/>
      <c r="N4" s="144"/>
      <c r="O4" s="144"/>
      <c r="P4" s="144"/>
      <c r="Q4" s="144"/>
    </row>
    <row r="5" spans="1:17" x14ac:dyDescent="0.35">
      <c r="A5" s="144" t="s">
        <v>109</v>
      </c>
      <c r="B5" s="144"/>
      <c r="C5" s="144"/>
      <c r="D5" s="144"/>
      <c r="E5" s="144"/>
      <c r="F5" s="144"/>
      <c r="G5" s="144"/>
      <c r="H5" s="144"/>
      <c r="I5" s="144"/>
      <c r="J5" s="144"/>
      <c r="K5" s="144"/>
      <c r="L5" s="144"/>
      <c r="M5" s="144"/>
      <c r="N5" s="144"/>
      <c r="O5" s="144"/>
      <c r="P5" s="144"/>
      <c r="Q5" s="144"/>
    </row>
    <row r="6" spans="1:17" x14ac:dyDescent="0.35">
      <c r="A6" s="144" t="s">
        <v>281</v>
      </c>
      <c r="B6" s="144"/>
      <c r="C6" s="144"/>
      <c r="D6" s="144"/>
      <c r="E6" s="144"/>
      <c r="F6" s="144"/>
      <c r="G6" s="144"/>
      <c r="H6" s="144"/>
      <c r="I6" s="144"/>
      <c r="J6" s="144"/>
      <c r="K6" s="144"/>
      <c r="L6" s="144"/>
      <c r="M6" s="144"/>
      <c r="N6" s="144"/>
      <c r="O6" s="144"/>
      <c r="P6" s="144"/>
      <c r="Q6" s="144"/>
    </row>
    <row r="8" spans="1:17" x14ac:dyDescent="0.35">
      <c r="C8" s="11" t="s">
        <v>60</v>
      </c>
      <c r="D8" s="10">
        <v>2022</v>
      </c>
      <c r="E8" s="10">
        <f>+D8+1</f>
        <v>2023</v>
      </c>
      <c r="F8" s="10">
        <f t="shared" ref="F8:Q8" si="0">+E8</f>
        <v>2023</v>
      </c>
      <c r="G8" s="10">
        <f t="shared" si="0"/>
        <v>2023</v>
      </c>
      <c r="H8" s="10">
        <f t="shared" si="0"/>
        <v>2023</v>
      </c>
      <c r="I8" s="10">
        <f t="shared" si="0"/>
        <v>2023</v>
      </c>
      <c r="J8" s="10">
        <f t="shared" si="0"/>
        <v>2023</v>
      </c>
      <c r="K8" s="10">
        <f t="shared" si="0"/>
        <v>2023</v>
      </c>
      <c r="L8" s="10">
        <f t="shared" si="0"/>
        <v>2023</v>
      </c>
      <c r="M8" s="10">
        <f t="shared" si="0"/>
        <v>2023</v>
      </c>
      <c r="N8" s="10">
        <f t="shared" si="0"/>
        <v>2023</v>
      </c>
      <c r="O8" s="10">
        <f t="shared" si="0"/>
        <v>2023</v>
      </c>
      <c r="P8" s="10">
        <f t="shared" si="0"/>
        <v>2023</v>
      </c>
      <c r="Q8" s="10">
        <f t="shared" si="0"/>
        <v>2023</v>
      </c>
    </row>
    <row r="9" spans="1:17" x14ac:dyDescent="0.35">
      <c r="C9" s="11" t="s">
        <v>23</v>
      </c>
      <c r="D9" s="10" t="s">
        <v>140</v>
      </c>
      <c r="E9" s="10" t="s">
        <v>141</v>
      </c>
      <c r="F9" s="10" t="s">
        <v>142</v>
      </c>
      <c r="G9" s="10" t="s">
        <v>143</v>
      </c>
      <c r="H9" s="10" t="s">
        <v>144</v>
      </c>
      <c r="I9" s="10" t="s">
        <v>81</v>
      </c>
      <c r="J9" s="10" t="s">
        <v>145</v>
      </c>
      <c r="K9" s="10" t="s">
        <v>146</v>
      </c>
      <c r="L9" s="10" t="s">
        <v>147</v>
      </c>
      <c r="M9" s="10" t="s">
        <v>148</v>
      </c>
      <c r="N9" s="10" t="s">
        <v>149</v>
      </c>
      <c r="O9" s="10" t="s">
        <v>150</v>
      </c>
      <c r="P9" s="10" t="s">
        <v>140</v>
      </c>
      <c r="Q9" s="10" t="s">
        <v>92</v>
      </c>
    </row>
    <row r="10" spans="1:17" x14ac:dyDescent="0.35">
      <c r="C10" s="11" t="s">
        <v>162</v>
      </c>
      <c r="D10" s="10" t="s">
        <v>92</v>
      </c>
      <c r="E10" s="10" t="s">
        <v>257</v>
      </c>
      <c r="F10" s="10" t="s">
        <v>257</v>
      </c>
      <c r="G10" s="10" t="s">
        <v>257</v>
      </c>
      <c r="H10" s="10" t="s">
        <v>257</v>
      </c>
      <c r="I10" s="10" t="s">
        <v>257</v>
      </c>
      <c r="J10" s="10" t="s">
        <v>257</v>
      </c>
      <c r="K10" s="10" t="s">
        <v>257</v>
      </c>
      <c r="L10" s="10" t="s">
        <v>257</v>
      </c>
      <c r="M10" s="10" t="s">
        <v>257</v>
      </c>
      <c r="N10" s="10" t="s">
        <v>257</v>
      </c>
      <c r="O10" s="10" t="s">
        <v>257</v>
      </c>
      <c r="P10" s="10" t="s">
        <v>257</v>
      </c>
      <c r="Q10" s="10" t="s">
        <v>9</v>
      </c>
    </row>
    <row r="11" spans="1:17" x14ac:dyDescent="0.35">
      <c r="B11" s="79"/>
      <c r="C11" s="79"/>
    </row>
    <row r="12" spans="1:17" x14ac:dyDescent="0.35">
      <c r="A12" s="82"/>
      <c r="B12" s="83" t="s">
        <v>133</v>
      </c>
      <c r="C12" s="84">
        <f>1.74%/12</f>
        <v>1.4499999999999999E-3</v>
      </c>
      <c r="D12" s="46"/>
      <c r="E12" s="85"/>
      <c r="F12" s="85"/>
      <c r="G12" s="85"/>
      <c r="H12" s="85"/>
      <c r="I12" s="85"/>
      <c r="J12" s="85"/>
      <c r="K12" s="85"/>
      <c r="L12" s="85"/>
      <c r="M12" s="85"/>
      <c r="N12" s="85"/>
      <c r="O12" s="85"/>
      <c r="P12" s="85"/>
      <c r="Q12" s="86"/>
    </row>
    <row r="13" spans="1:17" x14ac:dyDescent="0.35">
      <c r="A13" s="87"/>
      <c r="B13" s="8" t="s">
        <v>166</v>
      </c>
      <c r="C13" s="88"/>
      <c r="D13" s="41">
        <v>0</v>
      </c>
      <c r="E13" s="41">
        <f>'3.0 Plant in Service'!D15</f>
        <v>79805.64</v>
      </c>
      <c r="F13" s="41">
        <f>'3.0 Plant in Service'!E15</f>
        <v>859141.8</v>
      </c>
      <c r="G13" s="41">
        <f>'3.0 Plant in Service'!F15</f>
        <v>3925560.5700000008</v>
      </c>
      <c r="H13" s="41">
        <f>'3.0 Plant in Service'!G15</f>
        <v>805780.17999999993</v>
      </c>
      <c r="I13" s="41">
        <f>'3.0 Plant in Service'!H15</f>
        <v>3005341.4100000006</v>
      </c>
      <c r="J13" s="41">
        <f>'3.0 Plant in Service'!I15</f>
        <v>3854453.0500000007</v>
      </c>
      <c r="K13" s="41">
        <f>'3.0 Plant in Service'!J15</f>
        <v>3124046.71</v>
      </c>
      <c r="L13" s="41">
        <f>'3.0 Plant in Service'!K15</f>
        <v>1345549.6300000004</v>
      </c>
      <c r="M13" s="41">
        <f>'3.0 Plant in Service'!L15</f>
        <v>4929452</v>
      </c>
      <c r="N13" s="41">
        <f>'3.0 Plant in Service'!M15</f>
        <v>1282582.1600000004</v>
      </c>
      <c r="O13" s="41">
        <f>'3.0 Plant in Service'!N15</f>
        <v>3498689.6999999997</v>
      </c>
      <c r="P13" s="41">
        <f>'3.0 Plant in Service'!O15</f>
        <v>4263655.3099999996</v>
      </c>
      <c r="Q13" s="89">
        <f>SUM(D13:P13)</f>
        <v>30974058.16</v>
      </c>
    </row>
    <row r="14" spans="1:17" x14ac:dyDescent="0.35">
      <c r="A14" s="87"/>
      <c r="B14" s="8" t="s">
        <v>167</v>
      </c>
      <c r="C14" s="88"/>
      <c r="D14" s="41">
        <v>0</v>
      </c>
      <c r="E14" s="44">
        <f>'3.0 Plant in Service'!D24</f>
        <v>0</v>
      </c>
      <c r="F14" s="44">
        <f>'3.0 Plant in Service'!E24</f>
        <v>0</v>
      </c>
      <c r="G14" s="44">
        <f>'3.0 Plant in Service'!F24</f>
        <v>0</v>
      </c>
      <c r="H14" s="44">
        <f>'3.0 Plant in Service'!G24</f>
        <v>0</v>
      </c>
      <c r="I14" s="44">
        <f>'3.0 Plant in Service'!H24</f>
        <v>-14490.58</v>
      </c>
      <c r="J14" s="44">
        <f>'3.0 Plant in Service'!I24</f>
        <v>-207</v>
      </c>
      <c r="K14" s="44">
        <f>'3.0 Plant in Service'!J24</f>
        <v>-64.34</v>
      </c>
      <c r="L14" s="44">
        <f>'3.0 Plant in Service'!K24</f>
        <v>-207</v>
      </c>
      <c r="M14" s="44">
        <f>'3.0 Plant in Service'!L24</f>
        <v>-175288.07</v>
      </c>
      <c r="N14" s="44">
        <f>'3.0 Plant in Service'!M24</f>
        <v>-557.34</v>
      </c>
      <c r="O14" s="44">
        <f>'3.0 Plant in Service'!N24</f>
        <v>0</v>
      </c>
      <c r="P14" s="44">
        <f>'3.0 Plant in Service'!O24</f>
        <v>-94799.38</v>
      </c>
      <c r="Q14" s="89"/>
    </row>
    <row r="15" spans="1:17" x14ac:dyDescent="0.35">
      <c r="A15" s="87"/>
      <c r="B15" s="8" t="s">
        <v>213</v>
      </c>
      <c r="C15" s="88"/>
      <c r="D15" s="41">
        <f>SUM(D13:D14)</f>
        <v>0</v>
      </c>
      <c r="E15" s="41">
        <f>SUM(E13:E14)</f>
        <v>79805.64</v>
      </c>
      <c r="F15" s="41">
        <f t="shared" ref="F15:P15" si="1">SUM(F13:F14)</f>
        <v>859141.8</v>
      </c>
      <c r="G15" s="41">
        <f t="shared" si="1"/>
        <v>3925560.5700000008</v>
      </c>
      <c r="H15" s="41">
        <f t="shared" si="1"/>
        <v>805780.17999999993</v>
      </c>
      <c r="I15" s="41">
        <f t="shared" si="1"/>
        <v>2990850.8300000005</v>
      </c>
      <c r="J15" s="41">
        <f t="shared" si="1"/>
        <v>3854246.0500000007</v>
      </c>
      <c r="K15" s="41">
        <f t="shared" si="1"/>
        <v>3123982.37</v>
      </c>
      <c r="L15" s="41">
        <f t="shared" si="1"/>
        <v>1345342.6300000004</v>
      </c>
      <c r="M15" s="41">
        <f t="shared" si="1"/>
        <v>4754163.93</v>
      </c>
      <c r="N15" s="41">
        <f t="shared" si="1"/>
        <v>1282024.8200000003</v>
      </c>
      <c r="O15" s="41">
        <f t="shared" si="1"/>
        <v>3498689.6999999997</v>
      </c>
      <c r="P15" s="41">
        <f t="shared" si="1"/>
        <v>4168855.9299999997</v>
      </c>
      <c r="Q15" s="89">
        <f>SUM(D15:P15)</f>
        <v>30688444.449999999</v>
      </c>
    </row>
    <row r="16" spans="1:17" x14ac:dyDescent="0.35">
      <c r="A16" s="87"/>
      <c r="B16" s="8" t="s">
        <v>163</v>
      </c>
      <c r="C16" s="88"/>
      <c r="D16" s="132">
        <v>0</v>
      </c>
      <c r="E16" s="41">
        <f t="shared" ref="E16:P16" si="2">+E15+D16</f>
        <v>79805.64</v>
      </c>
      <c r="F16" s="41">
        <f t="shared" si="2"/>
        <v>938947.44000000006</v>
      </c>
      <c r="G16" s="41">
        <f t="shared" si="2"/>
        <v>4864508.0100000007</v>
      </c>
      <c r="H16" s="41">
        <f t="shared" si="2"/>
        <v>5670288.1900000004</v>
      </c>
      <c r="I16" s="41">
        <f t="shared" si="2"/>
        <v>8661139.0200000014</v>
      </c>
      <c r="J16" s="41">
        <f t="shared" si="2"/>
        <v>12515385.070000002</v>
      </c>
      <c r="K16" s="41">
        <f t="shared" si="2"/>
        <v>15639367.440000001</v>
      </c>
      <c r="L16" s="41">
        <f t="shared" si="2"/>
        <v>16984710.07</v>
      </c>
      <c r="M16" s="41">
        <f t="shared" si="2"/>
        <v>21738874</v>
      </c>
      <c r="N16" s="41">
        <f t="shared" si="2"/>
        <v>23020898.82</v>
      </c>
      <c r="O16" s="41">
        <f t="shared" si="2"/>
        <v>26519588.52</v>
      </c>
      <c r="P16" s="41">
        <f t="shared" si="2"/>
        <v>30688444.449999999</v>
      </c>
      <c r="Q16" s="89"/>
    </row>
    <row r="17" spans="1:17" x14ac:dyDescent="0.35">
      <c r="A17" s="87"/>
      <c r="C17" s="88"/>
      <c r="D17" s="41"/>
      <c r="E17" s="41"/>
      <c r="F17" s="41"/>
      <c r="G17" s="41"/>
      <c r="H17" s="41"/>
      <c r="I17" s="41"/>
      <c r="J17" s="41"/>
      <c r="K17" s="41"/>
      <c r="L17" s="41"/>
      <c r="M17" s="41"/>
      <c r="N17" s="41"/>
      <c r="O17" s="41"/>
      <c r="P17" s="41"/>
      <c r="Q17" s="89"/>
    </row>
    <row r="18" spans="1:17" x14ac:dyDescent="0.35">
      <c r="A18" s="87"/>
      <c r="B18" s="8" t="s">
        <v>164</v>
      </c>
      <c r="C18" s="88"/>
      <c r="D18" s="41"/>
      <c r="E18" s="41">
        <f t="shared" ref="E18:P18" si="3">ROUND($C12*D16,0)</f>
        <v>0</v>
      </c>
      <c r="F18" s="41">
        <f t="shared" si="3"/>
        <v>116</v>
      </c>
      <c r="G18" s="41">
        <f t="shared" si="3"/>
        <v>1361</v>
      </c>
      <c r="H18" s="41">
        <f t="shared" si="3"/>
        <v>7054</v>
      </c>
      <c r="I18" s="41">
        <f t="shared" si="3"/>
        <v>8222</v>
      </c>
      <c r="J18" s="41">
        <f t="shared" si="3"/>
        <v>12559</v>
      </c>
      <c r="K18" s="41">
        <f t="shared" si="3"/>
        <v>18147</v>
      </c>
      <c r="L18" s="41">
        <f t="shared" si="3"/>
        <v>22677</v>
      </c>
      <c r="M18" s="41">
        <f t="shared" si="3"/>
        <v>24628</v>
      </c>
      <c r="N18" s="41">
        <f t="shared" si="3"/>
        <v>31521</v>
      </c>
      <c r="O18" s="41">
        <f t="shared" si="3"/>
        <v>33380</v>
      </c>
      <c r="P18" s="41">
        <f t="shared" si="3"/>
        <v>38453</v>
      </c>
      <c r="Q18" s="89"/>
    </row>
    <row r="19" spans="1:17" x14ac:dyDescent="0.35">
      <c r="A19" s="87"/>
      <c r="B19" s="8" t="s">
        <v>165</v>
      </c>
      <c r="C19" s="88"/>
      <c r="D19" s="41"/>
      <c r="E19" s="44">
        <f>ROUND($C12*E15*0.5,3)</f>
        <v>57.859000000000002</v>
      </c>
      <c r="F19" s="44">
        <f t="shared" ref="F19:P19" si="4">ROUND($C12*F15*0.5,3)</f>
        <v>622.87800000000004</v>
      </c>
      <c r="G19" s="44">
        <f t="shared" si="4"/>
        <v>2846.0309999999999</v>
      </c>
      <c r="H19" s="44">
        <f t="shared" si="4"/>
        <v>584.19100000000003</v>
      </c>
      <c r="I19" s="44">
        <f t="shared" si="4"/>
        <v>2168.3670000000002</v>
      </c>
      <c r="J19" s="44">
        <f t="shared" si="4"/>
        <v>2794.328</v>
      </c>
      <c r="K19" s="44">
        <f t="shared" si="4"/>
        <v>2264.8870000000002</v>
      </c>
      <c r="L19" s="44">
        <f t="shared" si="4"/>
        <v>975.37300000000005</v>
      </c>
      <c r="M19" s="44">
        <f t="shared" si="4"/>
        <v>3446.7689999999998</v>
      </c>
      <c r="N19" s="44">
        <f t="shared" si="4"/>
        <v>929.46799999999996</v>
      </c>
      <c r="O19" s="44">
        <f t="shared" si="4"/>
        <v>2536.5500000000002</v>
      </c>
      <c r="P19" s="44">
        <f t="shared" si="4"/>
        <v>3022.4209999999998</v>
      </c>
      <c r="Q19" s="89"/>
    </row>
    <row r="20" spans="1:17" x14ac:dyDescent="0.35">
      <c r="A20" s="87"/>
      <c r="B20" s="8" t="s">
        <v>261</v>
      </c>
      <c r="C20" s="88"/>
      <c r="D20" s="41">
        <v>0</v>
      </c>
      <c r="E20" s="41">
        <f>SUM(E18:E19)</f>
        <v>57.859000000000002</v>
      </c>
      <c r="F20" s="41">
        <f t="shared" ref="F20:P20" si="5">SUM(F18:F19)</f>
        <v>738.87800000000004</v>
      </c>
      <c r="G20" s="41">
        <f t="shared" si="5"/>
        <v>4207.0309999999999</v>
      </c>
      <c r="H20" s="41">
        <f t="shared" si="5"/>
        <v>7638.1909999999998</v>
      </c>
      <c r="I20" s="41">
        <f t="shared" si="5"/>
        <v>10390.367</v>
      </c>
      <c r="J20" s="41">
        <f t="shared" si="5"/>
        <v>15353.328</v>
      </c>
      <c r="K20" s="41">
        <f t="shared" si="5"/>
        <v>20411.886999999999</v>
      </c>
      <c r="L20" s="41">
        <f t="shared" si="5"/>
        <v>23652.373</v>
      </c>
      <c r="M20" s="41">
        <f t="shared" si="5"/>
        <v>28074.769</v>
      </c>
      <c r="N20" s="41">
        <f t="shared" si="5"/>
        <v>32450.468000000001</v>
      </c>
      <c r="O20" s="41">
        <f t="shared" si="5"/>
        <v>35916.550000000003</v>
      </c>
      <c r="P20" s="41">
        <f t="shared" si="5"/>
        <v>41475.421000000002</v>
      </c>
      <c r="Q20" s="89">
        <f>SUM(D20:P20)</f>
        <v>220367.122</v>
      </c>
    </row>
    <row r="21" spans="1:17" x14ac:dyDescent="0.35">
      <c r="A21" s="90"/>
      <c r="B21" s="91"/>
      <c r="C21" s="92"/>
      <c r="D21" s="44"/>
      <c r="E21" s="44"/>
      <c r="F21" s="44"/>
      <c r="G21" s="44"/>
      <c r="H21" s="44"/>
      <c r="I21" s="44"/>
      <c r="J21" s="44"/>
      <c r="K21" s="44"/>
      <c r="L21" s="44"/>
      <c r="M21" s="44"/>
      <c r="N21" s="44"/>
      <c r="O21" s="44"/>
      <c r="P21" s="44"/>
      <c r="Q21" s="93"/>
    </row>
    <row r="22" spans="1:17" x14ac:dyDescent="0.35">
      <c r="A22" s="82"/>
      <c r="B22" s="83" t="s">
        <v>134</v>
      </c>
      <c r="C22" s="84">
        <f>2.52%/12</f>
        <v>2.0999999999999999E-3</v>
      </c>
      <c r="D22" s="46"/>
      <c r="E22" s="46"/>
      <c r="F22" s="46"/>
      <c r="G22" s="46"/>
      <c r="H22" s="46"/>
      <c r="I22" s="46"/>
      <c r="J22" s="46"/>
      <c r="K22" s="46"/>
      <c r="L22" s="46"/>
      <c r="M22" s="46"/>
      <c r="N22" s="46"/>
      <c r="O22" s="46"/>
      <c r="P22" s="46"/>
      <c r="Q22" s="86"/>
    </row>
    <row r="23" spans="1:17" x14ac:dyDescent="0.35">
      <c r="A23" s="87"/>
      <c r="B23" s="8" t="s">
        <v>166</v>
      </c>
      <c r="C23" s="88"/>
      <c r="D23" s="41">
        <v>0</v>
      </c>
      <c r="E23" s="41">
        <f>'3.0 Plant in Service'!D16</f>
        <v>0</v>
      </c>
      <c r="F23" s="41">
        <f>'3.0 Plant in Service'!E16</f>
        <v>0</v>
      </c>
      <c r="G23" s="41">
        <f>'3.0 Plant in Service'!F16</f>
        <v>0</v>
      </c>
      <c r="H23" s="41">
        <f>'3.0 Plant in Service'!G16</f>
        <v>0</v>
      </c>
      <c r="I23" s="41">
        <f>'3.0 Plant in Service'!H16</f>
        <v>0</v>
      </c>
      <c r="J23" s="41">
        <f>'3.0 Plant in Service'!I16</f>
        <v>0</v>
      </c>
      <c r="K23" s="41">
        <f>'3.0 Plant in Service'!J16</f>
        <v>0</v>
      </c>
      <c r="L23" s="41">
        <f>'3.0 Plant in Service'!K16</f>
        <v>0</v>
      </c>
      <c r="M23" s="41">
        <f>'3.0 Plant in Service'!L16</f>
        <v>0</v>
      </c>
      <c r="N23" s="41">
        <f>'3.0 Plant in Service'!M16</f>
        <v>0</v>
      </c>
      <c r="O23" s="41">
        <f>'3.0 Plant in Service'!N16</f>
        <v>0</v>
      </c>
      <c r="P23" s="41">
        <f>'3.0 Plant in Service'!O16</f>
        <v>0</v>
      </c>
      <c r="Q23" s="89">
        <f>SUM(D23:P23)</f>
        <v>0</v>
      </c>
    </row>
    <row r="24" spans="1:17" x14ac:dyDescent="0.35">
      <c r="A24" s="87"/>
      <c r="B24" s="8" t="s">
        <v>167</v>
      </c>
      <c r="C24" s="88"/>
      <c r="D24" s="41">
        <v>0</v>
      </c>
      <c r="E24" s="44">
        <f>'3.0 Plant in Service'!D25</f>
        <v>-7576.5300000000007</v>
      </c>
      <c r="F24" s="44">
        <f>'3.0 Plant in Service'!E25</f>
        <v>-6092.8</v>
      </c>
      <c r="G24" s="44">
        <f>'3.0 Plant in Service'!F25</f>
        <v>-17244.22</v>
      </c>
      <c r="H24" s="44">
        <f>'3.0 Plant in Service'!G25</f>
        <v>-1679.98</v>
      </c>
      <c r="I24" s="44">
        <f>'3.0 Plant in Service'!H25</f>
        <v>-9507.9599999999991</v>
      </c>
      <c r="J24" s="44">
        <f>'3.0 Plant in Service'!I25</f>
        <v>-98607.48000000001</v>
      </c>
      <c r="K24" s="44">
        <f>'3.0 Plant in Service'!J25</f>
        <v>-90900.479999999996</v>
      </c>
      <c r="L24" s="44">
        <f>'3.0 Plant in Service'!K25</f>
        <v>-73755.900000000009</v>
      </c>
      <c r="M24" s="44">
        <f>'3.0 Plant in Service'!L25</f>
        <v>-42418.09</v>
      </c>
      <c r="N24" s="44">
        <f>'3.0 Plant in Service'!M25</f>
        <v>0</v>
      </c>
      <c r="O24" s="44">
        <f>'3.0 Plant in Service'!N25</f>
        <v>-507.39</v>
      </c>
      <c r="P24" s="44">
        <f>'3.0 Plant in Service'!O25</f>
        <v>-42121.18</v>
      </c>
      <c r="Q24" s="89"/>
    </row>
    <row r="25" spans="1:17" x14ac:dyDescent="0.35">
      <c r="A25" s="87"/>
      <c r="B25" s="8" t="s">
        <v>213</v>
      </c>
      <c r="C25" s="88"/>
      <c r="D25" s="41">
        <f>SUM(D23:D24)</f>
        <v>0</v>
      </c>
      <c r="E25" s="41">
        <f t="shared" ref="E25:P25" si="6">SUM(E23:E24)</f>
        <v>-7576.5300000000007</v>
      </c>
      <c r="F25" s="41">
        <f t="shared" si="6"/>
        <v>-6092.8</v>
      </c>
      <c r="G25" s="41">
        <f t="shared" si="6"/>
        <v>-17244.22</v>
      </c>
      <c r="H25" s="41">
        <f t="shared" si="6"/>
        <v>-1679.98</v>
      </c>
      <c r="I25" s="41">
        <f t="shared" si="6"/>
        <v>-9507.9599999999991</v>
      </c>
      <c r="J25" s="41">
        <f t="shared" si="6"/>
        <v>-98607.48000000001</v>
      </c>
      <c r="K25" s="41">
        <f t="shared" si="6"/>
        <v>-90900.479999999996</v>
      </c>
      <c r="L25" s="41">
        <f t="shared" si="6"/>
        <v>-73755.900000000009</v>
      </c>
      <c r="M25" s="41">
        <f t="shared" si="6"/>
        <v>-42418.09</v>
      </c>
      <c r="N25" s="41">
        <f t="shared" si="6"/>
        <v>0</v>
      </c>
      <c r="O25" s="41">
        <f t="shared" si="6"/>
        <v>-507.39</v>
      </c>
      <c r="P25" s="41">
        <f t="shared" si="6"/>
        <v>-42121.18</v>
      </c>
      <c r="Q25" s="89">
        <f>SUM(D25:P25)</f>
        <v>-390412.01000000007</v>
      </c>
    </row>
    <row r="26" spans="1:17" x14ac:dyDescent="0.35">
      <c r="A26" s="87"/>
      <c r="B26" s="8" t="s">
        <v>163</v>
      </c>
      <c r="C26" s="88"/>
      <c r="D26" s="41">
        <v>0</v>
      </c>
      <c r="E26" s="41">
        <f t="shared" ref="E26:P26" si="7">+E25+D26</f>
        <v>-7576.5300000000007</v>
      </c>
      <c r="F26" s="41">
        <f t="shared" si="7"/>
        <v>-13669.330000000002</v>
      </c>
      <c r="G26" s="41">
        <f t="shared" si="7"/>
        <v>-30913.550000000003</v>
      </c>
      <c r="H26" s="41">
        <f t="shared" si="7"/>
        <v>-32593.530000000002</v>
      </c>
      <c r="I26" s="41">
        <f t="shared" si="7"/>
        <v>-42101.490000000005</v>
      </c>
      <c r="J26" s="41">
        <f t="shared" si="7"/>
        <v>-140708.97000000003</v>
      </c>
      <c r="K26" s="41">
        <f t="shared" si="7"/>
        <v>-231609.45</v>
      </c>
      <c r="L26" s="41">
        <f t="shared" si="7"/>
        <v>-305365.35000000003</v>
      </c>
      <c r="M26" s="41">
        <f t="shared" si="7"/>
        <v>-347783.44000000006</v>
      </c>
      <c r="N26" s="41">
        <f t="shared" si="7"/>
        <v>-347783.44000000006</v>
      </c>
      <c r="O26" s="41">
        <f t="shared" si="7"/>
        <v>-348290.83000000007</v>
      </c>
      <c r="P26" s="41">
        <f t="shared" si="7"/>
        <v>-390412.01000000007</v>
      </c>
      <c r="Q26" s="89"/>
    </row>
    <row r="27" spans="1:17" x14ac:dyDescent="0.35">
      <c r="A27" s="87"/>
      <c r="C27" s="88"/>
      <c r="D27" s="41"/>
      <c r="E27" s="41"/>
      <c r="F27" s="41"/>
      <c r="G27" s="41"/>
      <c r="H27" s="41"/>
      <c r="I27" s="41"/>
      <c r="J27" s="41"/>
      <c r="K27" s="41"/>
      <c r="L27" s="41"/>
      <c r="M27" s="41"/>
      <c r="N27" s="41"/>
      <c r="O27" s="41"/>
      <c r="P27" s="41"/>
      <c r="Q27" s="89"/>
    </row>
    <row r="28" spans="1:17" x14ac:dyDescent="0.35">
      <c r="A28" s="87"/>
      <c r="B28" s="8" t="s">
        <v>164</v>
      </c>
      <c r="C28" s="88"/>
      <c r="D28" s="41"/>
      <c r="E28" s="41">
        <f t="shared" ref="E28:P28" si="8">ROUND($C22*D26,0)</f>
        <v>0</v>
      </c>
      <c r="F28" s="41">
        <f t="shared" si="8"/>
        <v>-16</v>
      </c>
      <c r="G28" s="41">
        <f t="shared" si="8"/>
        <v>-29</v>
      </c>
      <c r="H28" s="41">
        <f t="shared" si="8"/>
        <v>-65</v>
      </c>
      <c r="I28" s="41">
        <f t="shared" si="8"/>
        <v>-68</v>
      </c>
      <c r="J28" s="41">
        <f t="shared" si="8"/>
        <v>-88</v>
      </c>
      <c r="K28" s="41">
        <f t="shared" si="8"/>
        <v>-295</v>
      </c>
      <c r="L28" s="41">
        <f t="shared" si="8"/>
        <v>-486</v>
      </c>
      <c r="M28" s="41">
        <f t="shared" si="8"/>
        <v>-641</v>
      </c>
      <c r="N28" s="41">
        <f t="shared" si="8"/>
        <v>-730</v>
      </c>
      <c r="O28" s="41">
        <f t="shared" si="8"/>
        <v>-730</v>
      </c>
      <c r="P28" s="41">
        <f t="shared" si="8"/>
        <v>-731</v>
      </c>
      <c r="Q28" s="89"/>
    </row>
    <row r="29" spans="1:17" x14ac:dyDescent="0.35">
      <c r="A29" s="87"/>
      <c r="B29" s="8" t="s">
        <v>165</v>
      </c>
      <c r="C29" s="88"/>
      <c r="D29" s="41"/>
      <c r="E29" s="44">
        <f>ROUND($C22*E25*0.5,3)</f>
        <v>-7.9550000000000001</v>
      </c>
      <c r="F29" s="44">
        <f t="shared" ref="F29:P29" si="9">ROUND($C22*F25*0.5,3)</f>
        <v>-6.3970000000000002</v>
      </c>
      <c r="G29" s="44">
        <f t="shared" si="9"/>
        <v>-18.106000000000002</v>
      </c>
      <c r="H29" s="44">
        <f t="shared" si="9"/>
        <v>-1.764</v>
      </c>
      <c r="I29" s="44">
        <f t="shared" si="9"/>
        <v>-9.9830000000000005</v>
      </c>
      <c r="J29" s="44">
        <f t="shared" si="9"/>
        <v>-103.538</v>
      </c>
      <c r="K29" s="44">
        <f t="shared" si="9"/>
        <v>-95.445999999999998</v>
      </c>
      <c r="L29" s="44">
        <f t="shared" si="9"/>
        <v>-77.444000000000003</v>
      </c>
      <c r="M29" s="44">
        <f t="shared" si="9"/>
        <v>-44.539000000000001</v>
      </c>
      <c r="N29" s="44">
        <f t="shared" si="9"/>
        <v>0</v>
      </c>
      <c r="O29" s="44">
        <f t="shared" si="9"/>
        <v>-0.53300000000000003</v>
      </c>
      <c r="P29" s="44">
        <f t="shared" si="9"/>
        <v>-44.226999999999997</v>
      </c>
      <c r="Q29" s="89"/>
    </row>
    <row r="30" spans="1:17" x14ac:dyDescent="0.35">
      <c r="A30" s="87"/>
      <c r="B30" s="8" t="s">
        <v>262</v>
      </c>
      <c r="C30" s="88"/>
      <c r="D30" s="41">
        <v>0</v>
      </c>
      <c r="E30" s="41">
        <f t="shared" ref="E30:P30" si="10">SUM(E28:E29)</f>
        <v>-7.9550000000000001</v>
      </c>
      <c r="F30" s="41">
        <f t="shared" si="10"/>
        <v>-22.396999999999998</v>
      </c>
      <c r="G30" s="41">
        <f t="shared" si="10"/>
        <v>-47.106000000000002</v>
      </c>
      <c r="H30" s="41">
        <f t="shared" si="10"/>
        <v>-66.763999999999996</v>
      </c>
      <c r="I30" s="41">
        <f t="shared" si="10"/>
        <v>-77.983000000000004</v>
      </c>
      <c r="J30" s="41">
        <f t="shared" si="10"/>
        <v>-191.53800000000001</v>
      </c>
      <c r="K30" s="41">
        <f t="shared" si="10"/>
        <v>-390.44600000000003</v>
      </c>
      <c r="L30" s="41">
        <f t="shared" si="10"/>
        <v>-563.44399999999996</v>
      </c>
      <c r="M30" s="41">
        <f t="shared" si="10"/>
        <v>-685.53899999999999</v>
      </c>
      <c r="N30" s="41">
        <f t="shared" si="10"/>
        <v>-730</v>
      </c>
      <c r="O30" s="41">
        <f t="shared" si="10"/>
        <v>-730.53300000000002</v>
      </c>
      <c r="P30" s="41">
        <f t="shared" si="10"/>
        <v>-775.22699999999998</v>
      </c>
      <c r="Q30" s="89">
        <f>SUM(D30:P30)</f>
        <v>-4288.9319999999998</v>
      </c>
    </row>
    <row r="31" spans="1:17" x14ac:dyDescent="0.35">
      <c r="A31" s="90"/>
      <c r="B31" s="91"/>
      <c r="C31" s="92"/>
      <c r="D31" s="44"/>
      <c r="E31" s="94"/>
      <c r="F31" s="94"/>
      <c r="G31" s="94"/>
      <c r="H31" s="94"/>
      <c r="I31" s="94"/>
      <c r="J31" s="94"/>
      <c r="K31" s="94"/>
      <c r="L31" s="94"/>
      <c r="M31" s="94"/>
      <c r="N31" s="94"/>
      <c r="O31" s="94"/>
      <c r="P31" s="94"/>
      <c r="Q31" s="93"/>
    </row>
    <row r="32" spans="1:17" x14ac:dyDescent="0.35">
      <c r="A32" s="82"/>
      <c r="B32" s="83" t="s">
        <v>135</v>
      </c>
      <c r="C32" s="84">
        <f>3.98%/12</f>
        <v>3.316666666666667E-3</v>
      </c>
      <c r="D32" s="46"/>
      <c r="E32" s="85"/>
      <c r="F32" s="85"/>
      <c r="G32" s="85"/>
      <c r="H32" s="85"/>
      <c r="I32" s="85"/>
      <c r="J32" s="85"/>
      <c r="K32" s="85"/>
      <c r="L32" s="85"/>
      <c r="M32" s="85"/>
      <c r="N32" s="85"/>
      <c r="O32" s="85"/>
      <c r="P32" s="85"/>
      <c r="Q32" s="86"/>
    </row>
    <row r="33" spans="1:17" x14ac:dyDescent="0.35">
      <c r="A33" s="87"/>
      <c r="B33" s="8" t="s">
        <v>166</v>
      </c>
      <c r="C33" s="88"/>
      <c r="D33" s="41">
        <v>0</v>
      </c>
      <c r="E33" s="41">
        <f>'3.0 Plant in Service'!D17</f>
        <v>849592.64</v>
      </c>
      <c r="F33" s="41">
        <f>'3.0 Plant in Service'!E17</f>
        <v>1027481.72</v>
      </c>
      <c r="G33" s="41">
        <f>'3.0 Plant in Service'!F17</f>
        <v>1095911.02</v>
      </c>
      <c r="H33" s="41">
        <f>'3.0 Plant in Service'!G17</f>
        <v>1074077.54</v>
      </c>
      <c r="I33" s="41">
        <f>'3.0 Plant in Service'!H17</f>
        <v>1261171.98</v>
      </c>
      <c r="J33" s="41">
        <f>'3.0 Plant in Service'!I17</f>
        <v>1124603.45</v>
      </c>
      <c r="K33" s="41">
        <f>'3.0 Plant in Service'!J17</f>
        <v>946236.83000000007</v>
      </c>
      <c r="L33" s="41">
        <f>'3.0 Plant in Service'!K17</f>
        <v>1262751.21</v>
      </c>
      <c r="M33" s="41">
        <f>'3.0 Plant in Service'!L17</f>
        <v>1078244.2400000002</v>
      </c>
      <c r="N33" s="41">
        <f>'3.0 Plant in Service'!M17</f>
        <v>1523803.0500000003</v>
      </c>
      <c r="O33" s="41">
        <f>'3.0 Plant in Service'!N17</f>
        <v>861761.95000000007</v>
      </c>
      <c r="P33" s="41">
        <f>'3.0 Plant in Service'!O17</f>
        <v>782388.46</v>
      </c>
      <c r="Q33" s="89">
        <f>SUM(D33:P33)</f>
        <v>12888024.09</v>
      </c>
    </row>
    <row r="34" spans="1:17" x14ac:dyDescent="0.35">
      <c r="A34" s="87"/>
      <c r="B34" s="8" t="s">
        <v>167</v>
      </c>
      <c r="C34" s="88"/>
      <c r="D34" s="41">
        <v>0</v>
      </c>
      <c r="E34" s="44">
        <f>'3.0 Plant in Service'!D26</f>
        <v>-277338.54684376396</v>
      </c>
      <c r="F34" s="44">
        <f>'3.0 Plant in Service'!E26</f>
        <v>-116568.9110269363</v>
      </c>
      <c r="G34" s="44">
        <f>'3.0 Plant in Service'!F26</f>
        <v>-192040.81348253199</v>
      </c>
      <c r="H34" s="44">
        <f>'3.0 Plant in Service'!G26</f>
        <v>-189065.28196242961</v>
      </c>
      <c r="I34" s="44">
        <f>'3.0 Plant in Service'!H26</f>
        <v>-292187.67817744327</v>
      </c>
      <c r="J34" s="44">
        <f>'3.0 Plant in Service'!I26</f>
        <v>-358664.11432266055</v>
      </c>
      <c r="K34" s="44">
        <f>'3.0 Plant in Service'!J26</f>
        <v>-231124.9352651996</v>
      </c>
      <c r="L34" s="44">
        <f>'3.0 Plant in Service'!K26</f>
        <v>-168870.39495231336</v>
      </c>
      <c r="M34" s="44">
        <f>'3.0 Plant in Service'!L26</f>
        <v>-273184.83045736718</v>
      </c>
      <c r="N34" s="44">
        <f>'3.0 Plant in Service'!M26</f>
        <v>-178657.54023643697</v>
      </c>
      <c r="O34" s="44">
        <f>'3.0 Plant in Service'!N26</f>
        <v>-274398.30615260021</v>
      </c>
      <c r="P34" s="44">
        <f>'3.0 Plant in Service'!O26</f>
        <v>-240285.08654995094</v>
      </c>
      <c r="Q34" s="89"/>
    </row>
    <row r="35" spans="1:17" x14ac:dyDescent="0.35">
      <c r="A35" s="87"/>
      <c r="B35" s="8" t="s">
        <v>213</v>
      </c>
      <c r="C35" s="88"/>
      <c r="D35" s="41">
        <f>SUM(D33:D34)</f>
        <v>0</v>
      </c>
      <c r="E35" s="41">
        <f t="shared" ref="E35:P35" si="11">SUM(E33:E34)</f>
        <v>572254.09315623599</v>
      </c>
      <c r="F35" s="41">
        <f t="shared" si="11"/>
        <v>910912.80897306371</v>
      </c>
      <c r="G35" s="41">
        <f t="shared" si="11"/>
        <v>903870.20651746797</v>
      </c>
      <c r="H35" s="41">
        <f t="shared" si="11"/>
        <v>885012.2580375704</v>
      </c>
      <c r="I35" s="41">
        <f t="shared" si="11"/>
        <v>968984.30182255665</v>
      </c>
      <c r="J35" s="41">
        <f t="shared" si="11"/>
        <v>765939.33567733946</v>
      </c>
      <c r="K35" s="41">
        <f t="shared" si="11"/>
        <v>715111.89473480044</v>
      </c>
      <c r="L35" s="41">
        <f t="shared" si="11"/>
        <v>1093880.8150476867</v>
      </c>
      <c r="M35" s="41">
        <f t="shared" si="11"/>
        <v>805059.40954263299</v>
      </c>
      <c r="N35" s="41">
        <f t="shared" si="11"/>
        <v>1345145.5097635633</v>
      </c>
      <c r="O35" s="41">
        <f t="shared" si="11"/>
        <v>587363.64384739986</v>
      </c>
      <c r="P35" s="41">
        <f t="shared" si="11"/>
        <v>542103.37345004897</v>
      </c>
      <c r="Q35" s="89">
        <f>SUM(D35:P35)</f>
        <v>10095637.650570367</v>
      </c>
    </row>
    <row r="36" spans="1:17" x14ac:dyDescent="0.35">
      <c r="A36" s="87"/>
      <c r="B36" s="8" t="s">
        <v>163</v>
      </c>
      <c r="C36" s="88"/>
      <c r="D36" s="41">
        <v>0</v>
      </c>
      <c r="E36" s="41">
        <f t="shared" ref="E36:P36" si="12">+E35+D36</f>
        <v>572254.09315623599</v>
      </c>
      <c r="F36" s="41">
        <f t="shared" si="12"/>
        <v>1483166.9021292997</v>
      </c>
      <c r="G36" s="41">
        <f t="shared" si="12"/>
        <v>2387037.1086467677</v>
      </c>
      <c r="H36" s="41">
        <f t="shared" si="12"/>
        <v>3272049.3666843381</v>
      </c>
      <c r="I36" s="41">
        <f t="shared" si="12"/>
        <v>4241033.6685068943</v>
      </c>
      <c r="J36" s="41">
        <f t="shared" si="12"/>
        <v>5006973.004184234</v>
      </c>
      <c r="K36" s="41">
        <f t="shared" si="12"/>
        <v>5722084.8989190347</v>
      </c>
      <c r="L36" s="41">
        <f t="shared" si="12"/>
        <v>6815965.7139667217</v>
      </c>
      <c r="M36" s="41">
        <f t="shared" si="12"/>
        <v>7621025.1235093549</v>
      </c>
      <c r="N36" s="41">
        <f t="shared" si="12"/>
        <v>8966170.6332729179</v>
      </c>
      <c r="O36" s="41">
        <f t="shared" si="12"/>
        <v>9553534.2771203183</v>
      </c>
      <c r="P36" s="41">
        <f t="shared" si="12"/>
        <v>10095637.650570367</v>
      </c>
      <c r="Q36" s="89"/>
    </row>
    <row r="37" spans="1:17" x14ac:dyDescent="0.35">
      <c r="A37" s="87"/>
      <c r="C37" s="88"/>
      <c r="D37" s="41"/>
      <c r="E37" s="41"/>
      <c r="F37" s="41"/>
      <c r="G37" s="41"/>
      <c r="H37" s="41"/>
      <c r="I37" s="41"/>
      <c r="J37" s="41"/>
      <c r="K37" s="41"/>
      <c r="L37" s="41"/>
      <c r="M37" s="41"/>
      <c r="N37" s="41"/>
      <c r="O37" s="41"/>
      <c r="P37" s="41"/>
      <c r="Q37" s="89"/>
    </row>
    <row r="38" spans="1:17" x14ac:dyDescent="0.35">
      <c r="A38" s="87"/>
      <c r="B38" s="8" t="s">
        <v>164</v>
      </c>
      <c r="C38" s="88"/>
      <c r="D38" s="41"/>
      <c r="E38" s="41">
        <f t="shared" ref="E38:P38" si="13">ROUND($C32*D36,0)</f>
        <v>0</v>
      </c>
      <c r="F38" s="41">
        <f t="shared" si="13"/>
        <v>1898</v>
      </c>
      <c r="G38" s="41">
        <f t="shared" si="13"/>
        <v>4919</v>
      </c>
      <c r="H38" s="41">
        <f t="shared" si="13"/>
        <v>7917</v>
      </c>
      <c r="I38" s="41">
        <f t="shared" si="13"/>
        <v>10852</v>
      </c>
      <c r="J38" s="41">
        <f t="shared" si="13"/>
        <v>14066</v>
      </c>
      <c r="K38" s="41">
        <f t="shared" si="13"/>
        <v>16606</v>
      </c>
      <c r="L38" s="41">
        <f t="shared" si="13"/>
        <v>18978</v>
      </c>
      <c r="M38" s="41">
        <f t="shared" si="13"/>
        <v>22606</v>
      </c>
      <c r="N38" s="41">
        <f t="shared" si="13"/>
        <v>25276</v>
      </c>
      <c r="O38" s="41">
        <f t="shared" si="13"/>
        <v>29738</v>
      </c>
      <c r="P38" s="41">
        <f t="shared" si="13"/>
        <v>31686</v>
      </c>
      <c r="Q38" s="89"/>
    </row>
    <row r="39" spans="1:17" x14ac:dyDescent="0.35">
      <c r="A39" s="87"/>
      <c r="B39" s="8" t="s">
        <v>165</v>
      </c>
      <c r="C39" s="88"/>
      <c r="D39" s="41"/>
      <c r="E39" s="44">
        <f>ROUND($C32*E35*0.5,3)</f>
        <v>948.98800000000006</v>
      </c>
      <c r="F39" s="44">
        <f t="shared" ref="F39:P39" si="14">ROUND($C32*F35*0.5,3)</f>
        <v>1510.597</v>
      </c>
      <c r="G39" s="44">
        <f t="shared" si="14"/>
        <v>1498.9179999999999</v>
      </c>
      <c r="H39" s="44">
        <f t="shared" si="14"/>
        <v>1467.645</v>
      </c>
      <c r="I39" s="44">
        <f t="shared" si="14"/>
        <v>1606.8989999999999</v>
      </c>
      <c r="J39" s="44">
        <f t="shared" si="14"/>
        <v>1270.183</v>
      </c>
      <c r="K39" s="44">
        <f t="shared" si="14"/>
        <v>1185.894</v>
      </c>
      <c r="L39" s="44">
        <f t="shared" si="14"/>
        <v>1814.019</v>
      </c>
      <c r="M39" s="44">
        <f t="shared" si="14"/>
        <v>1335.057</v>
      </c>
      <c r="N39" s="44">
        <f t="shared" si="14"/>
        <v>2230.6999999999998</v>
      </c>
      <c r="O39" s="44">
        <f t="shared" si="14"/>
        <v>974.04499999999996</v>
      </c>
      <c r="P39" s="44">
        <f t="shared" si="14"/>
        <v>898.98800000000006</v>
      </c>
      <c r="Q39" s="89"/>
    </row>
    <row r="40" spans="1:17" x14ac:dyDescent="0.35">
      <c r="A40" s="87"/>
      <c r="B40" s="8" t="s">
        <v>263</v>
      </c>
      <c r="C40" s="88"/>
      <c r="D40" s="41">
        <v>0</v>
      </c>
      <c r="E40" s="41">
        <f t="shared" ref="E40:P40" si="15">SUM(E38:E39)</f>
        <v>948.98800000000006</v>
      </c>
      <c r="F40" s="41">
        <f t="shared" si="15"/>
        <v>3408.5969999999998</v>
      </c>
      <c r="G40" s="41">
        <f t="shared" si="15"/>
        <v>6417.9179999999997</v>
      </c>
      <c r="H40" s="41">
        <f t="shared" si="15"/>
        <v>9384.6450000000004</v>
      </c>
      <c r="I40" s="41">
        <f t="shared" si="15"/>
        <v>12458.898999999999</v>
      </c>
      <c r="J40" s="41">
        <f t="shared" si="15"/>
        <v>15336.183000000001</v>
      </c>
      <c r="K40" s="41">
        <f t="shared" si="15"/>
        <v>17791.894</v>
      </c>
      <c r="L40" s="41">
        <f t="shared" si="15"/>
        <v>20792.019</v>
      </c>
      <c r="M40" s="41">
        <f t="shared" si="15"/>
        <v>23941.057000000001</v>
      </c>
      <c r="N40" s="41">
        <f t="shared" si="15"/>
        <v>27506.7</v>
      </c>
      <c r="O40" s="41">
        <f t="shared" si="15"/>
        <v>30712.044999999998</v>
      </c>
      <c r="P40" s="41">
        <f t="shared" si="15"/>
        <v>32584.988000000001</v>
      </c>
      <c r="Q40" s="89">
        <f>SUM(D40:P40)</f>
        <v>201283.93300000002</v>
      </c>
    </row>
    <row r="41" spans="1:17" x14ac:dyDescent="0.35">
      <c r="A41" s="90"/>
      <c r="B41" s="91"/>
      <c r="C41" s="92"/>
      <c r="D41" s="44"/>
      <c r="E41" s="44"/>
      <c r="F41" s="44"/>
      <c r="G41" s="44"/>
      <c r="H41" s="44"/>
      <c r="I41" s="44"/>
      <c r="J41" s="44"/>
      <c r="K41" s="44"/>
      <c r="L41" s="44"/>
      <c r="M41" s="44"/>
      <c r="N41" s="44"/>
      <c r="O41" s="44"/>
      <c r="P41" s="44"/>
      <c r="Q41" s="93"/>
    </row>
    <row r="42" spans="1:17" x14ac:dyDescent="0.35">
      <c r="A42" s="82"/>
      <c r="B42" s="83" t="s">
        <v>136</v>
      </c>
      <c r="C42" s="84">
        <f>1.77%/12</f>
        <v>1.475E-3</v>
      </c>
      <c r="D42" s="46"/>
      <c r="E42" s="46"/>
      <c r="F42" s="46"/>
      <c r="G42" s="46"/>
      <c r="H42" s="46"/>
      <c r="I42" s="46"/>
      <c r="J42" s="46"/>
      <c r="K42" s="46"/>
      <c r="L42" s="46"/>
      <c r="M42" s="46"/>
      <c r="N42" s="46"/>
      <c r="O42" s="46"/>
      <c r="P42" s="46"/>
      <c r="Q42" s="86"/>
    </row>
    <row r="43" spans="1:17" x14ac:dyDescent="0.35">
      <c r="A43" s="87"/>
      <c r="B43" s="8" t="s">
        <v>166</v>
      </c>
      <c r="C43" s="88"/>
      <c r="D43" s="41">
        <v>0</v>
      </c>
      <c r="E43" s="41">
        <f>'3.0 Plant in Service'!D18</f>
        <v>1645.31</v>
      </c>
      <c r="F43" s="41">
        <f>'3.0 Plant in Service'!E18</f>
        <v>0</v>
      </c>
      <c r="G43" s="41">
        <f>'3.0 Plant in Service'!F18</f>
        <v>1219.19</v>
      </c>
      <c r="H43" s="41">
        <f>'3.0 Plant in Service'!G18</f>
        <v>374.88</v>
      </c>
      <c r="I43" s="41">
        <f>'3.0 Plant in Service'!H18</f>
        <v>2800.4300000000003</v>
      </c>
      <c r="J43" s="41">
        <f>'3.0 Plant in Service'!I18</f>
        <v>4551.3500000000004</v>
      </c>
      <c r="K43" s="41">
        <f>'3.0 Plant in Service'!J18</f>
        <v>7084.41</v>
      </c>
      <c r="L43" s="41">
        <f>'3.0 Plant in Service'!K18</f>
        <v>19772.759999999998</v>
      </c>
      <c r="M43" s="41">
        <f>'3.0 Plant in Service'!L18</f>
        <v>5637.8600000000006</v>
      </c>
      <c r="N43" s="41">
        <f>'3.0 Plant in Service'!M18</f>
        <v>17703.63</v>
      </c>
      <c r="O43" s="41">
        <f>'3.0 Plant in Service'!N18</f>
        <v>14238.460000000001</v>
      </c>
      <c r="P43" s="41">
        <f>'3.0 Plant in Service'!O18</f>
        <v>10554.1</v>
      </c>
      <c r="Q43" s="89">
        <f>SUM(D43:P43)</f>
        <v>85582.380000000019</v>
      </c>
    </row>
    <row r="44" spans="1:17" x14ac:dyDescent="0.35">
      <c r="A44" s="87"/>
      <c r="B44" s="8" t="s">
        <v>167</v>
      </c>
      <c r="C44" s="88"/>
      <c r="D44" s="41">
        <v>0</v>
      </c>
      <c r="E44" s="44">
        <f>'3.0 Plant in Service'!D27</f>
        <v>-489.15000000000003</v>
      </c>
      <c r="F44" s="44">
        <f>'3.0 Plant in Service'!E27</f>
        <v>-1574.7300000000002</v>
      </c>
      <c r="G44" s="44">
        <f>'3.0 Plant in Service'!F27</f>
        <v>-2045.7900000000002</v>
      </c>
      <c r="H44" s="44">
        <f>'3.0 Plant in Service'!G27</f>
        <v>-5647.4500000000007</v>
      </c>
      <c r="I44" s="44">
        <f>'3.0 Plant in Service'!H27</f>
        <v>-3453.44</v>
      </c>
      <c r="J44" s="44">
        <f>'3.0 Plant in Service'!I27</f>
        <v>-3705.5099999999998</v>
      </c>
      <c r="K44" s="44">
        <f>'3.0 Plant in Service'!J27</f>
        <v>-5252.36</v>
      </c>
      <c r="L44" s="44">
        <f>'3.0 Plant in Service'!K27</f>
        <v>-9322.3200000000015</v>
      </c>
      <c r="M44" s="44">
        <f>'3.0 Plant in Service'!L27</f>
        <v>-4705.1100000000006</v>
      </c>
      <c r="N44" s="44">
        <f>'3.0 Plant in Service'!M27</f>
        <v>-4703.41</v>
      </c>
      <c r="O44" s="44">
        <f>'3.0 Plant in Service'!N27</f>
        <v>-3639.67</v>
      </c>
      <c r="P44" s="44">
        <f>'3.0 Plant in Service'!O27</f>
        <v>-3691.8300000000004</v>
      </c>
      <c r="Q44" s="89"/>
    </row>
    <row r="45" spans="1:17" x14ac:dyDescent="0.35">
      <c r="A45" s="87"/>
      <c r="B45" s="8" t="s">
        <v>213</v>
      </c>
      <c r="C45" s="88"/>
      <c r="D45" s="41">
        <f t="shared" ref="D45:P45" si="16">SUM(D43:D44)</f>
        <v>0</v>
      </c>
      <c r="E45" s="41">
        <f t="shared" si="16"/>
        <v>1156.1599999999999</v>
      </c>
      <c r="F45" s="41">
        <f t="shared" si="16"/>
        <v>-1574.7300000000002</v>
      </c>
      <c r="G45" s="41">
        <f t="shared" si="16"/>
        <v>-826.60000000000014</v>
      </c>
      <c r="H45" s="41">
        <f t="shared" si="16"/>
        <v>-5272.5700000000006</v>
      </c>
      <c r="I45" s="41">
        <f t="shared" si="16"/>
        <v>-653.00999999999976</v>
      </c>
      <c r="J45" s="41">
        <f t="shared" si="16"/>
        <v>845.8400000000006</v>
      </c>
      <c r="K45" s="41">
        <f t="shared" si="16"/>
        <v>1832.0500000000002</v>
      </c>
      <c r="L45" s="41">
        <f t="shared" si="16"/>
        <v>10450.439999999997</v>
      </c>
      <c r="M45" s="41">
        <f t="shared" si="16"/>
        <v>932.75</v>
      </c>
      <c r="N45" s="41">
        <f t="shared" si="16"/>
        <v>13000.220000000001</v>
      </c>
      <c r="O45" s="41">
        <f t="shared" si="16"/>
        <v>10598.79</v>
      </c>
      <c r="P45" s="41">
        <f t="shared" si="16"/>
        <v>6862.27</v>
      </c>
      <c r="Q45" s="89">
        <f>SUM(D45:P45)</f>
        <v>37351.61</v>
      </c>
    </row>
    <row r="46" spans="1:17" x14ac:dyDescent="0.35">
      <c r="A46" s="87"/>
      <c r="B46" s="8" t="s">
        <v>163</v>
      </c>
      <c r="C46" s="88"/>
      <c r="D46" s="41">
        <v>0</v>
      </c>
      <c r="E46" s="41">
        <f t="shared" ref="E46:P46" si="17">+E45+D46</f>
        <v>1156.1599999999999</v>
      </c>
      <c r="F46" s="41">
        <f t="shared" si="17"/>
        <v>-418.57000000000039</v>
      </c>
      <c r="G46" s="41">
        <f t="shared" si="17"/>
        <v>-1245.1700000000005</v>
      </c>
      <c r="H46" s="41">
        <f t="shared" si="17"/>
        <v>-6517.7400000000016</v>
      </c>
      <c r="I46" s="41">
        <f t="shared" si="17"/>
        <v>-7170.7500000000018</v>
      </c>
      <c r="J46" s="41">
        <f t="shared" si="17"/>
        <v>-6324.9100000000017</v>
      </c>
      <c r="K46" s="41">
        <f t="shared" si="17"/>
        <v>-4492.8600000000015</v>
      </c>
      <c r="L46" s="41">
        <f t="shared" si="17"/>
        <v>5957.5799999999954</v>
      </c>
      <c r="M46" s="41">
        <f t="shared" si="17"/>
        <v>6890.3299999999954</v>
      </c>
      <c r="N46" s="41">
        <f t="shared" si="17"/>
        <v>19890.549999999996</v>
      </c>
      <c r="O46" s="41">
        <f t="shared" si="17"/>
        <v>30489.339999999997</v>
      </c>
      <c r="P46" s="41">
        <f t="shared" si="17"/>
        <v>37351.61</v>
      </c>
      <c r="Q46" s="89"/>
    </row>
    <row r="47" spans="1:17" x14ac:dyDescent="0.35">
      <c r="A47" s="87"/>
      <c r="C47" s="88"/>
      <c r="D47" s="41"/>
      <c r="E47" s="41"/>
      <c r="F47" s="41"/>
      <c r="G47" s="41"/>
      <c r="H47" s="41"/>
      <c r="I47" s="41"/>
      <c r="J47" s="41"/>
      <c r="K47" s="41"/>
      <c r="L47" s="41"/>
      <c r="M47" s="41"/>
      <c r="N47" s="41"/>
      <c r="O47" s="41"/>
      <c r="P47" s="41"/>
      <c r="Q47" s="89"/>
    </row>
    <row r="48" spans="1:17" x14ac:dyDescent="0.35">
      <c r="A48" s="87"/>
      <c r="B48" s="8" t="s">
        <v>164</v>
      </c>
      <c r="C48" s="88"/>
      <c r="D48" s="41"/>
      <c r="E48" s="41">
        <f t="shared" ref="E48:P48" si="18">ROUND($C42*D46,0)</f>
        <v>0</v>
      </c>
      <c r="F48" s="41">
        <f t="shared" si="18"/>
        <v>2</v>
      </c>
      <c r="G48" s="41">
        <f t="shared" si="18"/>
        <v>-1</v>
      </c>
      <c r="H48" s="41">
        <f t="shared" si="18"/>
        <v>-2</v>
      </c>
      <c r="I48" s="41">
        <f t="shared" si="18"/>
        <v>-10</v>
      </c>
      <c r="J48" s="41">
        <f t="shared" si="18"/>
        <v>-11</v>
      </c>
      <c r="K48" s="41">
        <f t="shared" si="18"/>
        <v>-9</v>
      </c>
      <c r="L48" s="41">
        <f t="shared" si="18"/>
        <v>-7</v>
      </c>
      <c r="M48" s="41">
        <f t="shared" si="18"/>
        <v>9</v>
      </c>
      <c r="N48" s="41">
        <f t="shared" si="18"/>
        <v>10</v>
      </c>
      <c r="O48" s="41">
        <f t="shared" si="18"/>
        <v>29</v>
      </c>
      <c r="P48" s="41">
        <f t="shared" si="18"/>
        <v>45</v>
      </c>
      <c r="Q48" s="89"/>
    </row>
    <row r="49" spans="1:17" x14ac:dyDescent="0.35">
      <c r="A49" s="87"/>
      <c r="B49" s="8" t="s">
        <v>165</v>
      </c>
      <c r="C49" s="88"/>
      <c r="D49" s="41"/>
      <c r="E49" s="44">
        <f>ROUND($C42*E45*0.5,3)</f>
        <v>0.85299999999999998</v>
      </c>
      <c r="F49" s="44">
        <f t="shared" ref="F49:P49" si="19">ROUND($C42*F45*0.5,3)</f>
        <v>-1.161</v>
      </c>
      <c r="G49" s="44">
        <f t="shared" si="19"/>
        <v>-0.61</v>
      </c>
      <c r="H49" s="44">
        <f t="shared" si="19"/>
        <v>-3.8889999999999998</v>
      </c>
      <c r="I49" s="44">
        <f t="shared" si="19"/>
        <v>-0.48199999999999998</v>
      </c>
      <c r="J49" s="44">
        <f t="shared" si="19"/>
        <v>0.624</v>
      </c>
      <c r="K49" s="44">
        <f t="shared" si="19"/>
        <v>1.351</v>
      </c>
      <c r="L49" s="44">
        <f t="shared" si="19"/>
        <v>7.7069999999999999</v>
      </c>
      <c r="M49" s="44">
        <f t="shared" si="19"/>
        <v>0.68799999999999994</v>
      </c>
      <c r="N49" s="44">
        <f t="shared" si="19"/>
        <v>9.5879999999999992</v>
      </c>
      <c r="O49" s="44">
        <f t="shared" si="19"/>
        <v>7.8170000000000002</v>
      </c>
      <c r="P49" s="44">
        <f t="shared" si="19"/>
        <v>5.0609999999999999</v>
      </c>
      <c r="Q49" s="89"/>
    </row>
    <row r="50" spans="1:17" x14ac:dyDescent="0.35">
      <c r="A50" s="87"/>
      <c r="B50" s="8" t="s">
        <v>264</v>
      </c>
      <c r="C50" s="88"/>
      <c r="D50" s="41">
        <v>0</v>
      </c>
      <c r="E50" s="41">
        <f t="shared" ref="E50:P50" si="20">SUM(E48:E49)</f>
        <v>0.85299999999999998</v>
      </c>
      <c r="F50" s="41">
        <f t="shared" si="20"/>
        <v>0.83899999999999997</v>
      </c>
      <c r="G50" s="41">
        <f t="shared" si="20"/>
        <v>-1.6099999999999999</v>
      </c>
      <c r="H50" s="41">
        <f t="shared" si="20"/>
        <v>-5.8889999999999993</v>
      </c>
      <c r="I50" s="41">
        <f t="shared" si="20"/>
        <v>-10.481999999999999</v>
      </c>
      <c r="J50" s="41">
        <f t="shared" si="20"/>
        <v>-10.375999999999999</v>
      </c>
      <c r="K50" s="41">
        <f t="shared" si="20"/>
        <v>-7.649</v>
      </c>
      <c r="L50" s="41">
        <f t="shared" si="20"/>
        <v>0.70699999999999985</v>
      </c>
      <c r="M50" s="41">
        <f t="shared" si="20"/>
        <v>9.6880000000000006</v>
      </c>
      <c r="N50" s="41">
        <f t="shared" si="20"/>
        <v>19.588000000000001</v>
      </c>
      <c r="O50" s="41">
        <f t="shared" si="20"/>
        <v>36.817</v>
      </c>
      <c r="P50" s="41">
        <f t="shared" si="20"/>
        <v>50.061</v>
      </c>
      <c r="Q50" s="89">
        <f>SUM(D50:P50)</f>
        <v>82.546999999999997</v>
      </c>
    </row>
    <row r="51" spans="1:17" x14ac:dyDescent="0.35">
      <c r="A51" s="90"/>
      <c r="B51" s="91"/>
      <c r="C51" s="91"/>
      <c r="D51" s="91"/>
      <c r="E51" s="91"/>
      <c r="F51" s="91"/>
      <c r="G51" s="91"/>
      <c r="H51" s="91"/>
      <c r="I51" s="91"/>
      <c r="J51" s="91"/>
      <c r="K51" s="91"/>
      <c r="L51" s="91"/>
      <c r="M51" s="91"/>
      <c r="N51" s="91"/>
      <c r="O51" s="91"/>
      <c r="P51" s="91"/>
      <c r="Q51" s="95"/>
    </row>
    <row r="52" spans="1:17" x14ac:dyDescent="0.35">
      <c r="A52" s="82"/>
      <c r="B52" s="83" t="s">
        <v>137</v>
      </c>
      <c r="C52" s="84">
        <f>1.94%/12</f>
        <v>1.6166666666666666E-3</v>
      </c>
      <c r="D52" s="46"/>
      <c r="E52" s="46"/>
      <c r="F52" s="46"/>
      <c r="G52" s="46"/>
      <c r="H52" s="46"/>
      <c r="I52" s="46"/>
      <c r="J52" s="46"/>
      <c r="K52" s="46"/>
      <c r="L52" s="46"/>
      <c r="M52" s="46"/>
      <c r="N52" s="46"/>
      <c r="O52" s="46"/>
      <c r="P52" s="46"/>
      <c r="Q52" s="86"/>
    </row>
    <row r="53" spans="1:17" x14ac:dyDescent="0.35">
      <c r="A53" s="87"/>
      <c r="B53" s="8" t="s">
        <v>166</v>
      </c>
      <c r="C53" s="88"/>
      <c r="D53" s="41">
        <v>0</v>
      </c>
      <c r="E53" s="41">
        <f>'3.0 Plant in Service'!D19</f>
        <v>0</v>
      </c>
      <c r="F53" s="41">
        <f>'3.0 Plant in Service'!E19</f>
        <v>0</v>
      </c>
      <c r="G53" s="41">
        <f>'3.0 Plant in Service'!F19</f>
        <v>0</v>
      </c>
      <c r="H53" s="41">
        <f>'3.0 Plant in Service'!G19</f>
        <v>0</v>
      </c>
      <c r="I53" s="41">
        <f>'3.0 Plant in Service'!H19</f>
        <v>0</v>
      </c>
      <c r="J53" s="41">
        <f>'3.0 Plant in Service'!I19</f>
        <v>0</v>
      </c>
      <c r="K53" s="41">
        <f>'3.0 Plant in Service'!J19</f>
        <v>0</v>
      </c>
      <c r="L53" s="41">
        <f>'3.0 Plant in Service'!K19</f>
        <v>0</v>
      </c>
      <c r="M53" s="41">
        <f>'3.0 Plant in Service'!L19</f>
        <v>0</v>
      </c>
      <c r="N53" s="41">
        <f>'3.0 Plant in Service'!M19</f>
        <v>0</v>
      </c>
      <c r="O53" s="41">
        <f>'3.0 Plant in Service'!N19</f>
        <v>0</v>
      </c>
      <c r="P53" s="41">
        <f>'3.0 Plant in Service'!O19</f>
        <v>0</v>
      </c>
      <c r="Q53" s="89">
        <f>SUM(D53:P53)</f>
        <v>0</v>
      </c>
    </row>
    <row r="54" spans="1:17" x14ac:dyDescent="0.35">
      <c r="A54" s="87"/>
      <c r="B54" s="8" t="s">
        <v>167</v>
      </c>
      <c r="C54" s="88"/>
      <c r="D54" s="41">
        <v>0</v>
      </c>
      <c r="E54" s="44">
        <f>'3.0 Plant in Service'!D28</f>
        <v>-188.66000000000003</v>
      </c>
      <c r="F54" s="44">
        <f>'3.0 Plant in Service'!E28</f>
        <v>-230.70000000000002</v>
      </c>
      <c r="G54" s="44">
        <f>'3.0 Plant in Service'!F28</f>
        <v>-156.80000000000001</v>
      </c>
      <c r="H54" s="44">
        <f>'3.0 Plant in Service'!G28</f>
        <v>-171.39000000000001</v>
      </c>
      <c r="I54" s="44">
        <f>'3.0 Plant in Service'!H28</f>
        <v>-348.81</v>
      </c>
      <c r="J54" s="44">
        <f>'3.0 Plant in Service'!I28</f>
        <v>-226.33</v>
      </c>
      <c r="K54" s="44">
        <f>'3.0 Plant in Service'!J28</f>
        <v>-3043.2999999999997</v>
      </c>
      <c r="L54" s="44">
        <f>'3.0 Plant in Service'!K28</f>
        <v>-197.14000000000001</v>
      </c>
      <c r="M54" s="44">
        <f>'3.0 Plant in Service'!L28</f>
        <v>-575.59</v>
      </c>
      <c r="N54" s="44">
        <f>'3.0 Plant in Service'!M28</f>
        <v>-562.87</v>
      </c>
      <c r="O54" s="44">
        <f>'3.0 Plant in Service'!N28</f>
        <v>-632.7299999999999</v>
      </c>
      <c r="P54" s="44">
        <f>'3.0 Plant in Service'!O28</f>
        <v>-534.66999999999996</v>
      </c>
      <c r="Q54" s="89"/>
    </row>
    <row r="55" spans="1:17" x14ac:dyDescent="0.35">
      <c r="A55" s="87"/>
      <c r="B55" s="8" t="s">
        <v>213</v>
      </c>
      <c r="C55" s="88"/>
      <c r="D55" s="41">
        <f t="shared" ref="D55:P55" si="21">SUM(D53:D54)</f>
        <v>0</v>
      </c>
      <c r="E55" s="41">
        <f t="shared" si="21"/>
        <v>-188.66000000000003</v>
      </c>
      <c r="F55" s="41">
        <f t="shared" si="21"/>
        <v>-230.70000000000002</v>
      </c>
      <c r="G55" s="41">
        <f t="shared" si="21"/>
        <v>-156.80000000000001</v>
      </c>
      <c r="H55" s="41">
        <f t="shared" si="21"/>
        <v>-171.39000000000001</v>
      </c>
      <c r="I55" s="41">
        <f t="shared" si="21"/>
        <v>-348.81</v>
      </c>
      <c r="J55" s="41">
        <f t="shared" si="21"/>
        <v>-226.33</v>
      </c>
      <c r="K55" s="41">
        <f t="shared" si="21"/>
        <v>-3043.2999999999997</v>
      </c>
      <c r="L55" s="41">
        <f t="shared" si="21"/>
        <v>-197.14000000000001</v>
      </c>
      <c r="M55" s="41">
        <f t="shared" si="21"/>
        <v>-575.59</v>
      </c>
      <c r="N55" s="41">
        <f t="shared" si="21"/>
        <v>-562.87</v>
      </c>
      <c r="O55" s="41">
        <f t="shared" si="21"/>
        <v>-632.7299999999999</v>
      </c>
      <c r="P55" s="41">
        <f t="shared" si="21"/>
        <v>-534.66999999999996</v>
      </c>
      <c r="Q55" s="89">
        <f>SUM(D55:P55)</f>
        <v>-6868.99</v>
      </c>
    </row>
    <row r="56" spans="1:17" x14ac:dyDescent="0.35">
      <c r="A56" s="87"/>
      <c r="B56" s="8" t="s">
        <v>163</v>
      </c>
      <c r="C56" s="88"/>
      <c r="D56" s="41">
        <v>0</v>
      </c>
      <c r="E56" s="41">
        <f t="shared" ref="E56:P56" si="22">+E55+D56</f>
        <v>-188.66000000000003</v>
      </c>
      <c r="F56" s="41">
        <f t="shared" si="22"/>
        <v>-419.36</v>
      </c>
      <c r="G56" s="41">
        <f t="shared" si="22"/>
        <v>-576.16000000000008</v>
      </c>
      <c r="H56" s="41">
        <f t="shared" si="22"/>
        <v>-747.55000000000007</v>
      </c>
      <c r="I56" s="41">
        <f t="shared" si="22"/>
        <v>-1096.3600000000001</v>
      </c>
      <c r="J56" s="41">
        <f t="shared" si="22"/>
        <v>-1322.69</v>
      </c>
      <c r="K56" s="41">
        <f t="shared" si="22"/>
        <v>-4365.99</v>
      </c>
      <c r="L56" s="41">
        <f t="shared" si="22"/>
        <v>-4563.13</v>
      </c>
      <c r="M56" s="41">
        <f t="shared" si="22"/>
        <v>-5138.72</v>
      </c>
      <c r="N56" s="41">
        <f t="shared" si="22"/>
        <v>-5701.59</v>
      </c>
      <c r="O56" s="41">
        <f t="shared" si="22"/>
        <v>-6334.32</v>
      </c>
      <c r="P56" s="41">
        <f t="shared" si="22"/>
        <v>-6868.99</v>
      </c>
      <c r="Q56" s="89"/>
    </row>
    <row r="57" spans="1:17" x14ac:dyDescent="0.35">
      <c r="A57" s="87"/>
      <c r="C57" s="88"/>
      <c r="D57" s="41"/>
      <c r="E57" s="41"/>
      <c r="F57" s="41"/>
      <c r="G57" s="41"/>
      <c r="H57" s="41"/>
      <c r="I57" s="41"/>
      <c r="J57" s="41"/>
      <c r="K57" s="41"/>
      <c r="L57" s="41"/>
      <c r="M57" s="41"/>
      <c r="N57" s="41"/>
      <c r="O57" s="41"/>
      <c r="P57" s="41"/>
      <c r="Q57" s="89"/>
    </row>
    <row r="58" spans="1:17" x14ac:dyDescent="0.35">
      <c r="A58" s="87"/>
      <c r="B58" s="8" t="s">
        <v>164</v>
      </c>
      <c r="C58" s="88"/>
      <c r="D58" s="41"/>
      <c r="E58" s="41">
        <f t="shared" ref="E58:P58" si="23">ROUND($C52*D56,0)</f>
        <v>0</v>
      </c>
      <c r="F58" s="41">
        <f t="shared" si="23"/>
        <v>0</v>
      </c>
      <c r="G58" s="41">
        <f t="shared" si="23"/>
        <v>-1</v>
      </c>
      <c r="H58" s="41">
        <f t="shared" si="23"/>
        <v>-1</v>
      </c>
      <c r="I58" s="41">
        <f t="shared" si="23"/>
        <v>-1</v>
      </c>
      <c r="J58" s="41">
        <f t="shared" si="23"/>
        <v>-2</v>
      </c>
      <c r="K58" s="41">
        <f t="shared" si="23"/>
        <v>-2</v>
      </c>
      <c r="L58" s="41">
        <f t="shared" si="23"/>
        <v>-7</v>
      </c>
      <c r="M58" s="41">
        <f t="shared" si="23"/>
        <v>-7</v>
      </c>
      <c r="N58" s="41">
        <f t="shared" si="23"/>
        <v>-8</v>
      </c>
      <c r="O58" s="41">
        <f t="shared" si="23"/>
        <v>-9</v>
      </c>
      <c r="P58" s="41">
        <f t="shared" si="23"/>
        <v>-10</v>
      </c>
      <c r="Q58" s="89"/>
    </row>
    <row r="59" spans="1:17" x14ac:dyDescent="0.35">
      <c r="A59" s="87"/>
      <c r="B59" s="8" t="s">
        <v>165</v>
      </c>
      <c r="C59" s="88"/>
      <c r="D59" s="41"/>
      <c r="E59" s="44">
        <f>ROUND($C52*E55*0.5,3)</f>
        <v>-0.153</v>
      </c>
      <c r="F59" s="44">
        <f t="shared" ref="F59:P59" si="24">ROUND($C52*F55*0.5,3)</f>
        <v>-0.186</v>
      </c>
      <c r="G59" s="44">
        <f t="shared" si="24"/>
        <v>-0.127</v>
      </c>
      <c r="H59" s="44">
        <f t="shared" si="24"/>
        <v>-0.13900000000000001</v>
      </c>
      <c r="I59" s="44">
        <f t="shared" si="24"/>
        <v>-0.28199999999999997</v>
      </c>
      <c r="J59" s="44">
        <f t="shared" si="24"/>
        <v>-0.183</v>
      </c>
      <c r="K59" s="44">
        <f t="shared" si="24"/>
        <v>-2.46</v>
      </c>
      <c r="L59" s="44">
        <f t="shared" si="24"/>
        <v>-0.159</v>
      </c>
      <c r="M59" s="44">
        <f t="shared" si="24"/>
        <v>-0.46500000000000002</v>
      </c>
      <c r="N59" s="44">
        <f t="shared" si="24"/>
        <v>-0.45500000000000002</v>
      </c>
      <c r="O59" s="44">
        <f t="shared" si="24"/>
        <v>-0.51100000000000001</v>
      </c>
      <c r="P59" s="44">
        <f t="shared" si="24"/>
        <v>-0.432</v>
      </c>
      <c r="Q59" s="89"/>
    </row>
    <row r="60" spans="1:17" x14ac:dyDescent="0.35">
      <c r="A60" s="87"/>
      <c r="B60" s="8" t="s">
        <v>265</v>
      </c>
      <c r="C60" s="88"/>
      <c r="D60" s="41">
        <v>0</v>
      </c>
      <c r="E60" s="41">
        <f t="shared" ref="E60:P60" si="25">SUM(E58:E59)</f>
        <v>-0.153</v>
      </c>
      <c r="F60" s="41">
        <f t="shared" si="25"/>
        <v>-0.186</v>
      </c>
      <c r="G60" s="41">
        <f t="shared" si="25"/>
        <v>-1.127</v>
      </c>
      <c r="H60" s="41">
        <f t="shared" si="25"/>
        <v>-1.139</v>
      </c>
      <c r="I60" s="41">
        <f t="shared" si="25"/>
        <v>-1.282</v>
      </c>
      <c r="J60" s="41">
        <f t="shared" si="25"/>
        <v>-2.1829999999999998</v>
      </c>
      <c r="K60" s="41">
        <f t="shared" si="25"/>
        <v>-4.46</v>
      </c>
      <c r="L60" s="41">
        <f t="shared" si="25"/>
        <v>-7.1589999999999998</v>
      </c>
      <c r="M60" s="41">
        <f t="shared" si="25"/>
        <v>-7.4649999999999999</v>
      </c>
      <c r="N60" s="41">
        <f t="shared" si="25"/>
        <v>-8.4550000000000001</v>
      </c>
      <c r="O60" s="41">
        <f t="shared" si="25"/>
        <v>-9.5109999999999992</v>
      </c>
      <c r="P60" s="41">
        <f t="shared" si="25"/>
        <v>-10.432</v>
      </c>
      <c r="Q60" s="89">
        <f>SUM(D60:P60)</f>
        <v>-53.552000000000007</v>
      </c>
    </row>
    <row r="61" spans="1:17" x14ac:dyDescent="0.35">
      <c r="A61" s="87"/>
      <c r="Q61" s="96"/>
    </row>
    <row r="62" spans="1:17" x14ac:dyDescent="0.35">
      <c r="A62" s="82"/>
      <c r="B62" s="97" t="s">
        <v>168</v>
      </c>
      <c r="C62" s="97"/>
      <c r="D62" s="97"/>
      <c r="E62" s="46">
        <f>+E20+E30+E40+E50+E60</f>
        <v>999.59199999999998</v>
      </c>
      <c r="F62" s="46">
        <f t="shared" ref="F62:P62" si="26">+F20+F30+F40+F50+F60</f>
        <v>4125.7309999999998</v>
      </c>
      <c r="G62" s="46">
        <f t="shared" si="26"/>
        <v>10575.106</v>
      </c>
      <c r="H62" s="46">
        <f t="shared" si="26"/>
        <v>16949.044000000002</v>
      </c>
      <c r="I62" s="46">
        <f t="shared" si="26"/>
        <v>22759.519</v>
      </c>
      <c r="J62" s="46">
        <f t="shared" si="26"/>
        <v>30485.413999999997</v>
      </c>
      <c r="K62" s="46">
        <f t="shared" si="26"/>
        <v>37801.226000000002</v>
      </c>
      <c r="L62" s="46">
        <f t="shared" si="26"/>
        <v>43874.496000000006</v>
      </c>
      <c r="M62" s="46">
        <f t="shared" si="26"/>
        <v>51332.51</v>
      </c>
      <c r="N62" s="46">
        <f t="shared" si="26"/>
        <v>59238.301000000007</v>
      </c>
      <c r="O62" s="46">
        <f t="shared" si="26"/>
        <v>65925.368000000002</v>
      </c>
      <c r="P62" s="46">
        <f t="shared" si="26"/>
        <v>73324.811000000002</v>
      </c>
      <c r="Q62" s="86">
        <f>SUM(E62:P62)</f>
        <v>417391.11800000002</v>
      </c>
    </row>
    <row r="63" spans="1:17" x14ac:dyDescent="0.35">
      <c r="A63" s="87"/>
      <c r="B63" s="8" t="s">
        <v>169</v>
      </c>
      <c r="D63" s="15">
        <v>0</v>
      </c>
      <c r="E63" s="43">
        <f t="shared" ref="E63:P63" si="27">+E62+D63</f>
        <v>999.59199999999998</v>
      </c>
      <c r="F63" s="43">
        <f t="shared" si="27"/>
        <v>5125.3229999999994</v>
      </c>
      <c r="G63" s="43">
        <f t="shared" si="27"/>
        <v>15700.429</v>
      </c>
      <c r="H63" s="43">
        <f t="shared" si="27"/>
        <v>32649.473000000002</v>
      </c>
      <c r="I63" s="43">
        <f t="shared" si="27"/>
        <v>55408.991999999998</v>
      </c>
      <c r="J63" s="43">
        <f t="shared" si="27"/>
        <v>85894.405999999988</v>
      </c>
      <c r="K63" s="43">
        <f t="shared" si="27"/>
        <v>123695.63199999998</v>
      </c>
      <c r="L63" s="43">
        <f t="shared" si="27"/>
        <v>167570.128</v>
      </c>
      <c r="M63" s="43">
        <f t="shared" si="27"/>
        <v>218902.63800000001</v>
      </c>
      <c r="N63" s="43">
        <f t="shared" si="27"/>
        <v>278140.93900000001</v>
      </c>
      <c r="O63" s="43">
        <f t="shared" si="27"/>
        <v>344066.30700000003</v>
      </c>
      <c r="P63" s="43">
        <f t="shared" si="27"/>
        <v>417391.11800000002</v>
      </c>
      <c r="Q63" s="96"/>
    </row>
    <row r="64" spans="1:17" x14ac:dyDescent="0.35">
      <c r="A64" s="90"/>
      <c r="B64" s="91"/>
      <c r="C64" s="91"/>
      <c r="D64" s="91"/>
      <c r="E64" s="91"/>
      <c r="F64" s="91"/>
      <c r="G64" s="91"/>
      <c r="H64" s="91"/>
      <c r="I64" s="91"/>
      <c r="J64" s="91"/>
      <c r="K64" s="91"/>
      <c r="L64" s="91"/>
      <c r="M64" s="91"/>
      <c r="N64" s="91"/>
      <c r="O64" s="91"/>
      <c r="P64" s="91"/>
      <c r="Q64" s="95"/>
    </row>
    <row r="85" spans="1:17" x14ac:dyDescent="0.35">
      <c r="Q85" s="9" t="str">
        <f>Q1</f>
        <v>Case No. 2026-00306</v>
      </c>
    </row>
    <row r="86" spans="1:17" x14ac:dyDescent="0.35">
      <c r="Q86" s="9" t="s">
        <v>203</v>
      </c>
    </row>
    <row r="87" spans="1:17" x14ac:dyDescent="0.35">
      <c r="Q87" s="9" t="s">
        <v>294</v>
      </c>
    </row>
    <row r="88" spans="1:17" x14ac:dyDescent="0.35">
      <c r="A88" s="144" t="s">
        <v>12</v>
      </c>
      <c r="B88" s="144"/>
      <c r="C88" s="144"/>
      <c r="D88" s="144"/>
      <c r="E88" s="144"/>
      <c r="F88" s="144"/>
      <c r="G88" s="144"/>
      <c r="H88" s="144"/>
      <c r="I88" s="144"/>
      <c r="J88" s="144"/>
      <c r="K88" s="144"/>
      <c r="L88" s="144"/>
      <c r="M88" s="144"/>
      <c r="N88" s="144"/>
      <c r="O88" s="144"/>
      <c r="P88" s="144"/>
      <c r="Q88" s="144"/>
    </row>
    <row r="89" spans="1:17" x14ac:dyDescent="0.35">
      <c r="A89" s="144" t="s">
        <v>109</v>
      </c>
      <c r="B89" s="144"/>
      <c r="C89" s="144"/>
      <c r="D89" s="144"/>
      <c r="E89" s="144"/>
      <c r="F89" s="144"/>
      <c r="G89" s="144"/>
      <c r="H89" s="144"/>
      <c r="I89" s="144"/>
      <c r="J89" s="144"/>
      <c r="K89" s="144"/>
      <c r="L89" s="144"/>
      <c r="M89" s="144"/>
      <c r="N89" s="144"/>
      <c r="O89" s="144"/>
      <c r="P89" s="144"/>
      <c r="Q89" s="144"/>
    </row>
    <row r="90" spans="1:17" x14ac:dyDescent="0.35">
      <c r="A90" s="144" t="s">
        <v>252</v>
      </c>
      <c r="B90" s="144"/>
      <c r="C90" s="144"/>
      <c r="D90" s="144"/>
      <c r="E90" s="144"/>
      <c r="F90" s="144"/>
      <c r="G90" s="144"/>
      <c r="H90" s="144"/>
      <c r="I90" s="144"/>
      <c r="J90" s="144"/>
      <c r="K90" s="144"/>
      <c r="L90" s="144"/>
      <c r="M90" s="144"/>
      <c r="N90" s="144"/>
      <c r="O90" s="144"/>
      <c r="P90" s="144"/>
      <c r="Q90" s="144"/>
    </row>
    <row r="92" spans="1:17" x14ac:dyDescent="0.35">
      <c r="C92" s="11" t="s">
        <v>60</v>
      </c>
      <c r="D92" s="10">
        <v>2023</v>
      </c>
      <c r="E92" s="10">
        <f>+D92+1</f>
        <v>2024</v>
      </c>
      <c r="F92" s="10">
        <f>+E92</f>
        <v>2024</v>
      </c>
      <c r="G92" s="10">
        <f t="shared" ref="G92:Q92" si="28">+F92</f>
        <v>2024</v>
      </c>
      <c r="H92" s="10">
        <f t="shared" si="28"/>
        <v>2024</v>
      </c>
      <c r="I92" s="10">
        <f t="shared" si="28"/>
        <v>2024</v>
      </c>
      <c r="J92" s="10">
        <f t="shared" si="28"/>
        <v>2024</v>
      </c>
      <c r="K92" s="10">
        <f t="shared" si="28"/>
        <v>2024</v>
      </c>
      <c r="L92" s="10">
        <f t="shared" si="28"/>
        <v>2024</v>
      </c>
      <c r="M92" s="10">
        <f t="shared" si="28"/>
        <v>2024</v>
      </c>
      <c r="N92" s="10">
        <f t="shared" si="28"/>
        <v>2024</v>
      </c>
      <c r="O92" s="10">
        <f t="shared" si="28"/>
        <v>2024</v>
      </c>
      <c r="P92" s="10">
        <f t="shared" si="28"/>
        <v>2024</v>
      </c>
      <c r="Q92" s="10">
        <f t="shared" si="28"/>
        <v>2024</v>
      </c>
    </row>
    <row r="93" spans="1:17" x14ac:dyDescent="0.35">
      <c r="C93" s="11" t="s">
        <v>23</v>
      </c>
      <c r="D93" s="10" t="s">
        <v>140</v>
      </c>
      <c r="E93" s="10" t="s">
        <v>141</v>
      </c>
      <c r="F93" s="10" t="s">
        <v>142</v>
      </c>
      <c r="G93" s="10" t="s">
        <v>143</v>
      </c>
      <c r="H93" s="10" t="s">
        <v>144</v>
      </c>
      <c r="I93" s="10" t="s">
        <v>81</v>
      </c>
      <c r="J93" s="10" t="s">
        <v>145</v>
      </c>
      <c r="K93" s="10" t="s">
        <v>146</v>
      </c>
      <c r="L93" s="10" t="s">
        <v>147</v>
      </c>
      <c r="M93" s="10" t="s">
        <v>148</v>
      </c>
      <c r="N93" s="10" t="s">
        <v>149</v>
      </c>
      <c r="O93" s="10" t="s">
        <v>150</v>
      </c>
      <c r="P93" s="10" t="s">
        <v>140</v>
      </c>
      <c r="Q93" s="10" t="s">
        <v>92</v>
      </c>
    </row>
    <row r="94" spans="1:17" x14ac:dyDescent="0.35">
      <c r="C94" s="11" t="s">
        <v>162</v>
      </c>
      <c r="D94" s="10" t="s">
        <v>92</v>
      </c>
      <c r="E94" s="10" t="s">
        <v>257</v>
      </c>
      <c r="F94" s="10" t="s">
        <v>257</v>
      </c>
      <c r="G94" s="10" t="s">
        <v>257</v>
      </c>
      <c r="H94" s="10" t="s">
        <v>257</v>
      </c>
      <c r="I94" s="10" t="s">
        <v>257</v>
      </c>
      <c r="J94" s="10" t="s">
        <v>257</v>
      </c>
      <c r="K94" s="10" t="s">
        <v>257</v>
      </c>
      <c r="L94" s="10" t="s">
        <v>257</v>
      </c>
      <c r="M94" s="10" t="s">
        <v>257</v>
      </c>
      <c r="N94" s="10" t="s">
        <v>257</v>
      </c>
      <c r="O94" s="10" t="s">
        <v>257</v>
      </c>
      <c r="P94" s="10" t="s">
        <v>257</v>
      </c>
      <c r="Q94" s="10" t="s">
        <v>9</v>
      </c>
    </row>
    <row r="95" spans="1:17" x14ac:dyDescent="0.35">
      <c r="B95" s="79"/>
      <c r="C95" s="79"/>
    </row>
    <row r="96" spans="1:17" x14ac:dyDescent="0.35">
      <c r="A96" s="82"/>
      <c r="B96" s="83" t="s">
        <v>133</v>
      </c>
      <c r="C96" s="84">
        <f>1.74%/12</f>
        <v>1.4499999999999999E-3</v>
      </c>
      <c r="D96" s="46"/>
      <c r="E96" s="85"/>
      <c r="F96" s="85"/>
      <c r="G96" s="85"/>
      <c r="H96" s="85"/>
      <c r="I96" s="85"/>
      <c r="J96" s="85"/>
      <c r="K96" s="85"/>
      <c r="L96" s="85"/>
      <c r="M96" s="85"/>
      <c r="N96" s="85"/>
      <c r="O96" s="85"/>
      <c r="P96" s="85"/>
      <c r="Q96" s="86"/>
    </row>
    <row r="97" spans="1:17" x14ac:dyDescent="0.35">
      <c r="A97" s="87"/>
      <c r="B97" s="8" t="s">
        <v>166</v>
      </c>
      <c r="C97" s="88"/>
      <c r="D97" s="41">
        <v>0</v>
      </c>
      <c r="E97" s="41">
        <f>'3.0 Plant in Service'!D85</f>
        <v>493561.91</v>
      </c>
      <c r="F97" s="41">
        <f>'3.0 Plant in Service'!E85</f>
        <v>631073.57999999996</v>
      </c>
      <c r="G97" s="41">
        <f>'3.0 Plant in Service'!F85</f>
        <v>2871922.78</v>
      </c>
      <c r="H97" s="41">
        <f>'3.0 Plant in Service'!G85</f>
        <v>972819.89</v>
      </c>
      <c r="I97" s="41">
        <f>'3.0 Plant in Service'!H85</f>
        <v>971911.57000000007</v>
      </c>
      <c r="J97" s="41">
        <f>'3.0 Plant in Service'!I85</f>
        <v>1075612.8800000001</v>
      </c>
      <c r="K97" s="41">
        <f>'3.0 Plant in Service'!J85</f>
        <v>1648380.52</v>
      </c>
      <c r="L97" s="41">
        <f>'3.0 Plant in Service'!K85</f>
        <v>898881.67</v>
      </c>
      <c r="M97" s="41">
        <f>'3.0 Plant in Service'!L85</f>
        <v>698598.6</v>
      </c>
      <c r="N97" s="41">
        <f>'3.0 Plant in Service'!M85</f>
        <v>4733534.53</v>
      </c>
      <c r="O97" s="41">
        <f>'3.0 Plant in Service'!N85</f>
        <v>5812471.8399999999</v>
      </c>
      <c r="P97" s="41">
        <f>'3.0 Plant in Service'!O85</f>
        <v>7358169.6100000003</v>
      </c>
      <c r="Q97" s="89">
        <f>SUM(D97:P97)</f>
        <v>28166939.379999999</v>
      </c>
    </row>
    <row r="98" spans="1:17" x14ac:dyDescent="0.35">
      <c r="A98" s="87"/>
      <c r="B98" s="8" t="s">
        <v>167</v>
      </c>
      <c r="C98" s="88"/>
      <c r="D98" s="41">
        <v>0</v>
      </c>
      <c r="E98" s="44">
        <f>'3.0 Plant in Service'!D94</f>
        <v>0</v>
      </c>
      <c r="F98" s="44">
        <f>'3.0 Plant in Service'!E94</f>
        <v>0</v>
      </c>
      <c r="G98" s="44">
        <f>'3.0 Plant in Service'!F94</f>
        <v>-34095.33</v>
      </c>
      <c r="H98" s="44">
        <f>'3.0 Plant in Service'!G94</f>
        <v>-2475.7399999999998</v>
      </c>
      <c r="I98" s="44">
        <f>'3.0 Plant in Service'!H94</f>
        <v>0</v>
      </c>
      <c r="J98" s="44">
        <f>'3.0 Plant in Service'!I94</f>
        <v>-12190.76</v>
      </c>
      <c r="K98" s="44">
        <f>'3.0 Plant in Service'!J94</f>
        <v>-744119.04</v>
      </c>
      <c r="L98" s="44">
        <f>'3.0 Plant in Service'!K94</f>
        <v>-18271.8</v>
      </c>
      <c r="M98" s="44">
        <f>'3.0 Plant in Service'!L94</f>
        <v>193737.59</v>
      </c>
      <c r="N98" s="44">
        <f>'3.0 Plant in Service'!M94</f>
        <v>-137754.31</v>
      </c>
      <c r="O98" s="44">
        <f>'3.0 Plant in Service'!N94</f>
        <v>7853.39</v>
      </c>
      <c r="P98" s="44">
        <f>'3.0 Plant in Service'!O94</f>
        <v>-437354.73</v>
      </c>
      <c r="Q98" s="89"/>
    </row>
    <row r="99" spans="1:17" x14ac:dyDescent="0.35">
      <c r="A99" s="87"/>
      <c r="B99" s="8" t="s">
        <v>213</v>
      </c>
      <c r="C99" s="88"/>
      <c r="D99" s="41">
        <f>SUM(D97:D98)</f>
        <v>0</v>
      </c>
      <c r="E99" s="41">
        <f>SUM(E97:E98)</f>
        <v>493561.91</v>
      </c>
      <c r="F99" s="41">
        <f t="shared" ref="F99:P99" si="29">SUM(F97:F98)</f>
        <v>631073.57999999996</v>
      </c>
      <c r="G99" s="41">
        <f t="shared" si="29"/>
        <v>2837827.4499999997</v>
      </c>
      <c r="H99" s="41">
        <f t="shared" si="29"/>
        <v>970344.15</v>
      </c>
      <c r="I99" s="41">
        <f t="shared" si="29"/>
        <v>971911.57000000007</v>
      </c>
      <c r="J99" s="41">
        <f t="shared" si="29"/>
        <v>1063422.1200000001</v>
      </c>
      <c r="K99" s="41">
        <f t="shared" si="29"/>
        <v>904261.48</v>
      </c>
      <c r="L99" s="41">
        <f t="shared" si="29"/>
        <v>880609.87</v>
      </c>
      <c r="M99" s="41">
        <f t="shared" si="29"/>
        <v>892336.19</v>
      </c>
      <c r="N99" s="41">
        <f t="shared" si="29"/>
        <v>4595780.2200000007</v>
      </c>
      <c r="O99" s="41">
        <f t="shared" si="29"/>
        <v>5820325.2299999995</v>
      </c>
      <c r="P99" s="41">
        <f t="shared" si="29"/>
        <v>6920814.8800000008</v>
      </c>
      <c r="Q99" s="89">
        <f>SUM(D99:P99)</f>
        <v>26982268.649999999</v>
      </c>
    </row>
    <row r="100" spans="1:17" x14ac:dyDescent="0.35">
      <c r="A100" s="87"/>
      <c r="B100" s="8" t="s">
        <v>163</v>
      </c>
      <c r="C100" s="88"/>
      <c r="D100" s="132">
        <f>Q15</f>
        <v>30688444.449999999</v>
      </c>
      <c r="E100" s="41">
        <f>+E99+D100</f>
        <v>31182006.359999999</v>
      </c>
      <c r="F100" s="41">
        <f t="shared" ref="F100:P100" si="30">+F99+E100</f>
        <v>31813079.939999998</v>
      </c>
      <c r="G100" s="41">
        <f t="shared" si="30"/>
        <v>34650907.390000001</v>
      </c>
      <c r="H100" s="41">
        <f t="shared" si="30"/>
        <v>35621251.539999999</v>
      </c>
      <c r="I100" s="41">
        <f t="shared" si="30"/>
        <v>36593163.109999999</v>
      </c>
      <c r="J100" s="41">
        <f t="shared" si="30"/>
        <v>37656585.229999997</v>
      </c>
      <c r="K100" s="41">
        <f t="shared" si="30"/>
        <v>38560846.709999993</v>
      </c>
      <c r="L100" s="41">
        <f t="shared" si="30"/>
        <v>39441456.579999991</v>
      </c>
      <c r="M100" s="41">
        <f t="shared" si="30"/>
        <v>40333792.769999988</v>
      </c>
      <c r="N100" s="41">
        <f t="shared" si="30"/>
        <v>44929572.989999987</v>
      </c>
      <c r="O100" s="41">
        <f t="shared" si="30"/>
        <v>50749898.219999984</v>
      </c>
      <c r="P100" s="41">
        <f t="shared" si="30"/>
        <v>57670713.099999987</v>
      </c>
      <c r="Q100" s="89"/>
    </row>
    <row r="101" spans="1:17" x14ac:dyDescent="0.35">
      <c r="A101" s="87"/>
      <c r="C101" s="88"/>
      <c r="D101" s="41"/>
      <c r="E101" s="41"/>
      <c r="F101" s="41"/>
      <c r="G101" s="41"/>
      <c r="H101" s="41"/>
      <c r="I101" s="41"/>
      <c r="J101" s="41"/>
      <c r="K101" s="41"/>
      <c r="L101" s="41"/>
      <c r="M101" s="41"/>
      <c r="N101" s="41"/>
      <c r="O101" s="41"/>
      <c r="P101" s="41"/>
      <c r="Q101" s="89"/>
    </row>
    <row r="102" spans="1:17" x14ac:dyDescent="0.35">
      <c r="A102" s="87"/>
      <c r="B102" s="8" t="s">
        <v>164</v>
      </c>
      <c r="C102" s="88"/>
      <c r="D102" s="41"/>
      <c r="E102" s="41">
        <f>ROUND($C96*D100,0)</f>
        <v>44498</v>
      </c>
      <c r="F102" s="41">
        <f t="shared" ref="F102:P102" si="31">ROUND($C96*E100,0)</f>
        <v>45214</v>
      </c>
      <c r="G102" s="41">
        <f t="shared" si="31"/>
        <v>46129</v>
      </c>
      <c r="H102" s="41">
        <f t="shared" si="31"/>
        <v>50244</v>
      </c>
      <c r="I102" s="41">
        <f t="shared" si="31"/>
        <v>51651</v>
      </c>
      <c r="J102" s="41">
        <f t="shared" si="31"/>
        <v>53060</v>
      </c>
      <c r="K102" s="41">
        <f t="shared" si="31"/>
        <v>54602</v>
      </c>
      <c r="L102" s="41">
        <f t="shared" si="31"/>
        <v>55913</v>
      </c>
      <c r="M102" s="41">
        <f t="shared" si="31"/>
        <v>57190</v>
      </c>
      <c r="N102" s="41">
        <f t="shared" si="31"/>
        <v>58484</v>
      </c>
      <c r="O102" s="41">
        <f t="shared" si="31"/>
        <v>65148</v>
      </c>
      <c r="P102" s="41">
        <f t="shared" si="31"/>
        <v>73587</v>
      </c>
      <c r="Q102" s="89"/>
    </row>
    <row r="103" spans="1:17" x14ac:dyDescent="0.35">
      <c r="A103" s="87"/>
      <c r="B103" s="8" t="s">
        <v>165</v>
      </c>
      <c r="C103" s="88"/>
      <c r="D103" s="41"/>
      <c r="E103" s="44">
        <f>ROUND($C96*E99*0.5,3)</f>
        <v>357.83199999999999</v>
      </c>
      <c r="F103" s="44">
        <f t="shared" ref="F103:P103" si="32">ROUND($C96*F99*0.5,3)</f>
        <v>457.52800000000002</v>
      </c>
      <c r="G103" s="44">
        <f t="shared" si="32"/>
        <v>2057.4250000000002</v>
      </c>
      <c r="H103" s="44">
        <f t="shared" si="32"/>
        <v>703.5</v>
      </c>
      <c r="I103" s="44">
        <f t="shared" si="32"/>
        <v>704.63599999999997</v>
      </c>
      <c r="J103" s="44">
        <f t="shared" si="32"/>
        <v>770.98099999999999</v>
      </c>
      <c r="K103" s="44">
        <f t="shared" si="32"/>
        <v>655.59</v>
      </c>
      <c r="L103" s="44">
        <f t="shared" si="32"/>
        <v>638.44200000000001</v>
      </c>
      <c r="M103" s="44">
        <f t="shared" si="32"/>
        <v>646.94399999999996</v>
      </c>
      <c r="N103" s="44">
        <f t="shared" si="32"/>
        <v>3331.9409999999998</v>
      </c>
      <c r="O103" s="44">
        <f t="shared" si="32"/>
        <v>4219.7359999999999</v>
      </c>
      <c r="P103" s="44">
        <f t="shared" si="32"/>
        <v>5017.5910000000003</v>
      </c>
      <c r="Q103" s="89"/>
    </row>
    <row r="104" spans="1:17" x14ac:dyDescent="0.35">
      <c r="A104" s="87"/>
      <c r="B104" s="8" t="s">
        <v>261</v>
      </c>
      <c r="C104" s="88"/>
      <c r="D104" s="41">
        <v>0</v>
      </c>
      <c r="E104" s="41">
        <f>SUM(E102:E103)</f>
        <v>44855.832000000002</v>
      </c>
      <c r="F104" s="41">
        <f t="shared" ref="F104:P104" si="33">SUM(F102:F103)</f>
        <v>45671.527999999998</v>
      </c>
      <c r="G104" s="41">
        <f t="shared" si="33"/>
        <v>48186.425000000003</v>
      </c>
      <c r="H104" s="41">
        <f t="shared" si="33"/>
        <v>50947.5</v>
      </c>
      <c r="I104" s="41">
        <f t="shared" si="33"/>
        <v>52355.635999999999</v>
      </c>
      <c r="J104" s="41">
        <f t="shared" si="33"/>
        <v>53830.981</v>
      </c>
      <c r="K104" s="41">
        <f t="shared" si="33"/>
        <v>55257.59</v>
      </c>
      <c r="L104" s="41">
        <f t="shared" si="33"/>
        <v>56551.442000000003</v>
      </c>
      <c r="M104" s="41">
        <f t="shared" si="33"/>
        <v>57836.944000000003</v>
      </c>
      <c r="N104" s="41">
        <f t="shared" si="33"/>
        <v>61815.940999999999</v>
      </c>
      <c r="O104" s="41">
        <f t="shared" si="33"/>
        <v>69367.736000000004</v>
      </c>
      <c r="P104" s="41">
        <f t="shared" si="33"/>
        <v>78604.591</v>
      </c>
      <c r="Q104" s="89">
        <f>SUM(D104:P104)</f>
        <v>675282.14600000007</v>
      </c>
    </row>
    <row r="105" spans="1:17" x14ac:dyDescent="0.35">
      <c r="A105" s="90"/>
      <c r="B105" s="91"/>
      <c r="C105" s="92"/>
      <c r="D105" s="44"/>
      <c r="E105" s="44"/>
      <c r="F105" s="44"/>
      <c r="G105" s="44"/>
      <c r="H105" s="44"/>
      <c r="I105" s="44"/>
      <c r="J105" s="44"/>
      <c r="K105" s="44"/>
      <c r="L105" s="44"/>
      <c r="M105" s="44"/>
      <c r="N105" s="44"/>
      <c r="O105" s="44"/>
      <c r="P105" s="44"/>
      <c r="Q105" s="93"/>
    </row>
    <row r="106" spans="1:17" x14ac:dyDescent="0.35">
      <c r="A106" s="82"/>
      <c r="B106" s="83" t="s">
        <v>134</v>
      </c>
      <c r="C106" s="84">
        <f>2.52%/12</f>
        <v>2.0999999999999999E-3</v>
      </c>
      <c r="D106" s="46"/>
      <c r="E106" s="46"/>
      <c r="F106" s="46"/>
      <c r="G106" s="46"/>
      <c r="H106" s="46"/>
      <c r="I106" s="46"/>
      <c r="J106" s="46"/>
      <c r="K106" s="46"/>
      <c r="L106" s="46"/>
      <c r="M106" s="46"/>
      <c r="N106" s="46"/>
      <c r="O106" s="46"/>
      <c r="P106" s="46"/>
      <c r="Q106" s="86"/>
    </row>
    <row r="107" spans="1:17" x14ac:dyDescent="0.35">
      <c r="A107" s="87"/>
      <c r="B107" s="8" t="s">
        <v>166</v>
      </c>
      <c r="C107" s="88"/>
      <c r="D107" s="41">
        <v>0</v>
      </c>
      <c r="E107" s="41">
        <f>'3.0 Plant in Service'!D86</f>
        <v>0</v>
      </c>
      <c r="F107" s="41">
        <f>'3.0 Plant in Service'!E86</f>
        <v>0</v>
      </c>
      <c r="G107" s="41">
        <f>'3.0 Plant in Service'!F86</f>
        <v>0</v>
      </c>
      <c r="H107" s="41">
        <f>'3.0 Plant in Service'!G86</f>
        <v>0</v>
      </c>
      <c r="I107" s="41">
        <f>'3.0 Plant in Service'!H86</f>
        <v>0</v>
      </c>
      <c r="J107" s="41">
        <f>'3.0 Plant in Service'!I86</f>
        <v>0</v>
      </c>
      <c r="K107" s="41">
        <f>'3.0 Plant in Service'!J86</f>
        <v>0</v>
      </c>
      <c r="L107" s="41">
        <f>'3.0 Plant in Service'!K86</f>
        <v>0</v>
      </c>
      <c r="M107" s="41">
        <f>'3.0 Plant in Service'!L86</f>
        <v>0</v>
      </c>
      <c r="N107" s="41">
        <f>'3.0 Plant in Service'!M86</f>
        <v>0</v>
      </c>
      <c r="O107" s="41">
        <f>'3.0 Plant in Service'!N86</f>
        <v>0</v>
      </c>
      <c r="P107" s="41">
        <f>'3.0 Plant in Service'!O86</f>
        <v>0</v>
      </c>
      <c r="Q107" s="89">
        <f>SUM(D107:P107)</f>
        <v>0</v>
      </c>
    </row>
    <row r="108" spans="1:17" x14ac:dyDescent="0.35">
      <c r="A108" s="87"/>
      <c r="B108" s="8" t="s">
        <v>167</v>
      </c>
      <c r="C108" s="88"/>
      <c r="D108" s="41">
        <v>0</v>
      </c>
      <c r="E108" s="44">
        <f>'3.0 Plant in Service'!D95</f>
        <v>0</v>
      </c>
      <c r="F108" s="44">
        <f>'3.0 Plant in Service'!E95</f>
        <v>0</v>
      </c>
      <c r="G108" s="44">
        <f>'3.0 Plant in Service'!F95</f>
        <v>-8225.5300000000007</v>
      </c>
      <c r="H108" s="44">
        <f>'3.0 Plant in Service'!G95</f>
        <v>0</v>
      </c>
      <c r="I108" s="44">
        <f>'3.0 Plant in Service'!H95</f>
        <v>-53875.33</v>
      </c>
      <c r="J108" s="44">
        <f>'3.0 Plant in Service'!I95</f>
        <v>-1229.8599999999999</v>
      </c>
      <c r="K108" s="44">
        <f>'3.0 Plant in Service'!J95</f>
        <v>0</v>
      </c>
      <c r="L108" s="44">
        <f>'3.0 Plant in Service'!K95</f>
        <v>0</v>
      </c>
      <c r="M108" s="44">
        <f>'3.0 Plant in Service'!L95</f>
        <v>0</v>
      </c>
      <c r="N108" s="44">
        <f>'3.0 Plant in Service'!M95</f>
        <v>0</v>
      </c>
      <c r="O108" s="44">
        <f>'3.0 Plant in Service'!N95</f>
        <v>-129.32</v>
      </c>
      <c r="P108" s="44">
        <f>'3.0 Plant in Service'!O95</f>
        <v>-309.87</v>
      </c>
      <c r="Q108" s="89"/>
    </row>
    <row r="109" spans="1:17" x14ac:dyDescent="0.35">
      <c r="A109" s="87"/>
      <c r="B109" s="8" t="s">
        <v>213</v>
      </c>
      <c r="C109" s="88"/>
      <c r="D109" s="41">
        <f t="shared" ref="D109:P109" si="34">SUM(D107:D108)</f>
        <v>0</v>
      </c>
      <c r="E109" s="41">
        <f t="shared" si="34"/>
        <v>0</v>
      </c>
      <c r="F109" s="41">
        <f t="shared" si="34"/>
        <v>0</v>
      </c>
      <c r="G109" s="41">
        <f t="shared" si="34"/>
        <v>-8225.5300000000007</v>
      </c>
      <c r="H109" s="41">
        <f t="shared" si="34"/>
        <v>0</v>
      </c>
      <c r="I109" s="41">
        <f t="shared" si="34"/>
        <v>-53875.33</v>
      </c>
      <c r="J109" s="41">
        <f t="shared" si="34"/>
        <v>-1229.8599999999999</v>
      </c>
      <c r="K109" s="41">
        <f t="shared" si="34"/>
        <v>0</v>
      </c>
      <c r="L109" s="41">
        <f t="shared" si="34"/>
        <v>0</v>
      </c>
      <c r="M109" s="41">
        <f t="shared" si="34"/>
        <v>0</v>
      </c>
      <c r="N109" s="41">
        <f t="shared" si="34"/>
        <v>0</v>
      </c>
      <c r="O109" s="41">
        <f t="shared" si="34"/>
        <v>-129.32</v>
      </c>
      <c r="P109" s="41">
        <f t="shared" si="34"/>
        <v>-309.87</v>
      </c>
      <c r="Q109" s="89">
        <f>SUM(D109:P109)</f>
        <v>-63769.91</v>
      </c>
    </row>
    <row r="110" spans="1:17" x14ac:dyDescent="0.35">
      <c r="A110" s="87"/>
      <c r="B110" s="8" t="s">
        <v>163</v>
      </c>
      <c r="C110" s="88"/>
      <c r="D110" s="41">
        <f>Q25</f>
        <v>-390412.01000000007</v>
      </c>
      <c r="E110" s="41">
        <f t="shared" ref="E110:P110" si="35">+E109+D110</f>
        <v>-390412.01000000007</v>
      </c>
      <c r="F110" s="41">
        <f t="shared" si="35"/>
        <v>-390412.01000000007</v>
      </c>
      <c r="G110" s="41">
        <f t="shared" si="35"/>
        <v>-398637.5400000001</v>
      </c>
      <c r="H110" s="41">
        <f t="shared" si="35"/>
        <v>-398637.5400000001</v>
      </c>
      <c r="I110" s="41">
        <f t="shared" si="35"/>
        <v>-452512.87000000011</v>
      </c>
      <c r="J110" s="41">
        <f t="shared" si="35"/>
        <v>-453742.7300000001</v>
      </c>
      <c r="K110" s="41">
        <f t="shared" si="35"/>
        <v>-453742.7300000001</v>
      </c>
      <c r="L110" s="41">
        <f t="shared" si="35"/>
        <v>-453742.7300000001</v>
      </c>
      <c r="M110" s="41">
        <f t="shared" si="35"/>
        <v>-453742.7300000001</v>
      </c>
      <c r="N110" s="41">
        <f t="shared" si="35"/>
        <v>-453742.7300000001</v>
      </c>
      <c r="O110" s="41">
        <f t="shared" si="35"/>
        <v>-453872.0500000001</v>
      </c>
      <c r="P110" s="41">
        <f t="shared" si="35"/>
        <v>-454181.9200000001</v>
      </c>
      <c r="Q110" s="89"/>
    </row>
    <row r="111" spans="1:17" x14ac:dyDescent="0.35">
      <c r="A111" s="87"/>
      <c r="C111" s="88"/>
      <c r="D111" s="41"/>
      <c r="E111" s="41"/>
      <c r="F111" s="41"/>
      <c r="G111" s="41"/>
      <c r="H111" s="41"/>
      <c r="I111" s="41"/>
      <c r="J111" s="41"/>
      <c r="K111" s="41"/>
      <c r="L111" s="41"/>
      <c r="M111" s="41"/>
      <c r="N111" s="41"/>
      <c r="O111" s="41"/>
      <c r="P111" s="41"/>
      <c r="Q111" s="89"/>
    </row>
    <row r="112" spans="1:17" x14ac:dyDescent="0.35">
      <c r="A112" s="87"/>
      <c r="B112" s="8" t="s">
        <v>164</v>
      </c>
      <c r="C112" s="88"/>
      <c r="D112" s="41"/>
      <c r="E112" s="41">
        <f>ROUND($C106*D110,0)</f>
        <v>-820</v>
      </c>
      <c r="F112" s="41">
        <f t="shared" ref="F112:P112" si="36">ROUND($C106*E110,0)</f>
        <v>-820</v>
      </c>
      <c r="G112" s="41">
        <f t="shared" si="36"/>
        <v>-820</v>
      </c>
      <c r="H112" s="41">
        <f t="shared" si="36"/>
        <v>-837</v>
      </c>
      <c r="I112" s="41">
        <f t="shared" si="36"/>
        <v>-837</v>
      </c>
      <c r="J112" s="41">
        <f t="shared" si="36"/>
        <v>-950</v>
      </c>
      <c r="K112" s="41">
        <f t="shared" si="36"/>
        <v>-953</v>
      </c>
      <c r="L112" s="41">
        <f t="shared" si="36"/>
        <v>-953</v>
      </c>
      <c r="M112" s="41">
        <f t="shared" si="36"/>
        <v>-953</v>
      </c>
      <c r="N112" s="41">
        <f t="shared" si="36"/>
        <v>-953</v>
      </c>
      <c r="O112" s="41">
        <f t="shared" si="36"/>
        <v>-953</v>
      </c>
      <c r="P112" s="41">
        <f t="shared" si="36"/>
        <v>-953</v>
      </c>
      <c r="Q112" s="89"/>
    </row>
    <row r="113" spans="1:17" x14ac:dyDescent="0.35">
      <c r="A113" s="87"/>
      <c r="B113" s="8" t="s">
        <v>165</v>
      </c>
      <c r="C113" s="88"/>
      <c r="D113" s="41"/>
      <c r="E113" s="44">
        <f>ROUND($C106*E109*0.5,3)</f>
        <v>0</v>
      </c>
      <c r="F113" s="44">
        <f t="shared" ref="F113:P113" si="37">ROUND($C106*F109*0.5,3)</f>
        <v>0</v>
      </c>
      <c r="G113" s="44">
        <f t="shared" si="37"/>
        <v>-8.6370000000000005</v>
      </c>
      <c r="H113" s="44">
        <f t="shared" si="37"/>
        <v>0</v>
      </c>
      <c r="I113" s="44">
        <f t="shared" si="37"/>
        <v>-56.569000000000003</v>
      </c>
      <c r="J113" s="44">
        <f t="shared" si="37"/>
        <v>-1.2909999999999999</v>
      </c>
      <c r="K113" s="44">
        <f t="shared" si="37"/>
        <v>0</v>
      </c>
      <c r="L113" s="44">
        <f t="shared" si="37"/>
        <v>0</v>
      </c>
      <c r="M113" s="44">
        <f t="shared" si="37"/>
        <v>0</v>
      </c>
      <c r="N113" s="44">
        <f t="shared" si="37"/>
        <v>0</v>
      </c>
      <c r="O113" s="44">
        <f t="shared" si="37"/>
        <v>-0.13600000000000001</v>
      </c>
      <c r="P113" s="44">
        <f t="shared" si="37"/>
        <v>-0.32500000000000001</v>
      </c>
      <c r="Q113" s="89"/>
    </row>
    <row r="114" spans="1:17" x14ac:dyDescent="0.35">
      <c r="A114" s="87"/>
      <c r="B114" s="8" t="s">
        <v>262</v>
      </c>
      <c r="C114" s="88"/>
      <c r="D114" s="41">
        <v>0</v>
      </c>
      <c r="E114" s="41">
        <f t="shared" ref="E114:P114" si="38">SUM(E112:E113)</f>
        <v>-820</v>
      </c>
      <c r="F114" s="41">
        <f t="shared" si="38"/>
        <v>-820</v>
      </c>
      <c r="G114" s="41">
        <f t="shared" si="38"/>
        <v>-828.63699999999994</v>
      </c>
      <c r="H114" s="41">
        <f t="shared" si="38"/>
        <v>-837</v>
      </c>
      <c r="I114" s="41">
        <f t="shared" si="38"/>
        <v>-893.56899999999996</v>
      </c>
      <c r="J114" s="41">
        <f t="shared" si="38"/>
        <v>-951.29100000000005</v>
      </c>
      <c r="K114" s="41">
        <f t="shared" si="38"/>
        <v>-953</v>
      </c>
      <c r="L114" s="41">
        <f t="shared" si="38"/>
        <v>-953</v>
      </c>
      <c r="M114" s="41">
        <f t="shared" si="38"/>
        <v>-953</v>
      </c>
      <c r="N114" s="41">
        <f t="shared" si="38"/>
        <v>-953</v>
      </c>
      <c r="O114" s="41">
        <f t="shared" si="38"/>
        <v>-953.13599999999997</v>
      </c>
      <c r="P114" s="41">
        <f t="shared" si="38"/>
        <v>-953.32500000000005</v>
      </c>
      <c r="Q114" s="89">
        <f>SUM(D114:P114)</f>
        <v>-10868.958000000001</v>
      </c>
    </row>
    <row r="115" spans="1:17" x14ac:dyDescent="0.35">
      <c r="A115" s="90"/>
      <c r="B115" s="91"/>
      <c r="C115" s="92"/>
      <c r="D115" s="44"/>
      <c r="E115" s="94"/>
      <c r="F115" s="94"/>
      <c r="G115" s="94"/>
      <c r="H115" s="94"/>
      <c r="I115" s="94"/>
      <c r="J115" s="94"/>
      <c r="K115" s="94"/>
      <c r="L115" s="94"/>
      <c r="M115" s="94"/>
      <c r="N115" s="94"/>
      <c r="O115" s="94"/>
      <c r="P115" s="94"/>
      <c r="Q115" s="93"/>
    </row>
    <row r="116" spans="1:17" x14ac:dyDescent="0.35">
      <c r="A116" s="82"/>
      <c r="B116" s="83" t="s">
        <v>135</v>
      </c>
      <c r="C116" s="84">
        <f>3.98%/12</f>
        <v>3.316666666666667E-3</v>
      </c>
      <c r="D116" s="46"/>
      <c r="E116" s="85"/>
      <c r="F116" s="85"/>
      <c r="G116" s="85"/>
      <c r="H116" s="85"/>
      <c r="I116" s="85"/>
      <c r="J116" s="85"/>
      <c r="K116" s="85"/>
      <c r="L116" s="85"/>
      <c r="M116" s="85"/>
      <c r="N116" s="85"/>
      <c r="O116" s="85"/>
      <c r="P116" s="85"/>
      <c r="Q116" s="86"/>
    </row>
    <row r="117" spans="1:17" x14ac:dyDescent="0.35">
      <c r="A117" s="87"/>
      <c r="B117" s="8" t="s">
        <v>166</v>
      </c>
      <c r="C117" s="88"/>
      <c r="D117" s="41">
        <v>0</v>
      </c>
      <c r="E117" s="41">
        <f>'3.0 Plant in Service'!D87</f>
        <v>528444.89</v>
      </c>
      <c r="F117" s="41">
        <f>'3.0 Plant in Service'!E87</f>
        <v>965406.04</v>
      </c>
      <c r="G117" s="41">
        <f>'3.0 Plant in Service'!F87</f>
        <v>982289.47</v>
      </c>
      <c r="H117" s="41">
        <f>'3.0 Plant in Service'!G87</f>
        <v>819877.05</v>
      </c>
      <c r="I117" s="41">
        <f>'3.0 Plant in Service'!H87</f>
        <v>967829.41</v>
      </c>
      <c r="J117" s="41">
        <f>'3.0 Plant in Service'!I87</f>
        <v>1277747.6299999999</v>
      </c>
      <c r="K117" s="41">
        <f>'3.0 Plant in Service'!J87</f>
        <v>1111761.6299999999</v>
      </c>
      <c r="L117" s="41">
        <f>'3.0 Plant in Service'!K87</f>
        <v>1238839.3500000001</v>
      </c>
      <c r="M117" s="41">
        <f>'3.0 Plant in Service'!L87</f>
        <v>943335.65</v>
      </c>
      <c r="N117" s="41">
        <f>'3.0 Plant in Service'!M87</f>
        <v>1474212.48</v>
      </c>
      <c r="O117" s="41">
        <f>'3.0 Plant in Service'!N87</f>
        <v>1443719.92</v>
      </c>
      <c r="P117" s="41">
        <f>'3.0 Plant in Service'!O87</f>
        <v>1248564.56</v>
      </c>
      <c r="Q117" s="89">
        <f>SUM(D117:P117)</f>
        <v>13002028.080000002</v>
      </c>
    </row>
    <row r="118" spans="1:17" x14ac:dyDescent="0.35">
      <c r="A118" s="87"/>
      <c r="B118" s="8" t="s">
        <v>167</v>
      </c>
      <c r="C118" s="88"/>
      <c r="D118" s="41">
        <v>0</v>
      </c>
      <c r="E118" s="44">
        <f>'3.0 Plant in Service'!D96</f>
        <v>-80627.679999999993</v>
      </c>
      <c r="F118" s="44">
        <f>'3.0 Plant in Service'!E96</f>
        <v>-142561.49</v>
      </c>
      <c r="G118" s="44">
        <f>'3.0 Plant in Service'!F96</f>
        <v>-363834.12</v>
      </c>
      <c r="H118" s="44">
        <f>'3.0 Plant in Service'!G96</f>
        <v>-22542.799999999999</v>
      </c>
      <c r="I118" s="44">
        <f>'3.0 Plant in Service'!H96</f>
        <v>-122658.81</v>
      </c>
      <c r="J118" s="44">
        <f>'3.0 Plant in Service'!I96</f>
        <v>-187805.38</v>
      </c>
      <c r="K118" s="44">
        <f>'3.0 Plant in Service'!J96</f>
        <v>-294042.90000000002</v>
      </c>
      <c r="L118" s="44">
        <f>'3.0 Plant in Service'!K96</f>
        <v>-261287.98</v>
      </c>
      <c r="M118" s="44">
        <f>'3.0 Plant in Service'!L96</f>
        <v>-233683.67</v>
      </c>
      <c r="N118" s="44">
        <f>'3.0 Plant in Service'!M96</f>
        <v>-214091.11</v>
      </c>
      <c r="O118" s="44">
        <f>'3.0 Plant in Service'!N96</f>
        <v>-325921.15999999997</v>
      </c>
      <c r="P118" s="44">
        <f>'3.0 Plant in Service'!O96</f>
        <v>-258857.48</v>
      </c>
      <c r="Q118" s="89"/>
    </row>
    <row r="119" spans="1:17" x14ac:dyDescent="0.35">
      <c r="A119" s="87"/>
      <c r="B119" s="8" t="s">
        <v>213</v>
      </c>
      <c r="C119" s="88"/>
      <c r="D119" s="41">
        <f t="shared" ref="D119:P119" si="39">SUM(D117:D118)</f>
        <v>0</v>
      </c>
      <c r="E119" s="41">
        <f t="shared" si="39"/>
        <v>447817.21</v>
      </c>
      <c r="F119" s="41">
        <f t="shared" si="39"/>
        <v>822844.55</v>
      </c>
      <c r="G119" s="41">
        <f t="shared" si="39"/>
        <v>618455.35</v>
      </c>
      <c r="H119" s="41">
        <f t="shared" si="39"/>
        <v>797334.25</v>
      </c>
      <c r="I119" s="41">
        <f t="shared" si="39"/>
        <v>845170.60000000009</v>
      </c>
      <c r="J119" s="41">
        <f t="shared" si="39"/>
        <v>1089942.25</v>
      </c>
      <c r="K119" s="41">
        <f t="shared" si="39"/>
        <v>817718.72999999986</v>
      </c>
      <c r="L119" s="41">
        <f t="shared" si="39"/>
        <v>977551.37000000011</v>
      </c>
      <c r="M119" s="41">
        <f t="shared" si="39"/>
        <v>709651.98</v>
      </c>
      <c r="N119" s="41">
        <f t="shared" si="39"/>
        <v>1260121.3700000001</v>
      </c>
      <c r="O119" s="41">
        <f t="shared" si="39"/>
        <v>1117798.76</v>
      </c>
      <c r="P119" s="41">
        <f t="shared" si="39"/>
        <v>989707.08000000007</v>
      </c>
      <c r="Q119" s="89">
        <f>SUM(D119:P119)</f>
        <v>10494113.5</v>
      </c>
    </row>
    <row r="120" spans="1:17" x14ac:dyDescent="0.35">
      <c r="A120" s="87"/>
      <c r="B120" s="8" t="s">
        <v>163</v>
      </c>
      <c r="C120" s="88"/>
      <c r="D120" s="41">
        <f>Q35</f>
        <v>10095637.650570367</v>
      </c>
      <c r="E120" s="41">
        <f t="shared" ref="E120:P120" si="40">+E119+D120</f>
        <v>10543454.860570367</v>
      </c>
      <c r="F120" s="41">
        <f t="shared" si="40"/>
        <v>11366299.410570368</v>
      </c>
      <c r="G120" s="41">
        <f t="shared" si="40"/>
        <v>11984754.760570368</v>
      </c>
      <c r="H120" s="41">
        <f t="shared" si="40"/>
        <v>12782089.010570368</v>
      </c>
      <c r="I120" s="41">
        <f t="shared" si="40"/>
        <v>13627259.610570367</v>
      </c>
      <c r="J120" s="41">
        <f t="shared" si="40"/>
        <v>14717201.860570367</v>
      </c>
      <c r="K120" s="41">
        <f t="shared" si="40"/>
        <v>15534920.590570368</v>
      </c>
      <c r="L120" s="41">
        <f t="shared" si="40"/>
        <v>16512471.960570369</v>
      </c>
      <c r="M120" s="41">
        <f t="shared" si="40"/>
        <v>17222123.940570369</v>
      </c>
      <c r="N120" s="41">
        <f t="shared" si="40"/>
        <v>18482245.31057037</v>
      </c>
      <c r="O120" s="41">
        <f t="shared" si="40"/>
        <v>19600044.070570372</v>
      </c>
      <c r="P120" s="41">
        <f t="shared" si="40"/>
        <v>20589751.15057037</v>
      </c>
      <c r="Q120" s="89"/>
    </row>
    <row r="121" spans="1:17" x14ac:dyDescent="0.35">
      <c r="A121" s="87"/>
      <c r="C121" s="88"/>
      <c r="D121" s="41"/>
      <c r="E121" s="41"/>
      <c r="F121" s="41"/>
      <c r="G121" s="41"/>
      <c r="H121" s="41"/>
      <c r="I121" s="41"/>
      <c r="J121" s="41"/>
      <c r="K121" s="41"/>
      <c r="L121" s="41"/>
      <c r="M121" s="41"/>
      <c r="N121" s="41"/>
      <c r="O121" s="41"/>
      <c r="P121" s="41"/>
      <c r="Q121" s="89"/>
    </row>
    <row r="122" spans="1:17" x14ac:dyDescent="0.35">
      <c r="A122" s="87"/>
      <c r="B122" s="8" t="s">
        <v>164</v>
      </c>
      <c r="C122" s="88"/>
      <c r="D122" s="41"/>
      <c r="E122" s="41">
        <f>ROUND($C116*D120,0)</f>
        <v>33484</v>
      </c>
      <c r="F122" s="41">
        <f t="shared" ref="F122:P122" si="41">ROUND($C116*E120,0)</f>
        <v>34969</v>
      </c>
      <c r="G122" s="41">
        <f t="shared" si="41"/>
        <v>37698</v>
      </c>
      <c r="H122" s="41">
        <f t="shared" si="41"/>
        <v>39749</v>
      </c>
      <c r="I122" s="41">
        <f t="shared" si="41"/>
        <v>42394</v>
      </c>
      <c r="J122" s="41">
        <f t="shared" si="41"/>
        <v>45197</v>
      </c>
      <c r="K122" s="41">
        <f t="shared" si="41"/>
        <v>48812</v>
      </c>
      <c r="L122" s="41">
        <f t="shared" si="41"/>
        <v>51524</v>
      </c>
      <c r="M122" s="41">
        <f t="shared" si="41"/>
        <v>54766</v>
      </c>
      <c r="N122" s="41">
        <f t="shared" si="41"/>
        <v>57120</v>
      </c>
      <c r="O122" s="41">
        <f t="shared" si="41"/>
        <v>61299</v>
      </c>
      <c r="P122" s="41">
        <f t="shared" si="41"/>
        <v>65007</v>
      </c>
      <c r="Q122" s="89"/>
    </row>
    <row r="123" spans="1:17" x14ac:dyDescent="0.35">
      <c r="A123" s="87"/>
      <c r="B123" s="8" t="s">
        <v>165</v>
      </c>
      <c r="C123" s="88"/>
      <c r="D123" s="41"/>
      <c r="E123" s="44">
        <f>ROUND($C116*E119*0.5,3)</f>
        <v>742.63</v>
      </c>
      <c r="F123" s="44">
        <f t="shared" ref="F123:P123" si="42">ROUND($C116*F119*0.5,3)</f>
        <v>1364.5509999999999</v>
      </c>
      <c r="G123" s="44">
        <f t="shared" si="42"/>
        <v>1025.605</v>
      </c>
      <c r="H123" s="44">
        <f t="shared" si="42"/>
        <v>1322.2460000000001</v>
      </c>
      <c r="I123" s="44">
        <f t="shared" si="42"/>
        <v>1401.575</v>
      </c>
      <c r="J123" s="44">
        <f t="shared" si="42"/>
        <v>1807.4880000000001</v>
      </c>
      <c r="K123" s="44">
        <f t="shared" si="42"/>
        <v>1356.05</v>
      </c>
      <c r="L123" s="44">
        <f t="shared" si="42"/>
        <v>1621.106</v>
      </c>
      <c r="M123" s="44">
        <f t="shared" si="42"/>
        <v>1176.8399999999999</v>
      </c>
      <c r="N123" s="44">
        <f t="shared" si="42"/>
        <v>2089.701</v>
      </c>
      <c r="O123" s="44">
        <f t="shared" si="42"/>
        <v>1853.683</v>
      </c>
      <c r="P123" s="44">
        <f t="shared" si="42"/>
        <v>1641.2639999999999</v>
      </c>
      <c r="Q123" s="89"/>
    </row>
    <row r="124" spans="1:17" x14ac:dyDescent="0.35">
      <c r="A124" s="87"/>
      <c r="B124" s="8" t="s">
        <v>263</v>
      </c>
      <c r="C124" s="88"/>
      <c r="D124" s="41">
        <v>0</v>
      </c>
      <c r="E124" s="41">
        <f t="shared" ref="E124:P124" si="43">SUM(E122:E123)</f>
        <v>34226.629999999997</v>
      </c>
      <c r="F124" s="41">
        <f t="shared" si="43"/>
        <v>36333.550999999999</v>
      </c>
      <c r="G124" s="41">
        <f t="shared" si="43"/>
        <v>38723.605000000003</v>
      </c>
      <c r="H124" s="41">
        <f t="shared" si="43"/>
        <v>41071.245999999999</v>
      </c>
      <c r="I124" s="41">
        <f t="shared" si="43"/>
        <v>43795.574999999997</v>
      </c>
      <c r="J124" s="41">
        <f t="shared" si="43"/>
        <v>47004.487999999998</v>
      </c>
      <c r="K124" s="41">
        <f t="shared" si="43"/>
        <v>50168.05</v>
      </c>
      <c r="L124" s="41">
        <f t="shared" si="43"/>
        <v>53145.106</v>
      </c>
      <c r="M124" s="41">
        <f t="shared" si="43"/>
        <v>55942.84</v>
      </c>
      <c r="N124" s="41">
        <f t="shared" si="43"/>
        <v>59209.701000000001</v>
      </c>
      <c r="O124" s="41">
        <f t="shared" si="43"/>
        <v>63152.682999999997</v>
      </c>
      <c r="P124" s="41">
        <f t="shared" si="43"/>
        <v>66648.263999999996</v>
      </c>
      <c r="Q124" s="89">
        <f>SUM(D124:P124)</f>
        <v>589421.73900000006</v>
      </c>
    </row>
    <row r="125" spans="1:17" x14ac:dyDescent="0.35">
      <c r="A125" s="90"/>
      <c r="B125" s="91"/>
      <c r="C125" s="92"/>
      <c r="D125" s="44"/>
      <c r="E125" s="44"/>
      <c r="F125" s="44"/>
      <c r="G125" s="44"/>
      <c r="H125" s="44"/>
      <c r="I125" s="44"/>
      <c r="J125" s="44"/>
      <c r="K125" s="44"/>
      <c r="L125" s="44"/>
      <c r="M125" s="44"/>
      <c r="N125" s="44"/>
      <c r="O125" s="44"/>
      <c r="P125" s="44"/>
      <c r="Q125" s="93"/>
    </row>
    <row r="126" spans="1:17" x14ac:dyDescent="0.35">
      <c r="A126" s="82"/>
      <c r="B126" s="83" t="s">
        <v>136</v>
      </c>
      <c r="C126" s="84">
        <f>1.77%/12</f>
        <v>1.475E-3</v>
      </c>
      <c r="D126" s="46"/>
      <c r="E126" s="46"/>
      <c r="F126" s="46"/>
      <c r="G126" s="46"/>
      <c r="H126" s="46"/>
      <c r="I126" s="46"/>
      <c r="J126" s="46"/>
      <c r="K126" s="46"/>
      <c r="L126" s="46"/>
      <c r="M126" s="46"/>
      <c r="N126" s="46"/>
      <c r="O126" s="46"/>
      <c r="P126" s="46"/>
      <c r="Q126" s="86"/>
    </row>
    <row r="127" spans="1:17" x14ac:dyDescent="0.35">
      <c r="A127" s="87"/>
      <c r="B127" s="8" t="s">
        <v>166</v>
      </c>
      <c r="C127" s="88"/>
      <c r="D127" s="41">
        <v>0</v>
      </c>
      <c r="E127" s="41">
        <f>'3.0 Plant in Service'!D88</f>
        <v>99666.4</v>
      </c>
      <c r="F127" s="41">
        <f>'3.0 Plant in Service'!E88</f>
        <v>46199.51</v>
      </c>
      <c r="G127" s="41">
        <f>'3.0 Plant in Service'!F88</f>
        <v>71137.13</v>
      </c>
      <c r="H127" s="41">
        <f>'3.0 Plant in Service'!G88</f>
        <v>30394.9</v>
      </c>
      <c r="I127" s="41">
        <f>'3.0 Plant in Service'!H88</f>
        <v>68100.06</v>
      </c>
      <c r="J127" s="41">
        <f>'3.0 Plant in Service'!I88</f>
        <v>26020.639999999999</v>
      </c>
      <c r="K127" s="41">
        <f>'3.0 Plant in Service'!J88</f>
        <v>35647.22</v>
      </c>
      <c r="L127" s="41">
        <f>'3.0 Plant in Service'!K88</f>
        <v>77968.27</v>
      </c>
      <c r="M127" s="41">
        <f>'3.0 Plant in Service'!L88</f>
        <v>29768.76</v>
      </c>
      <c r="N127" s="41">
        <f>'3.0 Plant in Service'!M88</f>
        <v>57535.61</v>
      </c>
      <c r="O127" s="41">
        <f>'3.0 Plant in Service'!N88</f>
        <v>29538.28</v>
      </c>
      <c r="P127" s="41">
        <f>'3.0 Plant in Service'!O88</f>
        <v>35466.29</v>
      </c>
      <c r="Q127" s="89">
        <f>SUM(D127:P127)</f>
        <v>607443.07000000007</v>
      </c>
    </row>
    <row r="128" spans="1:17" x14ac:dyDescent="0.35">
      <c r="A128" s="87"/>
      <c r="B128" s="8" t="s">
        <v>167</v>
      </c>
      <c r="C128" s="88"/>
      <c r="D128" s="41">
        <v>0</v>
      </c>
      <c r="E128" s="44">
        <f>'3.0 Plant in Service'!D97</f>
        <v>-1867.38</v>
      </c>
      <c r="F128" s="44">
        <f>'3.0 Plant in Service'!E97</f>
        <v>-2576.42</v>
      </c>
      <c r="G128" s="44">
        <f>'3.0 Plant in Service'!F97</f>
        <v>-9968.3799999999992</v>
      </c>
      <c r="H128" s="44">
        <f>'3.0 Plant in Service'!G97</f>
        <v>0</v>
      </c>
      <c r="I128" s="44">
        <f>'3.0 Plant in Service'!H97</f>
        <v>-6767.86</v>
      </c>
      <c r="J128" s="44">
        <f>'3.0 Plant in Service'!I97</f>
        <v>-4172.42</v>
      </c>
      <c r="K128" s="44">
        <f>'3.0 Plant in Service'!J97</f>
        <v>-2618.31</v>
      </c>
      <c r="L128" s="44">
        <f>'3.0 Plant in Service'!K97</f>
        <v>-6967.02</v>
      </c>
      <c r="M128" s="44">
        <f>'3.0 Plant in Service'!L97</f>
        <v>-17586.990000000002</v>
      </c>
      <c r="N128" s="44">
        <f>'3.0 Plant in Service'!M97</f>
        <v>-5456.08</v>
      </c>
      <c r="O128" s="44">
        <f>'3.0 Plant in Service'!N97</f>
        <v>-15799.48</v>
      </c>
      <c r="P128" s="44">
        <f>'3.0 Plant in Service'!O97</f>
        <v>-2905.87</v>
      </c>
      <c r="Q128" s="89"/>
    </row>
    <row r="129" spans="1:17" x14ac:dyDescent="0.35">
      <c r="A129" s="87"/>
      <c r="B129" s="8" t="s">
        <v>213</v>
      </c>
      <c r="C129" s="88"/>
      <c r="D129" s="41">
        <f t="shared" ref="D129:P129" si="44">SUM(D127:D128)</f>
        <v>0</v>
      </c>
      <c r="E129" s="41">
        <f t="shared" si="44"/>
        <v>97799.01999999999</v>
      </c>
      <c r="F129" s="41">
        <f t="shared" si="44"/>
        <v>43623.090000000004</v>
      </c>
      <c r="G129" s="41">
        <f t="shared" si="44"/>
        <v>61168.750000000007</v>
      </c>
      <c r="H129" s="41">
        <f t="shared" si="44"/>
        <v>30394.9</v>
      </c>
      <c r="I129" s="41">
        <f t="shared" si="44"/>
        <v>61332.2</v>
      </c>
      <c r="J129" s="41">
        <f t="shared" si="44"/>
        <v>21848.22</v>
      </c>
      <c r="K129" s="41">
        <f t="shared" si="44"/>
        <v>33028.910000000003</v>
      </c>
      <c r="L129" s="41">
        <f t="shared" si="44"/>
        <v>71001.25</v>
      </c>
      <c r="M129" s="41">
        <f t="shared" si="44"/>
        <v>12181.769999999997</v>
      </c>
      <c r="N129" s="41">
        <f t="shared" si="44"/>
        <v>52079.53</v>
      </c>
      <c r="O129" s="41">
        <f t="shared" si="44"/>
        <v>13738.8</v>
      </c>
      <c r="P129" s="41">
        <f t="shared" si="44"/>
        <v>32560.420000000002</v>
      </c>
      <c r="Q129" s="89">
        <f>SUM(D129:P129)</f>
        <v>530756.86</v>
      </c>
    </row>
    <row r="130" spans="1:17" x14ac:dyDescent="0.35">
      <c r="A130" s="87"/>
      <c r="B130" s="8" t="s">
        <v>163</v>
      </c>
      <c r="C130" s="88"/>
      <c r="D130" s="41">
        <f>Q45</f>
        <v>37351.61</v>
      </c>
      <c r="E130" s="41">
        <f t="shared" ref="E130:P130" si="45">+E129+D130</f>
        <v>135150.63</v>
      </c>
      <c r="F130" s="41">
        <f t="shared" si="45"/>
        <v>178773.72</v>
      </c>
      <c r="G130" s="41">
        <f t="shared" si="45"/>
        <v>239942.47</v>
      </c>
      <c r="H130" s="41">
        <f t="shared" si="45"/>
        <v>270337.37</v>
      </c>
      <c r="I130" s="41">
        <f t="shared" si="45"/>
        <v>331669.57</v>
      </c>
      <c r="J130" s="41">
        <f t="shared" si="45"/>
        <v>353517.79000000004</v>
      </c>
      <c r="K130" s="41">
        <f t="shared" si="45"/>
        <v>386546.70000000007</v>
      </c>
      <c r="L130" s="41">
        <f t="shared" si="45"/>
        <v>457547.95000000007</v>
      </c>
      <c r="M130" s="41">
        <f t="shared" si="45"/>
        <v>469729.72000000009</v>
      </c>
      <c r="N130" s="41">
        <f t="shared" si="45"/>
        <v>521809.25000000012</v>
      </c>
      <c r="O130" s="41">
        <f t="shared" si="45"/>
        <v>535548.05000000016</v>
      </c>
      <c r="P130" s="41">
        <f t="shared" si="45"/>
        <v>568108.4700000002</v>
      </c>
      <c r="Q130" s="89"/>
    </row>
    <row r="131" spans="1:17" x14ac:dyDescent="0.35">
      <c r="A131" s="87"/>
      <c r="C131" s="88"/>
      <c r="D131" s="41"/>
      <c r="E131" s="41"/>
      <c r="F131" s="41"/>
      <c r="G131" s="41"/>
      <c r="H131" s="41"/>
      <c r="I131" s="41"/>
      <c r="J131" s="41"/>
      <c r="K131" s="41"/>
      <c r="L131" s="41"/>
      <c r="M131" s="41"/>
      <c r="N131" s="41"/>
      <c r="O131" s="41"/>
      <c r="P131" s="41"/>
      <c r="Q131" s="89"/>
    </row>
    <row r="132" spans="1:17" x14ac:dyDescent="0.35">
      <c r="A132" s="87"/>
      <c r="B132" s="8" t="s">
        <v>164</v>
      </c>
      <c r="C132" s="88"/>
      <c r="D132" s="41"/>
      <c r="E132" s="41">
        <f>ROUND($C126*D130,0)</f>
        <v>55</v>
      </c>
      <c r="F132" s="41">
        <f t="shared" ref="F132:P132" si="46">ROUND($C126*E130,0)</f>
        <v>199</v>
      </c>
      <c r="G132" s="41">
        <f t="shared" si="46"/>
        <v>264</v>
      </c>
      <c r="H132" s="41">
        <f t="shared" si="46"/>
        <v>354</v>
      </c>
      <c r="I132" s="41">
        <f t="shared" si="46"/>
        <v>399</v>
      </c>
      <c r="J132" s="41">
        <f t="shared" si="46"/>
        <v>489</v>
      </c>
      <c r="K132" s="41">
        <f t="shared" si="46"/>
        <v>521</v>
      </c>
      <c r="L132" s="41">
        <f t="shared" si="46"/>
        <v>570</v>
      </c>
      <c r="M132" s="41">
        <f t="shared" si="46"/>
        <v>675</v>
      </c>
      <c r="N132" s="41">
        <f t="shared" si="46"/>
        <v>693</v>
      </c>
      <c r="O132" s="41">
        <f t="shared" si="46"/>
        <v>770</v>
      </c>
      <c r="P132" s="41">
        <f t="shared" si="46"/>
        <v>790</v>
      </c>
      <c r="Q132" s="89"/>
    </row>
    <row r="133" spans="1:17" x14ac:dyDescent="0.35">
      <c r="A133" s="87"/>
      <c r="B133" s="8" t="s">
        <v>165</v>
      </c>
      <c r="C133" s="88"/>
      <c r="D133" s="41"/>
      <c r="E133" s="44">
        <f>ROUND($C126*E129*0.5,3)</f>
        <v>72.126999999999995</v>
      </c>
      <c r="F133" s="44">
        <f t="shared" ref="F133:P133" si="47">ROUND($C126*F129*0.5,3)</f>
        <v>32.171999999999997</v>
      </c>
      <c r="G133" s="44">
        <f t="shared" si="47"/>
        <v>45.112000000000002</v>
      </c>
      <c r="H133" s="44">
        <f t="shared" si="47"/>
        <v>22.416</v>
      </c>
      <c r="I133" s="44">
        <f t="shared" si="47"/>
        <v>45.231999999999999</v>
      </c>
      <c r="J133" s="44">
        <f t="shared" si="47"/>
        <v>16.113</v>
      </c>
      <c r="K133" s="44">
        <f t="shared" si="47"/>
        <v>24.359000000000002</v>
      </c>
      <c r="L133" s="44">
        <f t="shared" si="47"/>
        <v>52.363</v>
      </c>
      <c r="M133" s="44">
        <f t="shared" si="47"/>
        <v>8.984</v>
      </c>
      <c r="N133" s="44">
        <f t="shared" si="47"/>
        <v>38.408999999999999</v>
      </c>
      <c r="O133" s="44">
        <f t="shared" si="47"/>
        <v>10.132</v>
      </c>
      <c r="P133" s="44">
        <f t="shared" si="47"/>
        <v>24.013000000000002</v>
      </c>
      <c r="Q133" s="89"/>
    </row>
    <row r="134" spans="1:17" x14ac:dyDescent="0.35">
      <c r="A134" s="87"/>
      <c r="B134" s="8" t="s">
        <v>264</v>
      </c>
      <c r="C134" s="88"/>
      <c r="D134" s="41">
        <v>0</v>
      </c>
      <c r="E134" s="41">
        <f t="shared" ref="E134:P134" si="48">SUM(E132:E133)</f>
        <v>127.127</v>
      </c>
      <c r="F134" s="41">
        <f t="shared" si="48"/>
        <v>231.172</v>
      </c>
      <c r="G134" s="41">
        <f t="shared" si="48"/>
        <v>309.11200000000002</v>
      </c>
      <c r="H134" s="41">
        <f t="shared" si="48"/>
        <v>376.416</v>
      </c>
      <c r="I134" s="41">
        <f t="shared" si="48"/>
        <v>444.23199999999997</v>
      </c>
      <c r="J134" s="41">
        <f t="shared" si="48"/>
        <v>505.113</v>
      </c>
      <c r="K134" s="41">
        <f t="shared" si="48"/>
        <v>545.35900000000004</v>
      </c>
      <c r="L134" s="41">
        <f t="shared" si="48"/>
        <v>622.36300000000006</v>
      </c>
      <c r="M134" s="41">
        <f t="shared" si="48"/>
        <v>683.98400000000004</v>
      </c>
      <c r="N134" s="41">
        <f t="shared" si="48"/>
        <v>731.40899999999999</v>
      </c>
      <c r="O134" s="41">
        <f t="shared" si="48"/>
        <v>780.13199999999995</v>
      </c>
      <c r="P134" s="41">
        <f t="shared" si="48"/>
        <v>814.01300000000003</v>
      </c>
      <c r="Q134" s="89">
        <f>SUM(D134:P134)</f>
        <v>6170.4319999999998</v>
      </c>
    </row>
    <row r="135" spans="1:17" x14ac:dyDescent="0.35">
      <c r="A135" s="90"/>
      <c r="B135" s="91"/>
      <c r="C135" s="91"/>
      <c r="D135" s="91"/>
      <c r="E135" s="91"/>
      <c r="F135" s="91"/>
      <c r="G135" s="91"/>
      <c r="H135" s="91"/>
      <c r="I135" s="91"/>
      <c r="J135" s="91"/>
      <c r="K135" s="91"/>
      <c r="L135" s="91"/>
      <c r="M135" s="91"/>
      <c r="N135" s="91"/>
      <c r="O135" s="91"/>
      <c r="P135" s="91"/>
      <c r="Q135" s="95"/>
    </row>
    <row r="136" spans="1:17" x14ac:dyDescent="0.35">
      <c r="A136" s="82"/>
      <c r="B136" s="83" t="s">
        <v>137</v>
      </c>
      <c r="C136" s="84">
        <f>1.94%/12</f>
        <v>1.6166666666666666E-3</v>
      </c>
      <c r="D136" s="46"/>
      <c r="E136" s="46"/>
      <c r="F136" s="46"/>
      <c r="G136" s="46"/>
      <c r="H136" s="46"/>
      <c r="I136" s="46"/>
      <c r="J136" s="46"/>
      <c r="K136" s="46"/>
      <c r="L136" s="46"/>
      <c r="M136" s="46"/>
      <c r="N136" s="46"/>
      <c r="O136" s="46"/>
      <c r="P136" s="46"/>
      <c r="Q136" s="86"/>
    </row>
    <row r="137" spans="1:17" x14ac:dyDescent="0.35">
      <c r="A137" s="87"/>
      <c r="B137" s="8" t="s">
        <v>166</v>
      </c>
      <c r="C137" s="88"/>
      <c r="D137" s="41">
        <v>0</v>
      </c>
      <c r="E137" s="41">
        <f>'3.0 Plant in Service'!D89</f>
        <v>7763.63</v>
      </c>
      <c r="F137" s="41">
        <f>'3.0 Plant in Service'!E89</f>
        <v>16342.16</v>
      </c>
      <c r="G137" s="41">
        <f>'3.0 Plant in Service'!F89</f>
        <v>5818.02</v>
      </c>
      <c r="H137" s="41">
        <f>'3.0 Plant in Service'!G89</f>
        <v>6048.96</v>
      </c>
      <c r="I137" s="41">
        <f>'3.0 Plant in Service'!H89</f>
        <v>-43.29</v>
      </c>
      <c r="J137" s="41">
        <f>'3.0 Plant in Service'!I89</f>
        <v>5572.98</v>
      </c>
      <c r="K137" s="41">
        <f>'3.0 Plant in Service'!J89</f>
        <v>2393.5300000000002</v>
      </c>
      <c r="L137" s="41">
        <f>'3.0 Plant in Service'!K89</f>
        <v>10530.81</v>
      </c>
      <c r="M137" s="41">
        <f>'3.0 Plant in Service'!L89</f>
        <v>4614.83</v>
      </c>
      <c r="N137" s="41">
        <f>'3.0 Plant in Service'!M89</f>
        <v>2409.44</v>
      </c>
      <c r="O137" s="41">
        <f>'3.0 Plant in Service'!N89</f>
        <v>-650.35</v>
      </c>
      <c r="P137" s="41">
        <f>'3.0 Plant in Service'!O89</f>
        <v>5519.75</v>
      </c>
      <c r="Q137" s="89">
        <f>SUM(D137:P137)</f>
        <v>66320.47</v>
      </c>
    </row>
    <row r="138" spans="1:17" x14ac:dyDescent="0.35">
      <c r="A138" s="87"/>
      <c r="B138" s="8" t="s">
        <v>167</v>
      </c>
      <c r="C138" s="88"/>
      <c r="D138" s="41">
        <v>0</v>
      </c>
      <c r="E138" s="44">
        <f>'3.0 Plant in Service'!D98</f>
        <v>-270.10000000000002</v>
      </c>
      <c r="F138" s="44">
        <f>'3.0 Plant in Service'!E98</f>
        <v>-489.95</v>
      </c>
      <c r="G138" s="44">
        <f>'3.0 Plant in Service'!F98</f>
        <v>-900.07</v>
      </c>
      <c r="H138" s="44">
        <f>'3.0 Plant in Service'!G98</f>
        <v>0</v>
      </c>
      <c r="I138" s="44">
        <f>'3.0 Plant in Service'!H98</f>
        <v>-670.82</v>
      </c>
      <c r="J138" s="44">
        <f>'3.0 Plant in Service'!I98</f>
        <v>-419.35</v>
      </c>
      <c r="K138" s="44">
        <f>'3.0 Plant in Service'!J98</f>
        <v>-267.74</v>
      </c>
      <c r="L138" s="44">
        <f>'3.0 Plant in Service'!K98</f>
        <v>-705.31</v>
      </c>
      <c r="M138" s="44">
        <f>'3.0 Plant in Service'!L98</f>
        <v>-674.09</v>
      </c>
      <c r="N138" s="44">
        <f>'3.0 Plant in Service'!M98</f>
        <v>-593.1</v>
      </c>
      <c r="O138" s="44">
        <f>'3.0 Plant in Service'!N98</f>
        <v>-767.43</v>
      </c>
      <c r="P138" s="44">
        <f>'3.0 Plant in Service'!O98</f>
        <v>-356.34</v>
      </c>
      <c r="Q138" s="89"/>
    </row>
    <row r="139" spans="1:17" x14ac:dyDescent="0.35">
      <c r="A139" s="87"/>
      <c r="B139" s="8" t="s">
        <v>213</v>
      </c>
      <c r="C139" s="88"/>
      <c r="D139" s="41">
        <f t="shared" ref="D139:P139" si="49">SUM(D137:D138)</f>
        <v>0</v>
      </c>
      <c r="E139" s="41">
        <f t="shared" si="49"/>
        <v>7493.53</v>
      </c>
      <c r="F139" s="41">
        <f t="shared" si="49"/>
        <v>15852.21</v>
      </c>
      <c r="G139" s="41">
        <f t="shared" si="49"/>
        <v>4917.9500000000007</v>
      </c>
      <c r="H139" s="41">
        <f t="shared" si="49"/>
        <v>6048.96</v>
      </c>
      <c r="I139" s="41">
        <f t="shared" si="49"/>
        <v>-714.11</v>
      </c>
      <c r="J139" s="41">
        <f t="shared" si="49"/>
        <v>5153.6299999999992</v>
      </c>
      <c r="K139" s="41">
        <f t="shared" si="49"/>
        <v>2125.79</v>
      </c>
      <c r="L139" s="41">
        <f t="shared" si="49"/>
        <v>9825.5</v>
      </c>
      <c r="M139" s="41">
        <f t="shared" si="49"/>
        <v>3940.74</v>
      </c>
      <c r="N139" s="41">
        <f t="shared" si="49"/>
        <v>1816.3400000000001</v>
      </c>
      <c r="O139" s="41">
        <f t="shared" si="49"/>
        <v>-1417.78</v>
      </c>
      <c r="P139" s="41">
        <f t="shared" si="49"/>
        <v>5163.41</v>
      </c>
      <c r="Q139" s="89">
        <f>SUM(D139:P139)</f>
        <v>60206.17</v>
      </c>
    </row>
    <row r="140" spans="1:17" x14ac:dyDescent="0.35">
      <c r="A140" s="87"/>
      <c r="B140" s="8" t="s">
        <v>163</v>
      </c>
      <c r="C140" s="88"/>
      <c r="D140" s="41">
        <f>Q55</f>
        <v>-6868.99</v>
      </c>
      <c r="E140" s="41">
        <f t="shared" ref="E140:P140" si="50">+E139+D140</f>
        <v>624.54</v>
      </c>
      <c r="F140" s="41">
        <f t="shared" si="50"/>
        <v>16476.75</v>
      </c>
      <c r="G140" s="41">
        <f t="shared" si="50"/>
        <v>21394.7</v>
      </c>
      <c r="H140" s="41">
        <f t="shared" si="50"/>
        <v>27443.66</v>
      </c>
      <c r="I140" s="41">
        <f t="shared" si="50"/>
        <v>26729.55</v>
      </c>
      <c r="J140" s="41">
        <f t="shared" si="50"/>
        <v>31883.18</v>
      </c>
      <c r="K140" s="41">
        <f t="shared" si="50"/>
        <v>34008.97</v>
      </c>
      <c r="L140" s="41">
        <f t="shared" si="50"/>
        <v>43834.47</v>
      </c>
      <c r="M140" s="41">
        <f t="shared" si="50"/>
        <v>47775.21</v>
      </c>
      <c r="N140" s="41">
        <f t="shared" si="50"/>
        <v>49591.55</v>
      </c>
      <c r="O140" s="41">
        <f t="shared" si="50"/>
        <v>48173.770000000004</v>
      </c>
      <c r="P140" s="41">
        <f t="shared" si="50"/>
        <v>53337.180000000008</v>
      </c>
      <c r="Q140" s="89"/>
    </row>
    <row r="141" spans="1:17" x14ac:dyDescent="0.35">
      <c r="A141" s="87"/>
      <c r="C141" s="88"/>
      <c r="D141" s="41"/>
      <c r="E141" s="41"/>
      <c r="F141" s="41"/>
      <c r="G141" s="41"/>
      <c r="H141" s="41"/>
      <c r="I141" s="41"/>
      <c r="J141" s="41"/>
      <c r="K141" s="41"/>
      <c r="L141" s="41"/>
      <c r="M141" s="41"/>
      <c r="N141" s="41"/>
      <c r="O141" s="41"/>
      <c r="P141" s="41"/>
      <c r="Q141" s="89"/>
    </row>
    <row r="142" spans="1:17" x14ac:dyDescent="0.35">
      <c r="A142" s="87"/>
      <c r="B142" s="8" t="s">
        <v>164</v>
      </c>
      <c r="C142" s="88"/>
      <c r="D142" s="41"/>
      <c r="E142" s="41">
        <f>ROUND($C136*D140,0)</f>
        <v>-11</v>
      </c>
      <c r="F142" s="41">
        <f t="shared" ref="F142:P142" si="51">ROUND($C136*E140,0)</f>
        <v>1</v>
      </c>
      <c r="G142" s="41">
        <f t="shared" si="51"/>
        <v>27</v>
      </c>
      <c r="H142" s="41">
        <f t="shared" si="51"/>
        <v>35</v>
      </c>
      <c r="I142" s="41">
        <f t="shared" si="51"/>
        <v>44</v>
      </c>
      <c r="J142" s="41">
        <f t="shared" si="51"/>
        <v>43</v>
      </c>
      <c r="K142" s="41">
        <f t="shared" si="51"/>
        <v>52</v>
      </c>
      <c r="L142" s="41">
        <f t="shared" si="51"/>
        <v>55</v>
      </c>
      <c r="M142" s="41">
        <f t="shared" si="51"/>
        <v>71</v>
      </c>
      <c r="N142" s="41">
        <f t="shared" si="51"/>
        <v>77</v>
      </c>
      <c r="O142" s="41">
        <f t="shared" si="51"/>
        <v>80</v>
      </c>
      <c r="P142" s="41">
        <f t="shared" si="51"/>
        <v>78</v>
      </c>
      <c r="Q142" s="89"/>
    </row>
    <row r="143" spans="1:17" x14ac:dyDescent="0.35">
      <c r="A143" s="87"/>
      <c r="B143" s="8" t="s">
        <v>165</v>
      </c>
      <c r="C143" s="88"/>
      <c r="D143" s="41"/>
      <c r="E143" s="44">
        <f>ROUND($C136*E139*0.5,3)</f>
        <v>6.0570000000000004</v>
      </c>
      <c r="F143" s="44">
        <f t="shared" ref="F143:P143" si="52">ROUND($C136*F139*0.5,3)</f>
        <v>12.814</v>
      </c>
      <c r="G143" s="44">
        <f t="shared" si="52"/>
        <v>3.9750000000000001</v>
      </c>
      <c r="H143" s="44">
        <f t="shared" si="52"/>
        <v>4.8899999999999997</v>
      </c>
      <c r="I143" s="44">
        <f t="shared" si="52"/>
        <v>-0.57699999999999996</v>
      </c>
      <c r="J143" s="44">
        <f t="shared" si="52"/>
        <v>4.1660000000000004</v>
      </c>
      <c r="K143" s="44">
        <f t="shared" si="52"/>
        <v>1.718</v>
      </c>
      <c r="L143" s="44">
        <f t="shared" si="52"/>
        <v>7.9420000000000002</v>
      </c>
      <c r="M143" s="44">
        <f t="shared" si="52"/>
        <v>3.1850000000000001</v>
      </c>
      <c r="N143" s="44">
        <f t="shared" si="52"/>
        <v>1.468</v>
      </c>
      <c r="O143" s="44">
        <f t="shared" si="52"/>
        <v>-1.1459999999999999</v>
      </c>
      <c r="P143" s="44">
        <f t="shared" si="52"/>
        <v>4.1740000000000004</v>
      </c>
      <c r="Q143" s="89"/>
    </row>
    <row r="144" spans="1:17" x14ac:dyDescent="0.35">
      <c r="A144" s="87"/>
      <c r="B144" s="8" t="s">
        <v>265</v>
      </c>
      <c r="C144" s="88"/>
      <c r="D144" s="41">
        <v>0</v>
      </c>
      <c r="E144" s="41">
        <f t="shared" ref="E144:P144" si="53">SUM(E142:E143)</f>
        <v>-4.9429999999999996</v>
      </c>
      <c r="F144" s="41">
        <f t="shared" si="53"/>
        <v>13.814</v>
      </c>
      <c r="G144" s="41">
        <f t="shared" si="53"/>
        <v>30.975000000000001</v>
      </c>
      <c r="H144" s="41">
        <f t="shared" si="53"/>
        <v>39.89</v>
      </c>
      <c r="I144" s="41">
        <f t="shared" si="53"/>
        <v>43.423000000000002</v>
      </c>
      <c r="J144" s="41">
        <f t="shared" si="53"/>
        <v>47.165999999999997</v>
      </c>
      <c r="K144" s="41">
        <f t="shared" si="53"/>
        <v>53.718000000000004</v>
      </c>
      <c r="L144" s="41">
        <f t="shared" si="53"/>
        <v>62.942</v>
      </c>
      <c r="M144" s="41">
        <f t="shared" si="53"/>
        <v>74.185000000000002</v>
      </c>
      <c r="N144" s="41">
        <f t="shared" si="53"/>
        <v>78.468000000000004</v>
      </c>
      <c r="O144" s="41">
        <f t="shared" si="53"/>
        <v>78.853999999999999</v>
      </c>
      <c r="P144" s="41">
        <f t="shared" si="53"/>
        <v>82.174000000000007</v>
      </c>
      <c r="Q144" s="89">
        <f>SUM(D144:P144)</f>
        <v>600.66600000000005</v>
      </c>
    </row>
    <row r="145" spans="1:17" x14ac:dyDescent="0.35">
      <c r="A145" s="87"/>
      <c r="Q145" s="96"/>
    </row>
    <row r="146" spans="1:17" x14ac:dyDescent="0.35">
      <c r="A146" s="82"/>
      <c r="B146" s="97" t="s">
        <v>168</v>
      </c>
      <c r="C146" s="97"/>
      <c r="D146" s="97"/>
      <c r="E146" s="46">
        <f>+E104+E114+E124+E134+E144</f>
        <v>78384.645999999993</v>
      </c>
      <c r="F146" s="46">
        <f t="shared" ref="F146:P146" si="54">+F104+F114+F124+F134+F144</f>
        <v>81430.065000000002</v>
      </c>
      <c r="G146" s="46">
        <f t="shared" si="54"/>
        <v>86421.48000000001</v>
      </c>
      <c r="H146" s="46">
        <f t="shared" si="54"/>
        <v>91598.051999999996</v>
      </c>
      <c r="I146" s="46">
        <f t="shared" si="54"/>
        <v>95745.296999999991</v>
      </c>
      <c r="J146" s="46">
        <f t="shared" si="54"/>
        <v>100436.45699999999</v>
      </c>
      <c r="K146" s="46">
        <f t="shared" si="54"/>
        <v>105071.71699999999</v>
      </c>
      <c r="L146" s="46">
        <f t="shared" si="54"/>
        <v>109428.853</v>
      </c>
      <c r="M146" s="46">
        <f t="shared" si="54"/>
        <v>113584.95299999999</v>
      </c>
      <c r="N146" s="46">
        <f t="shared" si="54"/>
        <v>120882.51899999999</v>
      </c>
      <c r="O146" s="46">
        <f t="shared" si="54"/>
        <v>132426.269</v>
      </c>
      <c r="P146" s="46">
        <f t="shared" si="54"/>
        <v>145195.717</v>
      </c>
      <c r="Q146" s="86">
        <f>SUM(E146:P146)</f>
        <v>1260606.0249999999</v>
      </c>
    </row>
    <row r="147" spans="1:17" x14ac:dyDescent="0.35">
      <c r="A147" s="87"/>
      <c r="B147" s="8" t="s">
        <v>169</v>
      </c>
      <c r="D147" s="15">
        <f>Q62</f>
        <v>417391.11800000002</v>
      </c>
      <c r="E147" s="43">
        <f>+E146+D147</f>
        <v>495775.76400000002</v>
      </c>
      <c r="F147" s="43">
        <f t="shared" ref="F147:P147" si="55">+F146+E147</f>
        <v>577205.82900000003</v>
      </c>
      <c r="G147" s="43">
        <f t="shared" si="55"/>
        <v>663627.30900000001</v>
      </c>
      <c r="H147" s="43">
        <f t="shared" si="55"/>
        <v>755225.36100000003</v>
      </c>
      <c r="I147" s="43">
        <f t="shared" si="55"/>
        <v>850970.65800000005</v>
      </c>
      <c r="J147" s="43">
        <f t="shared" si="55"/>
        <v>951407.11499999999</v>
      </c>
      <c r="K147" s="43">
        <f t="shared" si="55"/>
        <v>1056478.8319999999</v>
      </c>
      <c r="L147" s="43">
        <f t="shared" si="55"/>
        <v>1165907.6850000001</v>
      </c>
      <c r="M147" s="43">
        <f t="shared" si="55"/>
        <v>1279492.638</v>
      </c>
      <c r="N147" s="43">
        <f t="shared" si="55"/>
        <v>1400375.1570000001</v>
      </c>
      <c r="O147" s="43">
        <f t="shared" si="55"/>
        <v>1532801.4260000002</v>
      </c>
      <c r="P147" s="43">
        <f t="shared" si="55"/>
        <v>1677997.1430000002</v>
      </c>
      <c r="Q147" s="96"/>
    </row>
    <row r="148" spans="1:17" x14ac:dyDescent="0.35">
      <c r="A148" s="90"/>
      <c r="B148" s="91"/>
      <c r="C148" s="91"/>
      <c r="D148" s="91"/>
      <c r="E148" s="91"/>
      <c r="F148" s="91"/>
      <c r="G148" s="91"/>
      <c r="H148" s="91"/>
      <c r="I148" s="91"/>
      <c r="J148" s="91"/>
      <c r="K148" s="91"/>
      <c r="L148" s="91"/>
      <c r="M148" s="91"/>
      <c r="N148" s="91"/>
      <c r="O148" s="91"/>
      <c r="P148" s="91"/>
      <c r="Q148" s="95"/>
    </row>
    <row r="156" spans="1:17" x14ac:dyDescent="0.35">
      <c r="Q156" s="9"/>
    </row>
    <row r="157" spans="1:17" x14ac:dyDescent="0.35">
      <c r="Q157" s="9"/>
    </row>
    <row r="158" spans="1:17" x14ac:dyDescent="0.35">
      <c r="N158" s="9"/>
      <c r="Q158" s="9" t="str">
        <f>Q85</f>
        <v>Case No. 2026-00306</v>
      </c>
    </row>
    <row r="159" spans="1:17" x14ac:dyDescent="0.35">
      <c r="N159" s="9"/>
      <c r="Q159" s="9" t="str">
        <f>+Q86</f>
        <v>SMRP Form 5.0</v>
      </c>
    </row>
    <row r="160" spans="1:17" x14ac:dyDescent="0.35">
      <c r="N160" s="9"/>
      <c r="Q160" s="9" t="s">
        <v>295</v>
      </c>
    </row>
    <row r="161" spans="1:17" x14ac:dyDescent="0.35">
      <c r="A161" s="144" t="s">
        <v>12</v>
      </c>
      <c r="B161" s="144"/>
      <c r="C161" s="144"/>
      <c r="D161" s="144"/>
      <c r="E161" s="144"/>
      <c r="F161" s="144"/>
      <c r="G161" s="144"/>
      <c r="H161" s="144"/>
      <c r="I161" s="144"/>
      <c r="J161" s="144"/>
      <c r="K161" s="144"/>
      <c r="L161" s="144"/>
      <c r="M161" s="144"/>
      <c r="N161" s="144"/>
      <c r="O161" s="144"/>
      <c r="P161" s="144"/>
      <c r="Q161" s="144"/>
    </row>
    <row r="162" spans="1:17" x14ac:dyDescent="0.35">
      <c r="A162" s="144" t="s">
        <v>109</v>
      </c>
      <c r="B162" s="144"/>
      <c r="C162" s="144"/>
      <c r="D162" s="144"/>
      <c r="E162" s="144"/>
      <c r="F162" s="144"/>
      <c r="G162" s="144"/>
      <c r="H162" s="144"/>
      <c r="I162" s="144"/>
      <c r="J162" s="144"/>
      <c r="K162" s="144"/>
      <c r="L162" s="144"/>
      <c r="M162" s="144"/>
      <c r="N162" s="144"/>
      <c r="O162" s="144"/>
      <c r="P162" s="144"/>
      <c r="Q162" s="144"/>
    </row>
    <row r="163" spans="1:17" x14ac:dyDescent="0.35">
      <c r="A163" s="144" t="s">
        <v>275</v>
      </c>
      <c r="B163" s="144"/>
      <c r="C163" s="144"/>
      <c r="D163" s="144"/>
      <c r="E163" s="144"/>
      <c r="F163" s="144"/>
      <c r="G163" s="144"/>
      <c r="H163" s="144"/>
      <c r="I163" s="144"/>
      <c r="J163" s="144"/>
      <c r="K163" s="144"/>
      <c r="L163" s="144"/>
      <c r="M163" s="144"/>
      <c r="N163" s="144"/>
      <c r="O163" s="144"/>
      <c r="P163" s="144"/>
      <c r="Q163" s="144"/>
    </row>
    <row r="165" spans="1:17" x14ac:dyDescent="0.35">
      <c r="C165" s="11" t="s">
        <v>60</v>
      </c>
      <c r="D165" s="10">
        <f>+Q92</f>
        <v>2024</v>
      </c>
      <c r="E165" s="10">
        <f>+D165+1</f>
        <v>2025</v>
      </c>
      <c r="F165" s="10">
        <f>+E165</f>
        <v>2025</v>
      </c>
      <c r="G165" s="10">
        <f t="shared" ref="G165:Q165" si="56">+F165</f>
        <v>2025</v>
      </c>
      <c r="H165" s="10">
        <f t="shared" si="56"/>
        <v>2025</v>
      </c>
      <c r="I165" s="10">
        <f t="shared" si="56"/>
        <v>2025</v>
      </c>
      <c r="J165" s="10">
        <f t="shared" si="56"/>
        <v>2025</v>
      </c>
      <c r="K165" s="10">
        <f t="shared" si="56"/>
        <v>2025</v>
      </c>
      <c r="L165" s="10">
        <f t="shared" si="56"/>
        <v>2025</v>
      </c>
      <c r="M165" s="10">
        <f t="shared" si="56"/>
        <v>2025</v>
      </c>
      <c r="N165" s="10">
        <f t="shared" si="56"/>
        <v>2025</v>
      </c>
      <c r="O165" s="10">
        <f t="shared" si="56"/>
        <v>2025</v>
      </c>
      <c r="P165" s="10">
        <f t="shared" si="56"/>
        <v>2025</v>
      </c>
      <c r="Q165" s="10">
        <f t="shared" si="56"/>
        <v>2025</v>
      </c>
    </row>
    <row r="166" spans="1:17" x14ac:dyDescent="0.35">
      <c r="C166" s="11" t="s">
        <v>23</v>
      </c>
      <c r="D166" s="10" t="s">
        <v>140</v>
      </c>
      <c r="E166" s="10" t="s">
        <v>141</v>
      </c>
      <c r="F166" s="10" t="s">
        <v>142</v>
      </c>
      <c r="G166" s="10" t="s">
        <v>143</v>
      </c>
      <c r="H166" s="10" t="s">
        <v>144</v>
      </c>
      <c r="I166" s="10" t="s">
        <v>81</v>
      </c>
      <c r="J166" s="10" t="s">
        <v>145</v>
      </c>
      <c r="K166" s="10" t="s">
        <v>146</v>
      </c>
      <c r="L166" s="10" t="s">
        <v>147</v>
      </c>
      <c r="M166" s="10" t="s">
        <v>148</v>
      </c>
      <c r="N166" s="10" t="s">
        <v>149</v>
      </c>
      <c r="O166" s="10" t="s">
        <v>150</v>
      </c>
      <c r="P166" s="10" t="s">
        <v>140</v>
      </c>
      <c r="Q166" s="10" t="s">
        <v>92</v>
      </c>
    </row>
    <row r="167" spans="1:17" x14ac:dyDescent="0.35">
      <c r="C167" s="11" t="s">
        <v>162</v>
      </c>
      <c r="D167" s="10" t="s">
        <v>92</v>
      </c>
      <c r="E167" s="10" t="s">
        <v>257</v>
      </c>
      <c r="F167" s="10" t="s">
        <v>257</v>
      </c>
      <c r="G167" s="10" t="s">
        <v>257</v>
      </c>
      <c r="H167" s="10" t="s">
        <v>257</v>
      </c>
      <c r="I167" s="10" t="s">
        <v>257</v>
      </c>
      <c r="J167" s="10" t="s">
        <v>257</v>
      </c>
      <c r="K167" s="10" t="s">
        <v>257</v>
      </c>
      <c r="L167" s="10" t="s">
        <v>257</v>
      </c>
      <c r="M167" s="10" t="s">
        <v>257</v>
      </c>
      <c r="N167" s="10" t="s">
        <v>257</v>
      </c>
      <c r="O167" s="10" t="s">
        <v>257</v>
      </c>
      <c r="P167" s="10" t="s">
        <v>257</v>
      </c>
      <c r="Q167" s="10" t="s">
        <v>9</v>
      </c>
    </row>
    <row r="168" spans="1:17" x14ac:dyDescent="0.35">
      <c r="B168" s="79"/>
      <c r="C168" s="79"/>
    </row>
    <row r="169" spans="1:17" x14ac:dyDescent="0.35">
      <c r="A169" s="82"/>
      <c r="B169" s="83" t="s">
        <v>133</v>
      </c>
      <c r="C169" s="84">
        <f>1.8%/12</f>
        <v>1.5000000000000002E-3</v>
      </c>
      <c r="D169" s="46"/>
      <c r="E169" s="85"/>
      <c r="F169" s="85"/>
      <c r="G169" s="85"/>
      <c r="H169" s="85"/>
      <c r="I169" s="85"/>
      <c r="J169" s="85"/>
      <c r="K169" s="85"/>
      <c r="L169" s="85"/>
      <c r="M169" s="85"/>
      <c r="N169" s="85"/>
      <c r="O169" s="85"/>
      <c r="P169" s="85"/>
      <c r="Q169" s="86"/>
    </row>
    <row r="170" spans="1:17" x14ac:dyDescent="0.35">
      <c r="A170" s="87"/>
      <c r="B170" s="8" t="s">
        <v>166</v>
      </c>
      <c r="C170" s="88"/>
      <c r="D170" s="41"/>
      <c r="E170" s="41">
        <f>'3.0 Plant in Service'!D158</f>
        <v>340284.56</v>
      </c>
      <c r="F170" s="41">
        <f>'3.0 Plant in Service'!E158</f>
        <v>621939.48</v>
      </c>
      <c r="G170" s="41">
        <f>'3.0 Plant in Service'!F158</f>
        <v>822483.72</v>
      </c>
      <c r="H170" s="41">
        <f>'3.0 Plant in Service'!G158</f>
        <v>2368191.71</v>
      </c>
      <c r="I170" s="41">
        <f>'3.0 Plant in Service'!H158</f>
        <v>1681373.79</v>
      </c>
      <c r="J170" s="41">
        <f>'3.0 Plant in Service'!I158</f>
        <v>3060752.17</v>
      </c>
      <c r="K170" s="41">
        <f>'3.0 Plant in Service'!J158</f>
        <v>3006342.95</v>
      </c>
      <c r="L170" s="41">
        <f>'3.0 Plant in Service'!K158</f>
        <v>2268456.1800000002</v>
      </c>
      <c r="M170" s="41">
        <f>'3.0 Plant in Service'!L158</f>
        <v>3418087.78</v>
      </c>
      <c r="N170" s="41">
        <f>'3.0 Plant in Service'!M158</f>
        <v>3845642.98</v>
      </c>
      <c r="O170" s="41">
        <f>'3.0 Plant in Service'!N158</f>
        <v>5351518.55</v>
      </c>
      <c r="P170" s="41">
        <f>'3.0 Plant in Service'!O158</f>
        <v>6733832.7300000004</v>
      </c>
      <c r="Q170" s="89">
        <f>SUM(E170:P170)</f>
        <v>33518906.600000001</v>
      </c>
    </row>
    <row r="171" spans="1:17" x14ac:dyDescent="0.35">
      <c r="A171" s="87"/>
      <c r="B171" s="8" t="s">
        <v>167</v>
      </c>
      <c r="C171" s="88"/>
      <c r="D171" s="41"/>
      <c r="E171" s="44">
        <f>'3.0 Plant in Service'!D167</f>
        <v>-44475.64</v>
      </c>
      <c r="F171" s="44">
        <f>'3.0 Plant in Service'!E167</f>
        <v>-174540.68</v>
      </c>
      <c r="G171" s="44">
        <f>'3.0 Plant in Service'!F167</f>
        <v>-9190.56</v>
      </c>
      <c r="H171" s="44">
        <f>'3.0 Plant in Service'!G167</f>
        <v>0</v>
      </c>
      <c r="I171" s="44">
        <f>'3.0 Plant in Service'!H167</f>
        <v>-1663.44</v>
      </c>
      <c r="J171" s="44">
        <f>'3.0 Plant in Service'!I167</f>
        <v>-38170.82</v>
      </c>
      <c r="K171" s="44">
        <f>'3.0 Plant in Service'!J167</f>
        <v>-396357.47</v>
      </c>
      <c r="L171" s="44">
        <f>'3.0 Plant in Service'!K167</f>
        <v>-14942.26</v>
      </c>
      <c r="M171" s="44">
        <f>'3.0 Plant in Service'!L167</f>
        <v>-416565.29</v>
      </c>
      <c r="N171" s="44">
        <f>'3.0 Plant in Service'!M167</f>
        <v>-109401.97</v>
      </c>
      <c r="O171" s="44">
        <f>'3.0 Plant in Service'!N167</f>
        <v>0</v>
      </c>
      <c r="P171" s="44">
        <f>'3.0 Plant in Service'!O167</f>
        <v>-645323.34</v>
      </c>
      <c r="Q171" s="89"/>
    </row>
    <row r="172" spans="1:17" x14ac:dyDescent="0.35">
      <c r="A172" s="87"/>
      <c r="B172" s="8" t="s">
        <v>213</v>
      </c>
      <c r="C172" s="88"/>
      <c r="D172" s="41"/>
      <c r="E172" s="41">
        <f t="shared" ref="E172:P172" si="57">SUM(E170:E171)</f>
        <v>295808.92</v>
      </c>
      <c r="F172" s="41">
        <f t="shared" si="57"/>
        <v>447398.8</v>
      </c>
      <c r="G172" s="41">
        <f t="shared" si="57"/>
        <v>813293.15999999992</v>
      </c>
      <c r="H172" s="41">
        <f t="shared" si="57"/>
        <v>2368191.71</v>
      </c>
      <c r="I172" s="41">
        <f t="shared" si="57"/>
        <v>1679710.35</v>
      </c>
      <c r="J172" s="41">
        <f t="shared" si="57"/>
        <v>3022581.35</v>
      </c>
      <c r="K172" s="41">
        <f t="shared" si="57"/>
        <v>2609985.4800000004</v>
      </c>
      <c r="L172" s="41">
        <f t="shared" si="57"/>
        <v>2253513.9200000004</v>
      </c>
      <c r="M172" s="41">
        <f t="shared" si="57"/>
        <v>3001522.4899999998</v>
      </c>
      <c r="N172" s="41">
        <f t="shared" si="57"/>
        <v>3736241.01</v>
      </c>
      <c r="O172" s="41">
        <f t="shared" si="57"/>
        <v>5351518.55</v>
      </c>
      <c r="P172" s="41">
        <f t="shared" si="57"/>
        <v>6088509.3900000006</v>
      </c>
      <c r="Q172" s="89">
        <f>SUM(D172:P172)+D173</f>
        <v>89338988.229999989</v>
      </c>
    </row>
    <row r="173" spans="1:17" x14ac:dyDescent="0.35">
      <c r="A173" s="87"/>
      <c r="B173" s="8" t="s">
        <v>163</v>
      </c>
      <c r="C173" s="88"/>
      <c r="D173" s="132">
        <f>+P100</f>
        <v>57670713.099999987</v>
      </c>
      <c r="E173" s="41">
        <f t="shared" ref="E173:P173" si="58">+E172+D173</f>
        <v>57966522.019999988</v>
      </c>
      <c r="F173" s="41">
        <f t="shared" si="58"/>
        <v>58413920.819999985</v>
      </c>
      <c r="G173" s="41">
        <f t="shared" si="58"/>
        <v>59227213.979999982</v>
      </c>
      <c r="H173" s="41">
        <f t="shared" si="58"/>
        <v>61595405.689999983</v>
      </c>
      <c r="I173" s="41">
        <f t="shared" si="58"/>
        <v>63275116.039999984</v>
      </c>
      <c r="J173" s="41">
        <f t="shared" si="58"/>
        <v>66297697.389999986</v>
      </c>
      <c r="K173" s="41">
        <f t="shared" si="58"/>
        <v>68907682.86999999</v>
      </c>
      <c r="L173" s="41">
        <f t="shared" si="58"/>
        <v>71161196.789999992</v>
      </c>
      <c r="M173" s="41">
        <f t="shared" si="58"/>
        <v>74162719.279999986</v>
      </c>
      <c r="N173" s="41">
        <f t="shared" si="58"/>
        <v>77898960.289999992</v>
      </c>
      <c r="O173" s="41">
        <f t="shared" si="58"/>
        <v>83250478.839999989</v>
      </c>
      <c r="P173" s="41">
        <f t="shared" si="58"/>
        <v>89338988.229999989</v>
      </c>
      <c r="Q173" s="89"/>
    </row>
    <row r="174" spans="1:17" x14ac:dyDescent="0.35">
      <c r="A174" s="87"/>
      <c r="C174" s="88"/>
      <c r="D174" s="41"/>
      <c r="E174" s="41"/>
      <c r="F174" s="41"/>
      <c r="G174" s="41"/>
      <c r="H174" s="41"/>
      <c r="I174" s="41"/>
      <c r="J174" s="41"/>
      <c r="K174" s="41"/>
      <c r="L174" s="41"/>
      <c r="M174" s="41"/>
      <c r="N174" s="41"/>
      <c r="O174" s="41"/>
      <c r="P174" s="41"/>
      <c r="Q174" s="89"/>
    </row>
    <row r="175" spans="1:17" x14ac:dyDescent="0.35">
      <c r="A175" s="87"/>
      <c r="B175" s="8" t="s">
        <v>164</v>
      </c>
      <c r="C175" s="88"/>
      <c r="D175" s="41"/>
      <c r="E175" s="41">
        <f>ROUND($C169*D173,0)</f>
        <v>86506</v>
      </c>
      <c r="F175" s="41">
        <f t="shared" ref="F175:P175" si="59">ROUND($C169*E173,0)</f>
        <v>86950</v>
      </c>
      <c r="G175" s="41">
        <f t="shared" si="59"/>
        <v>87621</v>
      </c>
      <c r="H175" s="41">
        <f t="shared" si="59"/>
        <v>88841</v>
      </c>
      <c r="I175" s="41">
        <f t="shared" si="59"/>
        <v>92393</v>
      </c>
      <c r="J175" s="41">
        <f t="shared" si="59"/>
        <v>94913</v>
      </c>
      <c r="K175" s="41">
        <f t="shared" si="59"/>
        <v>99447</v>
      </c>
      <c r="L175" s="41">
        <f t="shared" si="59"/>
        <v>103362</v>
      </c>
      <c r="M175" s="41">
        <f t="shared" si="59"/>
        <v>106742</v>
      </c>
      <c r="N175" s="41">
        <f t="shared" si="59"/>
        <v>111244</v>
      </c>
      <c r="O175" s="41">
        <f t="shared" si="59"/>
        <v>116848</v>
      </c>
      <c r="P175" s="41">
        <f t="shared" si="59"/>
        <v>124876</v>
      </c>
      <c r="Q175" s="89"/>
    </row>
    <row r="176" spans="1:17" x14ac:dyDescent="0.35">
      <c r="A176" s="87"/>
      <c r="B176" s="8" t="s">
        <v>165</v>
      </c>
      <c r="C176" s="88"/>
      <c r="D176" s="41"/>
      <c r="E176" s="44">
        <f>ROUND($C169*E172*0.5,3)</f>
        <v>221.857</v>
      </c>
      <c r="F176" s="44">
        <f t="shared" ref="F176:P176" si="60">ROUND($C169*F172*0.5,3)</f>
        <v>335.54899999999998</v>
      </c>
      <c r="G176" s="44">
        <f t="shared" si="60"/>
        <v>609.97</v>
      </c>
      <c r="H176" s="44">
        <f t="shared" si="60"/>
        <v>1776.144</v>
      </c>
      <c r="I176" s="44">
        <f t="shared" si="60"/>
        <v>1259.7829999999999</v>
      </c>
      <c r="J176" s="44">
        <f t="shared" si="60"/>
        <v>2266.9360000000001</v>
      </c>
      <c r="K176" s="44">
        <f t="shared" si="60"/>
        <v>1957.489</v>
      </c>
      <c r="L176" s="44">
        <f t="shared" si="60"/>
        <v>1690.135</v>
      </c>
      <c r="M176" s="44">
        <f t="shared" si="60"/>
        <v>2251.1419999999998</v>
      </c>
      <c r="N176" s="44">
        <f t="shared" si="60"/>
        <v>2802.181</v>
      </c>
      <c r="O176" s="44">
        <f t="shared" si="60"/>
        <v>4013.6390000000001</v>
      </c>
      <c r="P176" s="44">
        <f t="shared" si="60"/>
        <v>4566.3819999999996</v>
      </c>
      <c r="Q176" s="89"/>
    </row>
    <row r="177" spans="1:17" x14ac:dyDescent="0.35">
      <c r="A177" s="87"/>
      <c r="B177" s="8" t="s">
        <v>261</v>
      </c>
      <c r="C177" s="88"/>
      <c r="D177" s="41">
        <v>0</v>
      </c>
      <c r="E177" s="41">
        <f t="shared" ref="E177:P177" si="61">SUM(E175:E176)</f>
        <v>86727.857000000004</v>
      </c>
      <c r="F177" s="41">
        <f t="shared" si="61"/>
        <v>87285.548999999999</v>
      </c>
      <c r="G177" s="41">
        <f t="shared" si="61"/>
        <v>88230.97</v>
      </c>
      <c r="H177" s="41">
        <f t="shared" si="61"/>
        <v>90617.144</v>
      </c>
      <c r="I177" s="41">
        <f t="shared" si="61"/>
        <v>93652.782999999996</v>
      </c>
      <c r="J177" s="41">
        <f t="shared" si="61"/>
        <v>97179.936000000002</v>
      </c>
      <c r="K177" s="41">
        <f t="shared" si="61"/>
        <v>101404.489</v>
      </c>
      <c r="L177" s="41">
        <f t="shared" si="61"/>
        <v>105052.13499999999</v>
      </c>
      <c r="M177" s="41">
        <f t="shared" si="61"/>
        <v>108993.14199999999</v>
      </c>
      <c r="N177" s="41">
        <f t="shared" si="61"/>
        <v>114046.181</v>
      </c>
      <c r="O177" s="41">
        <f t="shared" si="61"/>
        <v>120861.639</v>
      </c>
      <c r="P177" s="41">
        <f t="shared" si="61"/>
        <v>129442.382</v>
      </c>
      <c r="Q177" s="89">
        <f>SUM(D177:P177)</f>
        <v>1223494.2070000002</v>
      </c>
    </row>
    <row r="178" spans="1:17" x14ac:dyDescent="0.35">
      <c r="A178" s="90"/>
      <c r="B178" s="91"/>
      <c r="C178" s="92"/>
      <c r="D178" s="44"/>
      <c r="E178" s="44"/>
      <c r="F178" s="44"/>
      <c r="G178" s="44"/>
      <c r="H178" s="44"/>
      <c r="I178" s="44"/>
      <c r="J178" s="44"/>
      <c r="K178" s="44"/>
      <c r="L178" s="44"/>
      <c r="M178" s="44"/>
      <c r="N178" s="44"/>
      <c r="O178" s="44"/>
      <c r="P178" s="44"/>
      <c r="Q178" s="93"/>
    </row>
    <row r="179" spans="1:17" x14ac:dyDescent="0.35">
      <c r="A179" s="82"/>
      <c r="B179" s="83" t="s">
        <v>134</v>
      </c>
      <c r="C179" s="84">
        <f>3.31%/12</f>
        <v>2.7583333333333331E-3</v>
      </c>
      <c r="D179" s="46"/>
      <c r="E179" s="46"/>
      <c r="F179" s="46"/>
      <c r="G179" s="46"/>
      <c r="H179" s="46"/>
      <c r="I179" s="46"/>
      <c r="J179" s="46"/>
      <c r="K179" s="46"/>
      <c r="L179" s="46"/>
      <c r="M179" s="46"/>
      <c r="N179" s="46"/>
      <c r="O179" s="46"/>
      <c r="P179" s="46"/>
      <c r="Q179" s="86"/>
    </row>
    <row r="180" spans="1:17" x14ac:dyDescent="0.35">
      <c r="A180" s="87"/>
      <c r="B180" s="8" t="s">
        <v>166</v>
      </c>
      <c r="C180" s="88"/>
      <c r="D180" s="41"/>
      <c r="E180" s="41">
        <f>'3.0 Plant in Service'!D159</f>
        <v>0</v>
      </c>
      <c r="F180" s="41">
        <f>'3.0 Plant in Service'!E159</f>
        <v>0</v>
      </c>
      <c r="G180" s="41">
        <f>'3.0 Plant in Service'!F159</f>
        <v>0</v>
      </c>
      <c r="H180" s="41">
        <f>'3.0 Plant in Service'!G159</f>
        <v>0</v>
      </c>
      <c r="I180" s="41">
        <f>'3.0 Plant in Service'!H159</f>
        <v>0</v>
      </c>
      <c r="J180" s="41">
        <f>'3.0 Plant in Service'!I159</f>
        <v>0</v>
      </c>
      <c r="K180" s="41">
        <f>'3.0 Plant in Service'!J159</f>
        <v>0</v>
      </c>
      <c r="L180" s="41">
        <f>'3.0 Plant in Service'!K159</f>
        <v>0</v>
      </c>
      <c r="M180" s="41">
        <f>'3.0 Plant in Service'!L159</f>
        <v>0</v>
      </c>
      <c r="N180" s="41">
        <f>'3.0 Plant in Service'!M159</f>
        <v>0</v>
      </c>
      <c r="O180" s="41">
        <f>'3.0 Plant in Service'!N159</f>
        <v>0</v>
      </c>
      <c r="P180" s="41">
        <f>'3.0 Plant in Service'!O159</f>
        <v>0</v>
      </c>
      <c r="Q180" s="89">
        <f>SUM(E180:P180)</f>
        <v>0</v>
      </c>
    </row>
    <row r="181" spans="1:17" x14ac:dyDescent="0.35">
      <c r="A181" s="87"/>
      <c r="B181" s="8" t="s">
        <v>167</v>
      </c>
      <c r="C181" s="88"/>
      <c r="D181" s="41"/>
      <c r="E181" s="44">
        <f>'3.0 Plant in Service'!D168</f>
        <v>0</v>
      </c>
      <c r="F181" s="44">
        <f>'3.0 Plant in Service'!E168</f>
        <v>0</v>
      </c>
      <c r="G181" s="44">
        <f>'3.0 Plant in Service'!F168</f>
        <v>0</v>
      </c>
      <c r="H181" s="44">
        <f>'3.0 Plant in Service'!G168</f>
        <v>0</v>
      </c>
      <c r="I181" s="44">
        <f>'3.0 Plant in Service'!H168</f>
        <v>0</v>
      </c>
      <c r="J181" s="44">
        <f>'3.0 Plant in Service'!I168</f>
        <v>-68270.02</v>
      </c>
      <c r="K181" s="44">
        <f>'3.0 Plant in Service'!J168</f>
        <v>0</v>
      </c>
      <c r="L181" s="44">
        <f>'3.0 Plant in Service'!K168</f>
        <v>0</v>
      </c>
      <c r="M181" s="44">
        <f>'3.0 Plant in Service'!L168</f>
        <v>0</v>
      </c>
      <c r="N181" s="44">
        <f>'3.0 Plant in Service'!M168</f>
        <v>0</v>
      </c>
      <c r="O181" s="44">
        <f>'3.0 Plant in Service'!N168</f>
        <v>0</v>
      </c>
      <c r="P181" s="44">
        <f>'3.0 Plant in Service'!O168</f>
        <v>0</v>
      </c>
      <c r="Q181" s="89"/>
    </row>
    <row r="182" spans="1:17" x14ac:dyDescent="0.35">
      <c r="A182" s="87"/>
      <c r="B182" s="8" t="s">
        <v>213</v>
      </c>
      <c r="C182" s="88"/>
      <c r="D182" s="41"/>
      <c r="E182" s="41">
        <f t="shared" ref="E182:P182" si="62">SUM(E180:E181)</f>
        <v>0</v>
      </c>
      <c r="F182" s="41">
        <f t="shared" si="62"/>
        <v>0</v>
      </c>
      <c r="G182" s="41">
        <f t="shared" si="62"/>
        <v>0</v>
      </c>
      <c r="H182" s="41">
        <f t="shared" si="62"/>
        <v>0</v>
      </c>
      <c r="I182" s="41">
        <f t="shared" si="62"/>
        <v>0</v>
      </c>
      <c r="J182" s="41">
        <f t="shared" si="62"/>
        <v>-68270.02</v>
      </c>
      <c r="K182" s="41">
        <f t="shared" si="62"/>
        <v>0</v>
      </c>
      <c r="L182" s="41">
        <f t="shared" si="62"/>
        <v>0</v>
      </c>
      <c r="M182" s="41">
        <f t="shared" si="62"/>
        <v>0</v>
      </c>
      <c r="N182" s="41">
        <f t="shared" si="62"/>
        <v>0</v>
      </c>
      <c r="O182" s="41">
        <f t="shared" si="62"/>
        <v>0</v>
      </c>
      <c r="P182" s="41">
        <f t="shared" si="62"/>
        <v>0</v>
      </c>
      <c r="Q182" s="89">
        <f>SUM(D182:P182)+D183</f>
        <v>-522451.94000000012</v>
      </c>
    </row>
    <row r="183" spans="1:17" x14ac:dyDescent="0.35">
      <c r="A183" s="87"/>
      <c r="B183" s="8" t="s">
        <v>163</v>
      </c>
      <c r="C183" s="88"/>
      <c r="D183" s="41">
        <f>+P110</f>
        <v>-454181.9200000001</v>
      </c>
      <c r="E183" s="41">
        <f t="shared" ref="E183:P183" si="63">+E182+D183</f>
        <v>-454181.9200000001</v>
      </c>
      <c r="F183" s="41">
        <f t="shared" si="63"/>
        <v>-454181.9200000001</v>
      </c>
      <c r="G183" s="41">
        <f t="shared" si="63"/>
        <v>-454181.9200000001</v>
      </c>
      <c r="H183" s="41">
        <f t="shared" si="63"/>
        <v>-454181.9200000001</v>
      </c>
      <c r="I183" s="41">
        <f t="shared" si="63"/>
        <v>-454181.9200000001</v>
      </c>
      <c r="J183" s="41">
        <f t="shared" si="63"/>
        <v>-522451.94000000012</v>
      </c>
      <c r="K183" s="41">
        <f t="shared" si="63"/>
        <v>-522451.94000000012</v>
      </c>
      <c r="L183" s="41">
        <f t="shared" si="63"/>
        <v>-522451.94000000012</v>
      </c>
      <c r="M183" s="41">
        <f t="shared" si="63"/>
        <v>-522451.94000000012</v>
      </c>
      <c r="N183" s="41">
        <f t="shared" si="63"/>
        <v>-522451.94000000012</v>
      </c>
      <c r="O183" s="41">
        <f t="shared" si="63"/>
        <v>-522451.94000000012</v>
      </c>
      <c r="P183" s="41">
        <f t="shared" si="63"/>
        <v>-522451.94000000012</v>
      </c>
      <c r="Q183" s="89"/>
    </row>
    <row r="184" spans="1:17" x14ac:dyDescent="0.35">
      <c r="A184" s="87"/>
      <c r="C184" s="88"/>
      <c r="D184" s="41"/>
      <c r="E184" s="41"/>
      <c r="F184" s="41"/>
      <c r="G184" s="41"/>
      <c r="H184" s="41"/>
      <c r="I184" s="41"/>
      <c r="J184" s="41"/>
      <c r="K184" s="41"/>
      <c r="L184" s="41"/>
      <c r="M184" s="41"/>
      <c r="N184" s="41"/>
      <c r="O184" s="41"/>
      <c r="P184" s="41"/>
      <c r="Q184" s="89"/>
    </row>
    <row r="185" spans="1:17" x14ac:dyDescent="0.35">
      <c r="A185" s="87"/>
      <c r="B185" s="8" t="s">
        <v>164</v>
      </c>
      <c r="C185" s="88"/>
      <c r="D185" s="41"/>
      <c r="E185" s="41">
        <f>ROUND($C179*D183,0)</f>
        <v>-1253</v>
      </c>
      <c r="F185" s="41">
        <f t="shared" ref="F185:P185" si="64">ROUND($C179*E183,0)</f>
        <v>-1253</v>
      </c>
      <c r="G185" s="41">
        <f t="shared" si="64"/>
        <v>-1253</v>
      </c>
      <c r="H185" s="41">
        <f t="shared" si="64"/>
        <v>-1253</v>
      </c>
      <c r="I185" s="41">
        <f t="shared" si="64"/>
        <v>-1253</v>
      </c>
      <c r="J185" s="41">
        <f t="shared" si="64"/>
        <v>-1253</v>
      </c>
      <c r="K185" s="41">
        <f t="shared" si="64"/>
        <v>-1441</v>
      </c>
      <c r="L185" s="41">
        <f t="shared" si="64"/>
        <v>-1441</v>
      </c>
      <c r="M185" s="41">
        <f t="shared" si="64"/>
        <v>-1441</v>
      </c>
      <c r="N185" s="41">
        <f t="shared" si="64"/>
        <v>-1441</v>
      </c>
      <c r="O185" s="41">
        <f t="shared" si="64"/>
        <v>-1441</v>
      </c>
      <c r="P185" s="41">
        <f t="shared" si="64"/>
        <v>-1441</v>
      </c>
      <c r="Q185" s="89"/>
    </row>
    <row r="186" spans="1:17" x14ac:dyDescent="0.35">
      <c r="A186" s="87"/>
      <c r="B186" s="8" t="s">
        <v>165</v>
      </c>
      <c r="C186" s="88"/>
      <c r="D186" s="41"/>
      <c r="E186" s="44">
        <f>ROUND($C179*E182*0.5,3)</f>
        <v>0</v>
      </c>
      <c r="F186" s="44">
        <f t="shared" ref="F186:P186" si="65">ROUND($C179*F182*0.5,3)</f>
        <v>0</v>
      </c>
      <c r="G186" s="44">
        <f t="shared" si="65"/>
        <v>0</v>
      </c>
      <c r="H186" s="44">
        <f t="shared" si="65"/>
        <v>0</v>
      </c>
      <c r="I186" s="44">
        <f t="shared" si="65"/>
        <v>0</v>
      </c>
      <c r="J186" s="44">
        <f t="shared" si="65"/>
        <v>-94.156000000000006</v>
      </c>
      <c r="K186" s="44">
        <f t="shared" si="65"/>
        <v>0</v>
      </c>
      <c r="L186" s="44">
        <f t="shared" si="65"/>
        <v>0</v>
      </c>
      <c r="M186" s="44">
        <f t="shared" si="65"/>
        <v>0</v>
      </c>
      <c r="N186" s="44">
        <f t="shared" si="65"/>
        <v>0</v>
      </c>
      <c r="O186" s="44">
        <f t="shared" si="65"/>
        <v>0</v>
      </c>
      <c r="P186" s="44">
        <f t="shared" si="65"/>
        <v>0</v>
      </c>
      <c r="Q186" s="89"/>
    </row>
    <row r="187" spans="1:17" x14ac:dyDescent="0.35">
      <c r="A187" s="87"/>
      <c r="B187" s="8" t="s">
        <v>262</v>
      </c>
      <c r="C187" s="88"/>
      <c r="D187" s="41"/>
      <c r="E187" s="41">
        <f t="shared" ref="E187:P187" si="66">SUM(E185:E186)</f>
        <v>-1253</v>
      </c>
      <c r="F187" s="41">
        <f t="shared" si="66"/>
        <v>-1253</v>
      </c>
      <c r="G187" s="41">
        <f t="shared" si="66"/>
        <v>-1253</v>
      </c>
      <c r="H187" s="41">
        <f t="shared" si="66"/>
        <v>-1253</v>
      </c>
      <c r="I187" s="41">
        <f t="shared" si="66"/>
        <v>-1253</v>
      </c>
      <c r="J187" s="41">
        <f t="shared" si="66"/>
        <v>-1347.1559999999999</v>
      </c>
      <c r="K187" s="41">
        <f t="shared" si="66"/>
        <v>-1441</v>
      </c>
      <c r="L187" s="41">
        <f t="shared" si="66"/>
        <v>-1441</v>
      </c>
      <c r="M187" s="41">
        <f t="shared" si="66"/>
        <v>-1441</v>
      </c>
      <c r="N187" s="41">
        <f t="shared" si="66"/>
        <v>-1441</v>
      </c>
      <c r="O187" s="41">
        <f t="shared" si="66"/>
        <v>-1441</v>
      </c>
      <c r="P187" s="41">
        <f t="shared" si="66"/>
        <v>-1441</v>
      </c>
      <c r="Q187" s="89">
        <f>SUM(E187:P187)</f>
        <v>-16258.155999999999</v>
      </c>
    </row>
    <row r="188" spans="1:17" x14ac:dyDescent="0.35">
      <c r="A188" s="90"/>
      <c r="B188" s="91"/>
      <c r="C188" s="92"/>
      <c r="D188" s="44"/>
      <c r="E188" s="94"/>
      <c r="F188" s="94"/>
      <c r="G188" s="94"/>
      <c r="H188" s="94"/>
      <c r="I188" s="94"/>
      <c r="J188" s="94"/>
      <c r="K188" s="94"/>
      <c r="L188" s="94"/>
      <c r="M188" s="94"/>
      <c r="N188" s="94"/>
      <c r="O188" s="94"/>
      <c r="P188" s="94"/>
      <c r="Q188" s="93"/>
    </row>
    <row r="189" spans="1:17" x14ac:dyDescent="0.35">
      <c r="A189" s="82"/>
      <c r="B189" s="83" t="s">
        <v>135</v>
      </c>
      <c r="C189" s="84">
        <f>5.18%/12</f>
        <v>4.3166666666666666E-3</v>
      </c>
      <c r="D189" s="46"/>
      <c r="E189" s="85"/>
      <c r="F189" s="85"/>
      <c r="G189" s="85"/>
      <c r="H189" s="85"/>
      <c r="I189" s="85"/>
      <c r="J189" s="85"/>
      <c r="K189" s="85"/>
      <c r="L189" s="85"/>
      <c r="M189" s="85"/>
      <c r="N189" s="85"/>
      <c r="O189" s="85"/>
      <c r="P189" s="85"/>
      <c r="Q189" s="86"/>
    </row>
    <row r="190" spans="1:17" x14ac:dyDescent="0.35">
      <c r="A190" s="87"/>
      <c r="B190" s="8" t="s">
        <v>166</v>
      </c>
      <c r="C190" s="88"/>
      <c r="D190" s="41"/>
      <c r="E190" s="41">
        <f>'3.0 Plant in Service'!D160</f>
        <v>479589.65</v>
      </c>
      <c r="F190" s="41">
        <f>'3.0 Plant in Service'!E160</f>
        <v>758563.04</v>
      </c>
      <c r="G190" s="41">
        <f>'3.0 Plant in Service'!F160</f>
        <v>1170713.28</v>
      </c>
      <c r="H190" s="41">
        <f>'3.0 Plant in Service'!G160</f>
        <v>799453.27</v>
      </c>
      <c r="I190" s="41">
        <f>'3.0 Plant in Service'!H160</f>
        <v>615874.18000000005</v>
      </c>
      <c r="J190" s="41">
        <f>'3.0 Plant in Service'!I160</f>
        <v>754450.86</v>
      </c>
      <c r="K190" s="41">
        <f>'3.0 Plant in Service'!J160</f>
        <v>633188.71</v>
      </c>
      <c r="L190" s="41">
        <f>'3.0 Plant in Service'!K160</f>
        <v>789666.55</v>
      </c>
      <c r="M190" s="41">
        <f>'3.0 Plant in Service'!L160</f>
        <v>711986.3</v>
      </c>
      <c r="N190" s="41">
        <f>'3.0 Plant in Service'!M160</f>
        <v>873338.01</v>
      </c>
      <c r="O190" s="41">
        <f>'3.0 Plant in Service'!N160</f>
        <v>810833.8</v>
      </c>
      <c r="P190" s="41">
        <f>'3.0 Plant in Service'!O160</f>
        <v>717782.24</v>
      </c>
      <c r="Q190" s="89">
        <f>SUM(E190:P190)</f>
        <v>9115439.8900000006</v>
      </c>
    </row>
    <row r="191" spans="1:17" x14ac:dyDescent="0.35">
      <c r="A191" s="87"/>
      <c r="B191" s="8" t="s">
        <v>167</v>
      </c>
      <c r="C191" s="88"/>
      <c r="D191" s="41"/>
      <c r="E191" s="44">
        <f>'3.0 Plant in Service'!D169</f>
        <v>-218960.79</v>
      </c>
      <c r="F191" s="44">
        <f>'3.0 Plant in Service'!E169</f>
        <v>-270012.05</v>
      </c>
      <c r="G191" s="44">
        <f>'3.0 Plant in Service'!F169</f>
        <v>-379808.66</v>
      </c>
      <c r="H191" s="44">
        <f>'3.0 Plant in Service'!G169</f>
        <v>-339910.17</v>
      </c>
      <c r="I191" s="44">
        <f>'3.0 Plant in Service'!H169</f>
        <v>-220548.09</v>
      </c>
      <c r="J191" s="44">
        <f>'3.0 Plant in Service'!I169</f>
        <v>-227244.34</v>
      </c>
      <c r="K191" s="44">
        <f>'3.0 Plant in Service'!J169</f>
        <v>-244216.31</v>
      </c>
      <c r="L191" s="44">
        <f>'3.0 Plant in Service'!K169</f>
        <v>-251305.51</v>
      </c>
      <c r="M191" s="44">
        <f>'3.0 Plant in Service'!L169</f>
        <v>-230472.62</v>
      </c>
      <c r="N191" s="44">
        <f>'3.0 Plant in Service'!M169</f>
        <v>-227932.89</v>
      </c>
      <c r="O191" s="44">
        <f>'3.0 Plant in Service'!N169</f>
        <v>-226219.29</v>
      </c>
      <c r="P191" s="44">
        <f>'3.0 Plant in Service'!O169</f>
        <v>-215774.36</v>
      </c>
      <c r="Q191" s="89"/>
    </row>
    <row r="192" spans="1:17" x14ac:dyDescent="0.35">
      <c r="A192" s="87"/>
      <c r="B192" s="8" t="s">
        <v>213</v>
      </c>
      <c r="C192" s="88"/>
      <c r="D192" s="41"/>
      <c r="E192" s="41">
        <f t="shared" ref="E192:P192" si="67">SUM(E190:E191)</f>
        <v>260628.86000000002</v>
      </c>
      <c r="F192" s="41">
        <f t="shared" si="67"/>
        <v>488550.99000000005</v>
      </c>
      <c r="G192" s="41">
        <f t="shared" si="67"/>
        <v>790904.62000000011</v>
      </c>
      <c r="H192" s="41">
        <f t="shared" si="67"/>
        <v>459543.10000000003</v>
      </c>
      <c r="I192" s="41">
        <f t="shared" si="67"/>
        <v>395326.09000000008</v>
      </c>
      <c r="J192" s="41">
        <f t="shared" si="67"/>
        <v>527206.52</v>
      </c>
      <c r="K192" s="41">
        <f t="shared" si="67"/>
        <v>388972.39999999997</v>
      </c>
      <c r="L192" s="41">
        <f t="shared" si="67"/>
        <v>538361.04</v>
      </c>
      <c r="M192" s="41">
        <f t="shared" si="67"/>
        <v>481513.68000000005</v>
      </c>
      <c r="N192" s="41">
        <f t="shared" si="67"/>
        <v>645405.12</v>
      </c>
      <c r="O192" s="41">
        <f t="shared" si="67"/>
        <v>584614.51</v>
      </c>
      <c r="P192" s="41">
        <f t="shared" si="67"/>
        <v>502007.88</v>
      </c>
      <c r="Q192" s="89">
        <f>SUM(D192:P192)+D193</f>
        <v>26652785.960570369</v>
      </c>
    </row>
    <row r="193" spans="1:17" x14ac:dyDescent="0.35">
      <c r="A193" s="87"/>
      <c r="B193" s="8" t="s">
        <v>163</v>
      </c>
      <c r="C193" s="88"/>
      <c r="D193" s="41">
        <f>+P120</f>
        <v>20589751.15057037</v>
      </c>
      <c r="E193" s="41">
        <f t="shared" ref="E193:P193" si="68">+E192+D193</f>
        <v>20850380.01057037</v>
      </c>
      <c r="F193" s="41">
        <f t="shared" si="68"/>
        <v>21338931.000570368</v>
      </c>
      <c r="G193" s="41">
        <f t="shared" si="68"/>
        <v>22129835.620570369</v>
      </c>
      <c r="H193" s="41">
        <f t="shared" si="68"/>
        <v>22589378.720570371</v>
      </c>
      <c r="I193" s="41">
        <f t="shared" si="68"/>
        <v>22984704.81057037</v>
      </c>
      <c r="J193" s="41">
        <f t="shared" si="68"/>
        <v>23511911.33057037</v>
      </c>
      <c r="K193" s="41">
        <f t="shared" si="68"/>
        <v>23900883.730570368</v>
      </c>
      <c r="L193" s="41">
        <f t="shared" si="68"/>
        <v>24439244.770570368</v>
      </c>
      <c r="M193" s="41">
        <f t="shared" si="68"/>
        <v>24920758.450570367</v>
      </c>
      <c r="N193" s="41">
        <f t="shared" si="68"/>
        <v>25566163.570570368</v>
      </c>
      <c r="O193" s="41">
        <f t="shared" si="68"/>
        <v>26150778.08057037</v>
      </c>
      <c r="P193" s="41">
        <f t="shared" si="68"/>
        <v>26652785.960570369</v>
      </c>
      <c r="Q193" s="89"/>
    </row>
    <row r="194" spans="1:17" x14ac:dyDescent="0.35">
      <c r="A194" s="87"/>
      <c r="C194" s="88"/>
      <c r="D194" s="41"/>
      <c r="E194" s="41"/>
      <c r="F194" s="41"/>
      <c r="G194" s="41"/>
      <c r="H194" s="41"/>
      <c r="I194" s="41"/>
      <c r="J194" s="41"/>
      <c r="K194" s="41"/>
      <c r="L194" s="41"/>
      <c r="M194" s="41"/>
      <c r="N194" s="41"/>
      <c r="O194" s="41"/>
      <c r="P194" s="41"/>
      <c r="Q194" s="89"/>
    </row>
    <row r="195" spans="1:17" x14ac:dyDescent="0.35">
      <c r="A195" s="87"/>
      <c r="B195" s="8" t="s">
        <v>164</v>
      </c>
      <c r="C195" s="88"/>
      <c r="D195" s="41"/>
      <c r="E195" s="41">
        <f>ROUND($C189*D193,0)</f>
        <v>88879</v>
      </c>
      <c r="F195" s="41">
        <f t="shared" ref="F195:P195" si="69">ROUND($C189*E193,0)</f>
        <v>90004</v>
      </c>
      <c r="G195" s="41">
        <f t="shared" si="69"/>
        <v>92113</v>
      </c>
      <c r="H195" s="41">
        <f t="shared" si="69"/>
        <v>95527</v>
      </c>
      <c r="I195" s="41">
        <f t="shared" si="69"/>
        <v>97511</v>
      </c>
      <c r="J195" s="41">
        <f t="shared" si="69"/>
        <v>99217</v>
      </c>
      <c r="K195" s="41">
        <f t="shared" si="69"/>
        <v>101493</v>
      </c>
      <c r="L195" s="41">
        <f t="shared" si="69"/>
        <v>103172</v>
      </c>
      <c r="M195" s="41">
        <f t="shared" si="69"/>
        <v>105496</v>
      </c>
      <c r="N195" s="41">
        <f t="shared" si="69"/>
        <v>107575</v>
      </c>
      <c r="O195" s="41">
        <f t="shared" si="69"/>
        <v>110361</v>
      </c>
      <c r="P195" s="41">
        <f t="shared" si="69"/>
        <v>112884</v>
      </c>
      <c r="Q195" s="89"/>
    </row>
    <row r="196" spans="1:17" x14ac:dyDescent="0.35">
      <c r="A196" s="87"/>
      <c r="B196" s="8" t="s">
        <v>165</v>
      </c>
      <c r="C196" s="88"/>
      <c r="D196" s="41"/>
      <c r="E196" s="44">
        <f>ROUND($C189*E192*0.5,3)</f>
        <v>562.524</v>
      </c>
      <c r="F196" s="44">
        <f t="shared" ref="F196:P196" si="70">ROUND($C189*F192*0.5,3)</f>
        <v>1054.4559999999999</v>
      </c>
      <c r="G196" s="44">
        <f t="shared" si="70"/>
        <v>1707.0360000000001</v>
      </c>
      <c r="H196" s="44">
        <f t="shared" si="70"/>
        <v>991.84699999999998</v>
      </c>
      <c r="I196" s="44">
        <f t="shared" si="70"/>
        <v>853.245</v>
      </c>
      <c r="J196" s="44">
        <f t="shared" si="70"/>
        <v>1137.8869999999999</v>
      </c>
      <c r="K196" s="44">
        <f t="shared" si="70"/>
        <v>839.53200000000004</v>
      </c>
      <c r="L196" s="44">
        <f t="shared" si="70"/>
        <v>1161.963</v>
      </c>
      <c r="M196" s="44">
        <f t="shared" si="70"/>
        <v>1039.2670000000001</v>
      </c>
      <c r="N196" s="44">
        <f t="shared" si="70"/>
        <v>1392.999</v>
      </c>
      <c r="O196" s="44">
        <f t="shared" si="70"/>
        <v>1261.7929999999999</v>
      </c>
      <c r="P196" s="44">
        <f t="shared" si="70"/>
        <v>1083.5</v>
      </c>
      <c r="Q196" s="89"/>
    </row>
    <row r="197" spans="1:17" x14ac:dyDescent="0.35">
      <c r="A197" s="87"/>
      <c r="B197" s="8" t="s">
        <v>263</v>
      </c>
      <c r="C197" s="88"/>
      <c r="D197" s="41"/>
      <c r="E197" s="41">
        <f t="shared" ref="E197:P197" si="71">SUM(E195:E196)</f>
        <v>89441.524000000005</v>
      </c>
      <c r="F197" s="41">
        <f t="shared" si="71"/>
        <v>91058.456000000006</v>
      </c>
      <c r="G197" s="41">
        <f t="shared" si="71"/>
        <v>93820.035999999993</v>
      </c>
      <c r="H197" s="41">
        <f t="shared" si="71"/>
        <v>96518.846999999994</v>
      </c>
      <c r="I197" s="41">
        <f t="shared" si="71"/>
        <v>98364.244999999995</v>
      </c>
      <c r="J197" s="41">
        <f t="shared" si="71"/>
        <v>100354.887</v>
      </c>
      <c r="K197" s="41">
        <f t="shared" si="71"/>
        <v>102332.53200000001</v>
      </c>
      <c r="L197" s="41">
        <f t="shared" si="71"/>
        <v>104333.963</v>
      </c>
      <c r="M197" s="41">
        <f t="shared" si="71"/>
        <v>106535.26700000001</v>
      </c>
      <c r="N197" s="41">
        <f t="shared" si="71"/>
        <v>108967.999</v>
      </c>
      <c r="O197" s="41">
        <f t="shared" si="71"/>
        <v>111622.79300000001</v>
      </c>
      <c r="P197" s="41">
        <f t="shared" si="71"/>
        <v>113967.5</v>
      </c>
      <c r="Q197" s="89">
        <f>SUM(E197:P197)</f>
        <v>1217318.0489999999</v>
      </c>
    </row>
    <row r="198" spans="1:17" x14ac:dyDescent="0.35">
      <c r="A198" s="90"/>
      <c r="B198" s="91"/>
      <c r="C198" s="92"/>
      <c r="D198" s="44"/>
      <c r="E198" s="44"/>
      <c r="F198" s="44"/>
      <c r="G198" s="44"/>
      <c r="H198" s="44"/>
      <c r="I198" s="44"/>
      <c r="J198" s="44"/>
      <c r="K198" s="44"/>
      <c r="L198" s="44"/>
      <c r="M198" s="44"/>
      <c r="N198" s="44"/>
      <c r="O198" s="44"/>
      <c r="P198" s="44"/>
      <c r="Q198" s="93"/>
    </row>
    <row r="199" spans="1:17" x14ac:dyDescent="0.35">
      <c r="A199" s="82"/>
      <c r="B199" s="83" t="s">
        <v>136</v>
      </c>
      <c r="C199" s="84">
        <f>2.28%/12</f>
        <v>1.8999999999999998E-3</v>
      </c>
      <c r="D199" s="46"/>
      <c r="E199" s="46"/>
      <c r="F199" s="46"/>
      <c r="G199" s="46"/>
      <c r="H199" s="46"/>
      <c r="I199" s="46"/>
      <c r="J199" s="46"/>
      <c r="K199" s="46"/>
      <c r="L199" s="46"/>
      <c r="M199" s="46"/>
      <c r="N199" s="46"/>
      <c r="O199" s="46"/>
      <c r="P199" s="46"/>
      <c r="Q199" s="86"/>
    </row>
    <row r="200" spans="1:17" x14ac:dyDescent="0.35">
      <c r="A200" s="87"/>
      <c r="B200" s="8" t="s">
        <v>166</v>
      </c>
      <c r="C200" s="88"/>
      <c r="D200" s="41"/>
      <c r="E200" s="41">
        <f>'3.0 Plant in Service'!D161</f>
        <v>14998.86</v>
      </c>
      <c r="F200" s="41">
        <f>'3.0 Plant in Service'!E161</f>
        <v>30222.3</v>
      </c>
      <c r="G200" s="41">
        <f>'3.0 Plant in Service'!F161</f>
        <v>12429.14</v>
      </c>
      <c r="H200" s="41">
        <f>'3.0 Plant in Service'!G161</f>
        <v>14599.68</v>
      </c>
      <c r="I200" s="41">
        <f>'3.0 Plant in Service'!H161</f>
        <v>22044.5</v>
      </c>
      <c r="J200" s="41">
        <f>'3.0 Plant in Service'!I161</f>
        <v>63405.95</v>
      </c>
      <c r="K200" s="41">
        <f>'3.0 Plant in Service'!J161</f>
        <v>65167.45</v>
      </c>
      <c r="L200" s="41">
        <f>'3.0 Plant in Service'!K161</f>
        <v>116253.17</v>
      </c>
      <c r="M200" s="41">
        <f>'3.0 Plant in Service'!L161</f>
        <v>69508.5</v>
      </c>
      <c r="N200" s="41">
        <f>'3.0 Plant in Service'!M161</f>
        <v>97551.93</v>
      </c>
      <c r="O200" s="41">
        <f>'3.0 Plant in Service'!N161</f>
        <v>69545.88</v>
      </c>
      <c r="P200" s="41">
        <f>'3.0 Plant in Service'!O161</f>
        <v>71215.13</v>
      </c>
      <c r="Q200" s="89">
        <f>SUM(E200:P200)</f>
        <v>646942.49</v>
      </c>
    </row>
    <row r="201" spans="1:17" x14ac:dyDescent="0.35">
      <c r="A201" s="87"/>
      <c r="B201" s="8" t="s">
        <v>167</v>
      </c>
      <c r="C201" s="88"/>
      <c r="D201" s="41"/>
      <c r="E201" s="44">
        <f>'3.0 Plant in Service'!D170</f>
        <v>-11761.3</v>
      </c>
      <c r="F201" s="44">
        <f>'3.0 Plant in Service'!E170</f>
        <v>-3034.54</v>
      </c>
      <c r="G201" s="44">
        <f>'3.0 Plant in Service'!F170</f>
        <v>-3592.91</v>
      </c>
      <c r="H201" s="44">
        <f>'3.0 Plant in Service'!G170</f>
        <v>-5213.71</v>
      </c>
      <c r="I201" s="44">
        <f>'3.0 Plant in Service'!H170</f>
        <v>-3684.07</v>
      </c>
      <c r="J201" s="44">
        <f>'3.0 Plant in Service'!I170</f>
        <v>-8780.16</v>
      </c>
      <c r="K201" s="44">
        <f>'3.0 Plant in Service'!J170</f>
        <v>-440.26</v>
      </c>
      <c r="L201" s="44">
        <f>'3.0 Plant in Service'!K170</f>
        <v>-461.15</v>
      </c>
      <c r="M201" s="44">
        <f>'3.0 Plant in Service'!L170</f>
        <v>-513.77</v>
      </c>
      <c r="N201" s="44">
        <f>'3.0 Plant in Service'!M170</f>
        <v>-547.70000000000005</v>
      </c>
      <c r="O201" s="44">
        <f>'3.0 Plant in Service'!N170</f>
        <v>-28.49</v>
      </c>
      <c r="P201" s="44">
        <f>'3.0 Plant in Service'!O170</f>
        <v>-153.06</v>
      </c>
      <c r="Q201" s="89"/>
    </row>
    <row r="202" spans="1:17" x14ac:dyDescent="0.35">
      <c r="A202" s="87"/>
      <c r="B202" s="8" t="s">
        <v>213</v>
      </c>
      <c r="C202" s="88"/>
      <c r="D202" s="41"/>
      <c r="E202" s="41">
        <f t="shared" ref="E202:P202" si="72">SUM(E200:E201)</f>
        <v>3237.5600000000013</v>
      </c>
      <c r="F202" s="41">
        <f t="shared" si="72"/>
        <v>27187.759999999998</v>
      </c>
      <c r="G202" s="41">
        <f t="shared" si="72"/>
        <v>8836.23</v>
      </c>
      <c r="H202" s="41">
        <f t="shared" si="72"/>
        <v>9385.9700000000012</v>
      </c>
      <c r="I202" s="41">
        <f t="shared" si="72"/>
        <v>18360.43</v>
      </c>
      <c r="J202" s="41">
        <f t="shared" si="72"/>
        <v>54625.789999999994</v>
      </c>
      <c r="K202" s="41">
        <f t="shared" si="72"/>
        <v>64727.189999999995</v>
      </c>
      <c r="L202" s="41">
        <f t="shared" si="72"/>
        <v>115792.02</v>
      </c>
      <c r="M202" s="41">
        <f t="shared" si="72"/>
        <v>68994.73</v>
      </c>
      <c r="N202" s="41">
        <f t="shared" si="72"/>
        <v>97004.23</v>
      </c>
      <c r="O202" s="41">
        <f t="shared" si="72"/>
        <v>69517.39</v>
      </c>
      <c r="P202" s="41">
        <f t="shared" si="72"/>
        <v>71062.070000000007</v>
      </c>
      <c r="Q202" s="89">
        <f>SUM(D202:P202)+D203</f>
        <v>1176839.8400000001</v>
      </c>
    </row>
    <row r="203" spans="1:17" x14ac:dyDescent="0.35">
      <c r="A203" s="87"/>
      <c r="B203" s="8" t="s">
        <v>163</v>
      </c>
      <c r="C203" s="88"/>
      <c r="D203" s="41">
        <f>+P130</f>
        <v>568108.4700000002</v>
      </c>
      <c r="E203" s="41">
        <f t="shared" ref="E203:P203" si="73">+E202+D203</f>
        <v>571346.03000000026</v>
      </c>
      <c r="F203" s="41">
        <f t="shared" si="73"/>
        <v>598533.79000000027</v>
      </c>
      <c r="G203" s="41">
        <f t="shared" si="73"/>
        <v>607370.02000000025</v>
      </c>
      <c r="H203" s="41">
        <f t="shared" si="73"/>
        <v>616755.99000000022</v>
      </c>
      <c r="I203" s="41">
        <f t="shared" si="73"/>
        <v>635116.42000000027</v>
      </c>
      <c r="J203" s="41">
        <f t="shared" si="73"/>
        <v>689742.21000000031</v>
      </c>
      <c r="K203" s="41">
        <f t="shared" si="73"/>
        <v>754469.40000000026</v>
      </c>
      <c r="L203" s="41">
        <f t="shared" si="73"/>
        <v>870261.42000000027</v>
      </c>
      <c r="M203" s="41">
        <f t="shared" si="73"/>
        <v>939256.15000000026</v>
      </c>
      <c r="N203" s="41">
        <f t="shared" si="73"/>
        <v>1036260.3800000002</v>
      </c>
      <c r="O203" s="41">
        <f t="shared" si="73"/>
        <v>1105777.7700000003</v>
      </c>
      <c r="P203" s="41">
        <f t="shared" si="73"/>
        <v>1176839.8400000003</v>
      </c>
      <c r="Q203" s="89"/>
    </row>
    <row r="204" spans="1:17" x14ac:dyDescent="0.35">
      <c r="A204" s="87"/>
      <c r="C204" s="88"/>
      <c r="D204" s="41"/>
      <c r="E204" s="41"/>
      <c r="F204" s="41"/>
      <c r="G204" s="41"/>
      <c r="H204" s="41"/>
      <c r="I204" s="41"/>
      <c r="J204" s="41"/>
      <c r="K204" s="41"/>
      <c r="L204" s="41"/>
      <c r="M204" s="41"/>
      <c r="N204" s="41"/>
      <c r="O204" s="41"/>
      <c r="P204" s="41"/>
      <c r="Q204" s="89"/>
    </row>
    <row r="205" spans="1:17" x14ac:dyDescent="0.35">
      <c r="A205" s="87"/>
      <c r="B205" s="8" t="s">
        <v>164</v>
      </c>
      <c r="C205" s="88"/>
      <c r="D205" s="41"/>
      <c r="E205" s="41">
        <f>ROUND($C199*D203,0)</f>
        <v>1079</v>
      </c>
      <c r="F205" s="41">
        <f t="shared" ref="F205:P205" si="74">ROUND($C199*E203,0)</f>
        <v>1086</v>
      </c>
      <c r="G205" s="41">
        <f t="shared" si="74"/>
        <v>1137</v>
      </c>
      <c r="H205" s="41">
        <f t="shared" si="74"/>
        <v>1154</v>
      </c>
      <c r="I205" s="41">
        <f t="shared" si="74"/>
        <v>1172</v>
      </c>
      <c r="J205" s="41">
        <f t="shared" si="74"/>
        <v>1207</v>
      </c>
      <c r="K205" s="41">
        <f t="shared" si="74"/>
        <v>1311</v>
      </c>
      <c r="L205" s="41">
        <f t="shared" si="74"/>
        <v>1433</v>
      </c>
      <c r="M205" s="41">
        <f t="shared" si="74"/>
        <v>1653</v>
      </c>
      <c r="N205" s="41">
        <f t="shared" si="74"/>
        <v>1785</v>
      </c>
      <c r="O205" s="41">
        <f t="shared" si="74"/>
        <v>1969</v>
      </c>
      <c r="P205" s="41">
        <f t="shared" si="74"/>
        <v>2101</v>
      </c>
      <c r="Q205" s="89"/>
    </row>
    <row r="206" spans="1:17" x14ac:dyDescent="0.35">
      <c r="A206" s="87"/>
      <c r="B206" s="8" t="s">
        <v>165</v>
      </c>
      <c r="C206" s="88"/>
      <c r="D206" s="41"/>
      <c r="E206" s="44">
        <f>ROUND($C199*E202*0.5,3)</f>
        <v>3.0760000000000001</v>
      </c>
      <c r="F206" s="44">
        <f t="shared" ref="F206:P206" si="75">ROUND($C199*F202*0.5,3)</f>
        <v>25.827999999999999</v>
      </c>
      <c r="G206" s="44">
        <f t="shared" si="75"/>
        <v>8.3940000000000001</v>
      </c>
      <c r="H206" s="44">
        <f t="shared" si="75"/>
        <v>8.9169999999999998</v>
      </c>
      <c r="I206" s="44">
        <f t="shared" si="75"/>
        <v>17.442</v>
      </c>
      <c r="J206" s="44">
        <f t="shared" si="75"/>
        <v>51.895000000000003</v>
      </c>
      <c r="K206" s="44">
        <f t="shared" si="75"/>
        <v>61.491</v>
      </c>
      <c r="L206" s="44">
        <f t="shared" si="75"/>
        <v>110.002</v>
      </c>
      <c r="M206" s="44">
        <f t="shared" si="75"/>
        <v>65.545000000000002</v>
      </c>
      <c r="N206" s="44">
        <f t="shared" si="75"/>
        <v>92.153999999999996</v>
      </c>
      <c r="O206" s="44">
        <f t="shared" si="75"/>
        <v>66.042000000000002</v>
      </c>
      <c r="P206" s="44">
        <f t="shared" si="75"/>
        <v>67.509</v>
      </c>
      <c r="Q206" s="89"/>
    </row>
    <row r="207" spans="1:17" x14ac:dyDescent="0.35">
      <c r="A207" s="87"/>
      <c r="B207" s="8" t="s">
        <v>264</v>
      </c>
      <c r="C207" s="88"/>
      <c r="D207" s="41"/>
      <c r="E207" s="41">
        <f t="shared" ref="E207:P207" si="76">SUM(E205:E206)</f>
        <v>1082.076</v>
      </c>
      <c r="F207" s="41">
        <f t="shared" si="76"/>
        <v>1111.828</v>
      </c>
      <c r="G207" s="41">
        <f t="shared" si="76"/>
        <v>1145.394</v>
      </c>
      <c r="H207" s="41">
        <f t="shared" si="76"/>
        <v>1162.9169999999999</v>
      </c>
      <c r="I207" s="41">
        <f t="shared" si="76"/>
        <v>1189.442</v>
      </c>
      <c r="J207" s="41">
        <f t="shared" si="76"/>
        <v>1258.895</v>
      </c>
      <c r="K207" s="41">
        <f t="shared" si="76"/>
        <v>1372.491</v>
      </c>
      <c r="L207" s="41">
        <f t="shared" si="76"/>
        <v>1543.002</v>
      </c>
      <c r="M207" s="41">
        <f t="shared" si="76"/>
        <v>1718.5450000000001</v>
      </c>
      <c r="N207" s="41">
        <f t="shared" si="76"/>
        <v>1877.154</v>
      </c>
      <c r="O207" s="41">
        <f t="shared" si="76"/>
        <v>2035.0419999999999</v>
      </c>
      <c r="P207" s="41">
        <f t="shared" si="76"/>
        <v>2168.509</v>
      </c>
      <c r="Q207" s="89">
        <f>SUM(E207:P207)</f>
        <v>17665.294999999998</v>
      </c>
    </row>
    <row r="208" spans="1:17" x14ac:dyDescent="0.35">
      <c r="A208" s="90"/>
      <c r="B208" s="91"/>
      <c r="C208" s="91"/>
      <c r="D208" s="91"/>
      <c r="E208" s="91"/>
      <c r="F208" s="91"/>
      <c r="G208" s="91"/>
      <c r="H208" s="91"/>
      <c r="I208" s="91"/>
      <c r="J208" s="91"/>
      <c r="K208" s="91"/>
      <c r="L208" s="91"/>
      <c r="M208" s="91"/>
      <c r="N208" s="91"/>
      <c r="O208" s="91"/>
      <c r="P208" s="91"/>
      <c r="Q208" s="95"/>
    </row>
    <row r="209" spans="1:17" x14ac:dyDescent="0.35">
      <c r="A209" s="82"/>
      <c r="B209" s="83" t="s">
        <v>137</v>
      </c>
      <c r="C209" s="84">
        <f>2.22%/12</f>
        <v>1.8500000000000001E-3</v>
      </c>
      <c r="D209" s="46"/>
      <c r="E209" s="46"/>
      <c r="F209" s="46"/>
      <c r="G209" s="46"/>
      <c r="H209" s="46"/>
      <c r="I209" s="46"/>
      <c r="J209" s="46"/>
      <c r="K209" s="46"/>
      <c r="L209" s="46"/>
      <c r="M209" s="46"/>
      <c r="N209" s="46"/>
      <c r="O209" s="46"/>
      <c r="P209" s="46"/>
      <c r="Q209" s="86"/>
    </row>
    <row r="210" spans="1:17" x14ac:dyDescent="0.35">
      <c r="A210" s="87"/>
      <c r="B210" s="8" t="s">
        <v>166</v>
      </c>
      <c r="C210" s="88"/>
      <c r="D210" s="41"/>
      <c r="E210" s="41">
        <f>'3.0 Plant in Service'!D162</f>
        <v>2580.31</v>
      </c>
      <c r="F210" s="41">
        <f>'3.0 Plant in Service'!E162</f>
        <v>-7987.67</v>
      </c>
      <c r="G210" s="41">
        <f>'3.0 Plant in Service'!F162</f>
        <v>1331.33</v>
      </c>
      <c r="H210" s="41">
        <f>'3.0 Plant in Service'!G162</f>
        <v>3106.02</v>
      </c>
      <c r="I210" s="41">
        <f>'3.0 Plant in Service'!H162</f>
        <v>-2503.2800000000002</v>
      </c>
      <c r="J210" s="41">
        <f>'3.0 Plant in Service'!I162</f>
        <v>36766.480000000003</v>
      </c>
      <c r="K210" s="41">
        <f>'3.0 Plant in Service'!J162</f>
        <v>32186.799999999999</v>
      </c>
      <c r="L210" s="41">
        <f>'3.0 Plant in Service'!K162</f>
        <v>53296.5</v>
      </c>
      <c r="M210" s="41">
        <f>'3.0 Plant in Service'!L162</f>
        <v>33078.550000000003</v>
      </c>
      <c r="N210" s="41">
        <f>'3.0 Plant in Service'!M162</f>
        <v>27142.68</v>
      </c>
      <c r="O210" s="41">
        <f>'3.0 Plant in Service'!N162</f>
        <v>33234.28</v>
      </c>
      <c r="P210" s="41">
        <f>'3.0 Plant in Service'!O162</f>
        <v>43035.68</v>
      </c>
      <c r="Q210" s="89">
        <f>SUM(E210:P210)</f>
        <v>255267.68</v>
      </c>
    </row>
    <row r="211" spans="1:17" x14ac:dyDescent="0.35">
      <c r="A211" s="87"/>
      <c r="B211" s="8" t="s">
        <v>167</v>
      </c>
      <c r="C211" s="88"/>
      <c r="D211" s="41"/>
      <c r="E211" s="44">
        <f>'3.0 Plant in Service'!D171</f>
        <v>-391.03</v>
      </c>
      <c r="F211" s="44">
        <f>'3.0 Plant in Service'!E171</f>
        <v>-432.71</v>
      </c>
      <c r="G211" s="44">
        <f>'3.0 Plant in Service'!F171</f>
        <v>-452.29</v>
      </c>
      <c r="H211" s="44">
        <f>'3.0 Plant in Service'!G171</f>
        <v>-376.34</v>
      </c>
      <c r="I211" s="44">
        <f>'3.0 Plant in Service'!H171</f>
        <v>-375.47</v>
      </c>
      <c r="J211" s="44">
        <f>'3.0 Plant in Service'!I171</f>
        <v>-428.67</v>
      </c>
      <c r="K211" s="44">
        <f>'3.0 Plant in Service'!J171</f>
        <v>-31.38</v>
      </c>
      <c r="L211" s="44">
        <f>'3.0 Plant in Service'!K171</f>
        <v>-32.869999999999997</v>
      </c>
      <c r="M211" s="44">
        <f>'3.0 Plant in Service'!L171</f>
        <v>-36.619999999999997</v>
      </c>
      <c r="N211" s="44">
        <f>'3.0 Plant in Service'!M171</f>
        <v>-39.04</v>
      </c>
      <c r="O211" s="44">
        <f>'3.0 Plant in Service'!N171</f>
        <v>0</v>
      </c>
      <c r="P211" s="44">
        <f>'3.0 Plant in Service'!O171</f>
        <v>-127.09</v>
      </c>
      <c r="Q211" s="89"/>
    </row>
    <row r="212" spans="1:17" x14ac:dyDescent="0.35">
      <c r="A212" s="87"/>
      <c r="B212" s="8" t="s">
        <v>213</v>
      </c>
      <c r="C212" s="88"/>
      <c r="D212" s="41"/>
      <c r="E212" s="41">
        <f t="shared" ref="E212:P212" si="77">SUM(E210:E211)</f>
        <v>2189.2799999999997</v>
      </c>
      <c r="F212" s="41">
        <f t="shared" si="77"/>
        <v>-8420.3799999999992</v>
      </c>
      <c r="G212" s="41">
        <f t="shared" si="77"/>
        <v>879.04</v>
      </c>
      <c r="H212" s="41">
        <f t="shared" si="77"/>
        <v>2729.68</v>
      </c>
      <c r="I212" s="41">
        <f t="shared" si="77"/>
        <v>-2878.75</v>
      </c>
      <c r="J212" s="41">
        <f t="shared" si="77"/>
        <v>36337.810000000005</v>
      </c>
      <c r="K212" s="41">
        <f t="shared" si="77"/>
        <v>32155.42</v>
      </c>
      <c r="L212" s="41">
        <f t="shared" si="77"/>
        <v>53263.63</v>
      </c>
      <c r="M212" s="41">
        <f t="shared" si="77"/>
        <v>33041.93</v>
      </c>
      <c r="N212" s="41">
        <f t="shared" si="77"/>
        <v>27103.64</v>
      </c>
      <c r="O212" s="41">
        <f t="shared" si="77"/>
        <v>33234.28</v>
      </c>
      <c r="P212" s="41">
        <f t="shared" si="77"/>
        <v>42908.590000000004</v>
      </c>
      <c r="Q212" s="89">
        <f>SUM(D212:P212)+D213</f>
        <v>305881.34999999998</v>
      </c>
    </row>
    <row r="213" spans="1:17" x14ac:dyDescent="0.35">
      <c r="A213" s="87"/>
      <c r="B213" s="8" t="s">
        <v>163</v>
      </c>
      <c r="C213" s="88"/>
      <c r="D213" s="41">
        <f>+P140</f>
        <v>53337.180000000008</v>
      </c>
      <c r="E213" s="41">
        <f t="shared" ref="E213:P213" si="78">+E212+D213</f>
        <v>55526.460000000006</v>
      </c>
      <c r="F213" s="41">
        <f t="shared" si="78"/>
        <v>47106.080000000009</v>
      </c>
      <c r="G213" s="41">
        <f t="shared" si="78"/>
        <v>47985.12000000001</v>
      </c>
      <c r="H213" s="41">
        <f t="shared" si="78"/>
        <v>50714.80000000001</v>
      </c>
      <c r="I213" s="41">
        <f t="shared" si="78"/>
        <v>47836.05000000001</v>
      </c>
      <c r="J213" s="41">
        <f t="shared" si="78"/>
        <v>84173.860000000015</v>
      </c>
      <c r="K213" s="41">
        <f t="shared" si="78"/>
        <v>116329.28000000001</v>
      </c>
      <c r="L213" s="41">
        <f t="shared" si="78"/>
        <v>169592.91</v>
      </c>
      <c r="M213" s="41">
        <f t="shared" si="78"/>
        <v>202634.84</v>
      </c>
      <c r="N213" s="41">
        <f t="shared" si="78"/>
        <v>229738.47999999998</v>
      </c>
      <c r="O213" s="41">
        <f t="shared" si="78"/>
        <v>262972.76</v>
      </c>
      <c r="P213" s="41">
        <f t="shared" si="78"/>
        <v>305881.35000000003</v>
      </c>
      <c r="Q213" s="89"/>
    </row>
    <row r="214" spans="1:17" x14ac:dyDescent="0.35">
      <c r="A214" s="87"/>
      <c r="C214" s="88"/>
      <c r="D214" s="41"/>
      <c r="E214" s="41"/>
      <c r="F214" s="41"/>
      <c r="G214" s="41"/>
      <c r="H214" s="41"/>
      <c r="I214" s="41"/>
      <c r="J214" s="41"/>
      <c r="K214" s="41"/>
      <c r="L214" s="41"/>
      <c r="M214" s="41"/>
      <c r="N214" s="41"/>
      <c r="O214" s="41"/>
      <c r="P214" s="41"/>
      <c r="Q214" s="89"/>
    </row>
    <row r="215" spans="1:17" x14ac:dyDescent="0.35">
      <c r="A215" s="87"/>
      <c r="B215" s="8" t="s">
        <v>164</v>
      </c>
      <c r="C215" s="88"/>
      <c r="D215" s="41"/>
      <c r="E215" s="41">
        <f>ROUND($C209*D213,0)</f>
        <v>99</v>
      </c>
      <c r="F215" s="41">
        <f t="shared" ref="F215:P215" si="79">ROUND($C209*E213,0)</f>
        <v>103</v>
      </c>
      <c r="G215" s="41">
        <f t="shared" si="79"/>
        <v>87</v>
      </c>
      <c r="H215" s="41">
        <f t="shared" si="79"/>
        <v>89</v>
      </c>
      <c r="I215" s="41">
        <f t="shared" si="79"/>
        <v>94</v>
      </c>
      <c r="J215" s="41">
        <f t="shared" si="79"/>
        <v>88</v>
      </c>
      <c r="K215" s="41">
        <f t="shared" si="79"/>
        <v>156</v>
      </c>
      <c r="L215" s="41">
        <f t="shared" si="79"/>
        <v>215</v>
      </c>
      <c r="M215" s="41">
        <f t="shared" si="79"/>
        <v>314</v>
      </c>
      <c r="N215" s="41">
        <f t="shared" si="79"/>
        <v>375</v>
      </c>
      <c r="O215" s="41">
        <f t="shared" si="79"/>
        <v>425</v>
      </c>
      <c r="P215" s="41">
        <f t="shared" si="79"/>
        <v>486</v>
      </c>
      <c r="Q215" s="89"/>
    </row>
    <row r="216" spans="1:17" x14ac:dyDescent="0.35">
      <c r="A216" s="87"/>
      <c r="B216" s="8" t="s">
        <v>165</v>
      </c>
      <c r="C216" s="88"/>
      <c r="D216" s="41"/>
      <c r="E216" s="44">
        <f>ROUND($C209*E212*0.5,3)</f>
        <v>2.0249999999999999</v>
      </c>
      <c r="F216" s="44">
        <f t="shared" ref="F216:P216" si="80">ROUND($C209*F212*0.5,3)</f>
        <v>-7.7889999999999997</v>
      </c>
      <c r="G216" s="44">
        <f t="shared" si="80"/>
        <v>0.81299999999999994</v>
      </c>
      <c r="H216" s="44">
        <f t="shared" si="80"/>
        <v>2.5249999999999999</v>
      </c>
      <c r="I216" s="44">
        <f t="shared" si="80"/>
        <v>-2.6629999999999998</v>
      </c>
      <c r="J216" s="44">
        <f t="shared" si="80"/>
        <v>33.612000000000002</v>
      </c>
      <c r="K216" s="44">
        <f t="shared" si="80"/>
        <v>29.744</v>
      </c>
      <c r="L216" s="44">
        <f t="shared" si="80"/>
        <v>49.268999999999998</v>
      </c>
      <c r="M216" s="44">
        <f t="shared" si="80"/>
        <v>30.564</v>
      </c>
      <c r="N216" s="44">
        <f t="shared" si="80"/>
        <v>25.071000000000002</v>
      </c>
      <c r="O216" s="44">
        <f t="shared" si="80"/>
        <v>30.742000000000001</v>
      </c>
      <c r="P216" s="44">
        <f t="shared" si="80"/>
        <v>39.69</v>
      </c>
      <c r="Q216" s="89"/>
    </row>
    <row r="217" spans="1:17" x14ac:dyDescent="0.35">
      <c r="A217" s="87"/>
      <c r="B217" s="8" t="s">
        <v>265</v>
      </c>
      <c r="C217" s="88"/>
      <c r="D217" s="41"/>
      <c r="E217" s="41">
        <f t="shared" ref="E217:P217" si="81">SUM(E215:E216)</f>
        <v>101.02500000000001</v>
      </c>
      <c r="F217" s="41">
        <f t="shared" si="81"/>
        <v>95.210999999999999</v>
      </c>
      <c r="G217" s="41">
        <f t="shared" si="81"/>
        <v>87.813000000000002</v>
      </c>
      <c r="H217" s="41">
        <f t="shared" si="81"/>
        <v>91.525000000000006</v>
      </c>
      <c r="I217" s="41">
        <f t="shared" si="81"/>
        <v>91.337000000000003</v>
      </c>
      <c r="J217" s="41">
        <f t="shared" si="81"/>
        <v>121.61199999999999</v>
      </c>
      <c r="K217" s="41">
        <f t="shared" si="81"/>
        <v>185.744</v>
      </c>
      <c r="L217" s="41">
        <f t="shared" si="81"/>
        <v>264.26900000000001</v>
      </c>
      <c r="M217" s="41">
        <f t="shared" si="81"/>
        <v>344.56400000000002</v>
      </c>
      <c r="N217" s="41">
        <f t="shared" si="81"/>
        <v>400.07100000000003</v>
      </c>
      <c r="O217" s="41">
        <f t="shared" si="81"/>
        <v>455.74200000000002</v>
      </c>
      <c r="P217" s="41">
        <f t="shared" si="81"/>
        <v>525.69000000000005</v>
      </c>
      <c r="Q217" s="89">
        <f>SUM(E217:P217)</f>
        <v>2764.6030000000005</v>
      </c>
    </row>
    <row r="218" spans="1:17" x14ac:dyDescent="0.35">
      <c r="A218" s="90"/>
      <c r="B218" s="91"/>
      <c r="Q218" s="96"/>
    </row>
    <row r="219" spans="1:17" x14ac:dyDescent="0.35">
      <c r="A219" s="82"/>
      <c r="B219" s="97" t="s">
        <v>168</v>
      </c>
      <c r="C219" s="97"/>
      <c r="D219" s="97"/>
      <c r="E219" s="46">
        <f>+E177+E187+E197+E207+E217</f>
        <v>176099.48199999999</v>
      </c>
      <c r="F219" s="46">
        <f t="shared" ref="F219:P219" si="82">+F177+F187+F197+F207+F217</f>
        <v>178298.04400000002</v>
      </c>
      <c r="G219" s="46">
        <f t="shared" si="82"/>
        <v>182031.21299999999</v>
      </c>
      <c r="H219" s="46">
        <f t="shared" si="82"/>
        <v>187137.43299999996</v>
      </c>
      <c r="I219" s="46">
        <f t="shared" si="82"/>
        <v>192044.807</v>
      </c>
      <c r="J219" s="46">
        <f t="shared" si="82"/>
        <v>197568.174</v>
      </c>
      <c r="K219" s="46">
        <f t="shared" si="82"/>
        <v>203854.25600000002</v>
      </c>
      <c r="L219" s="46">
        <f t="shared" si="82"/>
        <v>209752.36900000001</v>
      </c>
      <c r="M219" s="46">
        <f t="shared" si="82"/>
        <v>216150.51800000001</v>
      </c>
      <c r="N219" s="46">
        <f t="shared" si="82"/>
        <v>223850.405</v>
      </c>
      <c r="O219" s="46">
        <f t="shared" si="82"/>
        <v>233534.21599999999</v>
      </c>
      <c r="P219" s="46">
        <f t="shared" si="82"/>
        <v>244663.08099999998</v>
      </c>
      <c r="Q219" s="86">
        <f>SUM(E219:P219)</f>
        <v>2444983.9979999997</v>
      </c>
    </row>
    <row r="220" spans="1:17" x14ac:dyDescent="0.35">
      <c r="A220" s="87"/>
      <c r="B220" s="8" t="s">
        <v>169</v>
      </c>
      <c r="D220" s="15">
        <f>+P147</f>
        <v>1677997.1430000002</v>
      </c>
      <c r="E220" s="43">
        <f t="shared" ref="E220:P220" si="83">+E219+D220</f>
        <v>1854096.6250000002</v>
      </c>
      <c r="F220" s="43">
        <f t="shared" si="83"/>
        <v>2032394.6690000002</v>
      </c>
      <c r="G220" s="43">
        <f t="shared" si="83"/>
        <v>2214425.8820000002</v>
      </c>
      <c r="H220" s="43">
        <f t="shared" si="83"/>
        <v>2401563.3150000004</v>
      </c>
      <c r="I220" s="43">
        <f t="shared" si="83"/>
        <v>2593608.1220000004</v>
      </c>
      <c r="J220" s="43">
        <f t="shared" si="83"/>
        <v>2791176.2960000006</v>
      </c>
      <c r="K220" s="43">
        <f t="shared" si="83"/>
        <v>2995030.5520000006</v>
      </c>
      <c r="L220" s="43">
        <f t="shared" si="83"/>
        <v>3204782.9210000006</v>
      </c>
      <c r="M220" s="43">
        <f t="shared" si="83"/>
        <v>3420933.4390000007</v>
      </c>
      <c r="N220" s="43">
        <f t="shared" si="83"/>
        <v>3644783.8440000005</v>
      </c>
      <c r="O220" s="43">
        <f t="shared" si="83"/>
        <v>3878318.0600000005</v>
      </c>
      <c r="P220" s="43">
        <f t="shared" si="83"/>
        <v>4122981.1410000003</v>
      </c>
      <c r="Q220" s="96"/>
    </row>
    <row r="221" spans="1:17" x14ac:dyDescent="0.35">
      <c r="A221" s="91"/>
      <c r="B221" s="91"/>
      <c r="C221" s="91"/>
      <c r="D221" s="91"/>
      <c r="E221" s="91"/>
      <c r="F221" s="91"/>
      <c r="G221" s="91"/>
      <c r="H221" s="91"/>
      <c r="I221" s="91"/>
      <c r="J221" s="91"/>
      <c r="K221" s="91"/>
      <c r="L221" s="91"/>
      <c r="M221" s="91"/>
      <c r="N221" s="91"/>
      <c r="O221" s="91"/>
      <c r="P221" s="91"/>
      <c r="Q221" s="95"/>
    </row>
    <row r="229" spans="1:17" x14ac:dyDescent="0.35">
      <c r="Q229" s="9"/>
    </row>
    <row r="230" spans="1:17" x14ac:dyDescent="0.35">
      <c r="Q230" s="9"/>
    </row>
    <row r="231" spans="1:17" x14ac:dyDescent="0.35">
      <c r="C231" s="11"/>
      <c r="D231" s="10"/>
      <c r="E231" s="10"/>
      <c r="F231" s="10"/>
      <c r="G231" s="10"/>
      <c r="H231" s="10"/>
      <c r="I231" s="10"/>
      <c r="J231" s="10"/>
      <c r="K231" s="10"/>
      <c r="L231" s="10"/>
      <c r="M231" s="10"/>
      <c r="N231" s="10"/>
      <c r="O231" s="10"/>
      <c r="P231" s="10"/>
      <c r="Q231" s="10"/>
    </row>
    <row r="232" spans="1:17" x14ac:dyDescent="0.35">
      <c r="C232" s="11"/>
      <c r="D232" s="10"/>
      <c r="E232" s="10"/>
      <c r="F232" s="10"/>
      <c r="G232" s="10"/>
      <c r="H232" s="10"/>
      <c r="I232" s="10"/>
      <c r="J232" s="10"/>
      <c r="K232" s="10"/>
      <c r="L232" s="10"/>
      <c r="M232" s="10"/>
      <c r="N232" s="10"/>
      <c r="O232" s="10"/>
      <c r="P232" s="10"/>
      <c r="Q232" s="10"/>
    </row>
    <row r="233" spans="1:17" x14ac:dyDescent="0.35">
      <c r="C233" s="11"/>
      <c r="D233" s="10"/>
      <c r="E233" s="10"/>
      <c r="F233" s="10"/>
      <c r="G233" s="10"/>
      <c r="H233" s="10"/>
      <c r="I233" s="10"/>
      <c r="J233" s="10"/>
      <c r="K233" s="10"/>
      <c r="L233" s="10"/>
      <c r="M233" s="10"/>
      <c r="N233" s="10"/>
      <c r="O233" s="10"/>
      <c r="P233" s="10"/>
      <c r="Q233" s="10"/>
    </row>
    <row r="234" spans="1:17" x14ac:dyDescent="0.35">
      <c r="C234" s="79"/>
    </row>
    <row r="235" spans="1:17" x14ac:dyDescent="0.35">
      <c r="C235" s="88"/>
      <c r="D235" s="41"/>
      <c r="E235" s="141"/>
      <c r="F235" s="141"/>
      <c r="G235" s="141"/>
      <c r="H235" s="141"/>
      <c r="I235" s="141"/>
      <c r="J235" s="141"/>
      <c r="K235" s="141"/>
      <c r="L235" s="141"/>
      <c r="M235" s="141"/>
      <c r="N235" s="141"/>
      <c r="O235" s="141"/>
      <c r="P235" s="141"/>
      <c r="Q235" s="43"/>
    </row>
    <row r="236" spans="1:17" x14ac:dyDescent="0.35">
      <c r="C236" s="88"/>
      <c r="D236" s="41"/>
      <c r="E236" s="41"/>
      <c r="F236" s="41"/>
      <c r="G236" s="41"/>
      <c r="H236" s="41"/>
      <c r="I236" s="41"/>
      <c r="J236" s="41"/>
      <c r="K236" s="41"/>
      <c r="L236" s="41"/>
      <c r="M236" s="41"/>
      <c r="N236" s="41"/>
      <c r="O236" s="41"/>
      <c r="P236" s="41"/>
      <c r="Q236" s="43"/>
    </row>
    <row r="237" spans="1:17" x14ac:dyDescent="0.35">
      <c r="C237" s="88"/>
      <c r="D237" s="41"/>
      <c r="E237" s="41"/>
      <c r="F237" s="41"/>
      <c r="G237" s="41"/>
      <c r="H237" s="41"/>
      <c r="I237" s="41"/>
      <c r="J237" s="41"/>
      <c r="K237" s="41"/>
      <c r="L237" s="41"/>
      <c r="M237" s="41"/>
      <c r="N237" s="41"/>
      <c r="O237" s="41"/>
      <c r="P237" s="41"/>
      <c r="Q237" s="43"/>
    </row>
    <row r="238" spans="1:17" x14ac:dyDescent="0.35">
      <c r="A238" s="87"/>
      <c r="C238" s="88"/>
      <c r="D238" s="41"/>
      <c r="E238" s="41"/>
      <c r="F238" s="41"/>
      <c r="G238" s="41"/>
      <c r="H238" s="41"/>
      <c r="I238" s="41"/>
      <c r="J238" s="41"/>
      <c r="K238" s="41"/>
      <c r="L238" s="41"/>
      <c r="M238" s="41"/>
      <c r="N238" s="41"/>
      <c r="O238" s="41"/>
      <c r="P238" s="41"/>
      <c r="Q238" s="43"/>
    </row>
    <row r="239" spans="1:17" x14ac:dyDescent="0.35">
      <c r="N239" s="9"/>
      <c r="Q239" s="9" t="str">
        <f>+Q158</f>
        <v>Case No. 2026-00306</v>
      </c>
    </row>
    <row r="240" spans="1:17" x14ac:dyDescent="0.35">
      <c r="N240" s="9"/>
      <c r="Q240" s="9" t="str">
        <f>+Q159</f>
        <v>SMRP Form 5.0</v>
      </c>
    </row>
    <row r="241" spans="1:19" x14ac:dyDescent="0.35">
      <c r="N241" s="9"/>
      <c r="Q241" s="9" t="s">
        <v>296</v>
      </c>
    </row>
    <row r="242" spans="1:19" x14ac:dyDescent="0.35">
      <c r="A242" s="144" t="s">
        <v>12</v>
      </c>
      <c r="B242" s="144"/>
      <c r="C242" s="144"/>
      <c r="D242" s="144"/>
      <c r="E242" s="144"/>
      <c r="F242" s="144"/>
      <c r="G242" s="144"/>
      <c r="H242" s="144"/>
      <c r="I242" s="144"/>
      <c r="J242" s="144"/>
      <c r="K242" s="144"/>
      <c r="L242" s="144"/>
      <c r="M242" s="144"/>
      <c r="N242" s="144"/>
      <c r="O242" s="144"/>
      <c r="P242" s="144"/>
      <c r="Q242" s="144"/>
    </row>
    <row r="243" spans="1:19" x14ac:dyDescent="0.35">
      <c r="A243" s="144" t="s">
        <v>109</v>
      </c>
      <c r="B243" s="144"/>
      <c r="C243" s="144"/>
      <c r="D243" s="144"/>
      <c r="E243" s="144"/>
      <c r="F243" s="144"/>
      <c r="G243" s="144"/>
      <c r="H243" s="144"/>
      <c r="I243" s="144"/>
      <c r="J243" s="144"/>
      <c r="K243" s="144"/>
      <c r="L243" s="144"/>
      <c r="M243" s="144"/>
      <c r="N243" s="144"/>
      <c r="O243" s="144"/>
      <c r="P243" s="144"/>
      <c r="Q243" s="144"/>
    </row>
    <row r="244" spans="1:19" x14ac:dyDescent="0.35">
      <c r="A244" s="144" t="s">
        <v>289</v>
      </c>
      <c r="B244" s="144"/>
      <c r="C244" s="144"/>
      <c r="D244" s="144"/>
      <c r="E244" s="144"/>
      <c r="F244" s="144"/>
      <c r="G244" s="144"/>
      <c r="H244" s="144"/>
      <c r="I244" s="144"/>
      <c r="J244" s="144"/>
      <c r="K244" s="144"/>
      <c r="L244" s="144"/>
      <c r="M244" s="144"/>
      <c r="N244" s="144"/>
      <c r="O244" s="144"/>
      <c r="P244" s="144"/>
      <c r="Q244" s="144"/>
    </row>
    <row r="246" spans="1:19" x14ac:dyDescent="0.35">
      <c r="C246" s="11" t="s">
        <v>60</v>
      </c>
      <c r="D246" s="10">
        <f>+D165+1</f>
        <v>2025</v>
      </c>
      <c r="E246" s="10">
        <f>+D246+1</f>
        <v>2026</v>
      </c>
      <c r="F246" s="10">
        <f t="shared" ref="F246:Q246" si="84">+E246</f>
        <v>2026</v>
      </c>
      <c r="G246" s="10">
        <f t="shared" si="84"/>
        <v>2026</v>
      </c>
      <c r="H246" s="10">
        <f t="shared" si="84"/>
        <v>2026</v>
      </c>
      <c r="I246" s="10">
        <f t="shared" si="84"/>
        <v>2026</v>
      </c>
      <c r="J246" s="10">
        <f t="shared" si="84"/>
        <v>2026</v>
      </c>
      <c r="K246" s="10">
        <f t="shared" si="84"/>
        <v>2026</v>
      </c>
      <c r="L246" s="10">
        <f t="shared" si="84"/>
        <v>2026</v>
      </c>
      <c r="M246" s="10">
        <f t="shared" si="84"/>
        <v>2026</v>
      </c>
      <c r="N246" s="10">
        <f t="shared" si="84"/>
        <v>2026</v>
      </c>
      <c r="O246" s="10">
        <f t="shared" si="84"/>
        <v>2026</v>
      </c>
      <c r="P246" s="10">
        <f t="shared" si="84"/>
        <v>2026</v>
      </c>
      <c r="Q246" s="10">
        <f t="shared" si="84"/>
        <v>2026</v>
      </c>
    </row>
    <row r="247" spans="1:19" x14ac:dyDescent="0.35">
      <c r="C247" s="11" t="s">
        <v>23</v>
      </c>
      <c r="D247" s="10" t="s">
        <v>140</v>
      </c>
      <c r="E247" s="10" t="s">
        <v>141</v>
      </c>
      <c r="F247" s="10" t="s">
        <v>142</v>
      </c>
      <c r="G247" s="10" t="s">
        <v>143</v>
      </c>
      <c r="H247" s="10" t="s">
        <v>144</v>
      </c>
      <c r="I247" s="10" t="s">
        <v>81</v>
      </c>
      <c r="J247" s="10" t="s">
        <v>145</v>
      </c>
      <c r="K247" s="10" t="s">
        <v>146</v>
      </c>
      <c r="L247" s="10" t="s">
        <v>147</v>
      </c>
      <c r="M247" s="10" t="s">
        <v>148</v>
      </c>
      <c r="N247" s="10" t="s">
        <v>149</v>
      </c>
      <c r="O247" s="10" t="s">
        <v>150</v>
      </c>
      <c r="P247" s="10" t="s">
        <v>140</v>
      </c>
      <c r="Q247" s="10" t="s">
        <v>92</v>
      </c>
    </row>
    <row r="248" spans="1:19" x14ac:dyDescent="0.35">
      <c r="C248" s="11" t="s">
        <v>162</v>
      </c>
      <c r="D248" s="10" t="s">
        <v>92</v>
      </c>
      <c r="E248" s="10" t="s">
        <v>201</v>
      </c>
      <c r="F248" s="10" t="s">
        <v>201</v>
      </c>
      <c r="G248" s="10" t="s">
        <v>201</v>
      </c>
      <c r="H248" s="10" t="s">
        <v>201</v>
      </c>
      <c r="I248" s="10" t="s">
        <v>201</v>
      </c>
      <c r="J248" s="10" t="s">
        <v>201</v>
      </c>
      <c r="K248" s="10" t="s">
        <v>201</v>
      </c>
      <c r="L248" s="10" t="s">
        <v>201</v>
      </c>
      <c r="M248" s="10" t="s">
        <v>201</v>
      </c>
      <c r="N248" s="10" t="s">
        <v>201</v>
      </c>
      <c r="O248" s="10" t="s">
        <v>201</v>
      </c>
      <c r="P248" s="10" t="s">
        <v>201</v>
      </c>
      <c r="Q248" s="10" t="s">
        <v>9</v>
      </c>
    </row>
    <row r="249" spans="1:19" x14ac:dyDescent="0.35">
      <c r="B249" s="79"/>
      <c r="C249" s="79"/>
    </row>
    <row r="250" spans="1:19" x14ac:dyDescent="0.35">
      <c r="A250" s="82"/>
      <c r="B250" s="83" t="s">
        <v>133</v>
      </c>
      <c r="C250" s="84">
        <f>1.8%/12</f>
        <v>1.5000000000000002E-3</v>
      </c>
      <c r="D250" s="46"/>
      <c r="E250" s="85"/>
      <c r="F250" s="85"/>
      <c r="G250" s="85"/>
      <c r="H250" s="85"/>
      <c r="I250" s="85"/>
      <c r="J250" s="85"/>
      <c r="K250" s="85"/>
      <c r="L250" s="85"/>
      <c r="M250" s="85"/>
      <c r="N250" s="85"/>
      <c r="O250" s="85"/>
      <c r="P250" s="85"/>
      <c r="Q250" s="86"/>
    </row>
    <row r="251" spans="1:19" x14ac:dyDescent="0.35">
      <c r="A251" s="87"/>
      <c r="B251" s="8" t="s">
        <v>166</v>
      </c>
      <c r="C251" s="88"/>
      <c r="D251" s="41"/>
      <c r="E251" s="41">
        <f>'3.0 Plant in Service'!D231</f>
        <v>348088.18618430005</v>
      </c>
      <c r="F251" s="41">
        <f>'3.0 Plant in Service'!E231</f>
        <v>904311.57647880004</v>
      </c>
      <c r="G251" s="41">
        <f>'3.0 Plant in Service'!F231</f>
        <v>4123230.1641831002</v>
      </c>
      <c r="H251" s="41">
        <f>'3.0 Plant in Service'!G231</f>
        <v>1080149.9385718999</v>
      </c>
      <c r="I251" s="41">
        <f>'3.0 Plant in Service'!H231</f>
        <v>2415086.0752786999</v>
      </c>
      <c r="J251" s="41">
        <f>'3.0 Plant in Service'!I231</f>
        <v>2992840.6935846</v>
      </c>
      <c r="K251" s="41">
        <f>'3.0 Plant in Service'!J231</f>
        <v>2895950.1675332999</v>
      </c>
      <c r="L251" s="41">
        <f>'3.0 Plant in Service'!K231</f>
        <v>1363644.4407220001</v>
      </c>
      <c r="M251" s="41">
        <f>'3.0 Plant in Service'!L231</f>
        <v>3416288.1778088002</v>
      </c>
      <c r="N251" s="41">
        <f>'3.0 Plant in Service'!M231</f>
        <v>3649543.1479322999</v>
      </c>
      <c r="O251" s="41">
        <f>'3.0 Plant in Service'!N231</f>
        <v>5648358.8149906006</v>
      </c>
      <c r="P251" s="41">
        <f>'3.0 Plant in Service'!O231</f>
        <v>7047888.6357315984</v>
      </c>
      <c r="Q251" s="89">
        <f>SUM(E251:P251)</f>
        <v>35885380.019000001</v>
      </c>
    </row>
    <row r="252" spans="1:19" x14ac:dyDescent="0.35">
      <c r="A252" s="87"/>
      <c r="B252" s="8" t="s">
        <v>167</v>
      </c>
      <c r="C252" s="88"/>
      <c r="D252" s="41"/>
      <c r="E252" s="44">
        <f>'3.0 Plant in Service'!D240</f>
        <v>0</v>
      </c>
      <c r="F252" s="44">
        <f>'3.0 Plant in Service'!E240</f>
        <v>0</v>
      </c>
      <c r="G252" s="44">
        <f>'3.0 Plant in Service'!F240</f>
        <v>-17055.299503999999</v>
      </c>
      <c r="H252" s="44">
        <f>'3.0 Plant in Service'!G240</f>
        <v>-1249.7417739999999</v>
      </c>
      <c r="I252" s="44">
        <f>'3.0 Plant in Service'!H240</f>
        <v>-7277.9079780000002</v>
      </c>
      <c r="J252" s="44">
        <f>'3.0 Plant in Service'!I240</f>
        <v>-6175.1946479999997</v>
      </c>
      <c r="K252" s="44">
        <f>'3.0 Plant in Service'!J240</f>
        <v>-372055.47754200001</v>
      </c>
      <c r="L252" s="44">
        <f>'3.0 Plant in Service'!K240</f>
        <v>-9262.7919719999991</v>
      </c>
      <c r="M252" s="44">
        <f>'3.0 Plant in Service'!L240</f>
        <v>0</v>
      </c>
      <c r="N252" s="44">
        <f>'3.0 Plant in Service'!M240</f>
        <v>-69176.882901999998</v>
      </c>
      <c r="O252" s="44">
        <f>'3.0 Plant in Service'!N240</f>
        <v>0</v>
      </c>
      <c r="P252" s="44">
        <f>'3.0 Plant in Service'!O240</f>
        <v>-252888.92367999998</v>
      </c>
      <c r="Q252" s="89"/>
    </row>
    <row r="253" spans="1:19" x14ac:dyDescent="0.35">
      <c r="A253" s="87"/>
      <c r="B253" s="8" t="s">
        <v>213</v>
      </c>
      <c r="C253" s="88"/>
      <c r="D253" s="41"/>
      <c r="E253" s="41">
        <f t="shared" ref="E253:P253" si="85">SUM(E251:E252)</f>
        <v>348088.18618430005</v>
      </c>
      <c r="F253" s="41">
        <f t="shared" si="85"/>
        <v>904311.57647880004</v>
      </c>
      <c r="G253" s="41">
        <f t="shared" si="85"/>
        <v>4106174.8646791</v>
      </c>
      <c r="H253" s="41">
        <f t="shared" si="85"/>
        <v>1078900.1967978999</v>
      </c>
      <c r="I253" s="41">
        <f t="shared" si="85"/>
        <v>2407808.1673006997</v>
      </c>
      <c r="J253" s="41">
        <f t="shared" si="85"/>
        <v>2986665.4989366001</v>
      </c>
      <c r="K253" s="41">
        <f t="shared" si="85"/>
        <v>2523894.6899913</v>
      </c>
      <c r="L253" s="41">
        <f t="shared" si="85"/>
        <v>1354381.6487500002</v>
      </c>
      <c r="M253" s="41">
        <f t="shared" si="85"/>
        <v>3416288.1778088002</v>
      </c>
      <c r="N253" s="41">
        <f t="shared" si="85"/>
        <v>3580366.2650302998</v>
      </c>
      <c r="O253" s="41">
        <f t="shared" si="85"/>
        <v>5648358.8149906006</v>
      </c>
      <c r="P253" s="41">
        <f t="shared" si="85"/>
        <v>6794999.7120515984</v>
      </c>
      <c r="Q253" s="89">
        <f>SUM(D253:P253)+D254</f>
        <v>124489226.02899998</v>
      </c>
      <c r="S253" s="43"/>
    </row>
    <row r="254" spans="1:19" x14ac:dyDescent="0.35">
      <c r="A254" s="87"/>
      <c r="B254" s="8" t="s">
        <v>163</v>
      </c>
      <c r="C254" s="88"/>
      <c r="D254" s="132">
        <f>+P173</f>
        <v>89338988.229999989</v>
      </c>
      <c r="E254" s="41">
        <f t="shared" ref="E254:P254" si="86">+E253+D254</f>
        <v>89687076.416184291</v>
      </c>
      <c r="F254" s="41">
        <f t="shared" si="86"/>
        <v>90591387.992663085</v>
      </c>
      <c r="G254" s="41">
        <f t="shared" si="86"/>
        <v>94697562.857342184</v>
      </c>
      <c r="H254" s="41">
        <f t="shared" si="86"/>
        <v>95776463.054140091</v>
      </c>
      <c r="I254" s="41">
        <f t="shared" si="86"/>
        <v>98184271.221440792</v>
      </c>
      <c r="J254" s="41">
        <f t="shared" si="86"/>
        <v>101170936.72037739</v>
      </c>
      <c r="K254" s="41">
        <f t="shared" si="86"/>
        <v>103694831.41036868</v>
      </c>
      <c r="L254" s="41">
        <f t="shared" si="86"/>
        <v>105049213.05911869</v>
      </c>
      <c r="M254" s="41">
        <f t="shared" si="86"/>
        <v>108465501.23692749</v>
      </c>
      <c r="N254" s="41">
        <f t="shared" si="86"/>
        <v>112045867.50195779</v>
      </c>
      <c r="O254" s="41">
        <f t="shared" si="86"/>
        <v>117694226.31694838</v>
      </c>
      <c r="P254" s="41">
        <f t="shared" si="86"/>
        <v>124489226.02899998</v>
      </c>
      <c r="Q254" s="89"/>
    </row>
    <row r="255" spans="1:19" x14ac:dyDescent="0.35">
      <c r="A255" s="87"/>
      <c r="C255" s="88"/>
      <c r="D255" s="41"/>
      <c r="E255" s="41"/>
      <c r="F255" s="41"/>
      <c r="G255" s="41"/>
      <c r="H255" s="41"/>
      <c r="I255" s="41"/>
      <c r="J255" s="41"/>
      <c r="K255" s="41"/>
      <c r="L255" s="41"/>
      <c r="M255" s="41"/>
      <c r="N255" s="41"/>
      <c r="O255" s="41"/>
      <c r="P255" s="41"/>
      <c r="Q255" s="89"/>
    </row>
    <row r="256" spans="1:19" x14ac:dyDescent="0.35">
      <c r="A256" s="87"/>
      <c r="B256" s="8" t="s">
        <v>164</v>
      </c>
      <c r="C256" s="88"/>
      <c r="D256" s="41"/>
      <c r="E256" s="41">
        <f t="shared" ref="E256:P256" si="87">ROUND($C250*D254,0)</f>
        <v>134008</v>
      </c>
      <c r="F256" s="41">
        <f t="shared" si="87"/>
        <v>134531</v>
      </c>
      <c r="G256" s="41">
        <f t="shared" si="87"/>
        <v>135887</v>
      </c>
      <c r="H256" s="41">
        <f t="shared" si="87"/>
        <v>142046</v>
      </c>
      <c r="I256" s="41">
        <f t="shared" si="87"/>
        <v>143665</v>
      </c>
      <c r="J256" s="41">
        <f t="shared" si="87"/>
        <v>147276</v>
      </c>
      <c r="K256" s="41">
        <f t="shared" si="87"/>
        <v>151756</v>
      </c>
      <c r="L256" s="41">
        <f t="shared" si="87"/>
        <v>155542</v>
      </c>
      <c r="M256" s="41">
        <f t="shared" si="87"/>
        <v>157574</v>
      </c>
      <c r="N256" s="41">
        <f t="shared" si="87"/>
        <v>162698</v>
      </c>
      <c r="O256" s="41">
        <f t="shared" si="87"/>
        <v>168069</v>
      </c>
      <c r="P256" s="41">
        <f t="shared" si="87"/>
        <v>176541</v>
      </c>
      <c r="Q256" s="89"/>
      <c r="S256" s="43"/>
    </row>
    <row r="257" spans="1:19" x14ac:dyDescent="0.35">
      <c r="A257" s="87"/>
      <c r="B257" s="8" t="s">
        <v>165</v>
      </c>
      <c r="C257" s="88"/>
      <c r="D257" s="41"/>
      <c r="E257" s="44">
        <f>ROUND($C250*E253*0.5,3)</f>
        <v>261.06599999999997</v>
      </c>
      <c r="F257" s="44">
        <f t="shared" ref="F257:P257" si="88">ROUND($C250*F253*0.5,3)</f>
        <v>678.23400000000004</v>
      </c>
      <c r="G257" s="44">
        <f t="shared" si="88"/>
        <v>3079.6309999999999</v>
      </c>
      <c r="H257" s="44">
        <f t="shared" si="88"/>
        <v>809.17499999999995</v>
      </c>
      <c r="I257" s="44">
        <f t="shared" si="88"/>
        <v>1805.856</v>
      </c>
      <c r="J257" s="44">
        <f t="shared" si="88"/>
        <v>2239.9989999999998</v>
      </c>
      <c r="K257" s="44">
        <f t="shared" si="88"/>
        <v>1892.921</v>
      </c>
      <c r="L257" s="44">
        <f t="shared" si="88"/>
        <v>1015.7859999999999</v>
      </c>
      <c r="M257" s="44">
        <f t="shared" si="88"/>
        <v>2562.2159999999999</v>
      </c>
      <c r="N257" s="44">
        <f t="shared" si="88"/>
        <v>2685.2750000000001</v>
      </c>
      <c r="O257" s="44">
        <f t="shared" si="88"/>
        <v>4236.2690000000002</v>
      </c>
      <c r="P257" s="44">
        <f t="shared" si="88"/>
        <v>5096.25</v>
      </c>
      <c r="Q257" s="89"/>
      <c r="S257" s="43"/>
    </row>
    <row r="258" spans="1:19" x14ac:dyDescent="0.35">
      <c r="A258" s="87"/>
      <c r="B258" s="8" t="s">
        <v>261</v>
      </c>
      <c r="C258" s="88"/>
      <c r="D258" s="41">
        <v>0</v>
      </c>
      <c r="E258" s="41">
        <f t="shared" ref="E258:P258" si="89">SUM(E256:E257)</f>
        <v>134269.06599999999</v>
      </c>
      <c r="F258" s="41">
        <f t="shared" si="89"/>
        <v>135209.234</v>
      </c>
      <c r="G258" s="41">
        <f t="shared" si="89"/>
        <v>138966.63099999999</v>
      </c>
      <c r="H258" s="41">
        <f t="shared" si="89"/>
        <v>142855.17499999999</v>
      </c>
      <c r="I258" s="41">
        <f t="shared" si="89"/>
        <v>145470.856</v>
      </c>
      <c r="J258" s="41">
        <f t="shared" si="89"/>
        <v>149515.99900000001</v>
      </c>
      <c r="K258" s="41">
        <f t="shared" si="89"/>
        <v>153648.921</v>
      </c>
      <c r="L258" s="41">
        <f t="shared" si="89"/>
        <v>156557.78599999999</v>
      </c>
      <c r="M258" s="41">
        <f t="shared" si="89"/>
        <v>160136.21599999999</v>
      </c>
      <c r="N258" s="41">
        <f t="shared" si="89"/>
        <v>165383.27499999999</v>
      </c>
      <c r="O258" s="41">
        <f t="shared" si="89"/>
        <v>172305.269</v>
      </c>
      <c r="P258" s="41">
        <f t="shared" si="89"/>
        <v>181637.25</v>
      </c>
      <c r="Q258" s="89">
        <f>SUM(D258:P258)</f>
        <v>1835955.6779999998</v>
      </c>
    </row>
    <row r="259" spans="1:19" x14ac:dyDescent="0.35">
      <c r="A259" s="90"/>
      <c r="B259" s="91"/>
      <c r="C259" s="92"/>
      <c r="D259" s="44"/>
      <c r="E259" s="44"/>
      <c r="F259" s="44"/>
      <c r="G259" s="44"/>
      <c r="H259" s="44"/>
      <c r="I259" s="44"/>
      <c r="J259" s="44"/>
      <c r="K259" s="44"/>
      <c r="L259" s="44"/>
      <c r="M259" s="44"/>
      <c r="N259" s="44"/>
      <c r="O259" s="44"/>
      <c r="P259" s="44"/>
      <c r="Q259" s="93"/>
    </row>
    <row r="260" spans="1:19" x14ac:dyDescent="0.35">
      <c r="A260" s="82"/>
      <c r="B260" s="83" t="s">
        <v>134</v>
      </c>
      <c r="C260" s="84">
        <f>3.31%/12</f>
        <v>2.7583333333333331E-3</v>
      </c>
      <c r="D260" s="46"/>
      <c r="E260" s="46"/>
      <c r="F260" s="46"/>
      <c r="G260" s="46"/>
      <c r="H260" s="46"/>
      <c r="I260" s="46"/>
      <c r="J260" s="46"/>
      <c r="K260" s="46"/>
      <c r="L260" s="46"/>
      <c r="M260" s="46"/>
      <c r="N260" s="46"/>
      <c r="O260" s="46"/>
      <c r="P260" s="46"/>
      <c r="Q260" s="86"/>
    </row>
    <row r="261" spans="1:19" x14ac:dyDescent="0.35">
      <c r="A261" s="87"/>
      <c r="B261" s="8" t="s">
        <v>166</v>
      </c>
      <c r="C261" s="88"/>
      <c r="D261" s="41"/>
      <c r="E261" s="41">
        <f>'3.0 Plant in Service'!D232</f>
        <v>0</v>
      </c>
      <c r="F261" s="41">
        <f>'3.0 Plant in Service'!E232</f>
        <v>0</v>
      </c>
      <c r="G261" s="41">
        <f>'3.0 Plant in Service'!F232</f>
        <v>0</v>
      </c>
      <c r="H261" s="41">
        <f>'3.0 Plant in Service'!G232</f>
        <v>0</v>
      </c>
      <c r="I261" s="41">
        <f>'3.0 Plant in Service'!H232</f>
        <v>0</v>
      </c>
      <c r="J261" s="41">
        <f>'3.0 Plant in Service'!I232</f>
        <v>0</v>
      </c>
      <c r="K261" s="41">
        <f>'3.0 Plant in Service'!J232</f>
        <v>0</v>
      </c>
      <c r="L261" s="41">
        <f>'3.0 Plant in Service'!K232</f>
        <v>0</v>
      </c>
      <c r="M261" s="41">
        <f>'3.0 Plant in Service'!L232</f>
        <v>0</v>
      </c>
      <c r="N261" s="41">
        <f>'3.0 Plant in Service'!M232</f>
        <v>0</v>
      </c>
      <c r="O261" s="41">
        <f>'3.0 Plant in Service'!N232</f>
        <v>0</v>
      </c>
      <c r="P261" s="41">
        <f>'3.0 Plant in Service'!O232</f>
        <v>0</v>
      </c>
      <c r="Q261" s="89">
        <f>SUM(E261:P261)</f>
        <v>0</v>
      </c>
    </row>
    <row r="262" spans="1:19" x14ac:dyDescent="0.35">
      <c r="A262" s="87"/>
      <c r="B262" s="8" t="s">
        <v>167</v>
      </c>
      <c r="C262" s="88"/>
      <c r="D262" s="41"/>
      <c r="E262" s="44">
        <f>'3.0 Plant in Service'!D241</f>
        <v>-3792.4190320000002</v>
      </c>
      <c r="F262" s="44">
        <f>'3.0 Plant in Service'!E241</f>
        <v>-3043.0188640000006</v>
      </c>
      <c r="G262" s="44">
        <f>'3.0 Plant in Service'!F241</f>
        <v>-12739.802856</v>
      </c>
      <c r="H262" s="44">
        <f>'3.0 Plant in Service'!G241</f>
        <v>-840.23655200000007</v>
      </c>
      <c r="I262" s="44">
        <f>'3.0 Plant in Service'!H241</f>
        <v>-31701.898016000003</v>
      </c>
      <c r="J262" s="44">
        <f>'3.0 Plant in Service'!I241</f>
        <v>-49914.593008000003</v>
      </c>
      <c r="K262" s="44">
        <f>'3.0 Plant in Service'!J241</f>
        <v>-45440.901096000001</v>
      </c>
      <c r="L262" s="44">
        <f>'3.0 Plant in Service'!K241</f>
        <v>-36879.571904000004</v>
      </c>
      <c r="M262" s="44">
        <f>'3.0 Plant in Service'!L241</f>
        <v>-21210.295664000001</v>
      </c>
      <c r="N262" s="44">
        <f>'3.0 Plant in Service'!M241</f>
        <v>0</v>
      </c>
      <c r="O262" s="44">
        <f>'3.0 Plant in Service'!N241</f>
        <v>-317.92734400000001</v>
      </c>
      <c r="P262" s="44">
        <f>'3.0 Plant in Service'!O241</f>
        <v>-21210.295664000012</v>
      </c>
      <c r="Q262" s="89"/>
    </row>
    <row r="263" spans="1:19" x14ac:dyDescent="0.35">
      <c r="A263" s="87"/>
      <c r="B263" s="8" t="s">
        <v>213</v>
      </c>
      <c r="C263" s="88"/>
      <c r="D263" s="41"/>
      <c r="E263" s="41">
        <f t="shared" ref="E263:P263" si="90">SUM(E261:E262)</f>
        <v>-3792.4190320000002</v>
      </c>
      <c r="F263" s="41">
        <f t="shared" si="90"/>
        <v>-3043.0188640000006</v>
      </c>
      <c r="G263" s="41">
        <f t="shared" si="90"/>
        <v>-12739.802856</v>
      </c>
      <c r="H263" s="41">
        <f t="shared" si="90"/>
        <v>-840.23655200000007</v>
      </c>
      <c r="I263" s="41">
        <f t="shared" si="90"/>
        <v>-31701.898016000003</v>
      </c>
      <c r="J263" s="41">
        <f t="shared" si="90"/>
        <v>-49914.593008000003</v>
      </c>
      <c r="K263" s="41">
        <f t="shared" si="90"/>
        <v>-45440.901096000001</v>
      </c>
      <c r="L263" s="41">
        <f t="shared" si="90"/>
        <v>-36879.571904000004</v>
      </c>
      <c r="M263" s="41">
        <f t="shared" si="90"/>
        <v>-21210.295664000001</v>
      </c>
      <c r="N263" s="41">
        <f t="shared" si="90"/>
        <v>0</v>
      </c>
      <c r="O263" s="41">
        <f t="shared" si="90"/>
        <v>-317.92734400000001</v>
      </c>
      <c r="P263" s="41">
        <f t="shared" si="90"/>
        <v>-21210.295664000012</v>
      </c>
      <c r="Q263" s="89">
        <f>SUM(D263:P263)+D264</f>
        <v>-749542.90000000014</v>
      </c>
      <c r="S263" s="43"/>
    </row>
    <row r="264" spans="1:19" x14ac:dyDescent="0.35">
      <c r="A264" s="87"/>
      <c r="B264" s="8" t="s">
        <v>163</v>
      </c>
      <c r="C264" s="88"/>
      <c r="D264" s="41">
        <f>+P183</f>
        <v>-522451.94000000012</v>
      </c>
      <c r="E264" s="41">
        <f t="shared" ref="E264:P264" si="91">+E263+D264</f>
        <v>-526244.35903200007</v>
      </c>
      <c r="F264" s="41">
        <f t="shared" si="91"/>
        <v>-529287.37789600005</v>
      </c>
      <c r="G264" s="41">
        <f t="shared" si="91"/>
        <v>-542027.18075200007</v>
      </c>
      <c r="H264" s="41">
        <f t="shared" si="91"/>
        <v>-542867.41730400012</v>
      </c>
      <c r="I264" s="41">
        <f t="shared" si="91"/>
        <v>-574569.31532000017</v>
      </c>
      <c r="J264" s="41">
        <f t="shared" si="91"/>
        <v>-624483.90832800022</v>
      </c>
      <c r="K264" s="41">
        <f t="shared" si="91"/>
        <v>-669924.80942400021</v>
      </c>
      <c r="L264" s="41">
        <f t="shared" si="91"/>
        <v>-706804.38132800022</v>
      </c>
      <c r="M264" s="41">
        <f t="shared" si="91"/>
        <v>-728014.6769920002</v>
      </c>
      <c r="N264" s="41">
        <f t="shared" si="91"/>
        <v>-728014.6769920002</v>
      </c>
      <c r="O264" s="41">
        <f t="shared" si="91"/>
        <v>-728332.60433600016</v>
      </c>
      <c r="P264" s="41">
        <f t="shared" si="91"/>
        <v>-749542.90000000014</v>
      </c>
      <c r="Q264" s="89"/>
    </row>
    <row r="265" spans="1:19" x14ac:dyDescent="0.35">
      <c r="A265" s="87"/>
      <c r="C265" s="88"/>
      <c r="D265" s="41"/>
      <c r="E265" s="41"/>
      <c r="F265" s="41"/>
      <c r="G265" s="41"/>
      <c r="H265" s="41"/>
      <c r="I265" s="41"/>
      <c r="J265" s="41"/>
      <c r="K265" s="41"/>
      <c r="L265" s="41"/>
      <c r="M265" s="41"/>
      <c r="N265" s="41"/>
      <c r="O265" s="41"/>
      <c r="P265" s="41"/>
      <c r="Q265" s="89"/>
    </row>
    <row r="266" spans="1:19" x14ac:dyDescent="0.35">
      <c r="A266" s="87"/>
      <c r="B266" s="8" t="s">
        <v>164</v>
      </c>
      <c r="C266" s="88"/>
      <c r="D266" s="41"/>
      <c r="E266" s="41">
        <f t="shared" ref="E266:P266" si="92">ROUND($C260*D264,0)</f>
        <v>-1441</v>
      </c>
      <c r="F266" s="41">
        <f t="shared" si="92"/>
        <v>-1452</v>
      </c>
      <c r="G266" s="41">
        <f t="shared" si="92"/>
        <v>-1460</v>
      </c>
      <c r="H266" s="41">
        <f t="shared" si="92"/>
        <v>-1495</v>
      </c>
      <c r="I266" s="41">
        <f t="shared" si="92"/>
        <v>-1497</v>
      </c>
      <c r="J266" s="41">
        <f t="shared" si="92"/>
        <v>-1585</v>
      </c>
      <c r="K266" s="41">
        <f t="shared" si="92"/>
        <v>-1723</v>
      </c>
      <c r="L266" s="41">
        <f t="shared" si="92"/>
        <v>-1848</v>
      </c>
      <c r="M266" s="41">
        <f t="shared" si="92"/>
        <v>-1950</v>
      </c>
      <c r="N266" s="41">
        <f t="shared" si="92"/>
        <v>-2008</v>
      </c>
      <c r="O266" s="41">
        <f t="shared" si="92"/>
        <v>-2008</v>
      </c>
      <c r="P266" s="41">
        <f t="shared" si="92"/>
        <v>-2009</v>
      </c>
      <c r="Q266" s="89"/>
    </row>
    <row r="267" spans="1:19" x14ac:dyDescent="0.35">
      <c r="A267" s="87"/>
      <c r="B267" s="8" t="s">
        <v>165</v>
      </c>
      <c r="C267" s="88"/>
      <c r="D267" s="41"/>
      <c r="E267" s="44">
        <f>ROUND($C260*E263*0.5,3)</f>
        <v>-5.23</v>
      </c>
      <c r="F267" s="44">
        <f t="shared" ref="F267:P267" si="93">ROUND($C260*F263*0.5,3)</f>
        <v>-4.1970000000000001</v>
      </c>
      <c r="G267" s="44">
        <f t="shared" si="93"/>
        <v>-17.57</v>
      </c>
      <c r="H267" s="44">
        <f t="shared" si="93"/>
        <v>-1.159</v>
      </c>
      <c r="I267" s="44">
        <f t="shared" si="93"/>
        <v>-43.722000000000001</v>
      </c>
      <c r="J267" s="44">
        <f t="shared" si="93"/>
        <v>-68.840999999999994</v>
      </c>
      <c r="K267" s="44">
        <f t="shared" si="93"/>
        <v>-62.670999999999999</v>
      </c>
      <c r="L267" s="44">
        <f t="shared" si="93"/>
        <v>-50.863</v>
      </c>
      <c r="M267" s="44">
        <f t="shared" si="93"/>
        <v>-29.253</v>
      </c>
      <c r="N267" s="44">
        <f t="shared" si="93"/>
        <v>0</v>
      </c>
      <c r="O267" s="44">
        <f t="shared" si="93"/>
        <v>-0.438</v>
      </c>
      <c r="P267" s="44">
        <f t="shared" si="93"/>
        <v>-29.253</v>
      </c>
      <c r="Q267" s="89"/>
    </row>
    <row r="268" spans="1:19" x14ac:dyDescent="0.35">
      <c r="A268" s="87"/>
      <c r="B268" s="8" t="s">
        <v>262</v>
      </c>
      <c r="C268" s="88"/>
      <c r="D268" s="41"/>
      <c r="E268" s="41">
        <f t="shared" ref="E268:P268" si="94">SUM(E266:E267)</f>
        <v>-1446.23</v>
      </c>
      <c r="F268" s="41">
        <f t="shared" si="94"/>
        <v>-1456.1969999999999</v>
      </c>
      <c r="G268" s="41">
        <f t="shared" si="94"/>
        <v>-1477.57</v>
      </c>
      <c r="H268" s="41">
        <f t="shared" si="94"/>
        <v>-1496.1590000000001</v>
      </c>
      <c r="I268" s="41">
        <f t="shared" si="94"/>
        <v>-1540.722</v>
      </c>
      <c r="J268" s="41">
        <f t="shared" si="94"/>
        <v>-1653.8409999999999</v>
      </c>
      <c r="K268" s="41">
        <f t="shared" si="94"/>
        <v>-1785.671</v>
      </c>
      <c r="L268" s="41">
        <f t="shared" si="94"/>
        <v>-1898.8630000000001</v>
      </c>
      <c r="M268" s="41">
        <f t="shared" si="94"/>
        <v>-1979.2529999999999</v>
      </c>
      <c r="N268" s="41">
        <f t="shared" si="94"/>
        <v>-2008</v>
      </c>
      <c r="O268" s="41">
        <f t="shared" si="94"/>
        <v>-2008.4380000000001</v>
      </c>
      <c r="P268" s="41">
        <f t="shared" si="94"/>
        <v>-2038.2529999999999</v>
      </c>
      <c r="Q268" s="89">
        <f>SUM(E268:P268)</f>
        <v>-20789.197000000004</v>
      </c>
    </row>
    <row r="269" spans="1:19" x14ac:dyDescent="0.35">
      <c r="A269" s="90"/>
      <c r="B269" s="91"/>
      <c r="C269" s="92"/>
      <c r="D269" s="44"/>
      <c r="E269" s="94"/>
      <c r="F269" s="94"/>
      <c r="G269" s="94"/>
      <c r="H269" s="94"/>
      <c r="I269" s="94"/>
      <c r="J269" s="94"/>
      <c r="K269" s="94"/>
      <c r="L269" s="94"/>
      <c r="M269" s="94"/>
      <c r="N269" s="94"/>
      <c r="O269" s="94"/>
      <c r="P269" s="94"/>
      <c r="Q269" s="93"/>
    </row>
    <row r="270" spans="1:19" x14ac:dyDescent="0.35">
      <c r="A270" s="82"/>
      <c r="B270" s="83" t="s">
        <v>135</v>
      </c>
      <c r="C270" s="84">
        <f>5.18%/12</f>
        <v>4.3166666666666666E-3</v>
      </c>
      <c r="D270" s="46"/>
      <c r="E270" s="85"/>
      <c r="F270" s="85"/>
      <c r="G270" s="85"/>
      <c r="H270" s="85"/>
      <c r="I270" s="85"/>
      <c r="J270" s="85"/>
      <c r="K270" s="85"/>
      <c r="L270" s="85"/>
      <c r="M270" s="85"/>
      <c r="N270" s="85"/>
      <c r="O270" s="85"/>
      <c r="P270" s="85"/>
      <c r="Q270" s="86"/>
    </row>
    <row r="271" spans="1:19" x14ac:dyDescent="0.35">
      <c r="A271" s="87"/>
      <c r="B271" s="8" t="s">
        <v>166</v>
      </c>
      <c r="C271" s="88"/>
      <c r="D271" s="41"/>
      <c r="E271" s="41">
        <f>'3.0 Plant in Service'!D233</f>
        <v>861969.78459199984</v>
      </c>
      <c r="F271" s="41">
        <f>'3.0 Plant in Service'!E233</f>
        <v>1247587.8461199999</v>
      </c>
      <c r="G271" s="41">
        <f>'3.0 Plant in Service'!F233</f>
        <v>1301055.8966679999</v>
      </c>
      <c r="H271" s="41">
        <f>'3.0 Plant in Service'!G233</f>
        <v>1186018.5757919999</v>
      </c>
      <c r="I271" s="41">
        <f>'3.0 Plant in Service'!H233</f>
        <v>1395030.0461159998</v>
      </c>
      <c r="J271" s="41">
        <f>'3.0 Plant in Service'!I233</f>
        <v>1503586.3911679997</v>
      </c>
      <c r="K271" s="41">
        <f>'3.0 Plant in Service'!J233</f>
        <v>1288093.94502</v>
      </c>
      <c r="L271" s="41">
        <f>'3.0 Plant in Service'!K233</f>
        <v>1565155.6614959999</v>
      </c>
      <c r="M271" s="41">
        <f>'3.0 Plant in Service'!L233</f>
        <v>1265410.5296360001</v>
      </c>
      <c r="N271" s="41">
        <f>'3.0 Plant in Service'!M233</f>
        <v>1876242.5010479998</v>
      </c>
      <c r="O271" s="41">
        <f>'3.0 Plant in Service'!N233</f>
        <v>1442017.1208399998</v>
      </c>
      <c r="P271" s="41">
        <f>'3.0 Plant in Service'!O233</f>
        <v>1270271.2615040003</v>
      </c>
      <c r="Q271" s="89">
        <f>SUM(E271:P271)</f>
        <v>16202439.559999999</v>
      </c>
    </row>
    <row r="272" spans="1:19" x14ac:dyDescent="0.35">
      <c r="A272" s="87"/>
      <c r="B272" s="8" t="s">
        <v>167</v>
      </c>
      <c r="C272" s="88"/>
      <c r="D272" s="41"/>
      <c r="E272" s="44">
        <f>'3.0 Plant in Service'!D242</f>
        <v>-178885.15940575016</v>
      </c>
      <c r="F272" s="44">
        <f>'3.0 Plant in Service'!E242</f>
        <v>-129592.35992505455</v>
      </c>
      <c r="G272" s="44">
        <f>'3.0 Plant in Service'!F242</f>
        <v>-278000.78846908431</v>
      </c>
      <c r="H272" s="44">
        <f>'3.0 Plant in Service'!G242</f>
        <v>-105741.0053376212</v>
      </c>
      <c r="I272" s="44">
        <f>'3.0 Plant in Service'!H242</f>
        <v>-207506.78491067016</v>
      </c>
      <c r="J272" s="44">
        <f>'3.0 Plant in Service'!I242</f>
        <v>-273230.51755159762</v>
      </c>
      <c r="K272" s="44">
        <f>'3.0 Plant in Service'!J242</f>
        <v>-262629.91551273834</v>
      </c>
      <c r="L272" s="44">
        <f>'3.0 Plant in Service'!K242</f>
        <v>-215192.22138884314</v>
      </c>
      <c r="M272" s="44">
        <f>'3.0 Plant in Service'!L242</f>
        <v>-253354.38872873652</v>
      </c>
      <c r="N272" s="44">
        <f>'3.0 Plant in Service'!M242</f>
        <v>-196376.15276986794</v>
      </c>
      <c r="O272" s="44">
        <f>'3.0 Plant in Service'!N242</f>
        <v>-300262.0527506888</v>
      </c>
      <c r="P272" s="44">
        <f>'3.0 Plant in Service'!O242</f>
        <v>-249379.16296416448</v>
      </c>
      <c r="Q272" s="89"/>
    </row>
    <row r="273" spans="1:19" x14ac:dyDescent="0.35">
      <c r="A273" s="87"/>
      <c r="B273" s="8" t="s">
        <v>213</v>
      </c>
      <c r="C273" s="88"/>
      <c r="D273" s="41"/>
      <c r="E273" s="41">
        <f t="shared" ref="E273:P273" si="95">SUM(E271:E272)</f>
        <v>683084.62518624961</v>
      </c>
      <c r="F273" s="41">
        <f t="shared" si="95"/>
        <v>1117995.4861949454</v>
      </c>
      <c r="G273" s="41">
        <f t="shared" si="95"/>
        <v>1023055.1081989156</v>
      </c>
      <c r="H273" s="41">
        <f t="shared" si="95"/>
        <v>1080277.5704543786</v>
      </c>
      <c r="I273" s="41">
        <f t="shared" si="95"/>
        <v>1187523.2612053296</v>
      </c>
      <c r="J273" s="41">
        <f t="shared" si="95"/>
        <v>1230355.873616402</v>
      </c>
      <c r="K273" s="41">
        <f t="shared" si="95"/>
        <v>1025464.0295072617</v>
      </c>
      <c r="L273" s="41">
        <f t="shared" si="95"/>
        <v>1349963.4401071568</v>
      </c>
      <c r="M273" s="41">
        <f t="shared" si="95"/>
        <v>1012056.1409072635</v>
      </c>
      <c r="N273" s="41">
        <f t="shared" si="95"/>
        <v>1679866.3482781318</v>
      </c>
      <c r="O273" s="41">
        <f t="shared" si="95"/>
        <v>1141755.068089311</v>
      </c>
      <c r="P273" s="41">
        <f t="shared" si="95"/>
        <v>1020892.0985398358</v>
      </c>
      <c r="Q273" s="89">
        <f>SUM(D273:P273)+D274</f>
        <v>40205075.010855556</v>
      </c>
      <c r="S273" s="43"/>
    </row>
    <row r="274" spans="1:19" x14ac:dyDescent="0.35">
      <c r="A274" s="87"/>
      <c r="B274" s="8" t="s">
        <v>163</v>
      </c>
      <c r="C274" s="88"/>
      <c r="D274" s="41">
        <f>+P193</f>
        <v>26652785.960570369</v>
      </c>
      <c r="E274" s="41">
        <f t="shared" ref="E274:P274" si="96">+E273+D274</f>
        <v>27335870.585756619</v>
      </c>
      <c r="F274" s="41">
        <f t="shared" si="96"/>
        <v>28453866.071951564</v>
      </c>
      <c r="G274" s="41">
        <f t="shared" si="96"/>
        <v>29476921.180150479</v>
      </c>
      <c r="H274" s="41">
        <f t="shared" si="96"/>
        <v>30557198.750604857</v>
      </c>
      <c r="I274" s="41">
        <f t="shared" si="96"/>
        <v>31744722.011810187</v>
      </c>
      <c r="J274" s="41">
        <f t="shared" si="96"/>
        <v>32975077.885426588</v>
      </c>
      <c r="K274" s="41">
        <f t="shared" si="96"/>
        <v>34000541.914933853</v>
      </c>
      <c r="L274" s="41">
        <f t="shared" si="96"/>
        <v>35350505.355041012</v>
      </c>
      <c r="M274" s="41">
        <f t="shared" si="96"/>
        <v>36362561.495948277</v>
      </c>
      <c r="N274" s="41">
        <f t="shared" si="96"/>
        <v>38042427.844226412</v>
      </c>
      <c r="O274" s="41">
        <f t="shared" si="96"/>
        <v>39184182.912315726</v>
      </c>
      <c r="P274" s="41">
        <f t="shared" si="96"/>
        <v>40205075.010855563</v>
      </c>
      <c r="Q274" s="89"/>
    </row>
    <row r="275" spans="1:19" x14ac:dyDescent="0.35">
      <c r="A275" s="87"/>
      <c r="C275" s="88"/>
      <c r="D275" s="41"/>
      <c r="E275" s="41"/>
      <c r="F275" s="41"/>
      <c r="G275" s="41"/>
      <c r="H275" s="41"/>
      <c r="I275" s="41"/>
      <c r="J275" s="41"/>
      <c r="K275" s="41"/>
      <c r="L275" s="41"/>
      <c r="M275" s="41"/>
      <c r="N275" s="41"/>
      <c r="O275" s="41"/>
      <c r="P275" s="41"/>
      <c r="Q275" s="89"/>
    </row>
    <row r="276" spans="1:19" x14ac:dyDescent="0.35">
      <c r="A276" s="87"/>
      <c r="B276" s="8" t="s">
        <v>164</v>
      </c>
      <c r="C276" s="88"/>
      <c r="D276" s="41"/>
      <c r="E276" s="41">
        <f t="shared" ref="E276:P276" si="97">ROUND($C270*D274,0)</f>
        <v>115051</v>
      </c>
      <c r="F276" s="41">
        <f t="shared" si="97"/>
        <v>118000</v>
      </c>
      <c r="G276" s="41">
        <f t="shared" si="97"/>
        <v>122826</v>
      </c>
      <c r="H276" s="41">
        <f t="shared" si="97"/>
        <v>127242</v>
      </c>
      <c r="I276" s="41">
        <f t="shared" si="97"/>
        <v>131905</v>
      </c>
      <c r="J276" s="41">
        <f t="shared" si="97"/>
        <v>137031</v>
      </c>
      <c r="K276" s="41">
        <f t="shared" si="97"/>
        <v>142342</v>
      </c>
      <c r="L276" s="41">
        <f t="shared" si="97"/>
        <v>146769</v>
      </c>
      <c r="M276" s="41">
        <f t="shared" si="97"/>
        <v>152596</v>
      </c>
      <c r="N276" s="41">
        <f t="shared" si="97"/>
        <v>156965</v>
      </c>
      <c r="O276" s="41">
        <f t="shared" si="97"/>
        <v>164216</v>
      </c>
      <c r="P276" s="41">
        <f t="shared" si="97"/>
        <v>169145</v>
      </c>
      <c r="Q276" s="89"/>
    </row>
    <row r="277" spans="1:19" x14ac:dyDescent="0.35">
      <c r="A277" s="87"/>
      <c r="B277" s="8" t="s">
        <v>165</v>
      </c>
      <c r="C277" s="88"/>
      <c r="D277" s="41"/>
      <c r="E277" s="44">
        <f>ROUND($C270*E273*0.5,3)</f>
        <v>1474.3240000000001</v>
      </c>
      <c r="F277" s="44">
        <f t="shared" ref="F277:P277" si="98">ROUND($C270*F273*0.5,3)</f>
        <v>2413.0070000000001</v>
      </c>
      <c r="G277" s="44">
        <f t="shared" si="98"/>
        <v>2208.0940000000001</v>
      </c>
      <c r="H277" s="44">
        <f t="shared" si="98"/>
        <v>2331.5990000000002</v>
      </c>
      <c r="I277" s="44">
        <f t="shared" si="98"/>
        <v>2563.0709999999999</v>
      </c>
      <c r="J277" s="44">
        <f t="shared" si="98"/>
        <v>2655.518</v>
      </c>
      <c r="K277" s="44">
        <f t="shared" si="98"/>
        <v>2213.2930000000001</v>
      </c>
      <c r="L277" s="44">
        <f t="shared" si="98"/>
        <v>2913.6709999999998</v>
      </c>
      <c r="M277" s="44">
        <f t="shared" si="98"/>
        <v>2184.355</v>
      </c>
      <c r="N277" s="44">
        <f t="shared" si="98"/>
        <v>3625.712</v>
      </c>
      <c r="O277" s="44">
        <f t="shared" si="98"/>
        <v>2464.288</v>
      </c>
      <c r="P277" s="44">
        <f t="shared" si="98"/>
        <v>2203.4250000000002</v>
      </c>
      <c r="Q277" s="89"/>
    </row>
    <row r="278" spans="1:19" x14ac:dyDescent="0.35">
      <c r="A278" s="87"/>
      <c r="B278" s="8" t="s">
        <v>263</v>
      </c>
      <c r="C278" s="88"/>
      <c r="D278" s="41"/>
      <c r="E278" s="41">
        <f t="shared" ref="E278:P278" si="99">SUM(E276:E277)</f>
        <v>116525.32399999999</v>
      </c>
      <c r="F278" s="41">
        <f t="shared" si="99"/>
        <v>120413.007</v>
      </c>
      <c r="G278" s="41">
        <f t="shared" si="99"/>
        <v>125034.094</v>
      </c>
      <c r="H278" s="41">
        <f t="shared" si="99"/>
        <v>129573.599</v>
      </c>
      <c r="I278" s="41">
        <f t="shared" si="99"/>
        <v>134468.071</v>
      </c>
      <c r="J278" s="41">
        <f t="shared" si="99"/>
        <v>139686.51800000001</v>
      </c>
      <c r="K278" s="41">
        <f t="shared" si="99"/>
        <v>144555.29300000001</v>
      </c>
      <c r="L278" s="41">
        <f t="shared" si="99"/>
        <v>149682.671</v>
      </c>
      <c r="M278" s="41">
        <f t="shared" si="99"/>
        <v>154780.35500000001</v>
      </c>
      <c r="N278" s="41">
        <f t="shared" si="99"/>
        <v>160590.712</v>
      </c>
      <c r="O278" s="41">
        <f t="shared" si="99"/>
        <v>166680.288</v>
      </c>
      <c r="P278" s="41">
        <f t="shared" si="99"/>
        <v>171348.42499999999</v>
      </c>
      <c r="Q278" s="89">
        <f>SUM(E278:P278)</f>
        <v>1713338.3570000001</v>
      </c>
    </row>
    <row r="279" spans="1:19" x14ac:dyDescent="0.35">
      <c r="A279" s="90"/>
      <c r="B279" s="91"/>
      <c r="C279" s="92"/>
      <c r="D279" s="44"/>
      <c r="E279" s="44"/>
      <c r="F279" s="44"/>
      <c r="G279" s="44"/>
      <c r="H279" s="44"/>
      <c r="I279" s="44"/>
      <c r="J279" s="44"/>
      <c r="K279" s="44"/>
      <c r="L279" s="44"/>
      <c r="M279" s="44"/>
      <c r="N279" s="44"/>
      <c r="O279" s="44"/>
      <c r="P279" s="44"/>
      <c r="Q279" s="93"/>
    </row>
    <row r="280" spans="1:19" x14ac:dyDescent="0.35">
      <c r="A280" s="82"/>
      <c r="B280" s="83" t="s">
        <v>136</v>
      </c>
      <c r="C280" s="84">
        <f>2.28%/12</f>
        <v>1.8999999999999998E-3</v>
      </c>
      <c r="D280" s="46"/>
      <c r="E280" s="46"/>
      <c r="F280" s="46"/>
      <c r="G280" s="46"/>
      <c r="H280" s="46"/>
      <c r="I280" s="46"/>
      <c r="J280" s="46"/>
      <c r="K280" s="46"/>
      <c r="L280" s="46"/>
      <c r="M280" s="46"/>
      <c r="N280" s="46"/>
      <c r="O280" s="46"/>
      <c r="P280" s="46"/>
      <c r="Q280" s="86"/>
    </row>
    <row r="281" spans="1:19" x14ac:dyDescent="0.35">
      <c r="A281" s="87"/>
      <c r="B281" s="8" t="s">
        <v>166</v>
      </c>
      <c r="C281" s="88"/>
      <c r="D281" s="41"/>
      <c r="E281" s="41">
        <f>'3.0 Plant in Service'!D234</f>
        <v>75343.543428571429</v>
      </c>
      <c r="F281" s="41">
        <f>'3.0 Plant in Service'!E234</f>
        <v>34373.559142857142</v>
      </c>
      <c r="G281" s="41">
        <f>'3.0 Plant in Service'!F234</f>
        <v>53802.092571428577</v>
      </c>
      <c r="H281" s="41">
        <f>'3.0 Plant in Service'!G234</f>
        <v>22881.349714285716</v>
      </c>
      <c r="I281" s="41">
        <f>'3.0 Plant in Service'!H234</f>
        <v>52719.866571428574</v>
      </c>
      <c r="J281" s="41">
        <f>'3.0 Plant in Service'!I234</f>
        <v>22726.746000000003</v>
      </c>
      <c r="K281" s="41">
        <f>'3.0 Plant in Service'!J234</f>
        <v>31796.830571428571</v>
      </c>
      <c r="L281" s="41">
        <f>'3.0 Plant in Service'!K234</f>
        <v>72663.745714285717</v>
      </c>
      <c r="M281" s="41">
        <f>'3.0 Plant in Service'!L234</f>
        <v>26334.166000000001</v>
      </c>
      <c r="N281" s="41">
        <f>'3.0 Plant in Service'!M234</f>
        <v>55966.544571428574</v>
      </c>
      <c r="O281" s="41">
        <f>'3.0 Plant in Service'!N234</f>
        <v>32569.849142857147</v>
      </c>
      <c r="P281" s="41">
        <f>'3.0 Plant in Service'!O234</f>
        <v>34167.420857142832</v>
      </c>
      <c r="Q281" s="89">
        <f>SUM(E281:P281)</f>
        <v>515345.71428571426</v>
      </c>
    </row>
    <row r="282" spans="1:19" x14ac:dyDescent="0.35">
      <c r="A282" s="87"/>
      <c r="B282" s="8" t="s">
        <v>167</v>
      </c>
      <c r="C282" s="88"/>
      <c r="D282" s="41"/>
      <c r="E282" s="44">
        <f>'3.0 Plant in Service'!D243</f>
        <v>-1180.465461</v>
      </c>
      <c r="F282" s="44">
        <f>'3.0 Plant in Service'!E243</f>
        <v>-2073.6218680000002</v>
      </c>
      <c r="G282" s="44">
        <f>'3.0 Plant in Service'!F243</f>
        <v>-6008.5067379999991</v>
      </c>
      <c r="H282" s="44">
        <f>'3.0 Plant in Service'!G243</f>
        <v>-2823.1237479999995</v>
      </c>
      <c r="I282" s="44">
        <f>'3.0 Plant in Service'!H243</f>
        <v>-5109.1044819999997</v>
      </c>
      <c r="J282" s="44">
        <f>'3.0 Plant in Service'!I243</f>
        <v>-3941.1307190000002</v>
      </c>
      <c r="K282" s="44">
        <f>'3.0 Plant in Service'!J243</f>
        <v>-3934.8848699999999</v>
      </c>
      <c r="L282" s="44">
        <f>'3.0 Plant in Service'!K243</f>
        <v>-8144.5870959999993</v>
      </c>
      <c r="M282" s="44">
        <f>'3.0 Plant in Service'!L243</f>
        <v>-11148.840464999999</v>
      </c>
      <c r="N282" s="44">
        <f>'3.0 Plant in Service'!M243</f>
        <v>-5077.8752369999993</v>
      </c>
      <c r="O282" s="44">
        <f>'3.0 Plant in Service'!N243</f>
        <v>-9718.5410439999996</v>
      </c>
      <c r="P282" s="44">
        <f>'3.0 Plant in Service'!O243</f>
        <v>-3297.8082720000043</v>
      </c>
      <c r="Q282" s="89"/>
    </row>
    <row r="283" spans="1:19" x14ac:dyDescent="0.35">
      <c r="A283" s="87"/>
      <c r="B283" s="8" t="s">
        <v>213</v>
      </c>
      <c r="C283" s="88"/>
      <c r="D283" s="41"/>
      <c r="E283" s="41">
        <f t="shared" ref="E283:P283" si="100">SUM(E281:E282)</f>
        <v>74163.077967571429</v>
      </c>
      <c r="F283" s="41">
        <f t="shared" si="100"/>
        <v>32299.93727485714</v>
      </c>
      <c r="G283" s="41">
        <f t="shared" si="100"/>
        <v>47793.58583342858</v>
      </c>
      <c r="H283" s="41">
        <f t="shared" si="100"/>
        <v>20058.225966285718</v>
      </c>
      <c r="I283" s="41">
        <f t="shared" si="100"/>
        <v>47610.762089428572</v>
      </c>
      <c r="J283" s="41">
        <f t="shared" si="100"/>
        <v>18785.615281000002</v>
      </c>
      <c r="K283" s="41">
        <f t="shared" si="100"/>
        <v>27861.945701428573</v>
      </c>
      <c r="L283" s="41">
        <f t="shared" si="100"/>
        <v>64519.158618285714</v>
      </c>
      <c r="M283" s="41">
        <f t="shared" si="100"/>
        <v>15185.325535000002</v>
      </c>
      <c r="N283" s="41">
        <f t="shared" si="100"/>
        <v>50888.669334428574</v>
      </c>
      <c r="O283" s="41">
        <f t="shared" si="100"/>
        <v>22851.308098857146</v>
      </c>
      <c r="P283" s="41">
        <f t="shared" si="100"/>
        <v>30869.612585142826</v>
      </c>
      <c r="Q283" s="89">
        <f>SUM(D283:P283)+D284</f>
        <v>1629727.0642857146</v>
      </c>
      <c r="S283" s="43"/>
    </row>
    <row r="284" spans="1:19" x14ac:dyDescent="0.35">
      <c r="A284" s="87"/>
      <c r="B284" s="8" t="s">
        <v>163</v>
      </c>
      <c r="C284" s="88"/>
      <c r="D284" s="41">
        <f>+P203</f>
        <v>1176839.8400000003</v>
      </c>
      <c r="E284" s="41">
        <f t="shared" ref="E284:P284" si="101">+E283+D284</f>
        <v>1251002.9179675716</v>
      </c>
      <c r="F284" s="41">
        <f t="shared" si="101"/>
        <v>1283302.8552424288</v>
      </c>
      <c r="G284" s="41">
        <f t="shared" si="101"/>
        <v>1331096.4410758575</v>
      </c>
      <c r="H284" s="41">
        <f t="shared" si="101"/>
        <v>1351154.6670421432</v>
      </c>
      <c r="I284" s="41">
        <f t="shared" si="101"/>
        <v>1398765.4291315717</v>
      </c>
      <c r="J284" s="41">
        <f t="shared" si="101"/>
        <v>1417551.0444125717</v>
      </c>
      <c r="K284" s="41">
        <f t="shared" si="101"/>
        <v>1445412.9901140002</v>
      </c>
      <c r="L284" s="41">
        <f t="shared" si="101"/>
        <v>1509932.1487322859</v>
      </c>
      <c r="M284" s="41">
        <f t="shared" si="101"/>
        <v>1525117.474267286</v>
      </c>
      <c r="N284" s="41">
        <f t="shared" si="101"/>
        <v>1576006.1436017146</v>
      </c>
      <c r="O284" s="41">
        <f t="shared" si="101"/>
        <v>1598857.4517005717</v>
      </c>
      <c r="P284" s="41">
        <f t="shared" si="101"/>
        <v>1629727.0642857144</v>
      </c>
      <c r="Q284" s="89"/>
    </row>
    <row r="285" spans="1:19" x14ac:dyDescent="0.35">
      <c r="A285" s="87"/>
      <c r="C285" s="88"/>
      <c r="D285" s="41"/>
      <c r="E285" s="41"/>
      <c r="F285" s="41"/>
      <c r="G285" s="41"/>
      <c r="H285" s="41"/>
      <c r="I285" s="41"/>
      <c r="J285" s="41"/>
      <c r="K285" s="41"/>
      <c r="L285" s="41"/>
      <c r="M285" s="41"/>
      <c r="N285" s="41"/>
      <c r="O285" s="41"/>
      <c r="P285" s="41"/>
      <c r="Q285" s="89"/>
    </row>
    <row r="286" spans="1:19" x14ac:dyDescent="0.35">
      <c r="A286" s="87"/>
      <c r="B286" s="8" t="s">
        <v>164</v>
      </c>
      <c r="C286" s="88"/>
      <c r="D286" s="41"/>
      <c r="E286" s="41">
        <f t="shared" ref="E286:P286" si="102">ROUND($C280*D284,0)</f>
        <v>2236</v>
      </c>
      <c r="F286" s="41">
        <f t="shared" si="102"/>
        <v>2377</v>
      </c>
      <c r="G286" s="41">
        <f t="shared" si="102"/>
        <v>2438</v>
      </c>
      <c r="H286" s="41">
        <f t="shared" si="102"/>
        <v>2529</v>
      </c>
      <c r="I286" s="41">
        <f t="shared" si="102"/>
        <v>2567</v>
      </c>
      <c r="J286" s="41">
        <f t="shared" si="102"/>
        <v>2658</v>
      </c>
      <c r="K286" s="41">
        <f t="shared" si="102"/>
        <v>2693</v>
      </c>
      <c r="L286" s="41">
        <f t="shared" si="102"/>
        <v>2746</v>
      </c>
      <c r="M286" s="41">
        <f t="shared" si="102"/>
        <v>2869</v>
      </c>
      <c r="N286" s="41">
        <f t="shared" si="102"/>
        <v>2898</v>
      </c>
      <c r="O286" s="41">
        <f t="shared" si="102"/>
        <v>2994</v>
      </c>
      <c r="P286" s="41">
        <f t="shared" si="102"/>
        <v>3038</v>
      </c>
      <c r="Q286" s="89"/>
    </row>
    <row r="287" spans="1:19" x14ac:dyDescent="0.35">
      <c r="A287" s="87"/>
      <c r="B287" s="8" t="s">
        <v>165</v>
      </c>
      <c r="C287" s="88"/>
      <c r="D287" s="41"/>
      <c r="E287" s="44">
        <f>ROUND($C280*E283*0.5,3)</f>
        <v>70.454999999999998</v>
      </c>
      <c r="F287" s="44">
        <f t="shared" ref="F287:P287" si="103">ROUND($C280*F283*0.5,3)</f>
        <v>30.684999999999999</v>
      </c>
      <c r="G287" s="44">
        <f t="shared" si="103"/>
        <v>45.404000000000003</v>
      </c>
      <c r="H287" s="44">
        <f t="shared" si="103"/>
        <v>19.055</v>
      </c>
      <c r="I287" s="44">
        <f t="shared" si="103"/>
        <v>45.23</v>
      </c>
      <c r="J287" s="44">
        <f t="shared" si="103"/>
        <v>17.846</v>
      </c>
      <c r="K287" s="44">
        <f t="shared" si="103"/>
        <v>26.469000000000001</v>
      </c>
      <c r="L287" s="44">
        <f t="shared" si="103"/>
        <v>61.292999999999999</v>
      </c>
      <c r="M287" s="44">
        <f t="shared" si="103"/>
        <v>14.426</v>
      </c>
      <c r="N287" s="44">
        <f t="shared" si="103"/>
        <v>48.344000000000001</v>
      </c>
      <c r="O287" s="44">
        <f t="shared" si="103"/>
        <v>21.709</v>
      </c>
      <c r="P287" s="44">
        <f t="shared" si="103"/>
        <v>29.326000000000001</v>
      </c>
      <c r="Q287" s="89"/>
    </row>
    <row r="288" spans="1:19" x14ac:dyDescent="0.35">
      <c r="A288" s="87"/>
      <c r="B288" s="8" t="s">
        <v>264</v>
      </c>
      <c r="C288" s="88"/>
      <c r="D288" s="41"/>
      <c r="E288" s="41">
        <f t="shared" ref="E288:P288" si="104">SUM(E286:E287)</f>
        <v>2306.4549999999999</v>
      </c>
      <c r="F288" s="41">
        <f t="shared" si="104"/>
        <v>2407.6849999999999</v>
      </c>
      <c r="G288" s="41">
        <f t="shared" si="104"/>
        <v>2483.404</v>
      </c>
      <c r="H288" s="41">
        <f t="shared" si="104"/>
        <v>2548.0549999999998</v>
      </c>
      <c r="I288" s="41">
        <f t="shared" si="104"/>
        <v>2612.23</v>
      </c>
      <c r="J288" s="41">
        <f t="shared" si="104"/>
        <v>2675.846</v>
      </c>
      <c r="K288" s="41">
        <f t="shared" si="104"/>
        <v>2719.4690000000001</v>
      </c>
      <c r="L288" s="41">
        <f t="shared" si="104"/>
        <v>2807.2930000000001</v>
      </c>
      <c r="M288" s="41">
        <f t="shared" si="104"/>
        <v>2883.4259999999999</v>
      </c>
      <c r="N288" s="41">
        <f t="shared" si="104"/>
        <v>2946.3440000000001</v>
      </c>
      <c r="O288" s="41">
        <f t="shared" si="104"/>
        <v>3015.7089999999998</v>
      </c>
      <c r="P288" s="41">
        <f t="shared" si="104"/>
        <v>3067.326</v>
      </c>
      <c r="Q288" s="89">
        <f>SUM(E288:P288)</f>
        <v>32473.242000000002</v>
      </c>
    </row>
    <row r="289" spans="1:19" x14ac:dyDescent="0.35">
      <c r="A289" s="90"/>
      <c r="B289" s="91"/>
      <c r="C289" s="91"/>
      <c r="D289" s="91"/>
      <c r="E289" s="91"/>
      <c r="F289" s="91"/>
      <c r="G289" s="91"/>
      <c r="H289" s="91"/>
      <c r="I289" s="91"/>
      <c r="J289" s="91"/>
      <c r="K289" s="91"/>
      <c r="L289" s="91"/>
      <c r="M289" s="91"/>
      <c r="N289" s="91"/>
      <c r="O289" s="91"/>
      <c r="P289" s="91"/>
      <c r="Q289" s="95"/>
    </row>
    <row r="290" spans="1:19" x14ac:dyDescent="0.35">
      <c r="A290" s="82"/>
      <c r="B290" s="83" t="s">
        <v>137</v>
      </c>
      <c r="C290" s="84">
        <f>2.22%/12</f>
        <v>1.8500000000000001E-3</v>
      </c>
      <c r="D290" s="46"/>
      <c r="E290" s="46"/>
      <c r="F290" s="46"/>
      <c r="G290" s="46"/>
      <c r="H290" s="46"/>
      <c r="I290" s="46"/>
      <c r="J290" s="46"/>
      <c r="K290" s="46"/>
      <c r="L290" s="46"/>
      <c r="M290" s="46"/>
      <c r="N290" s="46"/>
      <c r="O290" s="46"/>
      <c r="P290" s="46"/>
      <c r="Q290" s="86"/>
    </row>
    <row r="291" spans="1:19" x14ac:dyDescent="0.35">
      <c r="A291" s="87"/>
      <c r="B291" s="8" t="s">
        <v>166</v>
      </c>
      <c r="C291" s="88"/>
      <c r="D291" s="41"/>
      <c r="E291" s="41">
        <f>'3.0 Plant in Service'!D235</f>
        <v>30196.911571428573</v>
      </c>
      <c r="F291" s="41">
        <f>'3.0 Plant in Service'!E235</f>
        <v>63539.872000000003</v>
      </c>
      <c r="G291" s="41">
        <f>'3.0 Plant in Service'!F235</f>
        <v>22615.449571428573</v>
      </c>
      <c r="H291" s="41">
        <f>'3.0 Plant in Service'!G235</f>
        <v>23518.004571428573</v>
      </c>
      <c r="I291" s="41">
        <f>'3.0 Plant in Service'!H235</f>
        <v>0</v>
      </c>
      <c r="J291" s="41">
        <f>'3.0 Plant in Service'!I235</f>
        <v>21661.320000000003</v>
      </c>
      <c r="K291" s="41">
        <f>'3.0 Plant in Service'!J235</f>
        <v>9309.2101428571441</v>
      </c>
      <c r="L291" s="41">
        <f>'3.0 Plant in Service'!K235</f>
        <v>40950.209714285716</v>
      </c>
      <c r="M291" s="41">
        <f>'3.0 Plant in Service'!L235</f>
        <v>17947.950857142856</v>
      </c>
      <c r="N291" s="41">
        <f>'3.0 Plant in Service'!M235</f>
        <v>9360.7847142857154</v>
      </c>
      <c r="O291" s="41">
        <f>'3.0 Plant in Service'!N235</f>
        <v>0</v>
      </c>
      <c r="P291" s="41">
        <f>'3.0 Plant in Service'!O235</f>
        <v>18773.143999999986</v>
      </c>
      <c r="Q291" s="89">
        <f>SUM(E291:P291)</f>
        <v>257872.85714285716</v>
      </c>
    </row>
    <row r="292" spans="1:19" x14ac:dyDescent="0.35">
      <c r="A292" s="87"/>
      <c r="B292" s="8" t="s">
        <v>167</v>
      </c>
      <c r="C292" s="88"/>
      <c r="D292" s="41"/>
      <c r="E292" s="44">
        <f>'3.0 Plant in Service'!D244</f>
        <v>-229.1550685</v>
      </c>
      <c r="F292" s="44">
        <f>'3.0 Plant in Service'!E244</f>
        <v>-360.28629750000005</v>
      </c>
      <c r="G292" s="44">
        <f>'3.0 Plant in Service'!F244</f>
        <v>-528.41990300000009</v>
      </c>
      <c r="H292" s="44">
        <f>'3.0 Plant in Service'!G244</f>
        <v>-85.689714000000009</v>
      </c>
      <c r="I292" s="44">
        <f>'3.0 Plant in Service'!H244</f>
        <v>-509.59413250000006</v>
      </c>
      <c r="J292" s="44">
        <f>'3.0 Plant in Service'!I244</f>
        <v>-322.63475650000004</v>
      </c>
      <c r="K292" s="44">
        <f>'3.0 Plant in Service'!J244</f>
        <v>-1655.3694750000002</v>
      </c>
      <c r="L292" s="44">
        <f>'3.0 Plant in Service'!K244</f>
        <v>-451.16932750000007</v>
      </c>
      <c r="M292" s="44">
        <f>'3.0 Plant in Service'!L244</f>
        <v>-625.14541350000002</v>
      </c>
      <c r="N292" s="44">
        <f>'3.0 Plant in Service'!M244</f>
        <v>-577.75640499999997</v>
      </c>
      <c r="O292" s="44">
        <f>'3.0 Plant in Service'!N244</f>
        <v>-699.79933100000005</v>
      </c>
      <c r="P292" s="44">
        <f>'3.0 Plant in Service'!O244</f>
        <v>-446.62517600000058</v>
      </c>
      <c r="Q292" s="89"/>
    </row>
    <row r="293" spans="1:19" x14ac:dyDescent="0.35">
      <c r="A293" s="87"/>
      <c r="B293" s="8" t="s">
        <v>213</v>
      </c>
      <c r="C293" s="88"/>
      <c r="D293" s="41"/>
      <c r="E293" s="41">
        <f t="shared" ref="E293:P293" si="105">SUM(E291:E292)</f>
        <v>29967.756502928572</v>
      </c>
      <c r="F293" s="41">
        <f t="shared" si="105"/>
        <v>63179.5857025</v>
      </c>
      <c r="G293" s="41">
        <f t="shared" si="105"/>
        <v>22087.029668428571</v>
      </c>
      <c r="H293" s="41">
        <f t="shared" si="105"/>
        <v>23432.314857428573</v>
      </c>
      <c r="I293" s="41">
        <f t="shared" si="105"/>
        <v>-509.59413250000006</v>
      </c>
      <c r="J293" s="41">
        <f t="shared" si="105"/>
        <v>21338.685243500004</v>
      </c>
      <c r="K293" s="41">
        <f t="shared" si="105"/>
        <v>7653.8406678571437</v>
      </c>
      <c r="L293" s="41">
        <f t="shared" si="105"/>
        <v>40499.040386785717</v>
      </c>
      <c r="M293" s="41">
        <f t="shared" si="105"/>
        <v>17322.805443642857</v>
      </c>
      <c r="N293" s="41">
        <f t="shared" si="105"/>
        <v>8783.0283092857153</v>
      </c>
      <c r="O293" s="41">
        <f t="shared" si="105"/>
        <v>-699.79933100000005</v>
      </c>
      <c r="P293" s="41">
        <f t="shared" si="105"/>
        <v>18326.518823999984</v>
      </c>
      <c r="Q293" s="89">
        <f>SUM(D293:P293)+D294</f>
        <v>557262.56214285712</v>
      </c>
      <c r="S293" s="43"/>
    </row>
    <row r="294" spans="1:19" x14ac:dyDescent="0.35">
      <c r="A294" s="87"/>
      <c r="B294" s="8" t="s">
        <v>163</v>
      </c>
      <c r="C294" s="88"/>
      <c r="D294" s="41">
        <f>+P213</f>
        <v>305881.35000000003</v>
      </c>
      <c r="E294" s="41">
        <f t="shared" ref="E294:P294" si="106">+E293+D294</f>
        <v>335849.1065029286</v>
      </c>
      <c r="F294" s="41">
        <f t="shared" si="106"/>
        <v>399028.69220542861</v>
      </c>
      <c r="G294" s="41">
        <f t="shared" si="106"/>
        <v>421115.7218738572</v>
      </c>
      <c r="H294" s="41">
        <f t="shared" si="106"/>
        <v>444548.03673128574</v>
      </c>
      <c r="I294" s="41">
        <f t="shared" si="106"/>
        <v>444038.44259878574</v>
      </c>
      <c r="J294" s="41">
        <f t="shared" si="106"/>
        <v>465377.12784228573</v>
      </c>
      <c r="K294" s="41">
        <f t="shared" si="106"/>
        <v>473030.96851014288</v>
      </c>
      <c r="L294" s="41">
        <f t="shared" si="106"/>
        <v>513530.00889692857</v>
      </c>
      <c r="M294" s="41">
        <f t="shared" si="106"/>
        <v>530852.81434057141</v>
      </c>
      <c r="N294" s="41">
        <f t="shared" si="106"/>
        <v>539635.84264985716</v>
      </c>
      <c r="O294" s="41">
        <f t="shared" si="106"/>
        <v>538936.04331885721</v>
      </c>
      <c r="P294" s="41">
        <f t="shared" si="106"/>
        <v>557262.56214285723</v>
      </c>
      <c r="Q294" s="89"/>
    </row>
    <row r="295" spans="1:19" x14ac:dyDescent="0.35">
      <c r="A295" s="87"/>
      <c r="C295" s="88"/>
      <c r="D295" s="41"/>
      <c r="E295" s="41"/>
      <c r="F295" s="41"/>
      <c r="G295" s="41"/>
      <c r="H295" s="41"/>
      <c r="I295" s="41"/>
      <c r="J295" s="41"/>
      <c r="K295" s="41"/>
      <c r="L295" s="41"/>
      <c r="M295" s="41"/>
      <c r="N295" s="41"/>
      <c r="O295" s="41"/>
      <c r="P295" s="41"/>
      <c r="Q295" s="89"/>
    </row>
    <row r="296" spans="1:19" x14ac:dyDescent="0.35">
      <c r="A296" s="87"/>
      <c r="B296" s="8" t="s">
        <v>164</v>
      </c>
      <c r="C296" s="88"/>
      <c r="D296" s="41"/>
      <c r="E296" s="41">
        <f t="shared" ref="E296:P296" si="107">ROUND($C290*D294,0)</f>
        <v>566</v>
      </c>
      <c r="F296" s="41">
        <f t="shared" si="107"/>
        <v>621</v>
      </c>
      <c r="G296" s="41">
        <f t="shared" si="107"/>
        <v>738</v>
      </c>
      <c r="H296" s="41">
        <f t="shared" si="107"/>
        <v>779</v>
      </c>
      <c r="I296" s="41">
        <f t="shared" si="107"/>
        <v>822</v>
      </c>
      <c r="J296" s="41">
        <f t="shared" si="107"/>
        <v>821</v>
      </c>
      <c r="K296" s="41">
        <f t="shared" si="107"/>
        <v>861</v>
      </c>
      <c r="L296" s="41">
        <f t="shared" si="107"/>
        <v>875</v>
      </c>
      <c r="M296" s="41">
        <f t="shared" si="107"/>
        <v>950</v>
      </c>
      <c r="N296" s="41">
        <f t="shared" si="107"/>
        <v>982</v>
      </c>
      <c r="O296" s="41">
        <f t="shared" si="107"/>
        <v>998</v>
      </c>
      <c r="P296" s="41">
        <f t="shared" si="107"/>
        <v>997</v>
      </c>
      <c r="Q296" s="89"/>
    </row>
    <row r="297" spans="1:19" x14ac:dyDescent="0.35">
      <c r="A297" s="87"/>
      <c r="B297" s="8" t="s">
        <v>165</v>
      </c>
      <c r="C297" s="88"/>
      <c r="D297" s="41"/>
      <c r="E297" s="44">
        <f>ROUND($C290*E293*0.5,3)</f>
        <v>27.72</v>
      </c>
      <c r="F297" s="44">
        <f t="shared" ref="F297:P297" si="108">ROUND($C290*F293*0.5,3)</f>
        <v>58.441000000000003</v>
      </c>
      <c r="G297" s="44">
        <f t="shared" si="108"/>
        <v>20.431000000000001</v>
      </c>
      <c r="H297" s="44">
        <f t="shared" si="108"/>
        <v>21.675000000000001</v>
      </c>
      <c r="I297" s="44">
        <f t="shared" si="108"/>
        <v>-0.47099999999999997</v>
      </c>
      <c r="J297" s="44">
        <f t="shared" si="108"/>
        <v>19.738</v>
      </c>
      <c r="K297" s="44">
        <f t="shared" si="108"/>
        <v>7.08</v>
      </c>
      <c r="L297" s="44">
        <f t="shared" si="108"/>
        <v>37.462000000000003</v>
      </c>
      <c r="M297" s="44">
        <f t="shared" si="108"/>
        <v>16.024000000000001</v>
      </c>
      <c r="N297" s="44">
        <f t="shared" si="108"/>
        <v>8.1240000000000006</v>
      </c>
      <c r="O297" s="44">
        <f t="shared" si="108"/>
        <v>-0.64700000000000002</v>
      </c>
      <c r="P297" s="44">
        <f t="shared" si="108"/>
        <v>16.952000000000002</v>
      </c>
      <c r="Q297" s="89"/>
    </row>
    <row r="298" spans="1:19" x14ac:dyDescent="0.35">
      <c r="A298" s="87"/>
      <c r="B298" s="8" t="s">
        <v>265</v>
      </c>
      <c r="C298" s="88"/>
      <c r="D298" s="41"/>
      <c r="E298" s="41">
        <f t="shared" ref="E298:P298" si="109">SUM(E296:E297)</f>
        <v>593.72</v>
      </c>
      <c r="F298" s="41">
        <f t="shared" si="109"/>
        <v>679.44100000000003</v>
      </c>
      <c r="G298" s="41">
        <f t="shared" si="109"/>
        <v>758.43100000000004</v>
      </c>
      <c r="H298" s="41">
        <f t="shared" si="109"/>
        <v>800.67499999999995</v>
      </c>
      <c r="I298" s="41">
        <f t="shared" si="109"/>
        <v>821.529</v>
      </c>
      <c r="J298" s="41">
        <f t="shared" si="109"/>
        <v>840.73800000000006</v>
      </c>
      <c r="K298" s="41">
        <f t="shared" si="109"/>
        <v>868.08</v>
      </c>
      <c r="L298" s="41">
        <f t="shared" si="109"/>
        <v>912.46199999999999</v>
      </c>
      <c r="M298" s="41">
        <f t="shared" si="109"/>
        <v>966.024</v>
      </c>
      <c r="N298" s="41">
        <f t="shared" si="109"/>
        <v>990.12400000000002</v>
      </c>
      <c r="O298" s="41">
        <f t="shared" si="109"/>
        <v>997.35299999999995</v>
      </c>
      <c r="P298" s="41">
        <f t="shared" si="109"/>
        <v>1013.952</v>
      </c>
      <c r="Q298" s="89">
        <f>SUM(E298:P298)</f>
        <v>10242.528999999999</v>
      </c>
    </row>
    <row r="299" spans="1:19" x14ac:dyDescent="0.35">
      <c r="A299" s="90"/>
      <c r="B299" s="91"/>
      <c r="Q299" s="96"/>
    </row>
    <row r="300" spans="1:19" x14ac:dyDescent="0.35">
      <c r="A300" s="82"/>
      <c r="B300" s="97" t="s">
        <v>168</v>
      </c>
      <c r="C300" s="97"/>
      <c r="D300" s="97"/>
      <c r="E300" s="46">
        <f>+E258+E268+E278+E288+E298</f>
        <v>252248.33499999996</v>
      </c>
      <c r="F300" s="46">
        <f t="shared" ref="F300:P300" si="110">+F258+F268+F278+F288+F298</f>
        <v>257253.16999999998</v>
      </c>
      <c r="G300" s="46">
        <f t="shared" si="110"/>
        <v>265764.98999999993</v>
      </c>
      <c r="H300" s="46">
        <f t="shared" si="110"/>
        <v>274281.34499999997</v>
      </c>
      <c r="I300" s="46">
        <f t="shared" si="110"/>
        <v>281831.96399999992</v>
      </c>
      <c r="J300" s="46">
        <f t="shared" si="110"/>
        <v>291065.26000000007</v>
      </c>
      <c r="K300" s="46">
        <f t="shared" si="110"/>
        <v>300006.092</v>
      </c>
      <c r="L300" s="46">
        <f t="shared" si="110"/>
        <v>308061.34899999999</v>
      </c>
      <c r="M300" s="46">
        <f t="shared" si="110"/>
        <v>316786.76799999992</v>
      </c>
      <c r="N300" s="46">
        <f t="shared" si="110"/>
        <v>327902.45499999996</v>
      </c>
      <c r="O300" s="46">
        <f t="shared" si="110"/>
        <v>340990.18099999998</v>
      </c>
      <c r="P300" s="46">
        <f t="shared" si="110"/>
        <v>355028.7</v>
      </c>
      <c r="Q300" s="86">
        <f>SUM(E300:P300)</f>
        <v>3571220.6090000002</v>
      </c>
    </row>
    <row r="301" spans="1:19" x14ac:dyDescent="0.35">
      <c r="A301" s="87"/>
      <c r="B301" s="8" t="s">
        <v>169</v>
      </c>
      <c r="D301" s="15">
        <f>+P220</f>
        <v>4122981.1410000003</v>
      </c>
      <c r="E301" s="43">
        <f t="shared" ref="E301:P301" si="111">+E300+D301</f>
        <v>4375229.4759999998</v>
      </c>
      <c r="F301" s="43">
        <f t="shared" si="111"/>
        <v>4632482.6459999997</v>
      </c>
      <c r="G301" s="43">
        <f t="shared" si="111"/>
        <v>4898247.6359999999</v>
      </c>
      <c r="H301" s="43">
        <f t="shared" si="111"/>
        <v>5172528.9809999997</v>
      </c>
      <c r="I301" s="43">
        <f t="shared" si="111"/>
        <v>5454360.9449999994</v>
      </c>
      <c r="J301" s="43">
        <f t="shared" si="111"/>
        <v>5745426.2049999991</v>
      </c>
      <c r="K301" s="43">
        <f t="shared" si="111"/>
        <v>6045432.2969999993</v>
      </c>
      <c r="L301" s="43">
        <f t="shared" si="111"/>
        <v>6353493.6459999997</v>
      </c>
      <c r="M301" s="43">
        <f t="shared" si="111"/>
        <v>6670280.4139999999</v>
      </c>
      <c r="N301" s="43">
        <f t="shared" si="111"/>
        <v>6998182.8689999999</v>
      </c>
      <c r="O301" s="43">
        <f t="shared" si="111"/>
        <v>7339173.0499999998</v>
      </c>
      <c r="P301" s="43">
        <f t="shared" si="111"/>
        <v>7694201.75</v>
      </c>
      <c r="Q301" s="96"/>
    </row>
    <row r="302" spans="1:19" x14ac:dyDescent="0.35">
      <c r="A302" s="90"/>
      <c r="B302" s="91"/>
      <c r="C302" s="91"/>
      <c r="D302" s="91"/>
      <c r="E302" s="91"/>
      <c r="F302" s="91"/>
      <c r="G302" s="91"/>
      <c r="H302" s="91"/>
      <c r="I302" s="91"/>
      <c r="J302" s="91"/>
      <c r="K302" s="91"/>
      <c r="L302" s="91"/>
      <c r="M302" s="91"/>
      <c r="N302" s="91"/>
      <c r="O302" s="91"/>
      <c r="P302" s="91"/>
      <c r="Q302" s="95"/>
    </row>
    <row r="310" spans="3:17" x14ac:dyDescent="0.35">
      <c r="Q310" s="9"/>
    </row>
    <row r="311" spans="3:17" x14ac:dyDescent="0.35">
      <c r="Q311" s="9"/>
    </row>
    <row r="312" spans="3:17" x14ac:dyDescent="0.35">
      <c r="C312" s="11"/>
      <c r="D312" s="10"/>
      <c r="E312" s="10"/>
      <c r="F312" s="10"/>
      <c r="G312" s="10"/>
      <c r="H312" s="10"/>
      <c r="I312" s="10"/>
      <c r="J312" s="10"/>
      <c r="K312" s="10"/>
      <c r="L312" s="10"/>
      <c r="M312" s="10"/>
      <c r="N312" s="10"/>
      <c r="O312" s="10"/>
      <c r="P312" s="10"/>
      <c r="Q312" s="10"/>
    </row>
    <row r="313" spans="3:17" x14ac:dyDescent="0.35">
      <c r="C313" s="11"/>
      <c r="D313" s="10"/>
      <c r="E313" s="10"/>
      <c r="F313" s="10"/>
      <c r="G313" s="10"/>
      <c r="H313" s="10"/>
      <c r="I313" s="10"/>
      <c r="J313" s="10"/>
      <c r="K313" s="10"/>
      <c r="L313" s="10"/>
      <c r="M313" s="10"/>
      <c r="N313" s="10"/>
      <c r="O313" s="10"/>
      <c r="P313" s="10"/>
      <c r="Q313" s="10"/>
    </row>
    <row r="314" spans="3:17" x14ac:dyDescent="0.35">
      <c r="C314" s="11"/>
      <c r="D314" s="10"/>
      <c r="E314" s="10"/>
      <c r="F314" s="10"/>
      <c r="G314" s="10"/>
      <c r="H314" s="10"/>
      <c r="I314" s="10"/>
      <c r="J314" s="10"/>
      <c r="K314" s="10"/>
      <c r="L314" s="10"/>
      <c r="M314" s="10"/>
      <c r="N314" s="10"/>
      <c r="O314" s="10"/>
      <c r="P314" s="10"/>
      <c r="Q314" s="10"/>
    </row>
    <row r="315" spans="3:17" x14ac:dyDescent="0.35">
      <c r="C315" s="79"/>
    </row>
    <row r="316" spans="3:17" x14ac:dyDescent="0.35">
      <c r="C316" s="88"/>
      <c r="D316" s="41"/>
      <c r="E316" s="141"/>
      <c r="F316" s="141"/>
      <c r="G316" s="141"/>
      <c r="H316" s="141"/>
      <c r="I316" s="141"/>
      <c r="J316" s="141"/>
      <c r="K316" s="141"/>
      <c r="L316" s="141"/>
      <c r="M316" s="141"/>
      <c r="N316" s="141"/>
      <c r="O316" s="141"/>
      <c r="P316" s="141"/>
      <c r="Q316" s="43"/>
    </row>
    <row r="317" spans="3:17" x14ac:dyDescent="0.35">
      <c r="C317" s="88"/>
      <c r="D317" s="41"/>
      <c r="E317" s="41"/>
      <c r="F317" s="41"/>
      <c r="G317" s="41"/>
      <c r="H317" s="41"/>
      <c r="I317" s="41"/>
      <c r="J317" s="41"/>
      <c r="K317" s="41"/>
      <c r="L317" s="41"/>
      <c r="M317" s="41"/>
      <c r="N317" s="41"/>
      <c r="O317" s="41"/>
      <c r="P317" s="41"/>
      <c r="Q317" s="43"/>
    </row>
    <row r="318" spans="3:17" x14ac:dyDescent="0.35">
      <c r="C318" s="88"/>
      <c r="D318" s="41"/>
      <c r="E318" s="41"/>
      <c r="F318" s="41"/>
      <c r="G318" s="41"/>
      <c r="H318" s="41"/>
      <c r="I318" s="41"/>
      <c r="J318" s="41"/>
      <c r="K318" s="41"/>
      <c r="L318" s="41"/>
      <c r="M318" s="41"/>
      <c r="N318" s="41"/>
      <c r="O318" s="41"/>
      <c r="P318" s="41"/>
      <c r="Q318" s="43"/>
    </row>
    <row r="319" spans="3:17" x14ac:dyDescent="0.35">
      <c r="C319" s="88"/>
      <c r="D319" s="41"/>
      <c r="E319" s="141"/>
      <c r="F319" s="141"/>
      <c r="G319" s="141"/>
      <c r="H319" s="141"/>
      <c r="I319" s="141"/>
      <c r="J319" s="141"/>
      <c r="K319" s="141"/>
      <c r="L319" s="141"/>
      <c r="M319" s="141"/>
      <c r="N319" s="141"/>
      <c r="O319" s="141"/>
      <c r="P319" s="141"/>
      <c r="Q319" s="43"/>
    </row>
    <row r="320" spans="3:17" x14ac:dyDescent="0.35">
      <c r="N320" s="9"/>
      <c r="Q320" s="9" t="str">
        <f>+Q239</f>
        <v>Case No. 2026-00306</v>
      </c>
    </row>
    <row r="321" spans="1:17" x14ac:dyDescent="0.35">
      <c r="N321" s="9"/>
      <c r="Q321" s="9" t="str">
        <f>+Q240</f>
        <v>SMRP Form 5.0</v>
      </c>
    </row>
    <row r="322" spans="1:17" x14ac:dyDescent="0.35">
      <c r="N322" s="9"/>
      <c r="Q322" s="9" t="s">
        <v>297</v>
      </c>
    </row>
    <row r="323" spans="1:17" x14ac:dyDescent="0.35">
      <c r="A323" s="144" t="s">
        <v>12</v>
      </c>
      <c r="B323" s="144"/>
      <c r="C323" s="144"/>
      <c r="D323" s="144"/>
      <c r="E323" s="144"/>
      <c r="F323" s="144"/>
      <c r="G323" s="144"/>
      <c r="H323" s="144"/>
      <c r="I323" s="144"/>
      <c r="J323" s="144"/>
      <c r="K323" s="144"/>
      <c r="L323" s="144"/>
      <c r="M323" s="144"/>
      <c r="N323" s="144"/>
      <c r="O323" s="144"/>
      <c r="P323" s="144"/>
      <c r="Q323" s="144"/>
    </row>
    <row r="324" spans="1:17" x14ac:dyDescent="0.35">
      <c r="A324" s="144" t="s">
        <v>109</v>
      </c>
      <c r="B324" s="144"/>
      <c r="C324" s="144"/>
      <c r="D324" s="144"/>
      <c r="E324" s="144"/>
      <c r="F324" s="144"/>
      <c r="G324" s="144"/>
      <c r="H324" s="144"/>
      <c r="I324" s="144"/>
      <c r="J324" s="144"/>
      <c r="K324" s="144"/>
      <c r="L324" s="144"/>
      <c r="M324" s="144"/>
      <c r="N324" s="144"/>
      <c r="O324" s="144"/>
      <c r="P324" s="144"/>
      <c r="Q324" s="144"/>
    </row>
    <row r="325" spans="1:17" x14ac:dyDescent="0.35">
      <c r="A325" s="144" t="s">
        <v>311</v>
      </c>
      <c r="B325" s="144"/>
      <c r="C325" s="144"/>
      <c r="D325" s="144"/>
      <c r="E325" s="144"/>
      <c r="F325" s="144"/>
      <c r="G325" s="144"/>
      <c r="H325" s="144"/>
      <c r="I325" s="144"/>
      <c r="J325" s="144"/>
      <c r="K325" s="144"/>
      <c r="L325" s="144"/>
      <c r="M325" s="144"/>
      <c r="N325" s="144"/>
      <c r="O325" s="144"/>
      <c r="P325" s="144"/>
      <c r="Q325" s="144"/>
    </row>
    <row r="327" spans="1:17" x14ac:dyDescent="0.35">
      <c r="C327" s="11" t="s">
        <v>60</v>
      </c>
      <c r="D327" s="10">
        <f>+D246+1</f>
        <v>2026</v>
      </c>
      <c r="E327" s="10">
        <f>+D327+1</f>
        <v>2027</v>
      </c>
      <c r="F327" s="10">
        <f t="shared" ref="F327:Q327" si="112">+E327</f>
        <v>2027</v>
      </c>
      <c r="G327" s="10">
        <f t="shared" si="112"/>
        <v>2027</v>
      </c>
      <c r="H327" s="10">
        <f t="shared" si="112"/>
        <v>2027</v>
      </c>
      <c r="I327" s="10">
        <f t="shared" si="112"/>
        <v>2027</v>
      </c>
      <c r="J327" s="10">
        <f t="shared" si="112"/>
        <v>2027</v>
      </c>
      <c r="K327" s="10">
        <f t="shared" si="112"/>
        <v>2027</v>
      </c>
      <c r="L327" s="10">
        <f t="shared" si="112"/>
        <v>2027</v>
      </c>
      <c r="M327" s="10">
        <f t="shared" si="112"/>
        <v>2027</v>
      </c>
      <c r="N327" s="10">
        <f t="shared" si="112"/>
        <v>2027</v>
      </c>
      <c r="O327" s="10">
        <f t="shared" si="112"/>
        <v>2027</v>
      </c>
      <c r="P327" s="10">
        <f t="shared" si="112"/>
        <v>2027</v>
      </c>
      <c r="Q327" s="10">
        <f t="shared" si="112"/>
        <v>2027</v>
      </c>
    </row>
    <row r="328" spans="1:17" x14ac:dyDescent="0.35">
      <c r="C328" s="11" t="s">
        <v>23</v>
      </c>
      <c r="D328" s="10" t="s">
        <v>140</v>
      </c>
      <c r="E328" s="10" t="s">
        <v>141</v>
      </c>
      <c r="F328" s="10" t="s">
        <v>142</v>
      </c>
      <c r="G328" s="10" t="s">
        <v>143</v>
      </c>
      <c r="H328" s="10" t="s">
        <v>144</v>
      </c>
      <c r="I328" s="10" t="s">
        <v>81</v>
      </c>
      <c r="J328" s="10" t="s">
        <v>145</v>
      </c>
      <c r="K328" s="10" t="s">
        <v>146</v>
      </c>
      <c r="L328" s="10" t="s">
        <v>147</v>
      </c>
      <c r="M328" s="10" t="s">
        <v>148</v>
      </c>
      <c r="N328" s="10" t="s">
        <v>149</v>
      </c>
      <c r="O328" s="10" t="s">
        <v>150</v>
      </c>
      <c r="P328" s="10" t="s">
        <v>140</v>
      </c>
      <c r="Q328" s="10" t="s">
        <v>92</v>
      </c>
    </row>
    <row r="329" spans="1:17" x14ac:dyDescent="0.35">
      <c r="C329" s="11" t="s">
        <v>162</v>
      </c>
      <c r="D329" s="10" t="s">
        <v>92</v>
      </c>
      <c r="E329" s="10" t="s">
        <v>201</v>
      </c>
      <c r="F329" s="10" t="s">
        <v>201</v>
      </c>
      <c r="G329" s="10" t="s">
        <v>201</v>
      </c>
      <c r="H329" s="10" t="s">
        <v>201</v>
      </c>
      <c r="I329" s="10" t="s">
        <v>201</v>
      </c>
      <c r="J329" s="10" t="s">
        <v>201</v>
      </c>
      <c r="K329" s="10" t="s">
        <v>201</v>
      </c>
      <c r="L329" s="10" t="s">
        <v>201</v>
      </c>
      <c r="M329" s="10" t="s">
        <v>201</v>
      </c>
      <c r="N329" s="10" t="s">
        <v>201</v>
      </c>
      <c r="O329" s="10" t="s">
        <v>201</v>
      </c>
      <c r="P329" s="10" t="s">
        <v>201</v>
      </c>
      <c r="Q329" s="10" t="s">
        <v>9</v>
      </c>
    </row>
    <row r="330" spans="1:17" x14ac:dyDescent="0.35">
      <c r="B330" s="79"/>
      <c r="C330" s="79"/>
    </row>
    <row r="331" spans="1:17" x14ac:dyDescent="0.35">
      <c r="A331" s="82"/>
      <c r="B331" s="83" t="s">
        <v>133</v>
      </c>
      <c r="C331" s="84">
        <f>1.8%/12</f>
        <v>1.5000000000000002E-3</v>
      </c>
      <c r="D331" s="46"/>
      <c r="E331" s="85"/>
      <c r="F331" s="85"/>
      <c r="G331" s="85"/>
      <c r="H331" s="85"/>
      <c r="I331" s="85"/>
      <c r="J331" s="85"/>
      <c r="K331" s="85"/>
      <c r="L331" s="85"/>
      <c r="M331" s="85"/>
      <c r="N331" s="85"/>
      <c r="O331" s="85"/>
      <c r="P331" s="85"/>
      <c r="Q331" s="86"/>
    </row>
    <row r="332" spans="1:17" x14ac:dyDescent="0.35">
      <c r="A332" s="87"/>
      <c r="B332" s="8" t="s">
        <v>166</v>
      </c>
      <c r="C332" s="88"/>
      <c r="D332" s="41"/>
      <c r="E332" s="41">
        <f>'3.0 Plant in Service'!D304</f>
        <v>416657.19500000001</v>
      </c>
      <c r="F332" s="41">
        <f>'3.0 Plant in Service'!E304</f>
        <v>1082449.6200000001</v>
      </c>
      <c r="G332" s="41">
        <f>'3.0 Plant in Service'!F304</f>
        <v>4935454.8150000004</v>
      </c>
      <c r="H332" s="41">
        <f>'3.0 Plant in Service'!G304</f>
        <v>1292925.9349999998</v>
      </c>
      <c r="I332" s="41">
        <f>'3.0 Plant in Service'!H304</f>
        <v>2890827.7549999999</v>
      </c>
      <c r="J332" s="41">
        <f>'3.0 Plant in Service'!I304</f>
        <v>3582392.79</v>
      </c>
      <c r="K332" s="41">
        <f>'3.0 Plant in Service'!J304</f>
        <v>3466416.0449999999</v>
      </c>
      <c r="L332" s="41">
        <f>'3.0 Plant in Service'!K304</f>
        <v>1632265.3</v>
      </c>
      <c r="M332" s="41">
        <f>'3.0 Plant in Service'!L304</f>
        <v>4089254.12</v>
      </c>
      <c r="N332" s="41">
        <f>'3.0 Plant in Service'!M304</f>
        <v>4368457.3949999996</v>
      </c>
      <c r="O332" s="41">
        <f>'3.0 Plant in Service'!N304</f>
        <v>6761014.6900000004</v>
      </c>
      <c r="P332" s="41">
        <f>'3.0 Plant in Service'!O304</f>
        <v>8436234.3400000036</v>
      </c>
      <c r="Q332" s="89">
        <f>SUM(E332:P332)</f>
        <v>42954350.000000007</v>
      </c>
    </row>
    <row r="333" spans="1:17" x14ac:dyDescent="0.35">
      <c r="A333" s="87"/>
      <c r="B333" s="8" t="s">
        <v>167</v>
      </c>
      <c r="C333" s="88"/>
      <c r="D333" s="41"/>
      <c r="E333" s="44">
        <f>'3.0 Plant in Service'!D313</f>
        <v>0</v>
      </c>
      <c r="F333" s="44">
        <f>'3.0 Plant in Service'!E313</f>
        <v>0</v>
      </c>
      <c r="G333" s="44">
        <f>'3.0 Plant in Service'!F313</f>
        <v>-24756</v>
      </c>
      <c r="H333" s="44">
        <f>'3.0 Plant in Service'!G313</f>
        <v>-1800</v>
      </c>
      <c r="I333" s="44">
        <f>'3.0 Plant in Service'!H313</f>
        <v>-10532</v>
      </c>
      <c r="J333" s="44">
        <f>'3.0 Plant in Service'!I313</f>
        <v>-9009</v>
      </c>
      <c r="K333" s="44">
        <f>'3.0 Plant in Service'!J313</f>
        <v>-540532</v>
      </c>
      <c r="L333" s="44">
        <f>'3.0 Plant in Service'!K313</f>
        <v>-13439</v>
      </c>
      <c r="M333" s="44">
        <f>'3.0 Plant in Service'!L313</f>
        <v>0</v>
      </c>
      <c r="N333" s="44">
        <f>'3.0 Plant in Service'!M313</f>
        <v>-100432</v>
      </c>
      <c r="O333" s="44">
        <f>'3.0 Plant in Service'!N313</f>
        <v>0</v>
      </c>
      <c r="P333" s="44">
        <f>'3.0 Plant in Service'!O313</f>
        <v>-386288</v>
      </c>
      <c r="Q333" s="89"/>
    </row>
    <row r="334" spans="1:17" x14ac:dyDescent="0.35">
      <c r="A334" s="87"/>
      <c r="B334" s="8" t="s">
        <v>213</v>
      </c>
      <c r="C334" s="88"/>
      <c r="D334" s="41"/>
      <c r="E334" s="41">
        <f t="shared" ref="E334:P334" si="113">SUM(E332:E333)</f>
        <v>416657.19500000001</v>
      </c>
      <c r="F334" s="41">
        <f t="shared" si="113"/>
        <v>1082449.6200000001</v>
      </c>
      <c r="G334" s="41">
        <f t="shared" si="113"/>
        <v>4910698.8150000004</v>
      </c>
      <c r="H334" s="41">
        <f t="shared" si="113"/>
        <v>1291125.9349999998</v>
      </c>
      <c r="I334" s="41">
        <f t="shared" si="113"/>
        <v>2880295.7549999999</v>
      </c>
      <c r="J334" s="41">
        <f t="shared" si="113"/>
        <v>3573383.79</v>
      </c>
      <c r="K334" s="41">
        <f t="shared" si="113"/>
        <v>2925884.0449999999</v>
      </c>
      <c r="L334" s="41">
        <f t="shared" si="113"/>
        <v>1618826.3</v>
      </c>
      <c r="M334" s="41">
        <f t="shared" si="113"/>
        <v>4089254.12</v>
      </c>
      <c r="N334" s="41">
        <f t="shared" si="113"/>
        <v>4268025.3949999996</v>
      </c>
      <c r="O334" s="41">
        <f t="shared" si="113"/>
        <v>6761014.6900000004</v>
      </c>
      <c r="P334" s="41">
        <f t="shared" si="113"/>
        <v>8049946.3400000036</v>
      </c>
      <c r="Q334" s="89">
        <f>SUM(D334:P334)+D335</f>
        <v>166356788.02899998</v>
      </c>
    </row>
    <row r="335" spans="1:17" x14ac:dyDescent="0.35">
      <c r="A335" s="87"/>
      <c r="B335" s="8" t="s">
        <v>163</v>
      </c>
      <c r="C335" s="88"/>
      <c r="D335" s="132">
        <f>+P254</f>
        <v>124489226.02899998</v>
      </c>
      <c r="E335" s="41">
        <f t="shared" ref="E335:P335" si="114">+E334+D335</f>
        <v>124905883.22399998</v>
      </c>
      <c r="F335" s="41">
        <f t="shared" si="114"/>
        <v>125988332.84399998</v>
      </c>
      <c r="G335" s="41">
        <f t="shared" si="114"/>
        <v>130899031.65899998</v>
      </c>
      <c r="H335" s="41">
        <f t="shared" si="114"/>
        <v>132190157.59399998</v>
      </c>
      <c r="I335" s="41">
        <f t="shared" si="114"/>
        <v>135070453.34899998</v>
      </c>
      <c r="J335" s="41">
        <f t="shared" si="114"/>
        <v>138643837.13899997</v>
      </c>
      <c r="K335" s="41">
        <f t="shared" si="114"/>
        <v>141569721.18399996</v>
      </c>
      <c r="L335" s="41">
        <f t="shared" si="114"/>
        <v>143188547.48399997</v>
      </c>
      <c r="M335" s="41">
        <f t="shared" si="114"/>
        <v>147277801.60399997</v>
      </c>
      <c r="N335" s="41">
        <f t="shared" si="114"/>
        <v>151545826.99899998</v>
      </c>
      <c r="O335" s="41">
        <f t="shared" si="114"/>
        <v>158306841.68899998</v>
      </c>
      <c r="P335" s="41">
        <f t="shared" si="114"/>
        <v>166356788.02899998</v>
      </c>
      <c r="Q335" s="89"/>
    </row>
    <row r="336" spans="1:17" x14ac:dyDescent="0.35">
      <c r="A336" s="87"/>
      <c r="C336" s="88"/>
      <c r="D336" s="41"/>
      <c r="E336" s="41"/>
      <c r="F336" s="41"/>
      <c r="G336" s="41"/>
      <c r="H336" s="41"/>
      <c r="I336" s="41"/>
      <c r="J336" s="41"/>
      <c r="K336" s="41"/>
      <c r="L336" s="41"/>
      <c r="M336" s="41"/>
      <c r="N336" s="41"/>
      <c r="O336" s="41"/>
      <c r="P336" s="41"/>
      <c r="Q336" s="89"/>
    </row>
    <row r="337" spans="1:17" x14ac:dyDescent="0.35">
      <c r="A337" s="87"/>
      <c r="B337" s="8" t="s">
        <v>164</v>
      </c>
      <c r="C337" s="88"/>
      <c r="D337" s="41"/>
      <c r="E337" s="41">
        <f t="shared" ref="E337:P337" si="115">ROUND($C331*D335,0)</f>
        <v>186734</v>
      </c>
      <c r="F337" s="41">
        <f t="shared" si="115"/>
        <v>187359</v>
      </c>
      <c r="G337" s="41">
        <f t="shared" si="115"/>
        <v>188982</v>
      </c>
      <c r="H337" s="41">
        <f t="shared" si="115"/>
        <v>196349</v>
      </c>
      <c r="I337" s="41">
        <f t="shared" si="115"/>
        <v>198285</v>
      </c>
      <c r="J337" s="41">
        <f t="shared" si="115"/>
        <v>202606</v>
      </c>
      <c r="K337" s="41">
        <f t="shared" si="115"/>
        <v>207966</v>
      </c>
      <c r="L337" s="41">
        <f t="shared" si="115"/>
        <v>212355</v>
      </c>
      <c r="M337" s="41">
        <f t="shared" si="115"/>
        <v>214783</v>
      </c>
      <c r="N337" s="41">
        <f t="shared" si="115"/>
        <v>220917</v>
      </c>
      <c r="O337" s="41">
        <f t="shared" si="115"/>
        <v>227319</v>
      </c>
      <c r="P337" s="41">
        <f t="shared" si="115"/>
        <v>237460</v>
      </c>
      <c r="Q337" s="89"/>
    </row>
    <row r="338" spans="1:17" x14ac:dyDescent="0.35">
      <c r="A338" s="87"/>
      <c r="B338" s="8" t="s">
        <v>165</v>
      </c>
      <c r="C338" s="88"/>
      <c r="D338" s="41"/>
      <c r="E338" s="44">
        <f>ROUND($C331*E334*0.5,3)</f>
        <v>312.49299999999999</v>
      </c>
      <c r="F338" s="44">
        <f t="shared" ref="F338:P338" si="116">ROUND($C331*F334*0.5,3)</f>
        <v>811.83699999999999</v>
      </c>
      <c r="G338" s="44">
        <f t="shared" si="116"/>
        <v>3683.0239999999999</v>
      </c>
      <c r="H338" s="44">
        <f t="shared" si="116"/>
        <v>968.34400000000005</v>
      </c>
      <c r="I338" s="44">
        <f t="shared" si="116"/>
        <v>2160.2220000000002</v>
      </c>
      <c r="J338" s="44">
        <f t="shared" si="116"/>
        <v>2680.038</v>
      </c>
      <c r="K338" s="44">
        <f t="shared" si="116"/>
        <v>2194.413</v>
      </c>
      <c r="L338" s="44">
        <f t="shared" si="116"/>
        <v>1214.1199999999999</v>
      </c>
      <c r="M338" s="44">
        <f t="shared" si="116"/>
        <v>3066.9409999999998</v>
      </c>
      <c r="N338" s="44">
        <f t="shared" si="116"/>
        <v>3201.0189999999998</v>
      </c>
      <c r="O338" s="44">
        <f t="shared" si="116"/>
        <v>5070.7610000000004</v>
      </c>
      <c r="P338" s="44">
        <f t="shared" si="116"/>
        <v>6037.46</v>
      </c>
      <c r="Q338" s="89"/>
    </row>
    <row r="339" spans="1:17" x14ac:dyDescent="0.35">
      <c r="A339" s="87"/>
      <c r="B339" s="8" t="s">
        <v>261</v>
      </c>
      <c r="C339" s="88"/>
      <c r="D339" s="41">
        <v>0</v>
      </c>
      <c r="E339" s="41">
        <f t="shared" ref="E339:P339" si="117">SUM(E337:E338)</f>
        <v>187046.49299999999</v>
      </c>
      <c r="F339" s="41">
        <f t="shared" si="117"/>
        <v>188170.837</v>
      </c>
      <c r="G339" s="41">
        <f t="shared" si="117"/>
        <v>192665.024</v>
      </c>
      <c r="H339" s="41">
        <f t="shared" si="117"/>
        <v>197317.34400000001</v>
      </c>
      <c r="I339" s="41">
        <f t="shared" si="117"/>
        <v>200445.22200000001</v>
      </c>
      <c r="J339" s="41">
        <f t="shared" si="117"/>
        <v>205286.038</v>
      </c>
      <c r="K339" s="41">
        <f t="shared" si="117"/>
        <v>210160.413</v>
      </c>
      <c r="L339" s="41">
        <f t="shared" si="117"/>
        <v>213569.12</v>
      </c>
      <c r="M339" s="41">
        <f t="shared" si="117"/>
        <v>217849.94099999999</v>
      </c>
      <c r="N339" s="41">
        <f t="shared" si="117"/>
        <v>224118.019</v>
      </c>
      <c r="O339" s="41">
        <f t="shared" si="117"/>
        <v>232389.761</v>
      </c>
      <c r="P339" s="41">
        <f t="shared" si="117"/>
        <v>243497.46</v>
      </c>
      <c r="Q339" s="89">
        <f>SUM(D339:P339)</f>
        <v>2512515.6720000003</v>
      </c>
    </row>
    <row r="340" spans="1:17" x14ac:dyDescent="0.35">
      <c r="A340" s="90"/>
      <c r="B340" s="91"/>
      <c r="C340" s="92"/>
      <c r="D340" s="44"/>
      <c r="E340" s="44"/>
      <c r="F340" s="44"/>
      <c r="G340" s="44"/>
      <c r="H340" s="44"/>
      <c r="I340" s="44"/>
      <c r="J340" s="44"/>
      <c r="K340" s="44"/>
      <c r="L340" s="44"/>
      <c r="M340" s="44"/>
      <c r="N340" s="44"/>
      <c r="O340" s="44"/>
      <c r="P340" s="44"/>
      <c r="Q340" s="93"/>
    </row>
    <row r="341" spans="1:17" x14ac:dyDescent="0.35">
      <c r="A341" s="82"/>
      <c r="B341" s="83" t="s">
        <v>134</v>
      </c>
      <c r="C341" s="84">
        <f>3.31%/12</f>
        <v>2.7583333333333331E-3</v>
      </c>
      <c r="D341" s="46"/>
      <c r="E341" s="46"/>
      <c r="F341" s="46"/>
      <c r="G341" s="46"/>
      <c r="H341" s="46"/>
      <c r="I341" s="46"/>
      <c r="J341" s="46"/>
      <c r="K341" s="46"/>
      <c r="L341" s="46"/>
      <c r="M341" s="46"/>
      <c r="N341" s="46"/>
      <c r="O341" s="46"/>
      <c r="P341" s="46"/>
      <c r="Q341" s="86"/>
    </row>
    <row r="342" spans="1:17" x14ac:dyDescent="0.35">
      <c r="A342" s="87"/>
      <c r="B342" s="8" t="s">
        <v>166</v>
      </c>
      <c r="C342" s="88"/>
      <c r="D342" s="41"/>
      <c r="E342" s="41">
        <f>'3.0 Plant in Service'!D305</f>
        <v>0</v>
      </c>
      <c r="F342" s="41">
        <f>'3.0 Plant in Service'!E305</f>
        <v>0</v>
      </c>
      <c r="G342" s="41">
        <f>'3.0 Plant in Service'!F305</f>
        <v>0</v>
      </c>
      <c r="H342" s="41">
        <f>'3.0 Plant in Service'!G305</f>
        <v>0</v>
      </c>
      <c r="I342" s="41">
        <f>'3.0 Plant in Service'!H305</f>
        <v>0</v>
      </c>
      <c r="J342" s="41">
        <f>'3.0 Plant in Service'!I305</f>
        <v>0</v>
      </c>
      <c r="K342" s="41">
        <f>'3.0 Plant in Service'!J305</f>
        <v>0</v>
      </c>
      <c r="L342" s="41">
        <f>'3.0 Plant in Service'!K305</f>
        <v>0</v>
      </c>
      <c r="M342" s="41">
        <f>'3.0 Plant in Service'!L305</f>
        <v>0</v>
      </c>
      <c r="N342" s="41">
        <f>'3.0 Plant in Service'!M305</f>
        <v>0</v>
      </c>
      <c r="O342" s="41">
        <f>'3.0 Plant in Service'!N305</f>
        <v>0</v>
      </c>
      <c r="P342" s="41">
        <f>'3.0 Plant in Service'!O305</f>
        <v>0</v>
      </c>
      <c r="Q342" s="89">
        <f>SUM(E342:P342)</f>
        <v>0</v>
      </c>
    </row>
    <row r="343" spans="1:17" x14ac:dyDescent="0.35">
      <c r="A343" s="87"/>
      <c r="B343" s="8" t="s">
        <v>167</v>
      </c>
      <c r="C343" s="88"/>
      <c r="D343" s="41"/>
      <c r="E343" s="44">
        <f>'3.0 Plant in Service'!D314</f>
        <v>-3788</v>
      </c>
      <c r="F343" s="44">
        <f>'3.0 Plant in Service'!E314</f>
        <v>-3046</v>
      </c>
      <c r="G343" s="44">
        <f>'3.0 Plant in Service'!F314</f>
        <v>-12735</v>
      </c>
      <c r="H343" s="44">
        <f>'3.0 Plant in Service'!G314</f>
        <v>-840</v>
      </c>
      <c r="I343" s="44">
        <f>'3.0 Plant in Service'!H314</f>
        <v>-31692</v>
      </c>
      <c r="J343" s="44">
        <f>'3.0 Plant in Service'!I314</f>
        <v>-49919</v>
      </c>
      <c r="K343" s="44">
        <f>'3.0 Plant in Service'!J314</f>
        <v>-45450</v>
      </c>
      <c r="L343" s="44">
        <f>'3.0 Plant in Service'!K314</f>
        <v>-36878</v>
      </c>
      <c r="M343" s="44">
        <f>'3.0 Plant in Service'!L314</f>
        <v>-21209</v>
      </c>
      <c r="N343" s="44">
        <f>'3.0 Plant in Service'!M314</f>
        <v>0</v>
      </c>
      <c r="O343" s="44">
        <f>'3.0 Plant in Service'!N314</f>
        <v>-318</v>
      </c>
      <c r="P343" s="44">
        <f>'3.0 Plant in Service'!O314</f>
        <v>-21216</v>
      </c>
      <c r="Q343" s="89"/>
    </row>
    <row r="344" spans="1:17" x14ac:dyDescent="0.35">
      <c r="A344" s="87"/>
      <c r="B344" s="8" t="s">
        <v>213</v>
      </c>
      <c r="C344" s="88"/>
      <c r="D344" s="41"/>
      <c r="E344" s="41">
        <f t="shared" ref="E344:P344" si="118">SUM(E342:E343)</f>
        <v>-3788</v>
      </c>
      <c r="F344" s="41">
        <f t="shared" si="118"/>
        <v>-3046</v>
      </c>
      <c r="G344" s="41">
        <f t="shared" si="118"/>
        <v>-12735</v>
      </c>
      <c r="H344" s="41">
        <f t="shared" si="118"/>
        <v>-840</v>
      </c>
      <c r="I344" s="41">
        <f t="shared" si="118"/>
        <v>-31692</v>
      </c>
      <c r="J344" s="41">
        <f t="shared" si="118"/>
        <v>-49919</v>
      </c>
      <c r="K344" s="41">
        <f t="shared" si="118"/>
        <v>-45450</v>
      </c>
      <c r="L344" s="41">
        <f t="shared" si="118"/>
        <v>-36878</v>
      </c>
      <c r="M344" s="41">
        <f t="shared" si="118"/>
        <v>-21209</v>
      </c>
      <c r="N344" s="41">
        <f t="shared" si="118"/>
        <v>0</v>
      </c>
      <c r="O344" s="41">
        <f t="shared" si="118"/>
        <v>-318</v>
      </c>
      <c r="P344" s="41">
        <f t="shared" si="118"/>
        <v>-21216</v>
      </c>
      <c r="Q344" s="89">
        <f>SUM(D344:P344)+D345</f>
        <v>-976633.90000000014</v>
      </c>
    </row>
    <row r="345" spans="1:17" x14ac:dyDescent="0.35">
      <c r="A345" s="87"/>
      <c r="B345" s="8" t="s">
        <v>163</v>
      </c>
      <c r="C345" s="88"/>
      <c r="D345" s="41">
        <f>+P264</f>
        <v>-749542.90000000014</v>
      </c>
      <c r="E345" s="41">
        <f t="shared" ref="E345:P345" si="119">+E344+D345</f>
        <v>-753330.90000000014</v>
      </c>
      <c r="F345" s="41">
        <f t="shared" si="119"/>
        <v>-756376.90000000014</v>
      </c>
      <c r="G345" s="41">
        <f t="shared" si="119"/>
        <v>-769111.90000000014</v>
      </c>
      <c r="H345" s="41">
        <f t="shared" si="119"/>
        <v>-769951.90000000014</v>
      </c>
      <c r="I345" s="41">
        <f t="shared" si="119"/>
        <v>-801643.90000000014</v>
      </c>
      <c r="J345" s="41">
        <f t="shared" si="119"/>
        <v>-851562.90000000014</v>
      </c>
      <c r="K345" s="41">
        <f t="shared" si="119"/>
        <v>-897012.90000000014</v>
      </c>
      <c r="L345" s="41">
        <f t="shared" si="119"/>
        <v>-933890.90000000014</v>
      </c>
      <c r="M345" s="41">
        <f t="shared" si="119"/>
        <v>-955099.90000000014</v>
      </c>
      <c r="N345" s="41">
        <f t="shared" si="119"/>
        <v>-955099.90000000014</v>
      </c>
      <c r="O345" s="41">
        <f t="shared" si="119"/>
        <v>-955417.90000000014</v>
      </c>
      <c r="P345" s="41">
        <f t="shared" si="119"/>
        <v>-976633.90000000014</v>
      </c>
      <c r="Q345" s="89"/>
    </row>
    <row r="346" spans="1:17" x14ac:dyDescent="0.35">
      <c r="A346" s="87"/>
      <c r="C346" s="88"/>
      <c r="D346" s="41"/>
      <c r="E346" s="41"/>
      <c r="F346" s="41"/>
      <c r="G346" s="41"/>
      <c r="H346" s="41"/>
      <c r="I346" s="41"/>
      <c r="J346" s="41"/>
      <c r="K346" s="41"/>
      <c r="L346" s="41"/>
      <c r="M346" s="41"/>
      <c r="N346" s="41"/>
      <c r="O346" s="41"/>
      <c r="P346" s="41"/>
      <c r="Q346" s="89"/>
    </row>
    <row r="347" spans="1:17" x14ac:dyDescent="0.35">
      <c r="A347" s="87"/>
      <c r="B347" s="8" t="s">
        <v>164</v>
      </c>
      <c r="C347" s="88"/>
      <c r="D347" s="41"/>
      <c r="E347" s="41">
        <f t="shared" ref="E347:P347" si="120">ROUND($C341*D345,0)</f>
        <v>-2067</v>
      </c>
      <c r="F347" s="41">
        <f t="shared" si="120"/>
        <v>-2078</v>
      </c>
      <c r="G347" s="41">
        <f t="shared" si="120"/>
        <v>-2086</v>
      </c>
      <c r="H347" s="41">
        <f t="shared" si="120"/>
        <v>-2121</v>
      </c>
      <c r="I347" s="41">
        <f t="shared" si="120"/>
        <v>-2124</v>
      </c>
      <c r="J347" s="41">
        <f t="shared" si="120"/>
        <v>-2211</v>
      </c>
      <c r="K347" s="41">
        <f t="shared" si="120"/>
        <v>-2349</v>
      </c>
      <c r="L347" s="41">
        <f t="shared" si="120"/>
        <v>-2474</v>
      </c>
      <c r="M347" s="41">
        <f t="shared" si="120"/>
        <v>-2576</v>
      </c>
      <c r="N347" s="41">
        <f t="shared" si="120"/>
        <v>-2634</v>
      </c>
      <c r="O347" s="41">
        <f t="shared" si="120"/>
        <v>-2634</v>
      </c>
      <c r="P347" s="41">
        <f t="shared" si="120"/>
        <v>-2635</v>
      </c>
      <c r="Q347" s="89"/>
    </row>
    <row r="348" spans="1:17" x14ac:dyDescent="0.35">
      <c r="A348" s="87"/>
      <c r="B348" s="8" t="s">
        <v>165</v>
      </c>
      <c r="C348" s="88"/>
      <c r="D348" s="41"/>
      <c r="E348" s="44">
        <f>ROUND($C341*E344*0.5,3)</f>
        <v>-5.2240000000000002</v>
      </c>
      <c r="F348" s="44">
        <f t="shared" ref="F348:P348" si="121">ROUND($C341*F344*0.5,3)</f>
        <v>-4.2009999999999996</v>
      </c>
      <c r="G348" s="44">
        <f t="shared" si="121"/>
        <v>-17.564</v>
      </c>
      <c r="H348" s="44">
        <f t="shared" si="121"/>
        <v>-1.159</v>
      </c>
      <c r="I348" s="44">
        <f t="shared" si="121"/>
        <v>-43.709000000000003</v>
      </c>
      <c r="J348" s="44">
        <f t="shared" si="121"/>
        <v>-68.846999999999994</v>
      </c>
      <c r="K348" s="44">
        <f t="shared" si="121"/>
        <v>-62.683</v>
      </c>
      <c r="L348" s="44">
        <f t="shared" si="121"/>
        <v>-50.860999999999997</v>
      </c>
      <c r="M348" s="44">
        <f t="shared" si="121"/>
        <v>-29.251000000000001</v>
      </c>
      <c r="N348" s="44">
        <f t="shared" si="121"/>
        <v>0</v>
      </c>
      <c r="O348" s="44">
        <f t="shared" si="121"/>
        <v>-0.439</v>
      </c>
      <c r="P348" s="44">
        <f t="shared" si="121"/>
        <v>-29.26</v>
      </c>
      <c r="Q348" s="89"/>
    </row>
    <row r="349" spans="1:17" x14ac:dyDescent="0.35">
      <c r="A349" s="87"/>
      <c r="B349" s="8" t="s">
        <v>262</v>
      </c>
      <c r="C349" s="88"/>
      <c r="D349" s="41"/>
      <c r="E349" s="41">
        <f t="shared" ref="E349:P349" si="122">SUM(E347:E348)</f>
        <v>-2072.2240000000002</v>
      </c>
      <c r="F349" s="41">
        <f t="shared" si="122"/>
        <v>-2082.201</v>
      </c>
      <c r="G349" s="41">
        <f t="shared" si="122"/>
        <v>-2103.5639999999999</v>
      </c>
      <c r="H349" s="41">
        <f t="shared" si="122"/>
        <v>-2122.1590000000001</v>
      </c>
      <c r="I349" s="41">
        <f t="shared" si="122"/>
        <v>-2167.7089999999998</v>
      </c>
      <c r="J349" s="41">
        <f t="shared" si="122"/>
        <v>-2279.8470000000002</v>
      </c>
      <c r="K349" s="41">
        <f t="shared" si="122"/>
        <v>-2411.683</v>
      </c>
      <c r="L349" s="41">
        <f t="shared" si="122"/>
        <v>-2524.8609999999999</v>
      </c>
      <c r="M349" s="41">
        <f t="shared" si="122"/>
        <v>-2605.2510000000002</v>
      </c>
      <c r="N349" s="41">
        <f t="shared" si="122"/>
        <v>-2634</v>
      </c>
      <c r="O349" s="41">
        <f t="shared" si="122"/>
        <v>-2634.4389999999999</v>
      </c>
      <c r="P349" s="41">
        <f t="shared" si="122"/>
        <v>-2664.26</v>
      </c>
      <c r="Q349" s="89">
        <f>SUM(E349:P349)</f>
        <v>-28302.197999999997</v>
      </c>
    </row>
    <row r="350" spans="1:17" x14ac:dyDescent="0.35">
      <c r="A350" s="90"/>
      <c r="B350" s="91"/>
      <c r="C350" s="92"/>
      <c r="D350" s="44"/>
      <c r="E350" s="94"/>
      <c r="F350" s="94"/>
      <c r="G350" s="94"/>
      <c r="H350" s="94"/>
      <c r="I350" s="94"/>
      <c r="J350" s="94"/>
      <c r="K350" s="94"/>
      <c r="L350" s="94"/>
      <c r="M350" s="94"/>
      <c r="N350" s="94"/>
      <c r="O350" s="94"/>
      <c r="P350" s="94"/>
      <c r="Q350" s="93"/>
    </row>
    <row r="351" spans="1:17" x14ac:dyDescent="0.35">
      <c r="A351" s="82"/>
      <c r="B351" s="83" t="s">
        <v>135</v>
      </c>
      <c r="C351" s="84">
        <f>5.18%/12</f>
        <v>4.3166666666666666E-3</v>
      </c>
      <c r="D351" s="46"/>
      <c r="E351" s="85"/>
      <c r="F351" s="85"/>
      <c r="G351" s="85"/>
      <c r="H351" s="85"/>
      <c r="I351" s="85"/>
      <c r="J351" s="85"/>
      <c r="K351" s="85"/>
      <c r="L351" s="85"/>
      <c r="M351" s="85"/>
      <c r="N351" s="85"/>
      <c r="O351" s="85"/>
      <c r="P351" s="85"/>
      <c r="Q351" s="86"/>
    </row>
    <row r="352" spans="1:17" x14ac:dyDescent="0.35">
      <c r="A352" s="87"/>
      <c r="B352" s="8" t="s">
        <v>166</v>
      </c>
      <c r="C352" s="88"/>
      <c r="D352" s="41"/>
      <c r="E352" s="41">
        <f>'3.0 Plant in Service'!D306</f>
        <v>1062350.8</v>
      </c>
      <c r="F352" s="41">
        <f>'3.0 Plant in Service'!E306</f>
        <v>1537613</v>
      </c>
      <c r="G352" s="41">
        <f>'3.0 Plant in Service'!F306</f>
        <v>1603510.7</v>
      </c>
      <c r="H352" s="41">
        <f>'3.0 Plant in Service'!G306</f>
        <v>1461730.8</v>
      </c>
      <c r="I352" s="41">
        <f>'3.0 Plant in Service'!H306</f>
        <v>1719330.9</v>
      </c>
      <c r="J352" s="41">
        <f>'3.0 Plant in Service'!I306</f>
        <v>1853123.2</v>
      </c>
      <c r="K352" s="41">
        <f>'3.0 Plant in Service'!J306</f>
        <v>1587535.5</v>
      </c>
      <c r="L352" s="41">
        <f>'3.0 Plant in Service'!K306</f>
        <v>1929005.4000000001</v>
      </c>
      <c r="M352" s="41">
        <f>'3.0 Plant in Service'!L306</f>
        <v>1559578.9000000001</v>
      </c>
      <c r="N352" s="41">
        <f>'3.0 Plant in Service'!M306</f>
        <v>2312410.2000000002</v>
      </c>
      <c r="O352" s="41">
        <f>'3.0 Plant in Service'!N306</f>
        <v>1777241</v>
      </c>
      <c r="P352" s="41">
        <f>'3.0 Plant in Service'!O306</f>
        <v>1565569.5999999987</v>
      </c>
      <c r="Q352" s="89">
        <f>SUM(E352:P352)</f>
        <v>19968999.999999996</v>
      </c>
    </row>
    <row r="353" spans="1:17" x14ac:dyDescent="0.35">
      <c r="A353" s="87"/>
      <c r="B353" s="8" t="s">
        <v>167</v>
      </c>
      <c r="C353" s="88"/>
      <c r="D353" s="41"/>
      <c r="E353" s="44">
        <f>'3.0 Plant in Service'!D315</f>
        <v>-275962</v>
      </c>
      <c r="F353" s="44">
        <f>'3.0 Plant in Service'!E315</f>
        <v>-199932</v>
      </c>
      <c r="G353" s="44">
        <f>'3.0 Plant in Service'!F315</f>
        <v>-428905</v>
      </c>
      <c r="H353" s="44">
        <f>'3.0 Plant in Service'!G315</f>
        <v>-163316</v>
      </c>
      <c r="I353" s="44">
        <f>'3.0 Plant in Service'!H315</f>
        <v>-319990</v>
      </c>
      <c r="J353" s="44">
        <f>'3.0 Plant in Service'!I315</f>
        <v>-421535</v>
      </c>
      <c r="K353" s="44">
        <f>'3.0 Plant in Service'!J315</f>
        <v>-405113</v>
      </c>
      <c r="L353" s="44">
        <f>'3.0 Plant in Service'!K315</f>
        <v>-331700</v>
      </c>
      <c r="M353" s="44">
        <f>'3.0 Plant in Service'!L315</f>
        <v>-391031</v>
      </c>
      <c r="N353" s="44">
        <f>'3.0 Plant in Service'!M315</f>
        <v>-302932</v>
      </c>
      <c r="O353" s="44">
        <f>'3.0 Plant in Service'!N315</f>
        <v>-462772</v>
      </c>
      <c r="P353" s="44">
        <f>'3.0 Plant in Service'!O315</f>
        <v>-384766</v>
      </c>
      <c r="Q353" s="89"/>
    </row>
    <row r="354" spans="1:17" x14ac:dyDescent="0.35">
      <c r="A354" s="87"/>
      <c r="B354" s="8" t="s">
        <v>213</v>
      </c>
      <c r="C354" s="88"/>
      <c r="D354" s="41"/>
      <c r="E354" s="41">
        <f t="shared" ref="E354:P354" si="123">SUM(E352:E353)</f>
        <v>786388.8</v>
      </c>
      <c r="F354" s="41">
        <f t="shared" si="123"/>
        <v>1337681</v>
      </c>
      <c r="G354" s="41">
        <f t="shared" si="123"/>
        <v>1174605.7</v>
      </c>
      <c r="H354" s="41">
        <f t="shared" si="123"/>
        <v>1298414.8</v>
      </c>
      <c r="I354" s="41">
        <f t="shared" si="123"/>
        <v>1399340.9</v>
      </c>
      <c r="J354" s="41">
        <f t="shared" si="123"/>
        <v>1431588.2</v>
      </c>
      <c r="K354" s="41">
        <f t="shared" si="123"/>
        <v>1182422.5</v>
      </c>
      <c r="L354" s="41">
        <f t="shared" si="123"/>
        <v>1597305.4000000001</v>
      </c>
      <c r="M354" s="41">
        <f t="shared" si="123"/>
        <v>1168547.9000000001</v>
      </c>
      <c r="N354" s="41">
        <f t="shared" si="123"/>
        <v>2009478.2000000002</v>
      </c>
      <c r="O354" s="41">
        <f t="shared" si="123"/>
        <v>1314469</v>
      </c>
      <c r="P354" s="41">
        <f t="shared" si="123"/>
        <v>1180803.5999999987</v>
      </c>
      <c r="Q354" s="89">
        <f>SUM(D354:P354)+D355</f>
        <v>56086121.010855556</v>
      </c>
    </row>
    <row r="355" spans="1:17" x14ac:dyDescent="0.35">
      <c r="A355" s="87"/>
      <c r="B355" s="8" t="s">
        <v>163</v>
      </c>
      <c r="C355" s="88"/>
      <c r="D355" s="41">
        <f>+P274</f>
        <v>40205075.010855563</v>
      </c>
      <c r="E355" s="41">
        <f t="shared" ref="E355:P355" si="124">+E354+D355</f>
        <v>40991463.81085556</v>
      </c>
      <c r="F355" s="41">
        <f t="shared" si="124"/>
        <v>42329144.81085556</v>
      </c>
      <c r="G355" s="41">
        <f t="shared" si="124"/>
        <v>43503750.510855563</v>
      </c>
      <c r="H355" s="41">
        <f t="shared" si="124"/>
        <v>44802165.31085556</v>
      </c>
      <c r="I355" s="41">
        <f t="shared" si="124"/>
        <v>46201506.210855559</v>
      </c>
      <c r="J355" s="41">
        <f t="shared" si="124"/>
        <v>47633094.410855561</v>
      </c>
      <c r="K355" s="41">
        <f t="shared" si="124"/>
        <v>48815516.910855561</v>
      </c>
      <c r="L355" s="41">
        <f t="shared" si="124"/>
        <v>50412822.31085556</v>
      </c>
      <c r="M355" s="41">
        <f t="shared" si="124"/>
        <v>51581370.210855559</v>
      </c>
      <c r="N355" s="41">
        <f t="shared" si="124"/>
        <v>53590848.410855561</v>
      </c>
      <c r="O355" s="41">
        <f t="shared" si="124"/>
        <v>54905317.410855561</v>
      </c>
      <c r="P355" s="41">
        <f t="shared" si="124"/>
        <v>56086121.010855563</v>
      </c>
      <c r="Q355" s="89"/>
    </row>
    <row r="356" spans="1:17" x14ac:dyDescent="0.35">
      <c r="A356" s="87"/>
      <c r="C356" s="88"/>
      <c r="D356" s="41"/>
      <c r="E356" s="41"/>
      <c r="F356" s="41"/>
      <c r="G356" s="41"/>
      <c r="H356" s="41"/>
      <c r="I356" s="41"/>
      <c r="J356" s="41"/>
      <c r="K356" s="41"/>
      <c r="L356" s="41"/>
      <c r="M356" s="41"/>
      <c r="N356" s="41"/>
      <c r="O356" s="41"/>
      <c r="P356" s="41"/>
      <c r="Q356" s="89"/>
    </row>
    <row r="357" spans="1:17" x14ac:dyDescent="0.35">
      <c r="A357" s="87"/>
      <c r="B357" s="8" t="s">
        <v>164</v>
      </c>
      <c r="C357" s="88"/>
      <c r="D357" s="41"/>
      <c r="E357" s="41">
        <f t="shared" ref="E357:P357" si="125">ROUND($C351*D355,0)</f>
        <v>173552</v>
      </c>
      <c r="F357" s="41">
        <f t="shared" si="125"/>
        <v>176946</v>
      </c>
      <c r="G357" s="41">
        <f t="shared" si="125"/>
        <v>182721</v>
      </c>
      <c r="H357" s="41">
        <f t="shared" si="125"/>
        <v>187791</v>
      </c>
      <c r="I357" s="41">
        <f t="shared" si="125"/>
        <v>193396</v>
      </c>
      <c r="J357" s="41">
        <f t="shared" si="125"/>
        <v>199437</v>
      </c>
      <c r="K357" s="41">
        <f t="shared" si="125"/>
        <v>205616</v>
      </c>
      <c r="L357" s="41">
        <f t="shared" si="125"/>
        <v>210720</v>
      </c>
      <c r="M357" s="41">
        <f t="shared" si="125"/>
        <v>217615</v>
      </c>
      <c r="N357" s="41">
        <f t="shared" si="125"/>
        <v>222660</v>
      </c>
      <c r="O357" s="41">
        <f t="shared" si="125"/>
        <v>231334</v>
      </c>
      <c r="P357" s="41">
        <f t="shared" si="125"/>
        <v>237008</v>
      </c>
      <c r="Q357" s="89"/>
    </row>
    <row r="358" spans="1:17" x14ac:dyDescent="0.35">
      <c r="A358" s="87"/>
      <c r="B358" s="8" t="s">
        <v>165</v>
      </c>
      <c r="C358" s="88"/>
      <c r="D358" s="41"/>
      <c r="E358" s="44">
        <f>ROUND($C351*E354*0.5,3)</f>
        <v>1697.289</v>
      </c>
      <c r="F358" s="44">
        <f t="shared" ref="F358:P358" si="126">ROUND($C351*F354*0.5,3)</f>
        <v>2887.1610000000001</v>
      </c>
      <c r="G358" s="44">
        <f t="shared" si="126"/>
        <v>2535.1909999999998</v>
      </c>
      <c r="H358" s="44">
        <f t="shared" si="126"/>
        <v>2802.4119999999998</v>
      </c>
      <c r="I358" s="44">
        <f t="shared" si="126"/>
        <v>3020.2440000000001</v>
      </c>
      <c r="J358" s="44">
        <f t="shared" si="126"/>
        <v>3089.8449999999998</v>
      </c>
      <c r="K358" s="44">
        <f t="shared" si="126"/>
        <v>2552.0619999999999</v>
      </c>
      <c r="L358" s="44">
        <f t="shared" si="126"/>
        <v>3447.5169999999998</v>
      </c>
      <c r="M358" s="44">
        <f t="shared" si="126"/>
        <v>2522.116</v>
      </c>
      <c r="N358" s="44">
        <f t="shared" si="126"/>
        <v>4337.1239999999998</v>
      </c>
      <c r="O358" s="44">
        <f t="shared" si="126"/>
        <v>2837.0619999999999</v>
      </c>
      <c r="P358" s="44">
        <f t="shared" si="126"/>
        <v>2548.5680000000002</v>
      </c>
      <c r="Q358" s="89"/>
    </row>
    <row r="359" spans="1:17" x14ac:dyDescent="0.35">
      <c r="A359" s="87"/>
      <c r="B359" s="8" t="s">
        <v>263</v>
      </c>
      <c r="C359" s="88"/>
      <c r="D359" s="41"/>
      <c r="E359" s="41">
        <f t="shared" ref="E359:P359" si="127">SUM(E357:E358)</f>
        <v>175249.28899999999</v>
      </c>
      <c r="F359" s="41">
        <f t="shared" si="127"/>
        <v>179833.16099999999</v>
      </c>
      <c r="G359" s="41">
        <f t="shared" si="127"/>
        <v>185256.19099999999</v>
      </c>
      <c r="H359" s="41">
        <f t="shared" si="127"/>
        <v>190593.41200000001</v>
      </c>
      <c r="I359" s="41">
        <f t="shared" si="127"/>
        <v>196416.24400000001</v>
      </c>
      <c r="J359" s="41">
        <f t="shared" si="127"/>
        <v>202526.845</v>
      </c>
      <c r="K359" s="41">
        <f t="shared" si="127"/>
        <v>208168.06200000001</v>
      </c>
      <c r="L359" s="41">
        <f t="shared" si="127"/>
        <v>214167.51699999999</v>
      </c>
      <c r="M359" s="41">
        <f t="shared" si="127"/>
        <v>220137.11600000001</v>
      </c>
      <c r="N359" s="41">
        <f t="shared" si="127"/>
        <v>226997.12400000001</v>
      </c>
      <c r="O359" s="41">
        <f t="shared" si="127"/>
        <v>234171.06200000001</v>
      </c>
      <c r="P359" s="41">
        <f t="shared" si="127"/>
        <v>239556.568</v>
      </c>
      <c r="Q359" s="89">
        <f>SUM(E359:P359)</f>
        <v>2473072.591</v>
      </c>
    </row>
    <row r="360" spans="1:17" x14ac:dyDescent="0.35">
      <c r="A360" s="90"/>
      <c r="B360" s="91"/>
      <c r="C360" s="92"/>
      <c r="D360" s="44"/>
      <c r="E360" s="44"/>
      <c r="F360" s="44"/>
      <c r="G360" s="44"/>
      <c r="H360" s="44"/>
      <c r="I360" s="44"/>
      <c r="J360" s="44"/>
      <c r="K360" s="44"/>
      <c r="L360" s="44"/>
      <c r="M360" s="44"/>
      <c r="N360" s="44"/>
      <c r="O360" s="44"/>
      <c r="P360" s="44"/>
      <c r="Q360" s="93"/>
    </row>
    <row r="361" spans="1:17" x14ac:dyDescent="0.35">
      <c r="A361" s="82"/>
      <c r="B361" s="83" t="s">
        <v>136</v>
      </c>
      <c r="C361" s="84">
        <f>2.28%/12</f>
        <v>1.8999999999999998E-3</v>
      </c>
      <c r="D361" s="46"/>
      <c r="E361" s="46"/>
      <c r="F361" s="46"/>
      <c r="G361" s="46"/>
      <c r="H361" s="46"/>
      <c r="I361" s="46"/>
      <c r="J361" s="46"/>
      <c r="K361" s="46"/>
      <c r="L361" s="46"/>
      <c r="M361" s="46"/>
      <c r="N361" s="46"/>
      <c r="O361" s="46"/>
      <c r="P361" s="46"/>
      <c r="Q361" s="86"/>
    </row>
    <row r="362" spans="1:17" x14ac:dyDescent="0.35">
      <c r="A362" s="87"/>
      <c r="B362" s="8" t="s">
        <v>166</v>
      </c>
      <c r="C362" s="88"/>
      <c r="D362" s="41"/>
      <c r="E362" s="41">
        <f>'3.0 Plant in Service'!D307</f>
        <v>75343.543428571429</v>
      </c>
      <c r="F362" s="41">
        <f>'3.0 Plant in Service'!E307</f>
        <v>34373.559142857142</v>
      </c>
      <c r="G362" s="41">
        <f>'3.0 Plant in Service'!F307</f>
        <v>53802.092571428577</v>
      </c>
      <c r="H362" s="41">
        <f>'3.0 Plant in Service'!G307</f>
        <v>22881.349714285716</v>
      </c>
      <c r="I362" s="41">
        <f>'3.0 Plant in Service'!H307</f>
        <v>52719.866571428574</v>
      </c>
      <c r="J362" s="41">
        <f>'3.0 Plant in Service'!I307</f>
        <v>22726.746000000003</v>
      </c>
      <c r="K362" s="41">
        <f>'3.0 Plant in Service'!J307</f>
        <v>31796.830571428571</v>
      </c>
      <c r="L362" s="41">
        <f>'3.0 Plant in Service'!K307</f>
        <v>72663.745714285717</v>
      </c>
      <c r="M362" s="41">
        <f>'3.0 Plant in Service'!L307</f>
        <v>26334.166000000001</v>
      </c>
      <c r="N362" s="41">
        <f>'3.0 Plant in Service'!M307</f>
        <v>55966.544571428574</v>
      </c>
      <c r="O362" s="41">
        <f>'3.0 Plant in Service'!N307</f>
        <v>32569.849142857147</v>
      </c>
      <c r="P362" s="41">
        <f>'3.0 Plant in Service'!O307</f>
        <v>34167.420857142832</v>
      </c>
      <c r="Q362" s="89">
        <f>SUM(E362:P362)</f>
        <v>515345.71428571426</v>
      </c>
    </row>
    <row r="363" spans="1:17" x14ac:dyDescent="0.35">
      <c r="A363" s="87"/>
      <c r="B363" s="8" t="s">
        <v>167</v>
      </c>
      <c r="C363" s="88"/>
      <c r="D363" s="41"/>
      <c r="E363" s="44">
        <f>'3.0 Plant in Service'!D316</f>
        <v>-1178</v>
      </c>
      <c r="F363" s="44">
        <f>'3.0 Plant in Service'!E316</f>
        <v>-2076</v>
      </c>
      <c r="G363" s="44">
        <f>'3.0 Plant in Service'!F316</f>
        <v>-6007</v>
      </c>
      <c r="H363" s="44">
        <f>'3.0 Plant in Service'!G316</f>
        <v>-2824</v>
      </c>
      <c r="I363" s="44">
        <f>'3.0 Plant in Service'!H316</f>
        <v>-5111</v>
      </c>
      <c r="J363" s="44">
        <f>'3.0 Plant in Service'!I316</f>
        <v>-3939</v>
      </c>
      <c r="K363" s="44">
        <f>'3.0 Plant in Service'!J316</f>
        <v>-3935</v>
      </c>
      <c r="L363" s="44">
        <f>'3.0 Plant in Service'!K316</f>
        <v>-8145</v>
      </c>
      <c r="M363" s="44">
        <f>'3.0 Plant in Service'!L316</f>
        <v>-11146</v>
      </c>
      <c r="N363" s="44">
        <f>'3.0 Plant in Service'!M316</f>
        <v>-5080</v>
      </c>
      <c r="O363" s="44">
        <f>'3.0 Plant in Service'!N316</f>
        <v>-9720</v>
      </c>
      <c r="P363" s="44">
        <f>'3.0 Plant in Service'!O316</f>
        <v>-3299</v>
      </c>
      <c r="Q363" s="89"/>
    </row>
    <row r="364" spans="1:17" x14ac:dyDescent="0.35">
      <c r="A364" s="87"/>
      <c r="B364" s="8" t="s">
        <v>213</v>
      </c>
      <c r="C364" s="88"/>
      <c r="D364" s="41"/>
      <c r="E364" s="41">
        <f t="shared" ref="E364:P364" si="128">SUM(E362:E363)</f>
        <v>74165.543428571429</v>
      </c>
      <c r="F364" s="41">
        <f t="shared" si="128"/>
        <v>32297.559142857142</v>
      </c>
      <c r="G364" s="41">
        <f t="shared" si="128"/>
        <v>47795.092571428577</v>
      </c>
      <c r="H364" s="41">
        <f t="shared" si="128"/>
        <v>20057.349714285716</v>
      </c>
      <c r="I364" s="41">
        <f t="shared" si="128"/>
        <v>47608.866571428574</v>
      </c>
      <c r="J364" s="41">
        <f t="shared" si="128"/>
        <v>18787.746000000003</v>
      </c>
      <c r="K364" s="41">
        <f t="shared" si="128"/>
        <v>27861.830571428571</v>
      </c>
      <c r="L364" s="41">
        <f t="shared" si="128"/>
        <v>64518.745714285717</v>
      </c>
      <c r="M364" s="41">
        <f t="shared" si="128"/>
        <v>15188.166000000001</v>
      </c>
      <c r="N364" s="41">
        <f t="shared" si="128"/>
        <v>50886.544571428574</v>
      </c>
      <c r="O364" s="41">
        <f t="shared" si="128"/>
        <v>22849.849142857147</v>
      </c>
      <c r="P364" s="41">
        <f t="shared" si="128"/>
        <v>30868.420857142832</v>
      </c>
      <c r="Q364" s="89">
        <f>SUM(D364:P364)+D365</f>
        <v>2082612.7785714287</v>
      </c>
    </row>
    <row r="365" spans="1:17" x14ac:dyDescent="0.35">
      <c r="A365" s="87"/>
      <c r="B365" s="8" t="s">
        <v>163</v>
      </c>
      <c r="C365" s="88"/>
      <c r="D365" s="41">
        <f>+P284</f>
        <v>1629727.0642857144</v>
      </c>
      <c r="E365" s="41">
        <f t="shared" ref="E365:P365" si="129">+E364+D365</f>
        <v>1703892.6077142858</v>
      </c>
      <c r="F365" s="41">
        <f t="shared" si="129"/>
        <v>1736190.1668571429</v>
      </c>
      <c r="G365" s="41">
        <f t="shared" si="129"/>
        <v>1783985.2594285714</v>
      </c>
      <c r="H365" s="41">
        <f t="shared" si="129"/>
        <v>1804042.6091428571</v>
      </c>
      <c r="I365" s="41">
        <f t="shared" si="129"/>
        <v>1851651.4757142856</v>
      </c>
      <c r="J365" s="41">
        <f t="shared" si="129"/>
        <v>1870439.2217142857</v>
      </c>
      <c r="K365" s="41">
        <f t="shared" si="129"/>
        <v>1898301.0522857143</v>
      </c>
      <c r="L365" s="41">
        <f t="shared" si="129"/>
        <v>1962819.798</v>
      </c>
      <c r="M365" s="41">
        <f t="shared" si="129"/>
        <v>1978007.9639999999</v>
      </c>
      <c r="N365" s="41">
        <f t="shared" si="129"/>
        <v>2028894.5085714285</v>
      </c>
      <c r="O365" s="41">
        <f t="shared" si="129"/>
        <v>2051744.3577142856</v>
      </c>
      <c r="P365" s="41">
        <f t="shared" si="129"/>
        <v>2082612.7785714285</v>
      </c>
      <c r="Q365" s="89"/>
    </row>
    <row r="366" spans="1:17" x14ac:dyDescent="0.35">
      <c r="A366" s="87"/>
      <c r="C366" s="88"/>
      <c r="D366" s="41"/>
      <c r="E366" s="41"/>
      <c r="F366" s="41"/>
      <c r="G366" s="41"/>
      <c r="H366" s="41"/>
      <c r="I366" s="41"/>
      <c r="J366" s="41"/>
      <c r="K366" s="41"/>
      <c r="L366" s="41"/>
      <c r="M366" s="41"/>
      <c r="N366" s="41"/>
      <c r="O366" s="41"/>
      <c r="P366" s="41"/>
      <c r="Q366" s="89"/>
    </row>
    <row r="367" spans="1:17" x14ac:dyDescent="0.35">
      <c r="A367" s="87"/>
      <c r="B367" s="8" t="s">
        <v>164</v>
      </c>
      <c r="C367" s="88"/>
      <c r="D367" s="41"/>
      <c r="E367" s="41">
        <f t="shared" ref="E367:P367" si="130">ROUND($C361*D365,0)</f>
        <v>3096</v>
      </c>
      <c r="F367" s="41">
        <f t="shared" si="130"/>
        <v>3237</v>
      </c>
      <c r="G367" s="41">
        <f t="shared" si="130"/>
        <v>3299</v>
      </c>
      <c r="H367" s="41">
        <f t="shared" si="130"/>
        <v>3390</v>
      </c>
      <c r="I367" s="41">
        <f t="shared" si="130"/>
        <v>3428</v>
      </c>
      <c r="J367" s="41">
        <f t="shared" si="130"/>
        <v>3518</v>
      </c>
      <c r="K367" s="41">
        <f t="shared" si="130"/>
        <v>3554</v>
      </c>
      <c r="L367" s="41">
        <f t="shared" si="130"/>
        <v>3607</v>
      </c>
      <c r="M367" s="41">
        <f t="shared" si="130"/>
        <v>3729</v>
      </c>
      <c r="N367" s="41">
        <f t="shared" si="130"/>
        <v>3758</v>
      </c>
      <c r="O367" s="41">
        <f t="shared" si="130"/>
        <v>3855</v>
      </c>
      <c r="P367" s="41">
        <f t="shared" si="130"/>
        <v>3898</v>
      </c>
      <c r="Q367" s="89"/>
    </row>
    <row r="368" spans="1:17" x14ac:dyDescent="0.35">
      <c r="A368" s="87"/>
      <c r="B368" s="8" t="s">
        <v>165</v>
      </c>
      <c r="C368" s="88"/>
      <c r="D368" s="41"/>
      <c r="E368" s="44">
        <f>ROUND($C361*E364*0.5,3)</f>
        <v>70.456999999999994</v>
      </c>
      <c r="F368" s="44">
        <f t="shared" ref="F368:P368" si="131">ROUND($C361*F364*0.5,3)</f>
        <v>30.683</v>
      </c>
      <c r="G368" s="44">
        <f t="shared" si="131"/>
        <v>45.405000000000001</v>
      </c>
      <c r="H368" s="44">
        <f t="shared" si="131"/>
        <v>19.053999999999998</v>
      </c>
      <c r="I368" s="44">
        <f t="shared" si="131"/>
        <v>45.228000000000002</v>
      </c>
      <c r="J368" s="44">
        <f t="shared" si="131"/>
        <v>17.847999999999999</v>
      </c>
      <c r="K368" s="44">
        <f t="shared" si="131"/>
        <v>26.469000000000001</v>
      </c>
      <c r="L368" s="44">
        <f t="shared" si="131"/>
        <v>61.292999999999999</v>
      </c>
      <c r="M368" s="44">
        <f t="shared" si="131"/>
        <v>14.429</v>
      </c>
      <c r="N368" s="44">
        <f t="shared" si="131"/>
        <v>48.341999999999999</v>
      </c>
      <c r="O368" s="44">
        <f t="shared" si="131"/>
        <v>21.707000000000001</v>
      </c>
      <c r="P368" s="44">
        <f t="shared" si="131"/>
        <v>29.324999999999999</v>
      </c>
      <c r="Q368" s="89"/>
    </row>
    <row r="369" spans="1:17" x14ac:dyDescent="0.35">
      <c r="A369" s="87"/>
      <c r="B369" s="8" t="s">
        <v>264</v>
      </c>
      <c r="C369" s="88"/>
      <c r="D369" s="41"/>
      <c r="E369" s="41">
        <f t="shared" ref="E369:P369" si="132">SUM(E367:E368)</f>
        <v>3166.4569999999999</v>
      </c>
      <c r="F369" s="41">
        <f t="shared" si="132"/>
        <v>3267.683</v>
      </c>
      <c r="G369" s="41">
        <f t="shared" si="132"/>
        <v>3344.4050000000002</v>
      </c>
      <c r="H369" s="41">
        <f t="shared" si="132"/>
        <v>3409.0540000000001</v>
      </c>
      <c r="I369" s="41">
        <f t="shared" si="132"/>
        <v>3473.2280000000001</v>
      </c>
      <c r="J369" s="41">
        <f t="shared" si="132"/>
        <v>3535.848</v>
      </c>
      <c r="K369" s="41">
        <f t="shared" si="132"/>
        <v>3580.4690000000001</v>
      </c>
      <c r="L369" s="41">
        <f t="shared" si="132"/>
        <v>3668.2930000000001</v>
      </c>
      <c r="M369" s="41">
        <f t="shared" si="132"/>
        <v>3743.4290000000001</v>
      </c>
      <c r="N369" s="41">
        <f t="shared" si="132"/>
        <v>3806.3420000000001</v>
      </c>
      <c r="O369" s="41">
        <f t="shared" si="132"/>
        <v>3876.7069999999999</v>
      </c>
      <c r="P369" s="41">
        <f t="shared" si="132"/>
        <v>3927.3249999999998</v>
      </c>
      <c r="Q369" s="89">
        <f>SUM(E369:P369)</f>
        <v>42799.240000000005</v>
      </c>
    </row>
    <row r="370" spans="1:17" x14ac:dyDescent="0.35">
      <c r="A370" s="90"/>
      <c r="B370" s="91"/>
      <c r="C370" s="91"/>
      <c r="D370" s="91"/>
      <c r="E370" s="91"/>
      <c r="F370" s="91"/>
      <c r="G370" s="91"/>
      <c r="H370" s="91"/>
      <c r="I370" s="91"/>
      <c r="J370" s="91"/>
      <c r="K370" s="91"/>
      <c r="L370" s="91"/>
      <c r="M370" s="91"/>
      <c r="N370" s="91"/>
      <c r="O370" s="91"/>
      <c r="P370" s="91"/>
      <c r="Q370" s="95"/>
    </row>
    <row r="371" spans="1:17" x14ac:dyDescent="0.35">
      <c r="A371" s="82"/>
      <c r="B371" s="83" t="s">
        <v>137</v>
      </c>
      <c r="C371" s="84">
        <f>2.22%/12</f>
        <v>1.8500000000000001E-3</v>
      </c>
      <c r="D371" s="46"/>
      <c r="E371" s="46"/>
      <c r="F371" s="46"/>
      <c r="G371" s="46"/>
      <c r="H371" s="46"/>
      <c r="I371" s="46"/>
      <c r="J371" s="46"/>
      <c r="K371" s="46"/>
      <c r="L371" s="46"/>
      <c r="M371" s="46"/>
      <c r="N371" s="46"/>
      <c r="O371" s="46"/>
      <c r="P371" s="46"/>
      <c r="Q371" s="86"/>
    </row>
    <row r="372" spans="1:17" x14ac:dyDescent="0.35">
      <c r="A372" s="87"/>
      <c r="B372" s="8" t="s">
        <v>166</v>
      </c>
      <c r="C372" s="88"/>
      <c r="D372" s="41"/>
      <c r="E372" s="41">
        <f>'3.0 Plant in Service'!D308</f>
        <v>30196.911571428573</v>
      </c>
      <c r="F372" s="41">
        <f>'3.0 Plant in Service'!E308</f>
        <v>63539.872000000003</v>
      </c>
      <c r="G372" s="41">
        <f>'3.0 Plant in Service'!F308</f>
        <v>22615.449571428573</v>
      </c>
      <c r="H372" s="41">
        <f>'3.0 Plant in Service'!G308</f>
        <v>23518.004571428573</v>
      </c>
      <c r="I372" s="41">
        <f>'3.0 Plant in Service'!H308</f>
        <v>0</v>
      </c>
      <c r="J372" s="41">
        <f>'3.0 Plant in Service'!I308</f>
        <v>21661.320000000003</v>
      </c>
      <c r="K372" s="41">
        <f>'3.0 Plant in Service'!J308</f>
        <v>9309.2101428571441</v>
      </c>
      <c r="L372" s="41">
        <f>'3.0 Plant in Service'!K308</f>
        <v>40950.209714285716</v>
      </c>
      <c r="M372" s="41">
        <f>'3.0 Plant in Service'!L308</f>
        <v>17947.950857142856</v>
      </c>
      <c r="N372" s="41">
        <f>'3.0 Plant in Service'!M308</f>
        <v>9360.7847142857154</v>
      </c>
      <c r="O372" s="41">
        <f>'3.0 Plant in Service'!N308</f>
        <v>0</v>
      </c>
      <c r="P372" s="41">
        <f>'3.0 Plant in Service'!O308</f>
        <v>18773.143999999986</v>
      </c>
      <c r="Q372" s="89">
        <f>SUM(E372:P372)</f>
        <v>257872.85714285716</v>
      </c>
    </row>
    <row r="373" spans="1:17" x14ac:dyDescent="0.35">
      <c r="A373" s="87"/>
      <c r="B373" s="8" t="s">
        <v>167</v>
      </c>
      <c r="C373" s="88"/>
      <c r="D373" s="41"/>
      <c r="E373" s="44">
        <f>'3.0 Plant in Service'!D317</f>
        <v>-229</v>
      </c>
      <c r="F373" s="44">
        <f>'3.0 Plant in Service'!E317</f>
        <v>-360</v>
      </c>
      <c r="G373" s="44">
        <f>'3.0 Plant in Service'!F317</f>
        <v>-528</v>
      </c>
      <c r="H373" s="44">
        <f>'3.0 Plant in Service'!G317</f>
        <v>-86</v>
      </c>
      <c r="I373" s="44">
        <f>'3.0 Plant in Service'!H317</f>
        <v>-510</v>
      </c>
      <c r="J373" s="44">
        <f>'3.0 Plant in Service'!I317</f>
        <v>-323</v>
      </c>
      <c r="K373" s="44">
        <f>'3.0 Plant in Service'!J317</f>
        <v>-1656</v>
      </c>
      <c r="L373" s="44">
        <f>'3.0 Plant in Service'!K317</f>
        <v>-451</v>
      </c>
      <c r="M373" s="44">
        <f>'3.0 Plant in Service'!L317</f>
        <v>-625</v>
      </c>
      <c r="N373" s="44">
        <f>'3.0 Plant in Service'!M317</f>
        <v>-578</v>
      </c>
      <c r="O373" s="44">
        <f>'3.0 Plant in Service'!N317</f>
        <v>-700</v>
      </c>
      <c r="P373" s="44">
        <f>'3.0 Plant in Service'!O317</f>
        <v>-446</v>
      </c>
      <c r="Q373" s="89"/>
    </row>
    <row r="374" spans="1:17" x14ac:dyDescent="0.35">
      <c r="A374" s="87"/>
      <c r="B374" s="8" t="s">
        <v>213</v>
      </c>
      <c r="C374" s="88"/>
      <c r="D374" s="41"/>
      <c r="E374" s="41">
        <f t="shared" ref="E374:P374" si="133">SUM(E372:E373)</f>
        <v>29967.911571428573</v>
      </c>
      <c r="F374" s="41">
        <f t="shared" si="133"/>
        <v>63179.872000000003</v>
      </c>
      <c r="G374" s="41">
        <f t="shared" si="133"/>
        <v>22087.449571428573</v>
      </c>
      <c r="H374" s="41">
        <f t="shared" si="133"/>
        <v>23432.004571428573</v>
      </c>
      <c r="I374" s="41">
        <f t="shared" si="133"/>
        <v>-510</v>
      </c>
      <c r="J374" s="41">
        <f t="shared" si="133"/>
        <v>21338.320000000003</v>
      </c>
      <c r="K374" s="41">
        <f t="shared" si="133"/>
        <v>7653.2101428571441</v>
      </c>
      <c r="L374" s="41">
        <f t="shared" si="133"/>
        <v>40499.209714285716</v>
      </c>
      <c r="M374" s="41">
        <f t="shared" si="133"/>
        <v>17322.950857142856</v>
      </c>
      <c r="N374" s="41">
        <f t="shared" si="133"/>
        <v>8782.7847142857154</v>
      </c>
      <c r="O374" s="41">
        <f t="shared" si="133"/>
        <v>-700</v>
      </c>
      <c r="P374" s="41">
        <f t="shared" si="133"/>
        <v>18327.143999999986</v>
      </c>
      <c r="Q374" s="89">
        <f>SUM(D374:P374)+D375</f>
        <v>808643.41928571439</v>
      </c>
    </row>
    <row r="375" spans="1:17" x14ac:dyDescent="0.35">
      <c r="A375" s="87"/>
      <c r="B375" s="8" t="s">
        <v>163</v>
      </c>
      <c r="C375" s="88"/>
      <c r="D375" s="41">
        <f>+P294</f>
        <v>557262.56214285723</v>
      </c>
      <c r="E375" s="41">
        <f t="shared" ref="E375:P375" si="134">+E374+D375</f>
        <v>587230.47371428576</v>
      </c>
      <c r="F375" s="41">
        <f t="shared" si="134"/>
        <v>650410.34571428574</v>
      </c>
      <c r="G375" s="41">
        <f t="shared" si="134"/>
        <v>672497.79528571432</v>
      </c>
      <c r="H375" s="41">
        <f t="shared" si="134"/>
        <v>695929.79985714285</v>
      </c>
      <c r="I375" s="41">
        <f t="shared" si="134"/>
        <v>695419.79985714285</v>
      </c>
      <c r="J375" s="41">
        <f t="shared" si="134"/>
        <v>716758.1198571428</v>
      </c>
      <c r="K375" s="41">
        <f t="shared" si="134"/>
        <v>724411.33</v>
      </c>
      <c r="L375" s="41">
        <f t="shared" si="134"/>
        <v>764910.53971428564</v>
      </c>
      <c r="M375" s="41">
        <f t="shared" si="134"/>
        <v>782233.49057142844</v>
      </c>
      <c r="N375" s="41">
        <f t="shared" si="134"/>
        <v>791016.27528571419</v>
      </c>
      <c r="O375" s="41">
        <f t="shared" si="134"/>
        <v>790316.27528571419</v>
      </c>
      <c r="P375" s="41">
        <f t="shared" si="134"/>
        <v>808643.41928571416</v>
      </c>
      <c r="Q375" s="89"/>
    </row>
    <row r="376" spans="1:17" x14ac:dyDescent="0.35">
      <c r="A376" s="87"/>
      <c r="C376" s="88"/>
      <c r="D376" s="41"/>
      <c r="E376" s="41"/>
      <c r="F376" s="41"/>
      <c r="G376" s="41"/>
      <c r="H376" s="41"/>
      <c r="I376" s="41"/>
      <c r="J376" s="41"/>
      <c r="K376" s="41"/>
      <c r="L376" s="41"/>
      <c r="M376" s="41"/>
      <c r="N376" s="41"/>
      <c r="O376" s="41"/>
      <c r="P376" s="41"/>
      <c r="Q376" s="89"/>
    </row>
    <row r="377" spans="1:17" x14ac:dyDescent="0.35">
      <c r="A377" s="87"/>
      <c r="B377" s="8" t="s">
        <v>164</v>
      </c>
      <c r="C377" s="88"/>
      <c r="D377" s="41"/>
      <c r="E377" s="41">
        <f t="shared" ref="E377:P377" si="135">ROUND($C371*D375,0)</f>
        <v>1031</v>
      </c>
      <c r="F377" s="41">
        <f t="shared" si="135"/>
        <v>1086</v>
      </c>
      <c r="G377" s="41">
        <f t="shared" si="135"/>
        <v>1203</v>
      </c>
      <c r="H377" s="41">
        <f t="shared" si="135"/>
        <v>1244</v>
      </c>
      <c r="I377" s="41">
        <f t="shared" si="135"/>
        <v>1287</v>
      </c>
      <c r="J377" s="41">
        <f t="shared" si="135"/>
        <v>1287</v>
      </c>
      <c r="K377" s="41">
        <f t="shared" si="135"/>
        <v>1326</v>
      </c>
      <c r="L377" s="41">
        <f t="shared" si="135"/>
        <v>1340</v>
      </c>
      <c r="M377" s="41">
        <f t="shared" si="135"/>
        <v>1415</v>
      </c>
      <c r="N377" s="41">
        <f t="shared" si="135"/>
        <v>1447</v>
      </c>
      <c r="O377" s="41">
        <f t="shared" si="135"/>
        <v>1463</v>
      </c>
      <c r="P377" s="41">
        <f t="shared" si="135"/>
        <v>1462</v>
      </c>
      <c r="Q377" s="89"/>
    </row>
    <row r="378" spans="1:17" x14ac:dyDescent="0.35">
      <c r="A378" s="87"/>
      <c r="B378" s="8" t="s">
        <v>165</v>
      </c>
      <c r="C378" s="88"/>
      <c r="D378" s="41"/>
      <c r="E378" s="44">
        <f>ROUND($C371*E374*0.5,3)</f>
        <v>27.72</v>
      </c>
      <c r="F378" s="44">
        <f t="shared" ref="F378:P378" si="136">ROUND($C371*F374*0.5,3)</f>
        <v>58.441000000000003</v>
      </c>
      <c r="G378" s="44">
        <f t="shared" si="136"/>
        <v>20.431000000000001</v>
      </c>
      <c r="H378" s="44">
        <f t="shared" si="136"/>
        <v>21.675000000000001</v>
      </c>
      <c r="I378" s="44">
        <f t="shared" si="136"/>
        <v>-0.47199999999999998</v>
      </c>
      <c r="J378" s="44">
        <f t="shared" si="136"/>
        <v>19.738</v>
      </c>
      <c r="K378" s="44">
        <f t="shared" si="136"/>
        <v>7.0789999999999997</v>
      </c>
      <c r="L378" s="44">
        <f t="shared" si="136"/>
        <v>37.462000000000003</v>
      </c>
      <c r="M378" s="44">
        <f t="shared" si="136"/>
        <v>16.024000000000001</v>
      </c>
      <c r="N378" s="44">
        <f t="shared" si="136"/>
        <v>8.1240000000000006</v>
      </c>
      <c r="O378" s="44">
        <f t="shared" si="136"/>
        <v>-0.64800000000000002</v>
      </c>
      <c r="P378" s="44">
        <f t="shared" si="136"/>
        <v>16.952999999999999</v>
      </c>
      <c r="Q378" s="89"/>
    </row>
    <row r="379" spans="1:17" x14ac:dyDescent="0.35">
      <c r="A379" s="87"/>
      <c r="B379" s="8" t="s">
        <v>265</v>
      </c>
      <c r="C379" s="88"/>
      <c r="D379" s="41"/>
      <c r="E379" s="41">
        <f t="shared" ref="E379:P379" si="137">SUM(E377:E378)</f>
        <v>1058.72</v>
      </c>
      <c r="F379" s="41">
        <f t="shared" si="137"/>
        <v>1144.441</v>
      </c>
      <c r="G379" s="41">
        <f t="shared" si="137"/>
        <v>1223.431</v>
      </c>
      <c r="H379" s="41">
        <f t="shared" si="137"/>
        <v>1265.675</v>
      </c>
      <c r="I379" s="41">
        <f t="shared" si="137"/>
        <v>1286.528</v>
      </c>
      <c r="J379" s="41">
        <f t="shared" si="137"/>
        <v>1306.7380000000001</v>
      </c>
      <c r="K379" s="41">
        <f t="shared" si="137"/>
        <v>1333.079</v>
      </c>
      <c r="L379" s="41">
        <f t="shared" si="137"/>
        <v>1377.462</v>
      </c>
      <c r="M379" s="41">
        <f t="shared" si="137"/>
        <v>1431.0239999999999</v>
      </c>
      <c r="N379" s="41">
        <f t="shared" si="137"/>
        <v>1455.124</v>
      </c>
      <c r="O379" s="41">
        <f t="shared" si="137"/>
        <v>1462.3520000000001</v>
      </c>
      <c r="P379" s="41">
        <f t="shared" si="137"/>
        <v>1478.953</v>
      </c>
      <c r="Q379" s="89">
        <f>SUM(E379:P379)</f>
        <v>15823.527</v>
      </c>
    </row>
    <row r="380" spans="1:17" x14ac:dyDescent="0.35">
      <c r="A380" s="90"/>
      <c r="B380" s="91"/>
      <c r="Q380" s="96"/>
    </row>
    <row r="381" spans="1:17" x14ac:dyDescent="0.35">
      <c r="A381" s="82"/>
      <c r="B381" s="97" t="s">
        <v>168</v>
      </c>
      <c r="C381" s="97"/>
      <c r="D381" s="97"/>
      <c r="E381" s="46">
        <f>+E339+E349+E359+E369+E379</f>
        <v>364448.73499999993</v>
      </c>
      <c r="F381" s="46">
        <f t="shared" ref="F381:P381" si="138">+F339+F349+F359+F369+F379</f>
        <v>370333.92100000003</v>
      </c>
      <c r="G381" s="46">
        <f t="shared" si="138"/>
        <v>380385.48699999996</v>
      </c>
      <c r="H381" s="46">
        <f t="shared" si="138"/>
        <v>390463.326</v>
      </c>
      <c r="I381" s="46">
        <f t="shared" si="138"/>
        <v>399453.51299999998</v>
      </c>
      <c r="J381" s="46">
        <f t="shared" si="138"/>
        <v>410375.62199999997</v>
      </c>
      <c r="K381" s="46">
        <f t="shared" si="138"/>
        <v>420830.34</v>
      </c>
      <c r="L381" s="46">
        <f t="shared" si="138"/>
        <v>430257.53099999996</v>
      </c>
      <c r="M381" s="46">
        <f t="shared" si="138"/>
        <v>440556.25899999996</v>
      </c>
      <c r="N381" s="46">
        <f t="shared" si="138"/>
        <v>453742.60900000005</v>
      </c>
      <c r="O381" s="46">
        <f t="shared" si="138"/>
        <v>469265.44299999997</v>
      </c>
      <c r="P381" s="46">
        <f t="shared" si="138"/>
        <v>485796.04599999997</v>
      </c>
      <c r="Q381" s="86">
        <f>SUM(E381:P381)</f>
        <v>5015908.8320000004</v>
      </c>
    </row>
    <row r="382" spans="1:17" x14ac:dyDescent="0.35">
      <c r="A382" s="87"/>
      <c r="B382" s="8" t="s">
        <v>169</v>
      </c>
      <c r="D382" s="15">
        <f>+P301</f>
        <v>7694201.75</v>
      </c>
      <c r="E382" s="43">
        <f t="shared" ref="E382:P382" si="139">+E381+D382</f>
        <v>8058650.4850000003</v>
      </c>
      <c r="F382" s="43">
        <f t="shared" si="139"/>
        <v>8428984.4059999995</v>
      </c>
      <c r="G382" s="43">
        <f t="shared" si="139"/>
        <v>8809369.8929999992</v>
      </c>
      <c r="H382" s="43">
        <f t="shared" si="139"/>
        <v>9199833.2189999986</v>
      </c>
      <c r="I382" s="43">
        <f t="shared" si="139"/>
        <v>9599286.7319999989</v>
      </c>
      <c r="J382" s="43">
        <f t="shared" si="139"/>
        <v>10009662.353999998</v>
      </c>
      <c r="K382" s="43">
        <f t="shared" si="139"/>
        <v>10430492.693999998</v>
      </c>
      <c r="L382" s="43">
        <f t="shared" si="139"/>
        <v>10860750.224999998</v>
      </c>
      <c r="M382" s="43">
        <f t="shared" si="139"/>
        <v>11301306.483999997</v>
      </c>
      <c r="N382" s="43">
        <f t="shared" si="139"/>
        <v>11755049.092999997</v>
      </c>
      <c r="O382" s="43">
        <f t="shared" si="139"/>
        <v>12224314.535999997</v>
      </c>
      <c r="P382" s="43">
        <f t="shared" si="139"/>
        <v>12710110.581999997</v>
      </c>
      <c r="Q382" s="96"/>
    </row>
    <row r="383" spans="1:17" x14ac:dyDescent="0.35">
      <c r="A383" s="90"/>
      <c r="B383" s="91"/>
      <c r="C383" s="91"/>
      <c r="D383" s="91"/>
      <c r="E383" s="91"/>
      <c r="F383" s="91"/>
      <c r="G383" s="91"/>
      <c r="H383" s="91"/>
      <c r="I383" s="91"/>
      <c r="J383" s="91"/>
      <c r="K383" s="91"/>
      <c r="L383" s="91"/>
      <c r="M383" s="91"/>
      <c r="N383" s="91"/>
      <c r="O383" s="91"/>
      <c r="P383" s="91"/>
      <c r="Q383" s="95"/>
    </row>
    <row r="391" spans="3:17" x14ac:dyDescent="0.35">
      <c r="Q391" s="9"/>
    </row>
    <row r="392" spans="3:17" x14ac:dyDescent="0.35">
      <c r="Q392" s="9"/>
    </row>
    <row r="393" spans="3:17" x14ac:dyDescent="0.35">
      <c r="C393" s="11"/>
      <c r="D393" s="10"/>
      <c r="E393" s="10"/>
      <c r="F393" s="10"/>
      <c r="G393" s="10"/>
      <c r="H393" s="10"/>
      <c r="I393" s="10"/>
      <c r="J393" s="10"/>
      <c r="K393" s="10"/>
      <c r="L393" s="10"/>
      <c r="M393" s="10"/>
      <c r="N393" s="10"/>
      <c r="O393" s="10"/>
      <c r="P393" s="10"/>
      <c r="Q393" s="10"/>
    </row>
    <row r="394" spans="3:17" x14ac:dyDescent="0.35">
      <c r="C394" s="11"/>
      <c r="D394" s="10"/>
      <c r="E394" s="10"/>
      <c r="F394" s="10"/>
      <c r="G394" s="10"/>
      <c r="H394" s="10"/>
      <c r="I394" s="10"/>
      <c r="J394" s="10"/>
      <c r="K394" s="10"/>
      <c r="L394" s="10"/>
      <c r="M394" s="10"/>
      <c r="N394" s="10"/>
      <c r="O394" s="10"/>
      <c r="P394" s="10"/>
      <c r="Q394" s="10"/>
    </row>
    <row r="395" spans="3:17" x14ac:dyDescent="0.35">
      <c r="C395" s="11"/>
      <c r="D395" s="10"/>
      <c r="E395" s="10"/>
      <c r="F395" s="10"/>
      <c r="G395" s="10"/>
      <c r="H395" s="10"/>
      <c r="I395" s="10"/>
      <c r="J395" s="10"/>
      <c r="K395" s="10"/>
      <c r="L395" s="10"/>
      <c r="M395" s="10"/>
      <c r="N395" s="10"/>
      <c r="O395" s="10"/>
      <c r="P395" s="10"/>
      <c r="Q395" s="10"/>
    </row>
    <row r="396" spans="3:17" x14ac:dyDescent="0.35">
      <c r="C396" s="79"/>
    </row>
    <row r="397" spans="3:17" x14ac:dyDescent="0.35">
      <c r="C397" s="88"/>
      <c r="D397" s="41"/>
      <c r="E397" s="141"/>
      <c r="F397" s="141"/>
      <c r="G397" s="141"/>
      <c r="H397" s="141"/>
      <c r="I397" s="141"/>
      <c r="J397" s="141"/>
      <c r="K397" s="141"/>
      <c r="L397" s="141"/>
      <c r="M397" s="141"/>
      <c r="N397" s="141"/>
      <c r="O397" s="141"/>
      <c r="P397" s="141"/>
      <c r="Q397" s="43"/>
    </row>
    <row r="398" spans="3:17" x14ac:dyDescent="0.35">
      <c r="C398" s="88"/>
      <c r="D398" s="41"/>
      <c r="E398" s="41"/>
      <c r="F398" s="41"/>
      <c r="G398" s="41"/>
      <c r="H398" s="41"/>
      <c r="I398" s="41"/>
      <c r="J398" s="41"/>
      <c r="K398" s="41"/>
      <c r="L398" s="41"/>
      <c r="M398" s="41"/>
      <c r="N398" s="41"/>
      <c r="O398" s="41"/>
      <c r="P398" s="41"/>
      <c r="Q398" s="43"/>
    </row>
    <row r="399" spans="3:17" x14ac:dyDescent="0.35">
      <c r="C399" s="88"/>
      <c r="D399" s="41"/>
      <c r="E399" s="41"/>
      <c r="F399" s="41"/>
      <c r="G399" s="41"/>
      <c r="H399" s="41"/>
      <c r="I399" s="41"/>
      <c r="J399" s="41"/>
      <c r="K399" s="41"/>
      <c r="L399" s="41"/>
      <c r="M399" s="41"/>
      <c r="N399" s="41"/>
      <c r="O399" s="41"/>
      <c r="P399" s="41"/>
      <c r="Q399" s="43"/>
    </row>
    <row r="400" spans="3:17" x14ac:dyDescent="0.35">
      <c r="C400" s="88"/>
      <c r="D400" s="41"/>
      <c r="E400" s="141"/>
      <c r="F400" s="141"/>
      <c r="G400" s="141"/>
      <c r="H400" s="141"/>
      <c r="I400" s="141"/>
      <c r="J400" s="141"/>
      <c r="K400" s="141"/>
      <c r="L400" s="141"/>
      <c r="M400" s="141"/>
      <c r="N400" s="141"/>
      <c r="O400" s="141"/>
      <c r="P400" s="141"/>
      <c r="Q400" s="43"/>
    </row>
    <row r="401" spans="3:17" x14ac:dyDescent="0.35">
      <c r="C401" s="11"/>
      <c r="D401" s="10"/>
      <c r="E401" s="10"/>
      <c r="F401" s="10"/>
      <c r="G401" s="10"/>
      <c r="H401" s="10"/>
      <c r="I401" s="10"/>
      <c r="J401" s="10"/>
      <c r="K401" s="10"/>
      <c r="L401" s="10"/>
      <c r="M401" s="10"/>
      <c r="N401" s="10"/>
      <c r="O401" s="10"/>
      <c r="P401" s="10"/>
      <c r="Q401" s="10"/>
    </row>
    <row r="402" spans="3:17" x14ac:dyDescent="0.35">
      <c r="C402" s="11"/>
      <c r="D402" s="10"/>
      <c r="E402" s="10"/>
      <c r="F402" s="10"/>
      <c r="G402" s="10"/>
      <c r="H402" s="10"/>
      <c r="I402" s="10"/>
      <c r="J402" s="10"/>
      <c r="K402" s="10"/>
      <c r="L402" s="10"/>
      <c r="M402" s="10"/>
      <c r="N402" s="10"/>
      <c r="O402" s="10"/>
      <c r="P402" s="10"/>
      <c r="Q402" s="10"/>
    </row>
    <row r="403" spans="3:17" x14ac:dyDescent="0.35">
      <c r="C403" s="11"/>
      <c r="D403" s="10"/>
      <c r="E403" s="10"/>
      <c r="F403" s="10"/>
      <c r="G403" s="10"/>
      <c r="H403" s="10"/>
      <c r="I403" s="10"/>
      <c r="J403" s="10"/>
      <c r="K403" s="10"/>
      <c r="L403" s="10"/>
      <c r="M403" s="10"/>
      <c r="N403" s="10"/>
      <c r="O403" s="10"/>
      <c r="P403" s="10"/>
      <c r="Q403" s="10"/>
    </row>
    <row r="404" spans="3:17" x14ac:dyDescent="0.35">
      <c r="C404" s="79"/>
    </row>
  </sheetData>
  <mergeCells count="15">
    <mergeCell ref="A325:Q325"/>
    <mergeCell ref="A4:Q4"/>
    <mergeCell ref="A5:Q5"/>
    <mergeCell ref="A6:Q6"/>
    <mergeCell ref="A162:Q162"/>
    <mergeCell ref="A163:Q163"/>
    <mergeCell ref="A88:Q88"/>
    <mergeCell ref="A89:Q89"/>
    <mergeCell ref="A90:Q90"/>
    <mergeCell ref="A161:Q161"/>
    <mergeCell ref="A243:Q243"/>
    <mergeCell ref="A244:Q244"/>
    <mergeCell ref="A242:Q242"/>
    <mergeCell ref="A323:Q323"/>
    <mergeCell ref="A324:Q324"/>
  </mergeCells>
  <pageMargins left="0.7" right="0.7" top="0.75" bottom="0.75" header="0.3" footer="0.3"/>
  <pageSetup scale="38" fitToHeight="4" orientation="landscape" horizontalDpi="1200" verticalDpi="1200" r:id="rId1"/>
  <rowBreaks count="4" manualBreakCount="4">
    <brk id="84" min="1" max="16" man="1"/>
    <brk id="157" min="1" max="16" man="1"/>
    <brk id="238" max="16" man="1"/>
    <brk id="319" max="1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AA19C-9297-4AEF-99E4-394010C758B7}">
  <sheetPr>
    <pageSetUpPr fitToPage="1"/>
  </sheetPr>
  <dimension ref="A1:Q53"/>
  <sheetViews>
    <sheetView topLeftCell="C27" zoomScale="90" zoomScaleNormal="90" workbookViewId="0">
      <selection activeCell="K35" sqref="K35"/>
    </sheetView>
  </sheetViews>
  <sheetFormatPr defaultColWidth="9.1796875" defaultRowHeight="15.5" x14ac:dyDescent="0.35"/>
  <cols>
    <col min="1" max="1" width="26.453125" style="8" bestFit="1" customWidth="1"/>
    <col min="2" max="16" width="18.54296875" style="8" customWidth="1"/>
    <col min="17" max="17" width="23.1796875" style="8" bestFit="1" customWidth="1"/>
    <col min="18" max="16384" width="9.1796875" style="8"/>
  </cols>
  <sheetData>
    <row r="1" spans="1:17" x14ac:dyDescent="0.35">
      <c r="Q1" s="9" t="str">
        <f>'Table of Contents'!F1</f>
        <v>Case No. 2026-00306</v>
      </c>
    </row>
    <row r="2" spans="1:17" x14ac:dyDescent="0.35">
      <c r="Q2" s="9" t="s">
        <v>205</v>
      </c>
    </row>
    <row r="3" spans="1:17" x14ac:dyDescent="0.35">
      <c r="A3" s="144" t="s">
        <v>12</v>
      </c>
      <c r="B3" s="144"/>
      <c r="C3" s="144"/>
      <c r="D3" s="144"/>
      <c r="E3" s="144"/>
      <c r="F3" s="144"/>
      <c r="G3" s="144"/>
      <c r="H3" s="144"/>
      <c r="I3" s="144"/>
      <c r="J3" s="144"/>
      <c r="K3" s="144"/>
      <c r="L3" s="144"/>
      <c r="M3" s="144"/>
      <c r="N3" s="144"/>
      <c r="O3" s="144"/>
      <c r="P3" s="144"/>
      <c r="Q3" s="144"/>
    </row>
    <row r="4" spans="1:17" x14ac:dyDescent="0.35">
      <c r="A4" s="144" t="s">
        <v>204</v>
      </c>
      <c r="B4" s="144"/>
      <c r="C4" s="144"/>
      <c r="D4" s="144"/>
      <c r="E4" s="144"/>
      <c r="F4" s="144"/>
      <c r="G4" s="144"/>
      <c r="H4" s="144"/>
      <c r="I4" s="144"/>
      <c r="J4" s="144"/>
      <c r="K4" s="144"/>
      <c r="L4" s="144"/>
      <c r="M4" s="144"/>
      <c r="N4" s="144"/>
      <c r="O4" s="144"/>
      <c r="P4" s="144"/>
      <c r="Q4" s="144"/>
    </row>
    <row r="5" spans="1:17" x14ac:dyDescent="0.35">
      <c r="A5" s="144" t="s">
        <v>112</v>
      </c>
      <c r="B5" s="144"/>
      <c r="C5" s="144"/>
      <c r="D5" s="144"/>
      <c r="E5" s="144"/>
      <c r="F5" s="144"/>
      <c r="G5" s="144"/>
      <c r="H5" s="144"/>
      <c r="I5" s="144"/>
      <c r="J5" s="144"/>
      <c r="K5" s="144"/>
      <c r="L5" s="144"/>
      <c r="M5" s="144"/>
      <c r="N5" s="144"/>
      <c r="O5" s="144"/>
      <c r="P5" s="144"/>
      <c r="Q5" s="144"/>
    </row>
    <row r="7" spans="1:17" x14ac:dyDescent="0.35">
      <c r="B7" s="23"/>
      <c r="C7" s="23"/>
      <c r="D7" s="23"/>
      <c r="E7" s="23"/>
      <c r="F7" s="23"/>
      <c r="G7" s="23"/>
      <c r="H7" s="23"/>
      <c r="I7" s="23"/>
      <c r="J7" s="23"/>
      <c r="K7" s="23"/>
      <c r="L7" s="23"/>
      <c r="M7" s="23"/>
      <c r="N7" s="23"/>
      <c r="O7" s="23"/>
      <c r="P7" s="23"/>
    </row>
    <row r="9" spans="1:17" x14ac:dyDescent="0.35">
      <c r="B9" s="10">
        <v>2022</v>
      </c>
      <c r="C9" s="10">
        <f>+B9+1</f>
        <v>2023</v>
      </c>
      <c r="D9" s="10">
        <f>+C9</f>
        <v>2023</v>
      </c>
      <c r="E9" s="10">
        <f t="shared" ref="E9:M9" si="0">+D9</f>
        <v>2023</v>
      </c>
      <c r="F9" s="10">
        <f t="shared" si="0"/>
        <v>2023</v>
      </c>
      <c r="G9" s="10">
        <f t="shared" si="0"/>
        <v>2023</v>
      </c>
      <c r="H9" s="10">
        <f t="shared" si="0"/>
        <v>2023</v>
      </c>
      <c r="I9" s="10">
        <f t="shared" si="0"/>
        <v>2023</v>
      </c>
      <c r="J9" s="10">
        <f t="shared" si="0"/>
        <v>2023</v>
      </c>
      <c r="K9" s="10">
        <f t="shared" si="0"/>
        <v>2023</v>
      </c>
      <c r="L9" s="10">
        <f t="shared" si="0"/>
        <v>2023</v>
      </c>
      <c r="M9" s="10">
        <f t="shared" si="0"/>
        <v>2023</v>
      </c>
      <c r="N9" s="10">
        <f>+M9</f>
        <v>2023</v>
      </c>
      <c r="O9" s="10">
        <f>+N9</f>
        <v>2023</v>
      </c>
      <c r="P9" s="10">
        <f>+O9</f>
        <v>2023</v>
      </c>
      <c r="Q9" s="10">
        <f>+P9</f>
        <v>2023</v>
      </c>
    </row>
    <row r="10" spans="1:17" x14ac:dyDescent="0.35">
      <c r="B10" s="10" t="s">
        <v>140</v>
      </c>
      <c r="C10" s="10" t="s">
        <v>141</v>
      </c>
      <c r="D10" s="10" t="s">
        <v>142</v>
      </c>
      <c r="E10" s="10" t="s">
        <v>143</v>
      </c>
      <c r="F10" s="10" t="s">
        <v>144</v>
      </c>
      <c r="G10" s="10" t="s">
        <v>81</v>
      </c>
      <c r="H10" s="10" t="s">
        <v>145</v>
      </c>
      <c r="I10" s="10" t="s">
        <v>146</v>
      </c>
      <c r="J10" s="10" t="s">
        <v>147</v>
      </c>
      <c r="K10" s="10" t="s">
        <v>148</v>
      </c>
      <c r="L10" s="10" t="s">
        <v>149</v>
      </c>
      <c r="M10" s="10" t="s">
        <v>150</v>
      </c>
      <c r="N10" s="10" t="s">
        <v>140</v>
      </c>
      <c r="O10" s="10" t="s">
        <v>177</v>
      </c>
      <c r="P10" s="10" t="s">
        <v>208</v>
      </c>
      <c r="Q10" s="10" t="s">
        <v>178</v>
      </c>
    </row>
    <row r="11" spans="1:17" x14ac:dyDescent="0.35">
      <c r="B11" s="23"/>
      <c r="C11" s="23"/>
      <c r="D11" s="23"/>
      <c r="E11" s="23"/>
      <c r="F11" s="23"/>
      <c r="G11" s="23"/>
      <c r="H11" s="23"/>
      <c r="I11" s="23"/>
      <c r="J11" s="23"/>
      <c r="K11" s="23"/>
      <c r="L11" s="23"/>
      <c r="M11" s="23"/>
      <c r="N11" s="23"/>
      <c r="O11" s="23"/>
      <c r="P11" s="23"/>
      <c r="Q11" s="23"/>
    </row>
    <row r="12" spans="1:17" x14ac:dyDescent="0.35">
      <c r="B12" s="98" t="s">
        <v>220</v>
      </c>
      <c r="C12" s="98" t="s">
        <v>234</v>
      </c>
      <c r="D12" s="98" t="s">
        <v>235</v>
      </c>
      <c r="E12" s="98" t="s">
        <v>223</v>
      </c>
      <c r="F12" s="98" t="s">
        <v>224</v>
      </c>
      <c r="G12" s="98" t="s">
        <v>225</v>
      </c>
      <c r="H12" s="98" t="s">
        <v>226</v>
      </c>
      <c r="I12" s="98" t="s">
        <v>227</v>
      </c>
      <c r="J12" s="98" t="s">
        <v>228</v>
      </c>
      <c r="K12" s="98" t="s">
        <v>229</v>
      </c>
      <c r="L12" s="98" t="s">
        <v>230</v>
      </c>
      <c r="M12" s="98" t="s">
        <v>236</v>
      </c>
      <c r="N12" s="98" t="s">
        <v>232</v>
      </c>
      <c r="O12" s="98" t="s">
        <v>233</v>
      </c>
      <c r="P12" s="98" t="s">
        <v>238</v>
      </c>
      <c r="Q12" s="23" t="s">
        <v>240</v>
      </c>
    </row>
    <row r="13" spans="1:17" x14ac:dyDescent="0.35">
      <c r="B13" s="99"/>
      <c r="C13" s="43"/>
      <c r="D13" s="43"/>
      <c r="E13" s="43"/>
      <c r="F13" s="43"/>
      <c r="G13" s="43"/>
      <c r="H13" s="43"/>
      <c r="I13" s="43"/>
      <c r="J13" s="43"/>
      <c r="K13" s="43"/>
      <c r="L13" s="43"/>
      <c r="M13" s="43"/>
      <c r="N13" s="43"/>
      <c r="O13" s="100" t="s">
        <v>237</v>
      </c>
      <c r="P13" s="100" t="s">
        <v>239</v>
      </c>
    </row>
    <row r="15" spans="1:17" x14ac:dyDescent="0.35">
      <c r="A15" s="8" t="s">
        <v>206</v>
      </c>
      <c r="B15" s="101">
        <v>0</v>
      </c>
      <c r="C15" s="101"/>
      <c r="D15" s="101"/>
      <c r="E15" s="101"/>
      <c r="F15" s="101"/>
      <c r="G15" s="101"/>
      <c r="H15" s="101"/>
      <c r="I15" s="101"/>
      <c r="J15" s="101"/>
      <c r="K15" s="101"/>
      <c r="L15" s="101"/>
      <c r="M15" s="101"/>
      <c r="N15" s="101">
        <f>'6.1 ADIT Calculated p.1'!AK19*-1</f>
        <v>-4910282</v>
      </c>
      <c r="O15" s="101">
        <f>+N15-B15</f>
        <v>-4910282</v>
      </c>
      <c r="P15" s="101">
        <f>ROUND(O15/12,0)</f>
        <v>-409190</v>
      </c>
    </row>
    <row r="16" spans="1:17" x14ac:dyDescent="0.35">
      <c r="B16" s="101"/>
      <c r="C16" s="101"/>
      <c r="D16" s="101"/>
      <c r="E16" s="101"/>
      <c r="F16" s="101"/>
      <c r="G16" s="101"/>
      <c r="H16" s="101"/>
      <c r="I16" s="101"/>
      <c r="J16" s="101"/>
      <c r="K16" s="101"/>
      <c r="L16" s="101"/>
      <c r="M16" s="101"/>
      <c r="N16" s="101"/>
      <c r="O16" s="101"/>
      <c r="P16" s="101"/>
    </row>
    <row r="17" spans="1:17" x14ac:dyDescent="0.35">
      <c r="A17" s="8" t="s">
        <v>207</v>
      </c>
      <c r="B17" s="101">
        <f>+B15</f>
        <v>0</v>
      </c>
      <c r="C17" s="101">
        <f t="shared" ref="C17:M17" si="1">+B17+$P$15</f>
        <v>-409190</v>
      </c>
      <c r="D17" s="101">
        <f t="shared" si="1"/>
        <v>-818380</v>
      </c>
      <c r="E17" s="101">
        <f t="shared" si="1"/>
        <v>-1227570</v>
      </c>
      <c r="F17" s="101">
        <f t="shared" si="1"/>
        <v>-1636760</v>
      </c>
      <c r="G17" s="101">
        <f t="shared" si="1"/>
        <v>-2045950</v>
      </c>
      <c r="H17" s="101">
        <f t="shared" si="1"/>
        <v>-2455140</v>
      </c>
      <c r="I17" s="101">
        <f t="shared" si="1"/>
        <v>-2864330</v>
      </c>
      <c r="J17" s="101">
        <f t="shared" si="1"/>
        <v>-3273520</v>
      </c>
      <c r="K17" s="101">
        <f t="shared" si="1"/>
        <v>-3682710</v>
      </c>
      <c r="L17" s="101">
        <f t="shared" si="1"/>
        <v>-4091900</v>
      </c>
      <c r="M17" s="101">
        <f t="shared" si="1"/>
        <v>-4501090</v>
      </c>
      <c r="N17" s="101">
        <f>+N15</f>
        <v>-4910282</v>
      </c>
      <c r="O17" s="101"/>
      <c r="P17" s="101"/>
      <c r="Q17" s="43">
        <f>AVERAGE(B17:N17)</f>
        <v>-2455140.153846154</v>
      </c>
    </row>
    <row r="18" spans="1:17" x14ac:dyDescent="0.35">
      <c r="B18" s="101"/>
      <c r="C18" s="101"/>
      <c r="D18" s="101"/>
      <c r="E18" s="101"/>
      <c r="F18" s="101"/>
      <c r="G18" s="101"/>
      <c r="H18" s="101"/>
      <c r="I18" s="101"/>
      <c r="J18" s="101"/>
      <c r="K18" s="101"/>
      <c r="L18" s="101"/>
      <c r="M18" s="101"/>
      <c r="N18" s="101"/>
      <c r="O18" s="101"/>
      <c r="P18" s="101"/>
    </row>
    <row r="19" spans="1:17" x14ac:dyDescent="0.35">
      <c r="B19" s="101"/>
      <c r="C19" s="101"/>
      <c r="D19" s="101"/>
      <c r="E19" s="101"/>
      <c r="F19" s="101"/>
      <c r="G19" s="101"/>
      <c r="H19" s="101"/>
      <c r="I19" s="101"/>
      <c r="J19" s="101"/>
      <c r="K19" s="101"/>
      <c r="L19" s="101"/>
      <c r="M19" s="101"/>
      <c r="N19" s="101"/>
      <c r="O19" s="101"/>
      <c r="P19" s="101"/>
    </row>
    <row r="20" spans="1:17" x14ac:dyDescent="0.35">
      <c r="B20" s="102"/>
      <c r="C20" s="102"/>
      <c r="D20" s="102"/>
      <c r="E20" s="102"/>
      <c r="F20" s="102"/>
      <c r="G20" s="102"/>
      <c r="H20" s="102"/>
      <c r="I20" s="102"/>
      <c r="J20" s="102"/>
      <c r="K20" s="102"/>
      <c r="L20" s="102"/>
      <c r="M20" s="102"/>
      <c r="N20" s="102"/>
      <c r="O20" s="102"/>
      <c r="P20" s="102"/>
      <c r="Q20" s="23"/>
    </row>
    <row r="21" spans="1:17" x14ac:dyDescent="0.35">
      <c r="B21" s="10">
        <f>+N9</f>
        <v>2023</v>
      </c>
      <c r="C21" s="10">
        <f>+B21+1</f>
        <v>2024</v>
      </c>
      <c r="D21" s="10">
        <f>+C21</f>
        <v>2024</v>
      </c>
      <c r="E21" s="10">
        <f t="shared" ref="E21:N21" si="2">+D21</f>
        <v>2024</v>
      </c>
      <c r="F21" s="10">
        <f t="shared" si="2"/>
        <v>2024</v>
      </c>
      <c r="G21" s="10">
        <f t="shared" si="2"/>
        <v>2024</v>
      </c>
      <c r="H21" s="10">
        <f t="shared" si="2"/>
        <v>2024</v>
      </c>
      <c r="I21" s="10">
        <f t="shared" si="2"/>
        <v>2024</v>
      </c>
      <c r="J21" s="10">
        <f t="shared" si="2"/>
        <v>2024</v>
      </c>
      <c r="K21" s="10">
        <f t="shared" si="2"/>
        <v>2024</v>
      </c>
      <c r="L21" s="10">
        <f t="shared" si="2"/>
        <v>2024</v>
      </c>
      <c r="M21" s="10">
        <f t="shared" si="2"/>
        <v>2024</v>
      </c>
      <c r="N21" s="10">
        <f t="shared" si="2"/>
        <v>2024</v>
      </c>
      <c r="O21" s="10">
        <f>+N21</f>
        <v>2024</v>
      </c>
      <c r="P21" s="10">
        <f>+O21</f>
        <v>2024</v>
      </c>
      <c r="Q21" s="10">
        <f>+P21</f>
        <v>2024</v>
      </c>
    </row>
    <row r="22" spans="1:17" x14ac:dyDescent="0.35">
      <c r="B22" s="10" t="s">
        <v>140</v>
      </c>
      <c r="C22" s="10" t="s">
        <v>141</v>
      </c>
      <c r="D22" s="10" t="s">
        <v>142</v>
      </c>
      <c r="E22" s="10" t="s">
        <v>143</v>
      </c>
      <c r="F22" s="10" t="s">
        <v>144</v>
      </c>
      <c r="G22" s="10" t="s">
        <v>81</v>
      </c>
      <c r="H22" s="10" t="s">
        <v>145</v>
      </c>
      <c r="I22" s="10" t="s">
        <v>146</v>
      </c>
      <c r="J22" s="10" t="s">
        <v>147</v>
      </c>
      <c r="K22" s="10" t="s">
        <v>148</v>
      </c>
      <c r="L22" s="10" t="s">
        <v>149</v>
      </c>
      <c r="M22" s="10" t="s">
        <v>150</v>
      </c>
      <c r="N22" s="10" t="s">
        <v>140</v>
      </c>
      <c r="O22" s="10" t="s">
        <v>177</v>
      </c>
      <c r="P22" s="10" t="s">
        <v>208</v>
      </c>
      <c r="Q22" s="10" t="s">
        <v>178</v>
      </c>
    </row>
    <row r="24" spans="1:17" x14ac:dyDescent="0.35">
      <c r="A24" s="8" t="s">
        <v>206</v>
      </c>
      <c r="B24" s="101">
        <f>+N17</f>
        <v>-4910282</v>
      </c>
      <c r="C24" s="101"/>
      <c r="D24" s="101"/>
      <c r="E24" s="101"/>
      <c r="F24" s="101"/>
      <c r="G24" s="101"/>
      <c r="H24" s="101"/>
      <c r="I24" s="101"/>
      <c r="J24" s="101"/>
      <c r="K24" s="101"/>
      <c r="L24" s="101"/>
      <c r="M24" s="101"/>
      <c r="N24" s="101">
        <f>'6.1 ADIT Calculated p.1'!AK20*-1</f>
        <v>-9574930</v>
      </c>
      <c r="O24" s="101">
        <f>+N24-B24</f>
        <v>-4664648</v>
      </c>
      <c r="P24" s="101">
        <f>ROUND(O24/12,0)</f>
        <v>-388721</v>
      </c>
    </row>
    <row r="25" spans="1:17" x14ac:dyDescent="0.35">
      <c r="B25" s="101"/>
      <c r="C25" s="101"/>
      <c r="D25" s="101"/>
      <c r="E25" s="101"/>
      <c r="F25" s="101"/>
      <c r="G25" s="101"/>
      <c r="H25" s="101"/>
      <c r="I25" s="101"/>
      <c r="J25" s="101"/>
      <c r="K25" s="101"/>
      <c r="L25" s="101"/>
      <c r="M25" s="101"/>
      <c r="N25" s="101"/>
      <c r="O25" s="101"/>
      <c r="P25" s="101"/>
    </row>
    <row r="26" spans="1:17" x14ac:dyDescent="0.35">
      <c r="A26" s="8" t="s">
        <v>266</v>
      </c>
      <c r="B26" s="101">
        <f>+B24</f>
        <v>-4910282</v>
      </c>
      <c r="C26" s="42">
        <f>+B26+P24</f>
        <v>-5299003</v>
      </c>
      <c r="D26" s="42">
        <f t="shared" ref="D26:M26" si="3">+C26+$P$24</f>
        <v>-5687724</v>
      </c>
      <c r="E26" s="42">
        <f t="shared" si="3"/>
        <v>-6076445</v>
      </c>
      <c r="F26" s="42">
        <f t="shared" si="3"/>
        <v>-6465166</v>
      </c>
      <c r="G26" s="42">
        <f t="shared" si="3"/>
        <v>-6853887</v>
      </c>
      <c r="H26" s="42">
        <f t="shared" si="3"/>
        <v>-7242608</v>
      </c>
      <c r="I26" s="42">
        <f t="shared" si="3"/>
        <v>-7631329</v>
      </c>
      <c r="J26" s="42">
        <f t="shared" si="3"/>
        <v>-8020050</v>
      </c>
      <c r="K26" s="42">
        <f t="shared" si="3"/>
        <v>-8408771</v>
      </c>
      <c r="L26" s="42">
        <f t="shared" si="3"/>
        <v>-8797492</v>
      </c>
      <c r="M26" s="42">
        <f t="shared" si="3"/>
        <v>-9186213</v>
      </c>
      <c r="N26" s="42">
        <f>+M26+$P$24+3</f>
        <v>-9574931</v>
      </c>
      <c r="O26" s="42"/>
      <c r="P26" s="42"/>
      <c r="Q26" s="43">
        <f>AVERAGE(B26:N26)</f>
        <v>-7242607.769230769</v>
      </c>
    </row>
    <row r="27" spans="1:17" x14ac:dyDescent="0.35">
      <c r="B27" s="101"/>
      <c r="C27" s="101"/>
      <c r="D27" s="101"/>
      <c r="E27" s="101"/>
      <c r="F27" s="101"/>
      <c r="G27" s="101"/>
      <c r="H27" s="101"/>
      <c r="I27" s="101"/>
      <c r="J27" s="101"/>
      <c r="K27" s="101"/>
      <c r="L27" s="101"/>
      <c r="M27" s="101"/>
      <c r="N27" s="101"/>
      <c r="O27" s="101"/>
      <c r="P27" s="101"/>
    </row>
    <row r="30" spans="1:17" x14ac:dyDescent="0.35">
      <c r="B30" s="10">
        <f>N21</f>
        <v>2024</v>
      </c>
      <c r="C30" s="10">
        <f>+B30+1</f>
        <v>2025</v>
      </c>
      <c r="D30" s="10">
        <f t="shared" ref="D30:Q30" si="4">+C30</f>
        <v>2025</v>
      </c>
      <c r="E30" s="10">
        <f t="shared" si="4"/>
        <v>2025</v>
      </c>
      <c r="F30" s="10">
        <f t="shared" si="4"/>
        <v>2025</v>
      </c>
      <c r="G30" s="10">
        <f t="shared" si="4"/>
        <v>2025</v>
      </c>
      <c r="H30" s="10">
        <f t="shared" si="4"/>
        <v>2025</v>
      </c>
      <c r="I30" s="10">
        <f t="shared" si="4"/>
        <v>2025</v>
      </c>
      <c r="J30" s="10">
        <f t="shared" si="4"/>
        <v>2025</v>
      </c>
      <c r="K30" s="10">
        <f t="shared" si="4"/>
        <v>2025</v>
      </c>
      <c r="L30" s="10">
        <f t="shared" si="4"/>
        <v>2025</v>
      </c>
      <c r="M30" s="10">
        <f t="shared" si="4"/>
        <v>2025</v>
      </c>
      <c r="N30" s="10">
        <f t="shared" si="4"/>
        <v>2025</v>
      </c>
      <c r="O30" s="10">
        <f t="shared" si="4"/>
        <v>2025</v>
      </c>
      <c r="P30" s="10">
        <f t="shared" si="4"/>
        <v>2025</v>
      </c>
      <c r="Q30" s="10">
        <f t="shared" si="4"/>
        <v>2025</v>
      </c>
    </row>
    <row r="31" spans="1:17" x14ac:dyDescent="0.35">
      <c r="B31" s="10" t="s">
        <v>140</v>
      </c>
      <c r="C31" s="10" t="s">
        <v>141</v>
      </c>
      <c r="D31" s="10" t="s">
        <v>142</v>
      </c>
      <c r="E31" s="10" t="s">
        <v>143</v>
      </c>
      <c r="F31" s="10" t="s">
        <v>144</v>
      </c>
      <c r="G31" s="10" t="s">
        <v>81</v>
      </c>
      <c r="H31" s="10" t="s">
        <v>145</v>
      </c>
      <c r="I31" s="10" t="s">
        <v>146</v>
      </c>
      <c r="J31" s="10" t="s">
        <v>147</v>
      </c>
      <c r="K31" s="10" t="s">
        <v>148</v>
      </c>
      <c r="L31" s="10" t="s">
        <v>149</v>
      </c>
      <c r="M31" s="10" t="s">
        <v>150</v>
      </c>
      <c r="N31" s="10" t="s">
        <v>140</v>
      </c>
      <c r="O31" s="10" t="s">
        <v>177</v>
      </c>
      <c r="P31" s="10" t="s">
        <v>208</v>
      </c>
      <c r="Q31" s="10" t="s">
        <v>178</v>
      </c>
    </row>
    <row r="33" spans="1:17" x14ac:dyDescent="0.35">
      <c r="A33" s="8" t="s">
        <v>206</v>
      </c>
      <c r="B33" s="101">
        <f>+N26</f>
        <v>-9574931</v>
      </c>
      <c r="C33" s="101"/>
      <c r="D33" s="101"/>
      <c r="E33" s="101"/>
      <c r="F33" s="101"/>
      <c r="G33" s="101"/>
      <c r="H33" s="101"/>
      <c r="I33" s="101"/>
      <c r="J33" s="101"/>
      <c r="K33" s="101"/>
      <c r="L33" s="101"/>
      <c r="M33" s="101"/>
      <c r="N33" s="101">
        <f>'6.1 ADIT Calculated p.1'!AK21*-1</f>
        <v>-14545986</v>
      </c>
      <c r="O33" s="101">
        <f>+N33-B33</f>
        <v>-4971055</v>
      </c>
      <c r="P33" s="101">
        <f>ROUND(O33/12,0)</f>
        <v>-414255</v>
      </c>
    </row>
    <row r="34" spans="1:17" x14ac:dyDescent="0.35">
      <c r="B34" s="101"/>
      <c r="C34" s="101"/>
      <c r="D34" s="101"/>
      <c r="E34" s="101"/>
      <c r="F34" s="101"/>
      <c r="G34" s="101"/>
      <c r="H34" s="101"/>
      <c r="I34" s="101"/>
      <c r="J34" s="101"/>
      <c r="K34" s="101"/>
      <c r="L34" s="101"/>
      <c r="M34" s="101"/>
      <c r="N34" s="101"/>
      <c r="O34" s="101"/>
      <c r="P34" s="101"/>
    </row>
    <row r="35" spans="1:17" x14ac:dyDescent="0.35">
      <c r="A35" s="8" t="s">
        <v>266</v>
      </c>
      <c r="B35" s="101">
        <f>+B33</f>
        <v>-9574931</v>
      </c>
      <c r="C35" s="42">
        <f>+B35+P33</f>
        <v>-9989186</v>
      </c>
      <c r="D35" s="42">
        <f>+C35+$P$33</f>
        <v>-10403441</v>
      </c>
      <c r="E35" s="42">
        <f t="shared" ref="E35:N35" si="5">+D35+$P$33</f>
        <v>-10817696</v>
      </c>
      <c r="F35" s="42">
        <f t="shared" si="5"/>
        <v>-11231951</v>
      </c>
      <c r="G35" s="42">
        <f t="shared" si="5"/>
        <v>-11646206</v>
      </c>
      <c r="H35" s="42">
        <f t="shared" si="5"/>
        <v>-12060461</v>
      </c>
      <c r="I35" s="42">
        <f t="shared" si="5"/>
        <v>-12474716</v>
      </c>
      <c r="J35" s="42">
        <f t="shared" si="5"/>
        <v>-12888971</v>
      </c>
      <c r="K35" s="42">
        <f t="shared" si="5"/>
        <v>-13303226</v>
      </c>
      <c r="L35" s="42">
        <f t="shared" si="5"/>
        <v>-13717481</v>
      </c>
      <c r="M35" s="42">
        <f t="shared" si="5"/>
        <v>-14131736</v>
      </c>
      <c r="N35" s="42">
        <f t="shared" si="5"/>
        <v>-14545991</v>
      </c>
      <c r="O35" s="42"/>
      <c r="P35" s="42"/>
      <c r="Q35" s="43">
        <f>AVERAGE(B35:N35)</f>
        <v>-12060461</v>
      </c>
    </row>
    <row r="39" spans="1:17" x14ac:dyDescent="0.35">
      <c r="B39" s="10">
        <f>N30</f>
        <v>2025</v>
      </c>
      <c r="C39" s="10">
        <f>+B39+1</f>
        <v>2026</v>
      </c>
      <c r="D39" s="10">
        <f t="shared" ref="D39:Q39" si="6">+C39</f>
        <v>2026</v>
      </c>
      <c r="E39" s="10">
        <f t="shared" si="6"/>
        <v>2026</v>
      </c>
      <c r="F39" s="10">
        <f t="shared" si="6"/>
        <v>2026</v>
      </c>
      <c r="G39" s="10">
        <f t="shared" si="6"/>
        <v>2026</v>
      </c>
      <c r="H39" s="10">
        <f t="shared" si="6"/>
        <v>2026</v>
      </c>
      <c r="I39" s="10">
        <f t="shared" si="6"/>
        <v>2026</v>
      </c>
      <c r="J39" s="10">
        <f t="shared" si="6"/>
        <v>2026</v>
      </c>
      <c r="K39" s="10">
        <f t="shared" si="6"/>
        <v>2026</v>
      </c>
      <c r="L39" s="10">
        <f t="shared" si="6"/>
        <v>2026</v>
      </c>
      <c r="M39" s="10">
        <f t="shared" si="6"/>
        <v>2026</v>
      </c>
      <c r="N39" s="10">
        <f t="shared" si="6"/>
        <v>2026</v>
      </c>
      <c r="O39" s="10">
        <f t="shared" si="6"/>
        <v>2026</v>
      </c>
      <c r="P39" s="10">
        <f t="shared" si="6"/>
        <v>2026</v>
      </c>
      <c r="Q39" s="10">
        <f t="shared" si="6"/>
        <v>2026</v>
      </c>
    </row>
    <row r="40" spans="1:17" x14ac:dyDescent="0.35">
      <c r="B40" s="10" t="s">
        <v>140</v>
      </c>
      <c r="C40" s="10" t="s">
        <v>141</v>
      </c>
      <c r="D40" s="10" t="s">
        <v>142</v>
      </c>
      <c r="E40" s="10" t="s">
        <v>143</v>
      </c>
      <c r="F40" s="10" t="s">
        <v>144</v>
      </c>
      <c r="G40" s="10" t="s">
        <v>81</v>
      </c>
      <c r="H40" s="10" t="s">
        <v>145</v>
      </c>
      <c r="I40" s="10" t="s">
        <v>146</v>
      </c>
      <c r="J40" s="10" t="s">
        <v>147</v>
      </c>
      <c r="K40" s="10" t="s">
        <v>148</v>
      </c>
      <c r="L40" s="10" t="s">
        <v>149</v>
      </c>
      <c r="M40" s="10" t="s">
        <v>150</v>
      </c>
      <c r="N40" s="10" t="s">
        <v>140</v>
      </c>
      <c r="O40" s="10" t="s">
        <v>177</v>
      </c>
      <c r="P40" s="10" t="s">
        <v>208</v>
      </c>
      <c r="Q40" s="10" t="s">
        <v>178</v>
      </c>
    </row>
    <row r="42" spans="1:17" x14ac:dyDescent="0.35">
      <c r="A42" s="8" t="s">
        <v>206</v>
      </c>
      <c r="B42" s="101">
        <f>+N33</f>
        <v>-14545986</v>
      </c>
      <c r="C42" s="101"/>
      <c r="D42" s="101"/>
      <c r="E42" s="101"/>
      <c r="F42" s="101"/>
      <c r="G42" s="101"/>
      <c r="H42" s="101"/>
      <c r="I42" s="101"/>
      <c r="J42" s="101"/>
      <c r="K42" s="101"/>
      <c r="L42" s="101"/>
      <c r="M42" s="101"/>
      <c r="N42" s="101">
        <f>'6.1 ADIT Calculated p.1'!AK22*-1</f>
        <v>-23841032</v>
      </c>
      <c r="O42" s="101">
        <f>+N42-B42</f>
        <v>-9295046</v>
      </c>
      <c r="P42" s="101">
        <f>ROUND(O42/12,0)</f>
        <v>-774587</v>
      </c>
    </row>
    <row r="43" spans="1:17" x14ac:dyDescent="0.35">
      <c r="B43" s="101"/>
      <c r="C43" s="101"/>
      <c r="D43" s="101"/>
      <c r="E43" s="101"/>
      <c r="F43" s="101"/>
      <c r="G43" s="101"/>
      <c r="H43" s="101"/>
      <c r="I43" s="101"/>
      <c r="J43" s="101"/>
      <c r="K43" s="101"/>
      <c r="L43" s="101"/>
      <c r="M43" s="101"/>
      <c r="N43" s="101"/>
      <c r="O43" s="101"/>
      <c r="P43" s="101"/>
    </row>
    <row r="44" spans="1:17" x14ac:dyDescent="0.35">
      <c r="A44" s="8" t="s">
        <v>266</v>
      </c>
      <c r="B44" s="101">
        <f>+B42</f>
        <v>-14545986</v>
      </c>
      <c r="C44" s="42">
        <f>+B44+P42</f>
        <v>-15320573</v>
      </c>
      <c r="D44" s="42">
        <f>+C44+$P$42</f>
        <v>-16095160</v>
      </c>
      <c r="E44" s="42">
        <f t="shared" ref="E44:N44" si="7">+D44+$P$42</f>
        <v>-16869747</v>
      </c>
      <c r="F44" s="42">
        <f t="shared" si="7"/>
        <v>-17644334</v>
      </c>
      <c r="G44" s="42">
        <f t="shared" si="7"/>
        <v>-18418921</v>
      </c>
      <c r="H44" s="42">
        <f t="shared" si="7"/>
        <v>-19193508</v>
      </c>
      <c r="I44" s="42">
        <f t="shared" si="7"/>
        <v>-19968095</v>
      </c>
      <c r="J44" s="42">
        <f t="shared" si="7"/>
        <v>-20742682</v>
      </c>
      <c r="K44" s="42">
        <f t="shared" si="7"/>
        <v>-21517269</v>
      </c>
      <c r="L44" s="42">
        <f t="shared" si="7"/>
        <v>-22291856</v>
      </c>
      <c r="M44" s="42">
        <f t="shared" si="7"/>
        <v>-23066443</v>
      </c>
      <c r="N44" s="42">
        <f t="shared" si="7"/>
        <v>-23841030</v>
      </c>
      <c r="O44" s="42"/>
      <c r="P44" s="42"/>
      <c r="Q44" s="43">
        <f>AVERAGE(B44:N44)</f>
        <v>-19193508</v>
      </c>
    </row>
    <row r="48" spans="1:17" x14ac:dyDescent="0.35">
      <c r="B48" s="10">
        <f>N39</f>
        <v>2026</v>
      </c>
      <c r="C48" s="10">
        <f>+B48+1</f>
        <v>2027</v>
      </c>
      <c r="D48" s="10">
        <f t="shared" ref="D48:Q48" si="8">+C48</f>
        <v>2027</v>
      </c>
      <c r="E48" s="10">
        <f t="shared" si="8"/>
        <v>2027</v>
      </c>
      <c r="F48" s="10">
        <f t="shared" si="8"/>
        <v>2027</v>
      </c>
      <c r="G48" s="10">
        <f t="shared" si="8"/>
        <v>2027</v>
      </c>
      <c r="H48" s="10">
        <f t="shared" si="8"/>
        <v>2027</v>
      </c>
      <c r="I48" s="10">
        <f t="shared" si="8"/>
        <v>2027</v>
      </c>
      <c r="J48" s="10">
        <f t="shared" si="8"/>
        <v>2027</v>
      </c>
      <c r="K48" s="10">
        <f t="shared" si="8"/>
        <v>2027</v>
      </c>
      <c r="L48" s="10">
        <f t="shared" si="8"/>
        <v>2027</v>
      </c>
      <c r="M48" s="10">
        <f t="shared" si="8"/>
        <v>2027</v>
      </c>
      <c r="N48" s="10">
        <f t="shared" si="8"/>
        <v>2027</v>
      </c>
      <c r="O48" s="10">
        <f t="shared" si="8"/>
        <v>2027</v>
      </c>
      <c r="P48" s="10">
        <f t="shared" si="8"/>
        <v>2027</v>
      </c>
      <c r="Q48" s="10">
        <f t="shared" si="8"/>
        <v>2027</v>
      </c>
    </row>
    <row r="49" spans="1:17" x14ac:dyDescent="0.35">
      <c r="B49" s="10" t="s">
        <v>140</v>
      </c>
      <c r="C49" s="10" t="s">
        <v>141</v>
      </c>
      <c r="D49" s="10" t="s">
        <v>142</v>
      </c>
      <c r="E49" s="10" t="s">
        <v>143</v>
      </c>
      <c r="F49" s="10" t="s">
        <v>144</v>
      </c>
      <c r="G49" s="10" t="s">
        <v>81</v>
      </c>
      <c r="H49" s="10" t="s">
        <v>145</v>
      </c>
      <c r="I49" s="10" t="s">
        <v>146</v>
      </c>
      <c r="J49" s="10" t="s">
        <v>147</v>
      </c>
      <c r="K49" s="10" t="s">
        <v>148</v>
      </c>
      <c r="L49" s="10" t="s">
        <v>149</v>
      </c>
      <c r="M49" s="10" t="s">
        <v>150</v>
      </c>
      <c r="N49" s="10" t="s">
        <v>140</v>
      </c>
      <c r="O49" s="10" t="s">
        <v>177</v>
      </c>
      <c r="P49" s="10" t="s">
        <v>208</v>
      </c>
      <c r="Q49" s="10" t="s">
        <v>178</v>
      </c>
    </row>
    <row r="51" spans="1:17" x14ac:dyDescent="0.35">
      <c r="A51" s="8" t="s">
        <v>206</v>
      </c>
      <c r="B51" s="101">
        <f>+N42</f>
        <v>-23841032</v>
      </c>
      <c r="C51" s="101"/>
      <c r="D51" s="101"/>
      <c r="E51" s="101"/>
      <c r="F51" s="101"/>
      <c r="G51" s="101"/>
      <c r="H51" s="101"/>
      <c r="I51" s="101"/>
      <c r="J51" s="101"/>
      <c r="K51" s="101"/>
      <c r="L51" s="101"/>
      <c r="M51" s="101"/>
      <c r="N51" s="101">
        <f>'6.1 ADIT Calculated p.1'!AK23*-1</f>
        <v>-34968164</v>
      </c>
      <c r="O51" s="101">
        <f>+N51-B51</f>
        <v>-11127132</v>
      </c>
      <c r="P51" s="101">
        <f>ROUND(O51/12,0)</f>
        <v>-927261</v>
      </c>
    </row>
    <row r="52" spans="1:17" x14ac:dyDescent="0.35">
      <c r="B52" s="101"/>
      <c r="C52" s="101"/>
      <c r="D52" s="101"/>
      <c r="E52" s="101"/>
      <c r="F52" s="101"/>
      <c r="G52" s="101"/>
      <c r="H52" s="101"/>
      <c r="I52" s="101"/>
      <c r="J52" s="101"/>
      <c r="K52" s="101"/>
      <c r="L52" s="101"/>
      <c r="M52" s="101"/>
      <c r="N52" s="101"/>
      <c r="O52" s="101"/>
      <c r="P52" s="101"/>
    </row>
    <row r="53" spans="1:17" x14ac:dyDescent="0.35">
      <c r="A53" s="8" t="s">
        <v>266</v>
      </c>
      <c r="B53" s="101">
        <f>+B51</f>
        <v>-23841032</v>
      </c>
      <c r="C53" s="42">
        <f>+B53+P51</f>
        <v>-24768293</v>
      </c>
      <c r="D53" s="42">
        <f t="shared" ref="D53:N53" si="9">+C53+$P$42</f>
        <v>-25542880</v>
      </c>
      <c r="E53" s="42">
        <f t="shared" si="9"/>
        <v>-26317467</v>
      </c>
      <c r="F53" s="42">
        <f t="shared" si="9"/>
        <v>-27092054</v>
      </c>
      <c r="G53" s="42">
        <f t="shared" si="9"/>
        <v>-27866641</v>
      </c>
      <c r="H53" s="42">
        <f t="shared" si="9"/>
        <v>-28641228</v>
      </c>
      <c r="I53" s="42">
        <f t="shared" si="9"/>
        <v>-29415815</v>
      </c>
      <c r="J53" s="42">
        <f t="shared" si="9"/>
        <v>-30190402</v>
      </c>
      <c r="K53" s="42">
        <f t="shared" si="9"/>
        <v>-30964989</v>
      </c>
      <c r="L53" s="42">
        <f t="shared" si="9"/>
        <v>-31739576</v>
      </c>
      <c r="M53" s="42">
        <f t="shared" si="9"/>
        <v>-32514163</v>
      </c>
      <c r="N53" s="42">
        <f t="shared" si="9"/>
        <v>-33288750</v>
      </c>
      <c r="O53" s="42"/>
      <c r="P53" s="42"/>
      <c r="Q53" s="43">
        <f>AVERAGE(B53:N53)</f>
        <v>-28629483.846153848</v>
      </c>
    </row>
  </sheetData>
  <mergeCells count="3">
    <mergeCell ref="A3:Q3"/>
    <mergeCell ref="A4:Q4"/>
    <mergeCell ref="A5:Q5"/>
  </mergeCells>
  <phoneticPr fontId="3" type="noConversion"/>
  <pageMargins left="0.7" right="0.7" top="0.75" bottom="0.75" header="0.3" footer="0.3"/>
  <pageSetup scale="38"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14A96-B757-4DD1-90D8-7BE3D31AF5A2}">
  <sheetPr codeName="Sheet5">
    <pageSetUpPr fitToPage="1"/>
  </sheetPr>
  <dimension ref="A1:AK72"/>
  <sheetViews>
    <sheetView zoomScale="80" zoomScaleNormal="80" zoomScaleSheetLayoutView="96" workbookViewId="0">
      <selection activeCell="AK19" sqref="AK19:AK23"/>
    </sheetView>
  </sheetViews>
  <sheetFormatPr defaultColWidth="9.1796875" defaultRowHeight="15.5" x14ac:dyDescent="0.35"/>
  <cols>
    <col min="1" max="1" width="3.81640625" style="23" customWidth="1"/>
    <col min="2" max="2" width="24" style="8" bestFit="1" customWidth="1"/>
    <col min="3" max="3" width="6.26953125" style="8" bestFit="1" customWidth="1"/>
    <col min="4" max="5" width="14.26953125" style="8" bestFit="1" customWidth="1"/>
    <col min="6" max="6" width="14.453125" style="8" bestFit="1" customWidth="1"/>
    <col min="7" max="7" width="14.26953125" style="8" bestFit="1" customWidth="1"/>
    <col min="8" max="8" width="14.1796875" style="8" customWidth="1"/>
    <col min="9" max="9" width="11.1796875" style="8" customWidth="1"/>
    <col min="10" max="10" width="11" style="8" hidden="1" customWidth="1"/>
    <col min="11" max="11" width="11.1796875" style="8" hidden="1" customWidth="1"/>
    <col min="12" max="30" width="12.81640625" style="8" hidden="1" customWidth="1"/>
    <col min="31" max="31" width="9.54296875" style="8" hidden="1" customWidth="1"/>
    <col min="32" max="32" width="15.7265625" style="8" bestFit="1" customWidth="1"/>
    <col min="33" max="33" width="14.26953125" style="8" bestFit="1" customWidth="1"/>
    <col min="34" max="34" width="15.7265625" style="8" bestFit="1" customWidth="1"/>
    <col min="35" max="35" width="14.26953125" style="8" bestFit="1" customWidth="1"/>
    <col min="36" max="36" width="15" style="8" customWidth="1"/>
    <col min="37" max="37" width="20.54296875" style="8" customWidth="1"/>
    <col min="38" max="16384" width="9.1796875" style="8"/>
  </cols>
  <sheetData>
    <row r="1" spans="1:37" x14ac:dyDescent="0.35">
      <c r="B1" s="11"/>
      <c r="S1" s="9"/>
      <c r="AK1" s="9" t="str">
        <f>'Table of Contents'!F1</f>
        <v>Case No. 2026-00306</v>
      </c>
    </row>
    <row r="2" spans="1:37" x14ac:dyDescent="0.35">
      <c r="B2" s="11"/>
      <c r="S2" s="9"/>
      <c r="AK2" s="9" t="s">
        <v>209</v>
      </c>
    </row>
    <row r="3" spans="1:37" x14ac:dyDescent="0.35">
      <c r="H3" s="9"/>
      <c r="R3" s="103"/>
      <c r="S3" s="103"/>
      <c r="AK3" s="9" t="s">
        <v>212</v>
      </c>
    </row>
    <row r="4" spans="1:37" x14ac:dyDescent="0.35">
      <c r="A4" s="144" t="s">
        <v>12</v>
      </c>
      <c r="B4" s="144"/>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4"/>
      <c r="AJ4" s="144"/>
      <c r="AK4" s="144"/>
    </row>
    <row r="5" spans="1:37" x14ac:dyDescent="0.35">
      <c r="A5" s="144" t="s">
        <v>76</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row>
    <row r="6" spans="1:37" x14ac:dyDescent="0.35">
      <c r="A6" s="144" t="s">
        <v>112</v>
      </c>
      <c r="B6" s="144"/>
      <c r="C6" s="144"/>
      <c r="D6" s="144"/>
      <c r="E6" s="144"/>
      <c r="F6" s="144"/>
      <c r="G6" s="144"/>
      <c r="H6" s="144"/>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4"/>
      <c r="AK6" s="144"/>
    </row>
    <row r="7" spans="1:37" x14ac:dyDescent="0.35">
      <c r="B7" s="13"/>
      <c r="H7" s="10" t="s">
        <v>218</v>
      </c>
    </row>
    <row r="8" spans="1:37" ht="12.75" customHeight="1" x14ac:dyDescent="0.35">
      <c r="B8" s="10"/>
      <c r="AJ8" s="10"/>
      <c r="AK8" s="10"/>
    </row>
    <row r="9" spans="1:37" x14ac:dyDescent="0.35">
      <c r="I9" s="10"/>
      <c r="J9" s="10">
        <v>2022</v>
      </c>
      <c r="K9" s="10">
        <f t="shared" ref="K9:AE9" si="0">+J9+1</f>
        <v>2023</v>
      </c>
      <c r="L9" s="10">
        <f t="shared" si="0"/>
        <v>2024</v>
      </c>
      <c r="M9" s="10">
        <f t="shared" si="0"/>
        <v>2025</v>
      </c>
      <c r="N9" s="10">
        <f t="shared" si="0"/>
        <v>2026</v>
      </c>
      <c r="O9" s="10">
        <f t="shared" si="0"/>
        <v>2027</v>
      </c>
      <c r="P9" s="10">
        <f t="shared" si="0"/>
        <v>2028</v>
      </c>
      <c r="Q9" s="10">
        <f t="shared" si="0"/>
        <v>2029</v>
      </c>
      <c r="R9" s="10">
        <f>+Q9+1</f>
        <v>2030</v>
      </c>
      <c r="S9" s="10">
        <f t="shared" si="0"/>
        <v>2031</v>
      </c>
      <c r="T9" s="10">
        <f t="shared" si="0"/>
        <v>2032</v>
      </c>
      <c r="U9" s="10">
        <f t="shared" si="0"/>
        <v>2033</v>
      </c>
      <c r="V9" s="10">
        <f t="shared" si="0"/>
        <v>2034</v>
      </c>
      <c r="W9" s="10">
        <f t="shared" si="0"/>
        <v>2035</v>
      </c>
      <c r="X9" s="10">
        <f t="shared" si="0"/>
        <v>2036</v>
      </c>
      <c r="Y9" s="10">
        <f t="shared" si="0"/>
        <v>2037</v>
      </c>
      <c r="Z9" s="10">
        <f t="shared" si="0"/>
        <v>2038</v>
      </c>
      <c r="AA9" s="10">
        <f t="shared" si="0"/>
        <v>2039</v>
      </c>
      <c r="AB9" s="10">
        <f t="shared" si="0"/>
        <v>2040</v>
      </c>
      <c r="AC9" s="10">
        <f t="shared" si="0"/>
        <v>2041</v>
      </c>
      <c r="AD9" s="10">
        <f t="shared" si="0"/>
        <v>2042</v>
      </c>
      <c r="AE9" s="10">
        <f t="shared" si="0"/>
        <v>2043</v>
      </c>
      <c r="AF9" s="10" t="s">
        <v>14</v>
      </c>
      <c r="AG9" s="10"/>
      <c r="AI9" s="10"/>
      <c r="AJ9" s="10" t="s">
        <v>47</v>
      </c>
      <c r="AK9" s="10" t="s">
        <v>16</v>
      </c>
    </row>
    <row r="10" spans="1:37" x14ac:dyDescent="0.35">
      <c r="A10" s="10" t="s">
        <v>1</v>
      </c>
      <c r="B10" s="10" t="s">
        <v>73</v>
      </c>
      <c r="D10" s="10">
        <v>2023</v>
      </c>
      <c r="E10" s="10">
        <f>+D10+1</f>
        <v>2024</v>
      </c>
      <c r="F10" s="10">
        <f>+E10+1</f>
        <v>2025</v>
      </c>
      <c r="G10" s="10">
        <f>+F10+1</f>
        <v>2026</v>
      </c>
      <c r="H10" s="10">
        <f>+G10+1</f>
        <v>2027</v>
      </c>
      <c r="I10" s="10">
        <f>+H10+1</f>
        <v>2028</v>
      </c>
      <c r="J10" s="10" t="s">
        <v>17</v>
      </c>
      <c r="K10" s="10" t="s">
        <v>18</v>
      </c>
      <c r="L10" s="10" t="s">
        <v>26</v>
      </c>
      <c r="M10" s="10" t="s">
        <v>27</v>
      </c>
      <c r="N10" s="10" t="s">
        <v>28</v>
      </c>
      <c r="O10" s="10" t="s">
        <v>29</v>
      </c>
      <c r="P10" s="10" t="s">
        <v>30</v>
      </c>
      <c r="Q10" s="10" t="s">
        <v>31</v>
      </c>
      <c r="R10" s="10" t="s">
        <v>32</v>
      </c>
      <c r="S10" s="10" t="s">
        <v>33</v>
      </c>
      <c r="T10" s="10" t="s">
        <v>34</v>
      </c>
      <c r="U10" s="10" t="s">
        <v>35</v>
      </c>
      <c r="V10" s="10" t="s">
        <v>37</v>
      </c>
      <c r="W10" s="10" t="s">
        <v>38</v>
      </c>
      <c r="X10" s="10" t="s">
        <v>39</v>
      </c>
      <c r="Y10" s="10" t="s">
        <v>40</v>
      </c>
      <c r="Z10" s="10" t="s">
        <v>41</v>
      </c>
      <c r="AA10" s="10" t="s">
        <v>42</v>
      </c>
      <c r="AB10" s="10" t="s">
        <v>43</v>
      </c>
      <c r="AC10" s="10" t="s">
        <v>44</v>
      </c>
      <c r="AD10" s="10" t="s">
        <v>45</v>
      </c>
      <c r="AE10" s="10" t="s">
        <v>46</v>
      </c>
      <c r="AF10" s="10" t="s">
        <v>19</v>
      </c>
      <c r="AG10" s="10" t="s">
        <v>69</v>
      </c>
      <c r="AH10" s="10" t="s">
        <v>15</v>
      </c>
      <c r="AI10" s="10"/>
      <c r="AJ10" s="10" t="s">
        <v>217</v>
      </c>
      <c r="AK10" s="10" t="s">
        <v>21</v>
      </c>
    </row>
    <row r="11" spans="1:37" ht="20" x14ac:dyDescent="0.8">
      <c r="A11" s="13" t="s">
        <v>2</v>
      </c>
      <c r="B11" s="104" t="s">
        <v>72</v>
      </c>
      <c r="C11" s="13" t="s">
        <v>0</v>
      </c>
      <c r="D11" s="13" t="s">
        <v>22</v>
      </c>
      <c r="E11" s="13" t="s">
        <v>22</v>
      </c>
      <c r="F11" s="13" t="s">
        <v>22</v>
      </c>
      <c r="G11" s="13" t="s">
        <v>22</v>
      </c>
      <c r="H11" s="13" t="s">
        <v>22</v>
      </c>
      <c r="I11" s="13" t="s">
        <v>22</v>
      </c>
      <c r="J11" s="13" t="s">
        <v>22</v>
      </c>
      <c r="K11" s="13" t="s">
        <v>22</v>
      </c>
      <c r="L11" s="13" t="s">
        <v>22</v>
      </c>
      <c r="M11" s="13" t="s">
        <v>22</v>
      </c>
      <c r="N11" s="13" t="s">
        <v>22</v>
      </c>
      <c r="O11" s="13" t="s">
        <v>22</v>
      </c>
      <c r="P11" s="13" t="s">
        <v>22</v>
      </c>
      <c r="Q11" s="13" t="s">
        <v>22</v>
      </c>
      <c r="R11" s="13" t="s">
        <v>22</v>
      </c>
      <c r="S11" s="13" t="s">
        <v>22</v>
      </c>
      <c r="T11" s="13" t="s">
        <v>22</v>
      </c>
      <c r="U11" s="13" t="s">
        <v>22</v>
      </c>
      <c r="V11" s="13" t="s">
        <v>22</v>
      </c>
      <c r="W11" s="13" t="s">
        <v>22</v>
      </c>
      <c r="X11" s="13" t="s">
        <v>22</v>
      </c>
      <c r="Y11" s="13" t="s">
        <v>22</v>
      </c>
      <c r="Z11" s="13" t="s">
        <v>22</v>
      </c>
      <c r="AA11" s="13" t="s">
        <v>22</v>
      </c>
      <c r="AB11" s="13" t="s">
        <v>22</v>
      </c>
      <c r="AC11" s="13" t="s">
        <v>22</v>
      </c>
      <c r="AD11" s="13" t="s">
        <v>22</v>
      </c>
      <c r="AE11" s="13" t="s">
        <v>22</v>
      </c>
      <c r="AF11" s="13" t="s">
        <v>23</v>
      </c>
      <c r="AG11" s="13" t="s">
        <v>70</v>
      </c>
      <c r="AH11" s="13" t="s">
        <v>23</v>
      </c>
      <c r="AI11" s="13" t="s">
        <v>24</v>
      </c>
      <c r="AJ11" s="105">
        <f>0.2495</f>
        <v>0.2495</v>
      </c>
      <c r="AK11" s="13" t="s">
        <v>25</v>
      </c>
    </row>
    <row r="12" spans="1:37" x14ac:dyDescent="0.35">
      <c r="A12" s="13"/>
      <c r="B12" s="106" t="s">
        <v>220</v>
      </c>
      <c r="C12" s="10" t="s">
        <v>221</v>
      </c>
      <c r="D12" s="106" t="s">
        <v>222</v>
      </c>
      <c r="E12" s="106" t="s">
        <v>223</v>
      </c>
      <c r="F12" s="106" t="s">
        <v>224</v>
      </c>
      <c r="G12" s="106" t="s">
        <v>225</v>
      </c>
      <c r="H12" s="106" t="s">
        <v>226</v>
      </c>
      <c r="I12" s="106" t="s">
        <v>227</v>
      </c>
      <c r="J12" s="106" t="e">
        <f t="shared" ref="J12:AE12" si="1">+I12-1</f>
        <v>#VALUE!</v>
      </c>
      <c r="K12" s="106" t="e">
        <f t="shared" si="1"/>
        <v>#VALUE!</v>
      </c>
      <c r="L12" s="106" t="e">
        <f t="shared" si="1"/>
        <v>#VALUE!</v>
      </c>
      <c r="M12" s="106" t="e">
        <f t="shared" si="1"/>
        <v>#VALUE!</v>
      </c>
      <c r="N12" s="106" t="e">
        <f t="shared" si="1"/>
        <v>#VALUE!</v>
      </c>
      <c r="O12" s="106" t="e">
        <f t="shared" si="1"/>
        <v>#VALUE!</v>
      </c>
      <c r="P12" s="106" t="e">
        <f t="shared" si="1"/>
        <v>#VALUE!</v>
      </c>
      <c r="Q12" s="106" t="e">
        <f t="shared" si="1"/>
        <v>#VALUE!</v>
      </c>
      <c r="R12" s="106" t="e">
        <f>+Q12-1</f>
        <v>#VALUE!</v>
      </c>
      <c r="S12" s="106" t="e">
        <f t="shared" si="1"/>
        <v>#VALUE!</v>
      </c>
      <c r="T12" s="106" t="e">
        <f t="shared" si="1"/>
        <v>#VALUE!</v>
      </c>
      <c r="U12" s="106" t="e">
        <f t="shared" si="1"/>
        <v>#VALUE!</v>
      </c>
      <c r="V12" s="106" t="e">
        <f t="shared" si="1"/>
        <v>#VALUE!</v>
      </c>
      <c r="W12" s="106" t="e">
        <f t="shared" si="1"/>
        <v>#VALUE!</v>
      </c>
      <c r="X12" s="106" t="e">
        <f t="shared" si="1"/>
        <v>#VALUE!</v>
      </c>
      <c r="Y12" s="106" t="e">
        <f t="shared" si="1"/>
        <v>#VALUE!</v>
      </c>
      <c r="Z12" s="106" t="e">
        <f t="shared" si="1"/>
        <v>#VALUE!</v>
      </c>
      <c r="AA12" s="106" t="e">
        <f t="shared" si="1"/>
        <v>#VALUE!</v>
      </c>
      <c r="AB12" s="106" t="e">
        <f t="shared" si="1"/>
        <v>#VALUE!</v>
      </c>
      <c r="AC12" s="106" t="e">
        <f t="shared" si="1"/>
        <v>#VALUE!</v>
      </c>
      <c r="AD12" s="106" t="e">
        <f t="shared" si="1"/>
        <v>#VALUE!</v>
      </c>
      <c r="AE12" s="106" t="e">
        <f t="shared" si="1"/>
        <v>#VALUE!</v>
      </c>
      <c r="AF12" s="106" t="s">
        <v>228</v>
      </c>
      <c r="AG12" s="106" t="s">
        <v>229</v>
      </c>
      <c r="AH12" s="106" t="s">
        <v>230</v>
      </c>
      <c r="AI12" s="106" t="s">
        <v>231</v>
      </c>
      <c r="AJ12" s="106" t="s">
        <v>232</v>
      </c>
      <c r="AK12" s="106" t="s">
        <v>233</v>
      </c>
    </row>
    <row r="13" spans="1:37" x14ac:dyDescent="0.35">
      <c r="A13" s="13"/>
      <c r="B13" s="78"/>
      <c r="C13" s="10"/>
      <c r="D13" s="107" t="s">
        <v>13</v>
      </c>
      <c r="E13" s="107" t="s">
        <v>13</v>
      </c>
      <c r="F13" s="107" t="s">
        <v>13</v>
      </c>
      <c r="G13" s="107" t="s">
        <v>13</v>
      </c>
      <c r="H13" s="107" t="s">
        <v>13</v>
      </c>
      <c r="I13" s="107" t="s">
        <v>13</v>
      </c>
      <c r="J13" s="107" t="s">
        <v>13</v>
      </c>
      <c r="K13" s="107" t="s">
        <v>13</v>
      </c>
      <c r="L13" s="107" t="s">
        <v>13</v>
      </c>
      <c r="M13" s="107" t="s">
        <v>13</v>
      </c>
      <c r="N13" s="107" t="s">
        <v>13</v>
      </c>
      <c r="O13" s="107" t="s">
        <v>13</v>
      </c>
      <c r="P13" s="107" t="s">
        <v>13</v>
      </c>
      <c r="Q13" s="107" t="s">
        <v>13</v>
      </c>
      <c r="R13" s="107" t="s">
        <v>13</v>
      </c>
      <c r="S13" s="107" t="s">
        <v>13</v>
      </c>
      <c r="T13" s="107" t="s">
        <v>13</v>
      </c>
      <c r="U13" s="107" t="s">
        <v>13</v>
      </c>
      <c r="V13" s="107" t="s">
        <v>13</v>
      </c>
      <c r="W13" s="107" t="s">
        <v>13</v>
      </c>
      <c r="X13" s="107" t="s">
        <v>13</v>
      </c>
      <c r="Y13" s="107" t="s">
        <v>13</v>
      </c>
      <c r="Z13" s="107" t="s">
        <v>13</v>
      </c>
      <c r="AA13" s="107" t="s">
        <v>13</v>
      </c>
      <c r="AB13" s="107" t="s">
        <v>13</v>
      </c>
      <c r="AC13" s="107" t="s">
        <v>13</v>
      </c>
      <c r="AD13" s="107" t="s">
        <v>13</v>
      </c>
      <c r="AE13" s="107" t="s">
        <v>13</v>
      </c>
      <c r="AF13" s="107" t="s">
        <v>13</v>
      </c>
      <c r="AG13" s="10" t="s">
        <v>13</v>
      </c>
      <c r="AH13" s="107" t="s">
        <v>13</v>
      </c>
      <c r="AI13" s="107" t="s">
        <v>13</v>
      </c>
      <c r="AJ13" s="107" t="s">
        <v>13</v>
      </c>
      <c r="AK13" s="107" t="s">
        <v>13</v>
      </c>
    </row>
    <row r="14" spans="1:37" x14ac:dyDescent="0.35">
      <c r="A14" s="13"/>
      <c r="B14" s="108"/>
      <c r="C14" s="109"/>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row>
    <row r="15" spans="1:37" ht="17" x14ac:dyDescent="0.5">
      <c r="A15" s="23">
        <v>1</v>
      </c>
      <c r="B15" s="110" t="s">
        <v>95</v>
      </c>
      <c r="C15" s="109"/>
      <c r="D15" s="111">
        <f>'6.1 ADIT Calcluated p.2'!D14+'6.1 ADIT Calcluated p.3'!D14</f>
        <v>43947664.630000003</v>
      </c>
      <c r="E15" s="111">
        <f>'6.1 ADIT Calcluated p.2'!E14+'6.1 ADIT Calcluated p.3'!E14</f>
        <v>41842731</v>
      </c>
      <c r="F15" s="111">
        <f>'6.1 ADIT Calcluated p.2'!F14+'6.1 ADIT Calcluated p.3'!F14</f>
        <v>43536556.660000004</v>
      </c>
      <c r="G15" s="111">
        <f>'6.1 ADIT Calcluated p.2'!G14+'6.1 ADIT Calcluated p.3'!G14</f>
        <v>52861038.150428571</v>
      </c>
      <c r="H15" s="111">
        <f>'6.1 ADIT Calcluated p.2'!H14+'6.1 ADIT Calcluated p.3'!H14</f>
        <v>63696568.571428575</v>
      </c>
      <c r="I15" s="111">
        <v>0</v>
      </c>
      <c r="J15" s="111" t="e">
        <v>#REF!</v>
      </c>
      <c r="K15" s="111" t="e">
        <v>#REF!</v>
      </c>
      <c r="L15" s="111" t="e">
        <v>#REF!</v>
      </c>
      <c r="M15" s="111" t="e">
        <v>#REF!</v>
      </c>
      <c r="N15" s="111" t="e">
        <v>#REF!</v>
      </c>
      <c r="O15" s="111" t="e">
        <v>#REF!</v>
      </c>
      <c r="P15" s="111" t="e">
        <v>#REF!</v>
      </c>
      <c r="Q15" s="111" t="e">
        <v>#REF!</v>
      </c>
      <c r="R15" s="111" t="e">
        <v>#REF!</v>
      </c>
      <c r="S15" s="111" t="e">
        <v>#REF!</v>
      </c>
      <c r="T15" s="111" t="e">
        <v>#REF!</v>
      </c>
      <c r="U15" s="111" t="e">
        <v>#REF!</v>
      </c>
      <c r="V15" s="111" t="e">
        <v>#REF!</v>
      </c>
      <c r="W15" s="111" t="e">
        <v>#REF!</v>
      </c>
      <c r="X15" s="111" t="e">
        <v>#REF!</v>
      </c>
      <c r="Y15" s="111" t="e">
        <v>#REF!</v>
      </c>
      <c r="Z15" s="111" t="e">
        <v>#REF!</v>
      </c>
      <c r="AA15" s="111" t="e">
        <v>#REF!</v>
      </c>
      <c r="AB15" s="111" t="e">
        <v>#REF!</v>
      </c>
      <c r="AC15" s="111" t="e">
        <v>#REF!</v>
      </c>
      <c r="AD15" s="111" t="e">
        <v>#REF!</v>
      </c>
      <c r="AE15" s="111" t="e">
        <v>#REF!</v>
      </c>
      <c r="AH15" s="43"/>
    </row>
    <row r="16" spans="1:37" ht="13.5" customHeight="1" x14ac:dyDescent="0.35">
      <c r="A16" s="13"/>
      <c r="B16" s="108"/>
      <c r="C16" s="109"/>
      <c r="D16" s="144"/>
      <c r="E16" s="144"/>
      <c r="F16" s="144"/>
      <c r="G16" s="144"/>
      <c r="H16" s="144"/>
      <c r="I16" s="144"/>
      <c r="J16" s="144"/>
      <c r="K16" s="144"/>
      <c r="L16" s="144"/>
      <c r="M16" s="144"/>
      <c r="N16" s="144"/>
      <c r="O16" s="144"/>
      <c r="P16" s="144"/>
      <c r="Q16" s="144"/>
      <c r="R16" s="144"/>
      <c r="S16" s="144"/>
      <c r="T16" s="144"/>
      <c r="U16" s="144"/>
      <c r="V16" s="144"/>
      <c r="W16" s="144"/>
      <c r="X16" s="144"/>
      <c r="Y16" s="144"/>
      <c r="Z16" s="144"/>
      <c r="AA16" s="144"/>
      <c r="AB16" s="144"/>
      <c r="AC16" s="144"/>
      <c r="AD16" s="144"/>
      <c r="AE16" s="144"/>
      <c r="AF16" s="144"/>
      <c r="AG16" s="144"/>
    </row>
    <row r="17" spans="1:37" ht="13.5" customHeight="1" x14ac:dyDescent="0.35">
      <c r="A17" s="23">
        <f>A15+1</f>
        <v>2</v>
      </c>
      <c r="B17" s="110"/>
      <c r="C17" s="109"/>
      <c r="D17" s="112"/>
      <c r="E17" s="112"/>
      <c r="F17" s="112"/>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I17" s="43"/>
    </row>
    <row r="18" spans="1:37" ht="13.5" customHeight="1" x14ac:dyDescent="0.35">
      <c r="B18" s="110"/>
      <c r="C18" s="109"/>
      <c r="D18" s="112"/>
      <c r="E18" s="112"/>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row>
    <row r="19" spans="1:37" x14ac:dyDescent="0.35">
      <c r="A19" s="23">
        <f>A17+1</f>
        <v>3</v>
      </c>
      <c r="B19" s="113">
        <v>3.7500000000000089E-2</v>
      </c>
      <c r="C19" s="23">
        <v>1</v>
      </c>
      <c r="D19" s="42">
        <f>+'6.1 ADIT Calcluated p.2'!D18+'6.1 ADIT Calcluated p.3'!D18</f>
        <v>18046484</v>
      </c>
      <c r="E19" s="42"/>
      <c r="F19" s="42"/>
      <c r="G19" s="42"/>
      <c r="H19" s="42"/>
      <c r="AF19" s="42">
        <f>'6.1 ADIT Calcluated p.2'!AF18+'6.1 ADIT Calcluated p.3'!AF18</f>
        <v>18046484</v>
      </c>
      <c r="AG19" s="42">
        <f>'6.1 ADIT Calcluated p.2'!AG18+'6.1 ADIT Calcluated p.3'!AG18</f>
        <v>2051396.6795919999</v>
      </c>
      <c r="AH19" s="42">
        <f>'6.1 ADIT Calcluated p.2'!AH18+'6.1 ADIT Calcluated p.3'!AH18</f>
        <v>417391.11800000007</v>
      </c>
      <c r="AI19" s="42">
        <f>'6.1 ADIT Calcluated p.2'!AI18+'6.1 ADIT Calcluated p.3'!AI18</f>
        <v>19680489.561592001</v>
      </c>
      <c r="AJ19" s="42">
        <f>'6.1 ADIT Calcluated p.2'!AJ18+'6.1 ADIT Calcluated p.3'!AJ18</f>
        <v>4910282</v>
      </c>
      <c r="AK19" s="42">
        <f>'6.1 ADIT Calcluated p.2'!AK18+'6.1 ADIT Calcluated p.3'!AK18</f>
        <v>4910282</v>
      </c>
    </row>
    <row r="20" spans="1:37" x14ac:dyDescent="0.35">
      <c r="A20" s="23">
        <f>A19+1</f>
        <v>4</v>
      </c>
      <c r="B20" s="113">
        <v>7.2190000000000004E-2</v>
      </c>
      <c r="C20" s="23">
        <f>+C19+1</f>
        <v>2</v>
      </c>
      <c r="D20" s="42">
        <f>+'6.1 ADIT Calcluated p.2'!D19+'6.1 ADIT Calcluated p.3'!D19</f>
        <v>1942655</v>
      </c>
      <c r="E20" s="42">
        <f>+'6.1 ADIT Calcluated p.2'!E19+'6.1 ADIT Calcluated p.3'!E19</f>
        <v>16980005</v>
      </c>
      <c r="F20" s="42"/>
      <c r="G20" s="42"/>
      <c r="H20" s="42"/>
      <c r="AF20" s="42">
        <f>'6.1 ADIT Calcluated p.2'!AF19+'6.1 ADIT Calcluated p.3'!AF19</f>
        <v>18922660</v>
      </c>
      <c r="AG20" s="42">
        <f>'6.1 ADIT Calcluated p.2'!AG19+'6.1 ADIT Calcluated p.3'!AG19</f>
        <v>1033930.68</v>
      </c>
      <c r="AH20" s="42">
        <f>'6.1 ADIT Calcluated p.2'!AH19+'6.1 ADIT Calcluated p.3'!AH19</f>
        <v>1260606.0250000001</v>
      </c>
      <c r="AI20" s="42">
        <f>'6.1 ADIT Calcluated p.2'!AI19+'6.1 ADIT Calcluated p.3'!AI19</f>
        <v>18695984.654999997</v>
      </c>
      <c r="AJ20" s="42">
        <f>'6.1 ADIT Calcluated p.2'!AJ19+'6.1 ADIT Calcluated p.3'!AJ19</f>
        <v>4664648</v>
      </c>
      <c r="AK20" s="42">
        <f>'6.1 ADIT Calcluated p.2'!AK19+'6.1 ADIT Calcluated p.3'!AK19</f>
        <v>9574930</v>
      </c>
    </row>
    <row r="21" spans="1:37" x14ac:dyDescent="0.35">
      <c r="A21" s="23">
        <f t="shared" ref="A21:A44" si="2">A20+1</f>
        <v>5</v>
      </c>
      <c r="B21" s="113">
        <v>6.6769999999999996E-2</v>
      </c>
      <c r="C21" s="23">
        <f t="shared" ref="C21:C42" si="3">+C20+1</f>
        <v>3</v>
      </c>
      <c r="D21" s="42">
        <f>+'6.1 ADIT Calcluated p.2'!D20+'6.1 ADIT Calcluated p.3'!D20</f>
        <v>1796802</v>
      </c>
      <c r="E21" s="42">
        <f>+'6.1 ADIT Calcluated p.2'!E20+'6.1 ADIT Calcluated p.3'!E20</f>
        <v>1864769</v>
      </c>
      <c r="F21" s="42">
        <f>+'6.1 ADIT Calcluated p.2'!F20+'6.1 ADIT Calcluated p.3'!F20</f>
        <v>17599955</v>
      </c>
      <c r="G21" s="42"/>
      <c r="H21" s="42"/>
      <c r="AF21" s="42">
        <f>'6.1 ADIT Calcluated p.2'!AF20+'6.1 ADIT Calcluated p.3'!AF20</f>
        <v>21261526</v>
      </c>
      <c r="AG21" s="42">
        <f>'6.1 ADIT Calcluated p.2'!AG20+'6.1 ADIT Calcluated p.3'!AG20</f>
        <v>1107528.5699999998</v>
      </c>
      <c r="AH21" s="42">
        <f>'6.1 ADIT Calcluated p.2'!AH20+'6.1 ADIT Calcluated p.3'!AH20</f>
        <v>2444983.9980000001</v>
      </c>
      <c r="AI21" s="42">
        <f>'6.1 ADIT Calcluated p.2'!AI20+'6.1 ADIT Calcluated p.3'!AI20</f>
        <v>19924070.572000001</v>
      </c>
      <c r="AJ21" s="42">
        <f>'6.1 ADIT Calcluated p.2'!AJ20+'6.1 ADIT Calcluated p.3'!AJ20</f>
        <v>4971056</v>
      </c>
      <c r="AK21" s="42">
        <f>'6.1 ADIT Calcluated p.2'!AK20+'6.1 ADIT Calcluated p.3'!AK20</f>
        <v>14545986</v>
      </c>
    </row>
    <row r="22" spans="1:37" x14ac:dyDescent="0.35">
      <c r="A22" s="23">
        <f t="shared" si="2"/>
        <v>6</v>
      </c>
      <c r="B22" s="113">
        <v>6.1769999999999999E-2</v>
      </c>
      <c r="C22" s="23">
        <f t="shared" si="3"/>
        <v>4</v>
      </c>
      <c r="D22" s="42">
        <f>+'6.1 ADIT Calcluated p.2'!D21+'6.1 ADIT Calcluated p.3'!D21</f>
        <v>1662250</v>
      </c>
      <c r="E22" s="42">
        <f>+'6.1 ADIT Calcluated p.2'!E21+'6.1 ADIT Calcluated p.3'!E21</f>
        <v>1724763</v>
      </c>
      <c r="F22" s="42">
        <f>+'6.1 ADIT Calcluated p.2'!F21+'6.1 ADIT Calcluated p.3'!F21</f>
        <v>1945313</v>
      </c>
      <c r="G22" s="42">
        <f>+'6.1 ADIT Calcluated p.2'!G21+'6.1 ADIT Calcluated p.3'!G21</f>
        <v>33950925</v>
      </c>
      <c r="H22" s="42"/>
      <c r="AF22" s="42">
        <f>'6.1 ADIT Calcluated p.2'!AF21+'6.1 ADIT Calcluated p.3'!AF21</f>
        <v>39283251</v>
      </c>
      <c r="AG22" s="42">
        <f>'6.1 ADIT Calcluated p.2'!AG21+'6.1 ADIT Calcluated p.3'!AG21</f>
        <v>1542663.6797960002</v>
      </c>
      <c r="AH22" s="42">
        <f>'6.1 ADIT Calcluated p.2'!AH21+'6.1 ADIT Calcluated p.3'!AH21</f>
        <v>3571220.6090000002</v>
      </c>
      <c r="AI22" s="42">
        <f>'6.1 ADIT Calcluated p.2'!AI21+'6.1 ADIT Calcluated p.3'!AI21</f>
        <v>37254694.070796005</v>
      </c>
      <c r="AJ22" s="42">
        <f>'6.1 ADIT Calcluated p.2'!AJ21+'6.1 ADIT Calcluated p.3'!AJ21</f>
        <v>9295046</v>
      </c>
      <c r="AK22" s="42">
        <f>'6.1 ADIT Calcluated p.2'!AK21+'6.1 ADIT Calcluated p.3'!AK21</f>
        <v>23841032</v>
      </c>
    </row>
    <row r="23" spans="1:37" x14ac:dyDescent="0.35">
      <c r="A23" s="23">
        <f t="shared" si="2"/>
        <v>7</v>
      </c>
      <c r="B23" s="113">
        <v>5.713E-2</v>
      </c>
      <c r="C23" s="23">
        <f t="shared" si="3"/>
        <v>5</v>
      </c>
      <c r="D23" s="42">
        <f>+'6.1 ADIT Calcluated p.2'!D22+'6.1 ADIT Calcluated p.3'!D22</f>
        <v>1537386</v>
      </c>
      <c r="E23" s="42">
        <f>+'6.1 ADIT Calcluated p.2'!E22+'6.1 ADIT Calcluated p.3'!E22</f>
        <v>1595605</v>
      </c>
      <c r="F23" s="42">
        <f>+'6.1 ADIT Calcluated p.2'!F22+'6.1 ADIT Calcluated p.3'!F22</f>
        <v>1799259</v>
      </c>
      <c r="G23" s="42">
        <f>+'6.1 ADIT Calcluated p.2'!G22+'6.1 ADIT Calcluated p.3'!G22</f>
        <v>1418307</v>
      </c>
      <c r="H23" s="42">
        <f>+'6.1 ADIT Calcluated p.2'!H22+'6.1 ADIT Calcluated p.3'!H22</f>
        <v>41001300</v>
      </c>
      <c r="I23" s="42">
        <v>0</v>
      </c>
      <c r="AF23" s="42">
        <f>'6.1 ADIT Calcluated p.2'!AF22+'6.1 ADIT Calcluated p.3'!AF22</f>
        <v>47351857</v>
      </c>
      <c r="AG23" s="42">
        <f>'6.1 ADIT Calcluated p.2'!AG22+'6.1 ADIT Calcluated p.3'!AG22</f>
        <v>2261774.7200000002</v>
      </c>
      <c r="AH23" s="42">
        <f>'6.1 ADIT Calcluated p.2'!AH22+'6.1 ADIT Calcluated p.3'!AH22</f>
        <v>5015908.8320000004</v>
      </c>
      <c r="AI23" s="42">
        <f>'6.1 ADIT Calcluated p.2'!AI22+'6.1 ADIT Calcluated p.3'!AI22</f>
        <v>44597722.887999997</v>
      </c>
      <c r="AJ23" s="42">
        <f>'6.1 ADIT Calcluated p.2'!AJ22+'6.1 ADIT Calcluated p.3'!AJ22</f>
        <v>11127132</v>
      </c>
      <c r="AK23" s="42">
        <f>'6.1 ADIT Calcluated p.2'!AK22+'6.1 ADIT Calcluated p.3'!AK22</f>
        <v>34968164</v>
      </c>
    </row>
    <row r="24" spans="1:37" x14ac:dyDescent="0.35">
      <c r="A24" s="23">
        <f t="shared" si="2"/>
        <v>8</v>
      </c>
      <c r="B24" s="113">
        <v>5.2850000000000001E-2</v>
      </c>
      <c r="C24" s="23">
        <f t="shared" si="3"/>
        <v>6</v>
      </c>
      <c r="D24" s="42">
        <f>+'6.1 ADIT Calcluated p.2'!D23+'6.1 ADIT Calcluated p.3'!D23</f>
        <v>1422211</v>
      </c>
      <c r="E24" s="42">
        <f>+'6.1 ADIT Calcluated p.2'!E23+'6.1 ADIT Calcluated p.3'!E23</f>
        <v>1475749</v>
      </c>
      <c r="F24" s="42">
        <f>+'6.1 ADIT Calcluated p.2'!F23+'6.1 ADIT Calcluated p.3'!F23</f>
        <v>1664524</v>
      </c>
      <c r="G24" s="42">
        <f>+'6.1 ADIT Calcluated p.2'!G23+'6.1 ADIT Calcluated p.3'!G23</f>
        <v>1320089</v>
      </c>
      <c r="H24" s="42">
        <f>+'6.1 ADIT Calcluated p.2'!H23+'6.1 ADIT Calcluated p.3'!H23</f>
        <v>1702204</v>
      </c>
      <c r="I24" s="42">
        <v>0</v>
      </c>
      <c r="AF24" s="42">
        <f>'6.1 ADIT Calcluated p.2'!AF23+'6.1 ADIT Calcluated p.3'!AF23</f>
        <v>7584777</v>
      </c>
      <c r="AG24" s="42"/>
      <c r="AH24" s="42">
        <v>0</v>
      </c>
      <c r="AI24" s="42">
        <v>0</v>
      </c>
      <c r="AJ24" s="42">
        <v>0</v>
      </c>
      <c r="AK24" s="42">
        <v>0</v>
      </c>
    </row>
    <row r="25" spans="1:37" x14ac:dyDescent="0.35">
      <c r="A25" s="23">
        <f t="shared" si="2"/>
        <v>9</v>
      </c>
      <c r="B25" s="113">
        <v>4.888E-2</v>
      </c>
      <c r="C25" s="23">
        <f t="shared" si="3"/>
        <v>7</v>
      </c>
      <c r="D25" s="42">
        <f>+'6.1 ADIT Calcluated p.2'!D24+'6.1 ADIT Calcluated p.3'!D24</f>
        <v>1315377</v>
      </c>
      <c r="E25" s="42">
        <f>+'6.1 ADIT Calcluated p.2'!E24+'6.1 ADIT Calcluated p.3'!E24</f>
        <v>1365190</v>
      </c>
      <c r="F25" s="42">
        <f>+'6.1 ADIT Calcluated p.2'!F24+'6.1 ADIT Calcluated p.3'!F24</f>
        <v>1539489</v>
      </c>
      <c r="G25" s="42">
        <f>+'6.1 ADIT Calcluated p.2'!G24+'6.1 ADIT Calcluated p.3'!G24</f>
        <v>1221236</v>
      </c>
      <c r="H25" s="42">
        <f>+'6.1 ADIT Calcluated p.2'!H24+'6.1 ADIT Calcluated p.3'!H24</f>
        <v>1574404</v>
      </c>
      <c r="I25" s="42">
        <v>0</v>
      </c>
      <c r="AF25" s="42">
        <f>'6.1 ADIT Calcluated p.2'!AF24+'6.1 ADIT Calcluated p.3'!AF24</f>
        <v>7015696</v>
      </c>
      <c r="AG25" s="42"/>
      <c r="AH25" s="42">
        <v>0</v>
      </c>
      <c r="AI25" s="42">
        <v>0</v>
      </c>
      <c r="AJ25" s="42">
        <v>0</v>
      </c>
      <c r="AK25" s="42">
        <v>0</v>
      </c>
    </row>
    <row r="26" spans="1:37" x14ac:dyDescent="0.35">
      <c r="A26" s="23">
        <f t="shared" si="2"/>
        <v>10</v>
      </c>
      <c r="B26" s="113">
        <v>4.5220000000000003E-2</v>
      </c>
      <c r="C26" s="23">
        <f t="shared" si="3"/>
        <v>8</v>
      </c>
      <c r="D26" s="42">
        <f>+'6.1 ADIT Calcluated p.2'!D25+'6.1 ADIT Calcluated p.3'!D25</f>
        <v>1216885</v>
      </c>
      <c r="E26" s="42">
        <f>+'6.1 ADIT Calcluated p.2'!E25+'6.1 ADIT Calcluated p.3'!E25</f>
        <v>1262639</v>
      </c>
      <c r="F26" s="42">
        <f>+'6.1 ADIT Calcluated p.2'!F25+'6.1 ADIT Calcluated p.3'!F25</f>
        <v>1424155</v>
      </c>
      <c r="G26" s="42">
        <f>+'6.1 ADIT Calcluated p.2'!G25+'6.1 ADIT Calcluated p.3'!G25</f>
        <v>1129499</v>
      </c>
      <c r="H26" s="42">
        <f>+'6.1 ADIT Calcluated p.2'!H25+'6.1 ADIT Calcluated p.3'!H25</f>
        <v>1456505</v>
      </c>
      <c r="I26" s="42">
        <v>0</v>
      </c>
      <c r="AF26" s="42">
        <f>'6.1 ADIT Calcluated p.2'!AF25+'6.1 ADIT Calcluated p.3'!AF25</f>
        <v>6489683</v>
      </c>
      <c r="AG26" s="42"/>
      <c r="AH26" s="42">
        <v>0</v>
      </c>
      <c r="AI26" s="42">
        <v>0</v>
      </c>
      <c r="AJ26" s="42">
        <v>0</v>
      </c>
      <c r="AK26" s="42">
        <v>0</v>
      </c>
    </row>
    <row r="27" spans="1:37" x14ac:dyDescent="0.35">
      <c r="A27" s="23">
        <f t="shared" si="2"/>
        <v>11</v>
      </c>
      <c r="B27" s="113">
        <v>4.462E-2</v>
      </c>
      <c r="C27" s="23">
        <f t="shared" si="3"/>
        <v>9</v>
      </c>
      <c r="D27" s="42">
        <f>+'6.1 ADIT Calcluated p.2'!D26+'6.1 ADIT Calcluated p.3'!D26</f>
        <v>1200739</v>
      </c>
      <c r="E27" s="42">
        <f>+'6.1 ADIT Calcluated p.2'!E26+'6.1 ADIT Calcluated p.3'!E26</f>
        <v>1168096</v>
      </c>
      <c r="F27" s="42">
        <f>+'6.1 ADIT Calcluated p.2'!F26+'6.1 ADIT Calcluated p.3'!F26</f>
        <v>1317176</v>
      </c>
      <c r="G27" s="42">
        <f>+'6.1 ADIT Calcluated p.2'!G26+'6.1 ADIT Calcluated p.3'!G26</f>
        <v>1044881</v>
      </c>
      <c r="H27" s="42">
        <f>+'6.1 ADIT Calcluated p.2'!H26+'6.1 ADIT Calcluated p.3'!H26</f>
        <v>1347097</v>
      </c>
      <c r="I27" s="42">
        <v>0</v>
      </c>
      <c r="J27" s="42"/>
      <c r="AF27" s="42">
        <f>'6.1 ADIT Calcluated p.2'!AF26+'6.1 ADIT Calcluated p.3'!AF26</f>
        <v>6077989</v>
      </c>
      <c r="AG27" s="42"/>
      <c r="AH27" s="42">
        <v>0</v>
      </c>
      <c r="AI27" s="42">
        <v>0</v>
      </c>
      <c r="AJ27" s="42">
        <v>0</v>
      </c>
      <c r="AK27" s="42">
        <v>0</v>
      </c>
    </row>
    <row r="28" spans="1:37" x14ac:dyDescent="0.35">
      <c r="A28" s="23">
        <f t="shared" si="2"/>
        <v>12</v>
      </c>
      <c r="B28" s="113">
        <v>4.4609999999999997E-2</v>
      </c>
      <c r="C28" s="23">
        <f t="shared" si="3"/>
        <v>10</v>
      </c>
      <c r="D28" s="42">
        <f>+'6.1 ADIT Calcluated p.2'!D27+'6.1 ADIT Calcluated p.3'!D27</f>
        <v>1200470</v>
      </c>
      <c r="E28" s="42">
        <f>+'6.1 ADIT Calcluated p.2'!E27+'6.1 ADIT Calcluated p.3'!E27</f>
        <v>1152597</v>
      </c>
      <c r="F28" s="42">
        <f>+'6.1 ADIT Calcluated p.2'!F27+'6.1 ADIT Calcluated p.3'!F27</f>
        <v>1218549</v>
      </c>
      <c r="G28" s="42">
        <f>+'6.1 ADIT Calcluated p.2'!G27+'6.1 ADIT Calcluated p.3'!G27</f>
        <v>966392</v>
      </c>
      <c r="H28" s="42">
        <f>+'6.1 ADIT Calcluated p.2'!H27+'6.1 ADIT Calcluated p.3'!H27</f>
        <v>1246177</v>
      </c>
      <c r="I28" s="42">
        <v>0</v>
      </c>
      <c r="J28" s="42"/>
      <c r="K28" s="42"/>
      <c r="AF28" s="42">
        <f>'6.1 ADIT Calcluated p.2'!AF27+'6.1 ADIT Calcluated p.3'!AF27</f>
        <v>5784185</v>
      </c>
      <c r="AG28" s="42"/>
      <c r="AH28" s="42">
        <v>0</v>
      </c>
      <c r="AI28" s="42">
        <v>0</v>
      </c>
      <c r="AJ28" s="42">
        <v>0</v>
      </c>
      <c r="AK28" s="42">
        <v>0</v>
      </c>
    </row>
    <row r="29" spans="1:37" x14ac:dyDescent="0.35">
      <c r="A29" s="23">
        <f t="shared" si="2"/>
        <v>13</v>
      </c>
      <c r="B29" s="113">
        <v>4.462E-2</v>
      </c>
      <c r="C29" s="23">
        <f t="shared" si="3"/>
        <v>11</v>
      </c>
      <c r="D29" s="42">
        <f>+'6.1 ADIT Calcluated p.2'!D28+'6.1 ADIT Calcluated p.3'!D28</f>
        <v>1200739</v>
      </c>
      <c r="E29" s="42">
        <f>+'6.1 ADIT Calcluated p.2'!E28+'6.1 ADIT Calcluated p.3'!E28</f>
        <v>1152339</v>
      </c>
      <c r="F29" s="42">
        <f>+'6.1 ADIT Calcluated p.2'!F28+'6.1 ADIT Calcluated p.3'!F28</f>
        <v>1202380</v>
      </c>
      <c r="G29" s="42">
        <f>+'6.1 ADIT Calcluated p.2'!G28+'6.1 ADIT Calcluated p.3'!G28</f>
        <v>894031</v>
      </c>
      <c r="H29" s="42">
        <f>+'6.1 ADIT Calcluated p.2'!H28+'6.1 ADIT Calcluated p.3'!H28</f>
        <v>1152566</v>
      </c>
      <c r="I29" s="42">
        <v>0</v>
      </c>
      <c r="J29" s="42"/>
      <c r="K29" s="42"/>
      <c r="L29" s="42"/>
      <c r="N29" s="42"/>
      <c r="O29" s="42"/>
      <c r="P29" s="42"/>
      <c r="Q29" s="42"/>
      <c r="R29" s="42"/>
      <c r="S29" s="42"/>
      <c r="T29" s="42"/>
      <c r="U29" s="42"/>
      <c r="V29" s="42"/>
      <c r="W29" s="42"/>
      <c r="X29" s="42"/>
      <c r="Y29" s="42"/>
      <c r="Z29" s="42"/>
      <c r="AA29" s="42"/>
      <c r="AB29" s="42"/>
      <c r="AC29" s="42"/>
      <c r="AD29" s="42"/>
      <c r="AE29" s="42"/>
      <c r="AF29" s="42">
        <f>'6.1 ADIT Calcluated p.2'!AF28+'6.1 ADIT Calcluated p.3'!AF28</f>
        <v>5602055</v>
      </c>
      <c r="AG29" s="42"/>
      <c r="AH29" s="42">
        <v>0</v>
      </c>
      <c r="AI29" s="42">
        <v>0</v>
      </c>
      <c r="AJ29" s="42">
        <v>0</v>
      </c>
      <c r="AK29" s="42">
        <v>0</v>
      </c>
    </row>
    <row r="30" spans="1:37" x14ac:dyDescent="0.35">
      <c r="A30" s="23">
        <f t="shared" si="2"/>
        <v>14</v>
      </c>
      <c r="B30" s="113">
        <v>4.4609999999999997E-2</v>
      </c>
      <c r="C30" s="23">
        <f t="shared" si="3"/>
        <v>12</v>
      </c>
      <c r="D30" s="42">
        <f>+'6.1 ADIT Calcluated p.2'!D29+'6.1 ADIT Calcluated p.3'!D29</f>
        <v>1200470</v>
      </c>
      <c r="E30" s="42">
        <f>+'6.1 ADIT Calcluated p.2'!E29+'6.1 ADIT Calcluated p.3'!E29</f>
        <v>1152597</v>
      </c>
      <c r="F30" s="42">
        <f>+'6.1 ADIT Calcluated p.2'!F29+'6.1 ADIT Calcluated p.3'!F29</f>
        <v>1202111</v>
      </c>
      <c r="G30" s="42">
        <f>+'6.1 ADIT Calcluated p.2'!G29+'6.1 ADIT Calcluated p.3'!G29</f>
        <v>882168</v>
      </c>
      <c r="H30" s="42">
        <f>+'6.1 ADIT Calcluated p.2'!H29+'6.1 ADIT Calcluated p.3'!H29</f>
        <v>1066265</v>
      </c>
      <c r="I30" s="42">
        <v>0</v>
      </c>
      <c r="J30" s="42"/>
      <c r="K30" s="42"/>
      <c r="L30" s="42"/>
      <c r="M30" s="42"/>
      <c r="O30" s="42"/>
      <c r="P30" s="42"/>
      <c r="Q30" s="42"/>
      <c r="R30" s="42"/>
      <c r="S30" s="42"/>
      <c r="T30" s="42"/>
      <c r="U30" s="42"/>
      <c r="V30" s="42"/>
      <c r="W30" s="42"/>
      <c r="X30" s="42"/>
      <c r="Y30" s="42"/>
      <c r="Z30" s="42"/>
      <c r="AA30" s="42"/>
      <c r="AB30" s="42"/>
      <c r="AC30" s="42"/>
      <c r="AD30" s="42"/>
      <c r="AE30" s="42"/>
      <c r="AF30" s="42">
        <f>'6.1 ADIT Calcluated p.2'!AF29+'6.1 ADIT Calcluated p.3'!AF29</f>
        <v>5503611</v>
      </c>
      <c r="AG30" s="42"/>
      <c r="AH30" s="42">
        <v>0</v>
      </c>
      <c r="AI30" s="42">
        <v>0</v>
      </c>
      <c r="AJ30" s="42">
        <v>0</v>
      </c>
      <c r="AK30" s="42">
        <v>0</v>
      </c>
    </row>
    <row r="31" spans="1:37" x14ac:dyDescent="0.35">
      <c r="A31" s="23">
        <f t="shared" si="2"/>
        <v>15</v>
      </c>
      <c r="B31" s="113">
        <v>4.462E-2</v>
      </c>
      <c r="C31" s="23">
        <f t="shared" si="3"/>
        <v>13</v>
      </c>
      <c r="D31" s="42">
        <f>+'6.1 ADIT Calcluated p.2'!D30+'6.1 ADIT Calcluated p.3'!D30</f>
        <v>1200739</v>
      </c>
      <c r="E31" s="42">
        <f>+'6.1 ADIT Calcluated p.2'!E30+'6.1 ADIT Calcluated p.3'!E30</f>
        <v>1152339</v>
      </c>
      <c r="F31" s="42">
        <f>+'6.1 ADIT Calcluated p.2'!F30+'6.1 ADIT Calcluated p.3'!F30</f>
        <v>1202380</v>
      </c>
      <c r="G31" s="42">
        <f>+'6.1 ADIT Calcluated p.2'!G30+'6.1 ADIT Calcluated p.3'!G30</f>
        <v>881971</v>
      </c>
      <c r="H31" s="42">
        <f>+'6.1 ADIT Calcluated p.2'!H30+'6.1 ADIT Calcluated p.3'!H30</f>
        <v>1052118</v>
      </c>
      <c r="I31" s="42">
        <v>0</v>
      </c>
      <c r="J31" s="42"/>
      <c r="K31" s="42"/>
      <c r="L31" s="42"/>
      <c r="M31" s="42"/>
      <c r="N31" s="42"/>
      <c r="P31" s="42"/>
      <c r="Q31" s="42"/>
      <c r="R31" s="42"/>
      <c r="S31" s="42"/>
      <c r="T31" s="42"/>
      <c r="U31" s="42"/>
      <c r="V31" s="42"/>
      <c r="W31" s="42"/>
      <c r="X31" s="42"/>
      <c r="Y31" s="42"/>
      <c r="Z31" s="42"/>
      <c r="AA31" s="42"/>
      <c r="AB31" s="42"/>
      <c r="AC31" s="42"/>
      <c r="AD31" s="42"/>
      <c r="AE31" s="42"/>
      <c r="AF31" s="42">
        <f>'6.1 ADIT Calcluated p.2'!AF30+'6.1 ADIT Calcluated p.3'!AF30</f>
        <v>5489547</v>
      </c>
      <c r="AG31" s="42"/>
      <c r="AH31" s="42">
        <v>0</v>
      </c>
      <c r="AI31" s="42">
        <v>0</v>
      </c>
      <c r="AJ31" s="42">
        <v>0</v>
      </c>
      <c r="AK31" s="42">
        <v>0</v>
      </c>
    </row>
    <row r="32" spans="1:37" x14ac:dyDescent="0.35">
      <c r="A32" s="23">
        <f t="shared" si="2"/>
        <v>16</v>
      </c>
      <c r="B32" s="113">
        <v>4.4609999999999997E-2</v>
      </c>
      <c r="C32" s="23">
        <f t="shared" si="3"/>
        <v>14</v>
      </c>
      <c r="D32" s="42">
        <f>+'6.1 ADIT Calcluated p.2'!D31+'6.1 ADIT Calcluated p.3'!D31</f>
        <v>1200470</v>
      </c>
      <c r="E32" s="42">
        <f>+'6.1 ADIT Calcluated p.2'!E31+'6.1 ADIT Calcluated p.3'!E31</f>
        <v>1152597</v>
      </c>
      <c r="F32" s="42">
        <f>+'6.1 ADIT Calcluated p.2'!F31+'6.1 ADIT Calcluated p.3'!F31</f>
        <v>1202111</v>
      </c>
      <c r="G32" s="42">
        <f>+'6.1 ADIT Calcluated p.2'!G31+'6.1 ADIT Calcluated p.3'!G31</f>
        <v>882168</v>
      </c>
      <c r="H32" s="42">
        <f>+'6.1 ADIT Calcluated p.2'!H31+'6.1 ADIT Calcluated p.3'!H31</f>
        <v>1051881</v>
      </c>
      <c r="I32" s="42">
        <v>0</v>
      </c>
      <c r="J32" s="42"/>
      <c r="K32" s="42"/>
      <c r="L32" s="42"/>
      <c r="M32" s="42"/>
      <c r="N32" s="42"/>
      <c r="O32" s="42"/>
      <c r="Q32" s="42"/>
      <c r="R32" s="42"/>
      <c r="S32" s="42"/>
      <c r="T32" s="42"/>
      <c r="U32" s="42"/>
      <c r="V32" s="42"/>
      <c r="W32" s="42"/>
      <c r="X32" s="42"/>
      <c r="Y32" s="42"/>
      <c r="Z32" s="42"/>
      <c r="AA32" s="42"/>
      <c r="AB32" s="42"/>
      <c r="AC32" s="42"/>
      <c r="AD32" s="42"/>
      <c r="AE32" s="42"/>
      <c r="AF32" s="42">
        <f>'6.1 ADIT Calcluated p.2'!AF31+'6.1 ADIT Calcluated p.3'!AF31</f>
        <v>5489227</v>
      </c>
      <c r="AG32" s="42"/>
      <c r="AH32" s="42">
        <v>0</v>
      </c>
      <c r="AI32" s="42">
        <v>0</v>
      </c>
      <c r="AJ32" s="42">
        <v>0</v>
      </c>
      <c r="AK32" s="42">
        <v>0</v>
      </c>
    </row>
    <row r="33" spans="1:37" x14ac:dyDescent="0.35">
      <c r="A33" s="23">
        <f t="shared" si="2"/>
        <v>17</v>
      </c>
      <c r="B33" s="113">
        <v>4.462E-2</v>
      </c>
      <c r="C33" s="23">
        <f t="shared" si="3"/>
        <v>15</v>
      </c>
      <c r="D33" s="42">
        <f>+'6.1 ADIT Calcluated p.2'!D32+'6.1 ADIT Calcluated p.3'!D32</f>
        <v>1200739</v>
      </c>
      <c r="E33" s="42">
        <f>+'6.1 ADIT Calcluated p.2'!E32+'6.1 ADIT Calcluated p.3'!E32</f>
        <v>1152339</v>
      </c>
      <c r="F33" s="42">
        <f>+'6.1 ADIT Calcluated p.2'!F32+'6.1 ADIT Calcluated p.3'!F32</f>
        <v>1202380</v>
      </c>
      <c r="G33" s="42">
        <f>+'6.1 ADIT Calcluated p.2'!G32+'6.1 ADIT Calcluated p.3'!G32</f>
        <v>881971</v>
      </c>
      <c r="H33" s="42">
        <f>+'6.1 ADIT Calcluated p.2'!H32+'6.1 ADIT Calcluated p.3'!H32</f>
        <v>1052118</v>
      </c>
      <c r="I33" s="42">
        <v>0</v>
      </c>
      <c r="J33" s="42"/>
      <c r="K33" s="42"/>
      <c r="L33" s="42"/>
      <c r="M33" s="42"/>
      <c r="N33" s="42"/>
      <c r="O33" s="42"/>
      <c r="P33" s="42"/>
      <c r="AF33" s="42">
        <f>'6.1 ADIT Calcluated p.2'!AF32+'6.1 ADIT Calcluated p.3'!AF32</f>
        <v>5489547</v>
      </c>
      <c r="AG33" s="42"/>
      <c r="AH33" s="42">
        <v>0</v>
      </c>
      <c r="AI33" s="42">
        <v>0</v>
      </c>
      <c r="AJ33" s="42">
        <v>0</v>
      </c>
      <c r="AK33" s="42">
        <v>0</v>
      </c>
    </row>
    <row r="34" spans="1:37" x14ac:dyDescent="0.35">
      <c r="A34" s="23">
        <f t="shared" si="2"/>
        <v>18</v>
      </c>
      <c r="B34" s="113">
        <v>4.4609999999999997E-2</v>
      </c>
      <c r="C34" s="23">
        <f t="shared" si="3"/>
        <v>16</v>
      </c>
      <c r="D34" s="42">
        <f>+'6.1 ADIT Calcluated p.2'!D33+'6.1 ADIT Calcluated p.3'!D33</f>
        <v>1200470</v>
      </c>
      <c r="E34" s="42">
        <f>+'6.1 ADIT Calcluated p.2'!E33+'6.1 ADIT Calcluated p.3'!E33</f>
        <v>1152597</v>
      </c>
      <c r="F34" s="42">
        <f>+'6.1 ADIT Calcluated p.2'!F33+'6.1 ADIT Calcluated p.3'!F33</f>
        <v>1202111</v>
      </c>
      <c r="G34" s="42">
        <f>+'6.1 ADIT Calcluated p.2'!G33+'6.1 ADIT Calcluated p.3'!G33</f>
        <v>882168</v>
      </c>
      <c r="H34" s="42">
        <f>+'6.1 ADIT Calcluated p.2'!H33+'6.1 ADIT Calcluated p.3'!H33</f>
        <v>1051881</v>
      </c>
      <c r="I34" s="42">
        <v>0</v>
      </c>
      <c r="J34" s="42"/>
      <c r="K34" s="42"/>
      <c r="L34" s="42"/>
      <c r="M34" s="42"/>
      <c r="N34" s="42"/>
      <c r="O34" s="42"/>
      <c r="P34" s="42"/>
      <c r="Q34" s="42"/>
      <c r="AF34" s="42">
        <f>'6.1 ADIT Calcluated p.2'!AF33+'6.1 ADIT Calcluated p.3'!AF33</f>
        <v>5489227</v>
      </c>
      <c r="AG34" s="42"/>
      <c r="AH34" s="42">
        <v>0</v>
      </c>
      <c r="AI34" s="42">
        <v>0</v>
      </c>
      <c r="AJ34" s="42">
        <v>0</v>
      </c>
      <c r="AK34" s="42">
        <v>0</v>
      </c>
    </row>
    <row r="35" spans="1:37" x14ac:dyDescent="0.35">
      <c r="A35" s="23">
        <f t="shared" si="2"/>
        <v>19</v>
      </c>
      <c r="B35" s="113">
        <v>4.462E-2</v>
      </c>
      <c r="C35" s="23">
        <f t="shared" si="3"/>
        <v>17</v>
      </c>
      <c r="D35" s="42">
        <f>+'6.1 ADIT Calcluated p.2'!D34+'6.1 ADIT Calcluated p.3'!D34</f>
        <v>1200739</v>
      </c>
      <c r="E35" s="42">
        <f>+'6.1 ADIT Calcluated p.2'!E34+'6.1 ADIT Calcluated p.3'!E34</f>
        <v>1152339</v>
      </c>
      <c r="F35" s="42">
        <f>+'6.1 ADIT Calcluated p.2'!F34+'6.1 ADIT Calcluated p.3'!F34</f>
        <v>1202380</v>
      </c>
      <c r="G35" s="42">
        <f>+'6.1 ADIT Calcluated p.2'!G34+'6.1 ADIT Calcluated p.3'!G34</f>
        <v>881971</v>
      </c>
      <c r="H35" s="42">
        <f>+'6.1 ADIT Calcluated p.2'!H34+'6.1 ADIT Calcluated p.3'!H34</f>
        <v>1052118</v>
      </c>
      <c r="I35" s="42">
        <v>0</v>
      </c>
      <c r="J35" s="42"/>
      <c r="K35" s="42"/>
      <c r="L35" s="42"/>
      <c r="M35" s="42"/>
      <c r="N35" s="42"/>
      <c r="O35" s="42"/>
      <c r="P35" s="42"/>
      <c r="Q35" s="42"/>
      <c r="R35" s="42"/>
      <c r="AF35" s="42">
        <f>'6.1 ADIT Calcluated p.2'!AF34+'6.1 ADIT Calcluated p.3'!AF34</f>
        <v>5489547</v>
      </c>
      <c r="AG35" s="42"/>
      <c r="AH35" s="42">
        <v>0</v>
      </c>
      <c r="AI35" s="42">
        <v>0</v>
      </c>
      <c r="AJ35" s="42">
        <v>0</v>
      </c>
      <c r="AK35" s="42">
        <v>0</v>
      </c>
    </row>
    <row r="36" spans="1:37" x14ac:dyDescent="0.35">
      <c r="A36" s="23">
        <f t="shared" si="2"/>
        <v>20</v>
      </c>
      <c r="B36" s="113">
        <v>4.4609999999999997E-2</v>
      </c>
      <c r="C36" s="23">
        <f t="shared" si="3"/>
        <v>18</v>
      </c>
      <c r="D36" s="42">
        <f>+'6.1 ADIT Calcluated p.2'!D35+'6.1 ADIT Calcluated p.3'!D35</f>
        <v>1200470</v>
      </c>
      <c r="E36" s="42">
        <f>+'6.1 ADIT Calcluated p.2'!E35+'6.1 ADIT Calcluated p.3'!E35</f>
        <v>1152597</v>
      </c>
      <c r="F36" s="42">
        <f>+'6.1 ADIT Calcluated p.2'!F35+'6.1 ADIT Calcluated p.3'!F35</f>
        <v>1202111</v>
      </c>
      <c r="G36" s="42">
        <f>+'6.1 ADIT Calcluated p.2'!G35+'6.1 ADIT Calcluated p.3'!G35</f>
        <v>882168</v>
      </c>
      <c r="H36" s="42">
        <f>+'6.1 ADIT Calcluated p.2'!H35+'6.1 ADIT Calcluated p.3'!H35</f>
        <v>1051881</v>
      </c>
      <c r="I36" s="42">
        <v>0</v>
      </c>
      <c r="J36" s="42"/>
      <c r="K36" s="42"/>
      <c r="L36" s="42"/>
      <c r="M36" s="42"/>
      <c r="N36" s="42"/>
      <c r="O36" s="42"/>
      <c r="P36" s="42"/>
      <c r="Q36" s="42"/>
      <c r="R36" s="42"/>
      <c r="S36" s="42"/>
      <c r="AF36" s="42">
        <f>'6.1 ADIT Calcluated p.2'!AF35+'6.1 ADIT Calcluated p.3'!AF35</f>
        <v>5489227</v>
      </c>
      <c r="AG36" s="42"/>
      <c r="AH36" s="42">
        <v>0</v>
      </c>
      <c r="AI36" s="42">
        <v>0</v>
      </c>
      <c r="AJ36" s="42">
        <v>0</v>
      </c>
      <c r="AK36" s="42">
        <v>0</v>
      </c>
    </row>
    <row r="37" spans="1:37" x14ac:dyDescent="0.35">
      <c r="A37" s="23">
        <f t="shared" si="2"/>
        <v>21</v>
      </c>
      <c r="B37" s="113">
        <v>4.462E-2</v>
      </c>
      <c r="C37" s="23">
        <f t="shared" si="3"/>
        <v>19</v>
      </c>
      <c r="D37" s="42">
        <f>+'6.1 ADIT Calcluated p.2'!D36+'6.1 ADIT Calcluated p.3'!D36</f>
        <v>1200739</v>
      </c>
      <c r="E37" s="42">
        <f>+'6.1 ADIT Calcluated p.2'!E36+'6.1 ADIT Calcluated p.3'!E36</f>
        <v>1152339</v>
      </c>
      <c r="F37" s="42">
        <f>+'6.1 ADIT Calcluated p.2'!F36+'6.1 ADIT Calcluated p.3'!F36</f>
        <v>1202380</v>
      </c>
      <c r="G37" s="42">
        <f>+'6.1 ADIT Calcluated p.2'!G36+'6.1 ADIT Calcluated p.3'!G36</f>
        <v>881971</v>
      </c>
      <c r="H37" s="42">
        <f>+'6.1 ADIT Calcluated p.2'!H36+'6.1 ADIT Calcluated p.3'!H36</f>
        <v>1052118</v>
      </c>
      <c r="I37" s="42">
        <v>0</v>
      </c>
      <c r="J37" s="42"/>
      <c r="K37" s="42"/>
      <c r="L37" s="42"/>
      <c r="M37" s="42"/>
      <c r="N37" s="42"/>
      <c r="O37" s="42"/>
      <c r="P37" s="42"/>
      <c r="Q37" s="42"/>
      <c r="R37" s="42"/>
      <c r="S37" s="42"/>
      <c r="T37" s="42"/>
      <c r="U37" s="42"/>
      <c r="V37" s="42"/>
      <c r="W37" s="42"/>
      <c r="X37" s="42"/>
      <c r="Y37" s="42"/>
      <c r="Z37" s="42"/>
      <c r="AA37" s="42"/>
      <c r="AB37" s="42"/>
      <c r="AC37" s="42"/>
      <c r="AD37" s="42"/>
      <c r="AF37" s="42">
        <f>'6.1 ADIT Calcluated p.2'!AF36+'6.1 ADIT Calcluated p.3'!AF36</f>
        <v>5489547</v>
      </c>
      <c r="AG37" s="42"/>
      <c r="AH37" s="42">
        <v>0</v>
      </c>
      <c r="AI37" s="42">
        <v>0</v>
      </c>
      <c r="AJ37" s="42">
        <v>0</v>
      </c>
      <c r="AK37" s="42">
        <v>0</v>
      </c>
    </row>
    <row r="38" spans="1:37" x14ac:dyDescent="0.35">
      <c r="A38" s="23">
        <f t="shared" si="2"/>
        <v>22</v>
      </c>
      <c r="B38" s="113">
        <v>4.4609999999999997E-2</v>
      </c>
      <c r="C38" s="23">
        <f t="shared" si="3"/>
        <v>20</v>
      </c>
      <c r="D38" s="42">
        <f>+'6.1 ADIT Calcluated p.2'!D37+'6.1 ADIT Calcluated p.3'!D37</f>
        <v>1200470</v>
      </c>
      <c r="E38" s="42">
        <f>+'6.1 ADIT Calcluated p.2'!E37+'6.1 ADIT Calcluated p.3'!E37</f>
        <v>1152597</v>
      </c>
      <c r="F38" s="42">
        <f>+'6.1 ADIT Calcluated p.2'!F37+'6.1 ADIT Calcluated p.3'!F37</f>
        <v>1202111</v>
      </c>
      <c r="G38" s="42">
        <f>+'6.1 ADIT Calcluated p.2'!G37+'6.1 ADIT Calcluated p.3'!G37</f>
        <v>882168</v>
      </c>
      <c r="H38" s="42">
        <f>+'6.1 ADIT Calcluated p.2'!H37+'6.1 ADIT Calcluated p.3'!H37</f>
        <v>1051881</v>
      </c>
      <c r="I38" s="42">
        <v>0</v>
      </c>
      <c r="J38" s="42"/>
      <c r="K38" s="42"/>
      <c r="L38" s="42"/>
      <c r="M38" s="42"/>
      <c r="N38" s="42"/>
      <c r="O38" s="42"/>
      <c r="P38" s="42"/>
      <c r="Q38" s="42"/>
      <c r="R38" s="42"/>
      <c r="S38" s="42"/>
      <c r="T38" s="42"/>
      <c r="U38" s="42"/>
      <c r="V38" s="42"/>
      <c r="W38" s="42"/>
      <c r="X38" s="42"/>
      <c r="Y38" s="42"/>
      <c r="Z38" s="42"/>
      <c r="AA38" s="42"/>
      <c r="AB38" s="42"/>
      <c r="AC38" s="42"/>
      <c r="AD38" s="42"/>
      <c r="AE38" s="42"/>
      <c r="AF38" s="42">
        <f>'6.1 ADIT Calcluated p.2'!AF37+'6.1 ADIT Calcluated p.3'!AF37</f>
        <v>5489227</v>
      </c>
      <c r="AG38" s="42"/>
      <c r="AH38" s="42">
        <v>0</v>
      </c>
      <c r="AI38" s="42">
        <v>0</v>
      </c>
      <c r="AJ38" s="42">
        <v>0</v>
      </c>
      <c r="AK38" s="42">
        <v>0</v>
      </c>
    </row>
    <row r="39" spans="1:37" x14ac:dyDescent="0.35">
      <c r="A39" s="23">
        <f t="shared" si="2"/>
        <v>23</v>
      </c>
      <c r="B39" s="113">
        <v>2.231E-2</v>
      </c>
      <c r="C39" s="23">
        <f t="shared" si="3"/>
        <v>21</v>
      </c>
      <c r="D39" s="42">
        <f>+'6.1 ADIT Calcluated p.2'!D38+'6.1 ADIT Calcluated p.3'!D38</f>
        <v>600370</v>
      </c>
      <c r="E39" s="42">
        <f>+'6.1 ADIT Calcluated p.2'!E38+'6.1 ADIT Calcluated p.3'!E38</f>
        <v>1152339</v>
      </c>
      <c r="F39" s="42">
        <f>+'6.1 ADIT Calcluated p.2'!F38+'6.1 ADIT Calcluated p.3'!F38</f>
        <v>1202380</v>
      </c>
      <c r="G39" s="42">
        <f>+'6.1 ADIT Calcluated p.2'!G38+'6.1 ADIT Calcluated p.3'!G38</f>
        <v>881971</v>
      </c>
      <c r="H39" s="42">
        <f>+'6.1 ADIT Calcluated p.2'!H38+'6.1 ADIT Calcluated p.3'!H38</f>
        <v>1052118</v>
      </c>
      <c r="I39" s="42">
        <v>0</v>
      </c>
      <c r="J39" s="42"/>
      <c r="K39" s="42"/>
      <c r="L39" s="42"/>
      <c r="M39" s="42"/>
      <c r="N39" s="42"/>
      <c r="O39" s="42"/>
      <c r="P39" s="42"/>
      <c r="Q39" s="42"/>
      <c r="R39" s="42"/>
      <c r="S39" s="42"/>
      <c r="T39" s="42"/>
      <c r="U39" s="42"/>
      <c r="V39" s="42"/>
      <c r="W39" s="42"/>
      <c r="X39" s="42"/>
      <c r="Y39" s="42"/>
      <c r="Z39" s="42"/>
      <c r="AA39" s="42"/>
      <c r="AB39" s="42"/>
      <c r="AC39" s="42"/>
      <c r="AD39" s="42"/>
      <c r="AE39" s="42"/>
      <c r="AF39" s="42">
        <f>'6.1 ADIT Calcluated p.2'!AF38+'6.1 ADIT Calcluated p.3'!AF38</f>
        <v>4889178</v>
      </c>
      <c r="AG39" s="42"/>
      <c r="AH39" s="42">
        <v>0</v>
      </c>
      <c r="AI39" s="42">
        <v>0</v>
      </c>
      <c r="AJ39" s="42">
        <v>0</v>
      </c>
      <c r="AK39" s="42">
        <v>0</v>
      </c>
    </row>
    <row r="40" spans="1:37" x14ac:dyDescent="0.35">
      <c r="A40" s="23">
        <f t="shared" si="2"/>
        <v>24</v>
      </c>
      <c r="B40" s="113"/>
      <c r="C40" s="23">
        <f t="shared" si="3"/>
        <v>22</v>
      </c>
      <c r="D40" s="42">
        <f>+'6.1 ADIT Calcluated p.2'!D39+'6.1 ADIT Calcluated p.3'!D39</f>
        <v>0</v>
      </c>
      <c r="E40" s="42">
        <f>+'6.1 ADIT Calcluated p.2'!E39+'6.1 ADIT Calcluated p.3'!E39</f>
        <v>576306</v>
      </c>
      <c r="F40" s="42">
        <f>+'6.1 ADIT Calcluated p.2'!F39+'6.1 ADIT Calcluated p.3'!F39</f>
        <v>1202111</v>
      </c>
      <c r="G40" s="42">
        <f>+'6.1 ADIT Calcluated p.2'!G39+'6.1 ADIT Calcluated p.3'!G39</f>
        <v>882168</v>
      </c>
      <c r="H40" s="42">
        <f>+'6.1 ADIT Calcluated p.2'!H39+'6.1 ADIT Calcluated p.3'!H39</f>
        <v>1051881</v>
      </c>
      <c r="I40" s="42">
        <v>0</v>
      </c>
      <c r="J40" s="42"/>
      <c r="K40" s="42"/>
      <c r="L40" s="42"/>
      <c r="M40" s="42"/>
      <c r="N40" s="42"/>
      <c r="O40" s="42"/>
      <c r="P40" s="42"/>
      <c r="Q40" s="42"/>
      <c r="R40" s="42"/>
      <c r="S40" s="42"/>
      <c r="T40" s="42"/>
      <c r="U40" s="42"/>
      <c r="V40" s="42"/>
      <c r="W40" s="42"/>
      <c r="X40" s="42"/>
      <c r="Y40" s="42"/>
      <c r="Z40" s="42"/>
      <c r="AA40" s="42"/>
      <c r="AB40" s="42"/>
      <c r="AC40" s="42"/>
      <c r="AD40" s="42"/>
      <c r="AE40" s="42"/>
      <c r="AF40" s="42">
        <f>'6.1 ADIT Calcluated p.2'!AF39+'6.1 ADIT Calcluated p.3'!AF39</f>
        <v>3712466</v>
      </c>
      <c r="AH40" s="42">
        <v>0</v>
      </c>
      <c r="AI40" s="42">
        <v>0</v>
      </c>
      <c r="AJ40" s="42">
        <v>0</v>
      </c>
      <c r="AK40" s="42">
        <v>0</v>
      </c>
    </row>
    <row r="41" spans="1:37" x14ac:dyDescent="0.35">
      <c r="A41" s="23">
        <f t="shared" si="2"/>
        <v>25</v>
      </c>
      <c r="B41" s="113"/>
      <c r="C41" s="23">
        <f t="shared" si="3"/>
        <v>23</v>
      </c>
      <c r="D41" s="42">
        <f>+'6.1 ADIT Calcluated p.2'!D40+'6.1 ADIT Calcluated p.3'!D40</f>
        <v>0</v>
      </c>
      <c r="E41" s="42">
        <f>+'6.1 ADIT Calcluated p.2'!E40+'6.1 ADIT Calcluated p.3'!E40</f>
        <v>0</v>
      </c>
      <c r="F41" s="42">
        <f>+'6.1 ADIT Calcluated p.2'!F40+'6.1 ADIT Calcluated p.3'!F40</f>
        <v>601190</v>
      </c>
      <c r="G41" s="42">
        <f>+'6.1 ADIT Calcluated p.2'!G40+'6.1 ADIT Calcluated p.3'!G40</f>
        <v>881971</v>
      </c>
      <c r="H41" s="42">
        <f>+'6.1 ADIT Calcluated p.2'!H40+'6.1 ADIT Calcluated p.3'!H40</f>
        <v>1052118</v>
      </c>
      <c r="I41" s="42">
        <v>0</v>
      </c>
      <c r="J41" s="42"/>
      <c r="K41" s="42"/>
      <c r="L41" s="42"/>
      <c r="M41" s="42"/>
      <c r="N41" s="42"/>
      <c r="O41" s="42"/>
      <c r="P41" s="42"/>
      <c r="Q41" s="42"/>
      <c r="R41" s="42"/>
      <c r="S41" s="42"/>
      <c r="T41" s="42"/>
      <c r="U41" s="42"/>
      <c r="V41" s="42"/>
      <c r="W41" s="42"/>
      <c r="X41" s="42"/>
      <c r="Y41" s="42"/>
      <c r="Z41" s="42"/>
      <c r="AA41" s="42"/>
      <c r="AB41" s="42"/>
      <c r="AC41" s="42"/>
      <c r="AD41" s="42"/>
      <c r="AE41" s="42"/>
      <c r="AF41" s="42">
        <f>'6.1 ADIT Calcluated p.2'!AF40+'6.1 ADIT Calcluated p.3'!AF40</f>
        <v>2535279</v>
      </c>
      <c r="AH41" s="42">
        <v>0</v>
      </c>
      <c r="AI41" s="42">
        <v>0</v>
      </c>
      <c r="AJ41" s="42">
        <v>0</v>
      </c>
      <c r="AK41" s="42">
        <v>0</v>
      </c>
    </row>
    <row r="42" spans="1:37" x14ac:dyDescent="0.35">
      <c r="A42" s="23">
        <f t="shared" si="2"/>
        <v>26</v>
      </c>
      <c r="B42" s="113"/>
      <c r="C42" s="23">
        <f t="shared" si="3"/>
        <v>24</v>
      </c>
      <c r="D42" s="42">
        <f>+'6.1 ADIT Calcluated p.2'!D41+'6.1 ADIT Calcluated p.3'!D41</f>
        <v>0</v>
      </c>
      <c r="E42" s="42">
        <f>+'6.1 ADIT Calcluated p.2'!E41+'6.1 ADIT Calcluated p.3'!E41</f>
        <v>0</v>
      </c>
      <c r="F42" s="42">
        <f>+'6.1 ADIT Calcluated p.2'!F41+'6.1 ADIT Calcluated p.3'!F41</f>
        <v>0</v>
      </c>
      <c r="G42" s="42">
        <f>+'6.1 ADIT Calcluated p.2'!G41+'6.1 ADIT Calcluated p.3'!G41</f>
        <v>441084</v>
      </c>
      <c r="H42" s="42">
        <f>+'6.1 ADIT Calcluated p.2'!H41+'6.1 ADIT Calcluated p.3'!H41</f>
        <v>1051881</v>
      </c>
      <c r="I42" s="42">
        <v>0</v>
      </c>
      <c r="J42" s="42"/>
      <c r="K42" s="42"/>
      <c r="L42" s="42"/>
      <c r="M42" s="42"/>
      <c r="N42" s="42"/>
      <c r="O42" s="42"/>
      <c r="P42" s="42"/>
      <c r="Q42" s="42"/>
      <c r="R42" s="42"/>
      <c r="S42" s="42"/>
      <c r="T42" s="42"/>
      <c r="U42" s="42"/>
      <c r="V42" s="42"/>
      <c r="W42" s="42"/>
      <c r="X42" s="42"/>
      <c r="Y42" s="42"/>
      <c r="Z42" s="42"/>
      <c r="AA42" s="42"/>
      <c r="AB42" s="42"/>
      <c r="AC42" s="42"/>
      <c r="AD42" s="42"/>
      <c r="AE42" s="42"/>
      <c r="AF42" s="42">
        <f>'6.1 ADIT Calcluated p.2'!AF41+'6.1 ADIT Calcluated p.3'!AF41</f>
        <v>1492965</v>
      </c>
      <c r="AH42" s="42">
        <v>0</v>
      </c>
      <c r="AI42" s="42">
        <v>0</v>
      </c>
      <c r="AJ42" s="42">
        <v>0</v>
      </c>
      <c r="AK42" s="42">
        <v>0</v>
      </c>
    </row>
    <row r="43" spans="1:37" x14ac:dyDescent="0.35">
      <c r="A43" s="23">
        <f t="shared" si="2"/>
        <v>27</v>
      </c>
      <c r="B43" s="113"/>
      <c r="C43" s="23"/>
      <c r="D43" s="42">
        <f>+'6.1 ADIT Calcluated p.2'!D42+'6.1 ADIT Calcluated p.3'!D42</f>
        <v>0</v>
      </c>
      <c r="E43" s="42">
        <f>+'6.1 ADIT Calcluated p.2'!E42+'6.1 ADIT Calcluated p.3'!E42</f>
        <v>0</v>
      </c>
      <c r="F43" s="42">
        <f>+'6.1 ADIT Calcluated p.2'!F42+'6.1 ADIT Calcluated p.3'!F42</f>
        <v>0</v>
      </c>
      <c r="G43" s="42">
        <f>+'6.1 ADIT Calcluated p.2'!G42+'6.1 ADIT Calcluated p.3'!G42</f>
        <v>0</v>
      </c>
      <c r="H43" s="42">
        <f>+'6.1 ADIT Calcluated p.2'!H42+'6.1 ADIT Calcluated p.3'!H42</f>
        <v>526059</v>
      </c>
      <c r="I43" s="42">
        <v>0</v>
      </c>
      <c r="J43" s="42"/>
      <c r="K43" s="42"/>
      <c r="L43" s="42"/>
      <c r="M43" s="42"/>
      <c r="N43" s="42"/>
      <c r="O43" s="42"/>
      <c r="P43" s="42"/>
      <c r="Q43" s="42"/>
      <c r="R43" s="42"/>
      <c r="S43" s="42"/>
      <c r="T43" s="42"/>
      <c r="U43" s="42"/>
      <c r="V43" s="42"/>
      <c r="W43" s="42"/>
      <c r="X43" s="42"/>
      <c r="Y43" s="42"/>
      <c r="Z43" s="42"/>
      <c r="AA43" s="42"/>
      <c r="AB43" s="42"/>
      <c r="AC43" s="42"/>
      <c r="AD43" s="42"/>
      <c r="AE43" s="42"/>
      <c r="AF43" s="42">
        <f>'6.1 ADIT Calcluated p.2'!AF42+'6.1 ADIT Calcluated p.3'!AF42</f>
        <v>526059</v>
      </c>
      <c r="AH43" s="42"/>
      <c r="AI43" s="42"/>
      <c r="AJ43" s="42"/>
      <c r="AK43" s="42"/>
    </row>
    <row r="44" spans="1:37" x14ac:dyDescent="0.35">
      <c r="A44" s="23">
        <f t="shared" si="2"/>
        <v>28</v>
      </c>
      <c r="D44" s="43">
        <f>SUM(D19:D43)</f>
        <v>43947674</v>
      </c>
      <c r="E44" s="43">
        <f t="shared" ref="E44:H44" si="4">SUM(E19:E43)</f>
        <v>41842738</v>
      </c>
      <c r="F44" s="43">
        <f t="shared" si="4"/>
        <v>43536556</v>
      </c>
      <c r="G44" s="43">
        <f t="shared" si="4"/>
        <v>52971278</v>
      </c>
      <c r="H44" s="43">
        <f t="shared" si="4"/>
        <v>63696571</v>
      </c>
      <c r="I44" s="43">
        <f>SUM(I19:I43)</f>
        <v>0</v>
      </c>
      <c r="J44" s="43">
        <f t="shared" ref="J44:AF44" si="5">SUM(J19:J43)</f>
        <v>0</v>
      </c>
      <c r="K44" s="43">
        <f t="shared" si="5"/>
        <v>0</v>
      </c>
      <c r="L44" s="43">
        <f t="shared" si="5"/>
        <v>0</v>
      </c>
      <c r="M44" s="43">
        <f t="shared" si="5"/>
        <v>0</v>
      </c>
      <c r="N44" s="43">
        <f t="shared" si="5"/>
        <v>0</v>
      </c>
      <c r="O44" s="43">
        <f t="shared" si="5"/>
        <v>0</v>
      </c>
      <c r="P44" s="43">
        <f t="shared" si="5"/>
        <v>0</v>
      </c>
      <c r="Q44" s="43">
        <f t="shared" si="5"/>
        <v>0</v>
      </c>
      <c r="R44" s="43">
        <f t="shared" si="5"/>
        <v>0</v>
      </c>
      <c r="S44" s="43">
        <f t="shared" si="5"/>
        <v>0</v>
      </c>
      <c r="T44" s="43">
        <f t="shared" si="5"/>
        <v>0</v>
      </c>
      <c r="U44" s="43">
        <f t="shared" si="5"/>
        <v>0</v>
      </c>
      <c r="V44" s="43">
        <f t="shared" si="5"/>
        <v>0</v>
      </c>
      <c r="W44" s="43">
        <f t="shared" si="5"/>
        <v>0</v>
      </c>
      <c r="X44" s="43">
        <f t="shared" si="5"/>
        <v>0</v>
      </c>
      <c r="Y44" s="43">
        <f t="shared" si="5"/>
        <v>0</v>
      </c>
      <c r="Z44" s="43">
        <f t="shared" si="5"/>
        <v>0</v>
      </c>
      <c r="AA44" s="43">
        <f t="shared" si="5"/>
        <v>0</v>
      </c>
      <c r="AB44" s="43">
        <f t="shared" si="5"/>
        <v>0</v>
      </c>
      <c r="AC44" s="43">
        <f t="shared" si="5"/>
        <v>0</v>
      </c>
      <c r="AD44" s="43">
        <f t="shared" si="5"/>
        <v>0</v>
      </c>
      <c r="AE44" s="43">
        <f t="shared" si="5"/>
        <v>0</v>
      </c>
      <c r="AF44" s="43">
        <f t="shared" si="5"/>
        <v>245994817</v>
      </c>
      <c r="AG44" s="43">
        <f>SUM(AG19:AG42)</f>
        <v>7997294.3293880001</v>
      </c>
      <c r="AH44" s="43">
        <f>SUM(AH19:AH42)</f>
        <v>12710110.582</v>
      </c>
      <c r="AI44" s="42"/>
      <c r="AJ44" s="42"/>
      <c r="AK44" s="42"/>
    </row>
    <row r="45" spans="1:37" x14ac:dyDescent="0.35">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2"/>
      <c r="AG45" s="43"/>
      <c r="AH45" s="42"/>
      <c r="AI45" s="42"/>
      <c r="AJ45" s="42"/>
      <c r="AK45" s="42"/>
    </row>
    <row r="46" spans="1:37" x14ac:dyDescent="0.35">
      <c r="A46" s="24" t="s">
        <v>71</v>
      </c>
      <c r="F46" s="43"/>
      <c r="AF46" s="43"/>
      <c r="AG46" s="43"/>
      <c r="AH46" s="42"/>
      <c r="AI46" s="42"/>
      <c r="AJ46" s="114"/>
      <c r="AK46" s="114"/>
    </row>
    <row r="47" spans="1:37" x14ac:dyDescent="0.35">
      <c r="A47" s="24" t="s">
        <v>267</v>
      </c>
      <c r="AH47" s="43"/>
      <c r="AI47" s="42"/>
      <c r="AJ47" s="42"/>
      <c r="AK47" s="42"/>
    </row>
    <row r="48" spans="1:37" x14ac:dyDescent="0.35">
      <c r="D48" s="115"/>
      <c r="E48" s="115"/>
      <c r="F48" s="115"/>
    </row>
    <row r="49" spans="4:33" x14ac:dyDescent="0.35">
      <c r="D49" s="115"/>
      <c r="E49" s="115"/>
      <c r="F49" s="115"/>
    </row>
    <row r="54" spans="4:33" x14ac:dyDescent="0.35">
      <c r="AF54" s="43"/>
    </row>
    <row r="55" spans="4:33" x14ac:dyDescent="0.35">
      <c r="AF55" s="43"/>
    </row>
    <row r="56" spans="4:33" x14ac:dyDescent="0.35">
      <c r="AF56" s="43"/>
    </row>
    <row r="57" spans="4:33" x14ac:dyDescent="0.35">
      <c r="AF57" s="43"/>
    </row>
    <row r="58" spans="4:33" x14ac:dyDescent="0.35">
      <c r="G58" s="42"/>
      <c r="AF58" s="43"/>
    </row>
    <row r="59" spans="4:33" x14ac:dyDescent="0.35">
      <c r="G59" s="42"/>
      <c r="H59" s="42"/>
      <c r="AF59" s="43"/>
    </row>
    <row r="60" spans="4:33" x14ac:dyDescent="0.35">
      <c r="G60" s="42"/>
      <c r="H60" s="42"/>
      <c r="I60" s="42"/>
      <c r="AF60" s="43"/>
    </row>
    <row r="61" spans="4:33" x14ac:dyDescent="0.35">
      <c r="G61" s="42"/>
      <c r="H61" s="42"/>
      <c r="I61" s="42"/>
      <c r="J61" s="42"/>
      <c r="AF61" s="43"/>
    </row>
    <row r="62" spans="4:33" x14ac:dyDescent="0.35">
      <c r="G62" s="42"/>
      <c r="H62" s="42"/>
      <c r="I62" s="42"/>
      <c r="J62" s="42"/>
      <c r="K62" s="42"/>
      <c r="AF62" s="43"/>
    </row>
    <row r="63" spans="4:33" x14ac:dyDescent="0.35">
      <c r="G63" s="42"/>
      <c r="H63" s="42"/>
      <c r="I63" s="42"/>
      <c r="J63" s="42"/>
      <c r="K63" s="42"/>
      <c r="L63" s="42"/>
      <c r="M63" s="42"/>
      <c r="N63" s="42"/>
      <c r="O63" s="42"/>
      <c r="P63" s="42"/>
      <c r="Q63" s="42"/>
      <c r="R63" s="42"/>
      <c r="S63" s="42"/>
      <c r="T63" s="42"/>
      <c r="U63" s="42"/>
      <c r="V63" s="42"/>
      <c r="W63" s="42"/>
      <c r="X63" s="42"/>
      <c r="Y63" s="42"/>
      <c r="Z63" s="42"/>
      <c r="AA63" s="42"/>
      <c r="AB63" s="42"/>
      <c r="AC63" s="42"/>
      <c r="AD63" s="42"/>
      <c r="AE63" s="42"/>
      <c r="AF63" s="43"/>
    </row>
    <row r="64" spans="4:33" x14ac:dyDescent="0.35">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3"/>
      <c r="AG64" s="43"/>
    </row>
    <row r="65" spans="7:33" x14ac:dyDescent="0.35">
      <c r="G65" s="42"/>
      <c r="H65" s="42"/>
      <c r="I65" s="42"/>
      <c r="J65" s="42"/>
      <c r="K65" s="42"/>
      <c r="L65" s="42"/>
      <c r="M65" s="42"/>
      <c r="N65" s="42"/>
      <c r="O65" s="42"/>
      <c r="P65" s="42"/>
      <c r="Q65" s="42"/>
      <c r="R65" s="42"/>
      <c r="S65" s="42"/>
      <c r="T65" s="42"/>
      <c r="U65" s="42"/>
      <c r="V65" s="42"/>
      <c r="W65" s="42"/>
      <c r="X65" s="42"/>
      <c r="Y65" s="42"/>
      <c r="Z65" s="42"/>
      <c r="AA65" s="42"/>
      <c r="AB65" s="42"/>
      <c r="AC65" s="42"/>
      <c r="AD65" s="42"/>
      <c r="AE65" s="42"/>
      <c r="AF65" s="43"/>
      <c r="AG65" s="43"/>
    </row>
    <row r="66" spans="7:33" x14ac:dyDescent="0.35">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3"/>
      <c r="AG66" s="43"/>
    </row>
    <row r="67" spans="7:33" x14ac:dyDescent="0.35">
      <c r="G67" s="42"/>
      <c r="H67" s="42"/>
      <c r="I67" s="42"/>
      <c r="J67" s="42"/>
      <c r="K67" s="42"/>
      <c r="L67" s="42"/>
      <c r="M67" s="42"/>
      <c r="N67" s="42"/>
      <c r="O67" s="42"/>
      <c r="P67" s="42"/>
      <c r="Q67" s="42"/>
      <c r="R67" s="42"/>
      <c r="S67" s="42"/>
      <c r="T67" s="42"/>
      <c r="U67" s="42"/>
      <c r="V67" s="42"/>
      <c r="W67" s="42"/>
      <c r="X67" s="42"/>
      <c r="Y67" s="42"/>
      <c r="Z67" s="42"/>
      <c r="AA67" s="42"/>
      <c r="AB67" s="42"/>
      <c r="AC67" s="42"/>
      <c r="AD67" s="42"/>
      <c r="AE67" s="42"/>
    </row>
    <row r="68" spans="7:33" x14ac:dyDescent="0.35">
      <c r="H68" s="42"/>
      <c r="I68" s="42"/>
      <c r="J68" s="42"/>
      <c r="K68" s="42"/>
      <c r="L68" s="42"/>
      <c r="M68" s="42"/>
      <c r="N68" s="42"/>
      <c r="O68" s="42"/>
      <c r="P68" s="42"/>
      <c r="Q68" s="42"/>
      <c r="R68" s="42"/>
      <c r="S68" s="42"/>
      <c r="T68" s="42"/>
      <c r="U68" s="42"/>
      <c r="V68" s="42"/>
      <c r="W68" s="42"/>
      <c r="X68" s="42"/>
      <c r="Y68" s="42"/>
      <c r="Z68" s="42"/>
      <c r="AA68" s="42"/>
      <c r="AB68" s="42"/>
      <c r="AC68" s="42"/>
      <c r="AD68" s="42"/>
      <c r="AE68" s="42"/>
    </row>
    <row r="69" spans="7:33" x14ac:dyDescent="0.35">
      <c r="I69" s="42"/>
      <c r="J69" s="42"/>
      <c r="K69" s="42"/>
      <c r="L69" s="42"/>
      <c r="M69" s="42"/>
      <c r="N69" s="42"/>
      <c r="O69" s="42"/>
      <c r="P69" s="42"/>
      <c r="Q69" s="42"/>
      <c r="R69" s="42"/>
      <c r="S69" s="42"/>
      <c r="T69" s="42"/>
      <c r="U69" s="42"/>
      <c r="V69" s="42"/>
      <c r="W69" s="42"/>
      <c r="X69" s="42"/>
      <c r="Y69" s="42"/>
      <c r="Z69" s="42"/>
      <c r="AA69" s="42"/>
      <c r="AB69" s="42"/>
      <c r="AC69" s="42"/>
      <c r="AD69" s="42"/>
      <c r="AE69" s="42"/>
    </row>
    <row r="70" spans="7:33" x14ac:dyDescent="0.35">
      <c r="J70" s="42"/>
      <c r="K70" s="42"/>
      <c r="L70" s="42"/>
      <c r="M70" s="42"/>
      <c r="N70" s="42"/>
      <c r="O70" s="42"/>
      <c r="P70" s="42"/>
      <c r="Q70" s="42"/>
      <c r="R70" s="42"/>
      <c r="S70" s="42"/>
      <c r="T70" s="42"/>
      <c r="U70" s="42"/>
      <c r="V70" s="42"/>
      <c r="W70" s="42"/>
      <c r="X70" s="42"/>
      <c r="Y70" s="42"/>
      <c r="Z70" s="42"/>
      <c r="AA70" s="42"/>
      <c r="AB70" s="42"/>
      <c r="AC70" s="42"/>
      <c r="AD70" s="42"/>
      <c r="AE70" s="42"/>
    </row>
    <row r="71" spans="7:33" x14ac:dyDescent="0.35">
      <c r="K71" s="42"/>
      <c r="L71" s="42"/>
      <c r="M71" s="42"/>
      <c r="N71" s="42"/>
      <c r="O71" s="42"/>
      <c r="P71" s="42"/>
      <c r="Q71" s="42"/>
      <c r="R71" s="42"/>
      <c r="S71" s="42"/>
      <c r="T71" s="42"/>
      <c r="U71" s="42"/>
      <c r="V71" s="42"/>
      <c r="W71" s="42"/>
      <c r="X71" s="42"/>
      <c r="Y71" s="42"/>
      <c r="Z71" s="42"/>
      <c r="AA71" s="42"/>
      <c r="AB71" s="42"/>
      <c r="AC71" s="42"/>
      <c r="AD71" s="42"/>
      <c r="AE71" s="42"/>
    </row>
    <row r="72" spans="7:33" x14ac:dyDescent="0.35">
      <c r="L72" s="42"/>
      <c r="M72" s="42"/>
      <c r="N72" s="42"/>
      <c r="O72" s="42"/>
      <c r="P72" s="42"/>
      <c r="Q72" s="42"/>
      <c r="R72" s="42"/>
      <c r="S72" s="42"/>
      <c r="T72" s="42"/>
      <c r="U72" s="42"/>
      <c r="V72" s="42"/>
      <c r="W72" s="42"/>
      <c r="X72" s="42"/>
      <c r="Y72" s="42"/>
      <c r="Z72" s="42"/>
      <c r="AA72" s="42"/>
      <c r="AB72" s="42"/>
      <c r="AC72" s="42"/>
      <c r="AD72" s="42"/>
      <c r="AE72" s="42"/>
    </row>
  </sheetData>
  <mergeCells count="4">
    <mergeCell ref="A4:AK4"/>
    <mergeCell ref="A6:AK6"/>
    <mergeCell ref="D16:AG16"/>
    <mergeCell ref="A5:AK5"/>
  </mergeCells>
  <phoneticPr fontId="0" type="noConversion"/>
  <printOptions horizontalCentered="1"/>
  <pageMargins left="0.25" right="0.25" top="0.75" bottom="0.75" header="0.3" footer="0.3"/>
  <pageSetup scale="57"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AC306-A21E-4E4B-8304-0A2F55650FB6}">
  <sheetPr codeName="Sheet7">
    <pageSetUpPr fitToPage="1"/>
  </sheetPr>
  <dimension ref="A1:AK105"/>
  <sheetViews>
    <sheetView zoomScale="90" zoomScaleNormal="90" zoomScaleSheetLayoutView="100" workbookViewId="0">
      <selection activeCell="H22" sqref="H22"/>
    </sheetView>
  </sheetViews>
  <sheetFormatPr defaultColWidth="9.1796875" defaultRowHeight="15.5" x14ac:dyDescent="0.35"/>
  <cols>
    <col min="1" max="1" width="4.81640625" style="23" customWidth="1"/>
    <col min="2" max="2" width="27.26953125" style="8" bestFit="1" customWidth="1"/>
    <col min="3" max="3" width="6.26953125" style="8" bestFit="1" customWidth="1"/>
    <col min="4" max="5" width="14.7265625" style="8" bestFit="1" customWidth="1"/>
    <col min="6" max="8" width="14.54296875" style="8" bestFit="1" customWidth="1"/>
    <col min="9" max="9" width="11.1796875" style="8" customWidth="1"/>
    <col min="10" max="10" width="11" style="8" hidden="1" customWidth="1"/>
    <col min="11" max="11" width="11.1796875" style="8" hidden="1" customWidth="1"/>
    <col min="12" max="31" width="12.81640625" style="8" hidden="1" customWidth="1"/>
    <col min="32" max="32" width="15.81640625" style="8" bestFit="1" customWidth="1"/>
    <col min="33" max="34" width="14.54296875" style="8" bestFit="1" customWidth="1"/>
    <col min="35" max="35" width="14.7265625" style="8" bestFit="1" customWidth="1"/>
    <col min="36" max="36" width="13.26953125" style="8" bestFit="1" customWidth="1"/>
    <col min="37" max="37" width="14.81640625" style="8" customWidth="1"/>
    <col min="38" max="16384" width="9.1796875" style="8"/>
  </cols>
  <sheetData>
    <row r="1" spans="1:37" x14ac:dyDescent="0.35">
      <c r="B1" s="11"/>
      <c r="S1" s="9"/>
      <c r="AK1" s="9" t="str">
        <f>'Table of Contents'!F1</f>
        <v>Case No. 2026-00306</v>
      </c>
    </row>
    <row r="2" spans="1:37" x14ac:dyDescent="0.35">
      <c r="B2" s="11"/>
      <c r="S2" s="9"/>
      <c r="AK2" s="9" t="s">
        <v>209</v>
      </c>
    </row>
    <row r="3" spans="1:37" x14ac:dyDescent="0.35">
      <c r="H3" s="9"/>
      <c r="R3" s="103"/>
      <c r="S3" s="103"/>
      <c r="AK3" s="9" t="s">
        <v>211</v>
      </c>
    </row>
    <row r="4" spans="1:37" x14ac:dyDescent="0.35">
      <c r="A4" s="144" t="s">
        <v>12</v>
      </c>
      <c r="B4" s="144"/>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4"/>
      <c r="AJ4" s="144"/>
      <c r="AK4" s="144"/>
    </row>
    <row r="5" spans="1:37" x14ac:dyDescent="0.35">
      <c r="A5" s="144" t="s">
        <v>76</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row>
    <row r="6" spans="1:37" ht="17.5" x14ac:dyDescent="0.35">
      <c r="A6" s="144" t="s">
        <v>271</v>
      </c>
      <c r="B6" s="144"/>
      <c r="C6" s="144"/>
      <c r="D6" s="144"/>
      <c r="E6" s="144"/>
      <c r="F6" s="144"/>
      <c r="G6" s="144"/>
      <c r="H6" s="144"/>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4"/>
      <c r="AK6" s="144"/>
    </row>
    <row r="7" spans="1:37" x14ac:dyDescent="0.35">
      <c r="B7" s="13"/>
    </row>
    <row r="8" spans="1:37" x14ac:dyDescent="0.35">
      <c r="I8" s="10"/>
      <c r="J8" s="10">
        <f t="shared" ref="J8:AE8" si="0">+I8+1</f>
        <v>1</v>
      </c>
      <c r="K8" s="10">
        <f t="shared" si="0"/>
        <v>2</v>
      </c>
      <c r="L8" s="10">
        <f t="shared" si="0"/>
        <v>3</v>
      </c>
      <c r="M8" s="10">
        <f t="shared" si="0"/>
        <v>4</v>
      </c>
      <c r="N8" s="10">
        <f t="shared" si="0"/>
        <v>5</v>
      </c>
      <c r="O8" s="10">
        <f t="shared" si="0"/>
        <v>6</v>
      </c>
      <c r="P8" s="10">
        <f t="shared" si="0"/>
        <v>7</v>
      </c>
      <c r="Q8" s="10">
        <f t="shared" si="0"/>
        <v>8</v>
      </c>
      <c r="R8" s="10">
        <f>+Q8+1</f>
        <v>9</v>
      </c>
      <c r="S8" s="10">
        <f t="shared" si="0"/>
        <v>10</v>
      </c>
      <c r="T8" s="10">
        <f t="shared" si="0"/>
        <v>11</v>
      </c>
      <c r="U8" s="10">
        <f t="shared" si="0"/>
        <v>12</v>
      </c>
      <c r="V8" s="10">
        <f t="shared" si="0"/>
        <v>13</v>
      </c>
      <c r="W8" s="10">
        <f t="shared" si="0"/>
        <v>14</v>
      </c>
      <c r="X8" s="10">
        <f t="shared" si="0"/>
        <v>15</v>
      </c>
      <c r="Y8" s="10">
        <f t="shared" si="0"/>
        <v>16</v>
      </c>
      <c r="Z8" s="10">
        <f t="shared" si="0"/>
        <v>17</v>
      </c>
      <c r="AA8" s="10">
        <f t="shared" si="0"/>
        <v>18</v>
      </c>
      <c r="AB8" s="10">
        <f t="shared" si="0"/>
        <v>19</v>
      </c>
      <c r="AC8" s="10">
        <f t="shared" si="0"/>
        <v>20</v>
      </c>
      <c r="AD8" s="10">
        <f t="shared" si="0"/>
        <v>21</v>
      </c>
      <c r="AE8" s="10">
        <f t="shared" si="0"/>
        <v>22</v>
      </c>
      <c r="AF8" s="10" t="s">
        <v>14</v>
      </c>
      <c r="AG8" s="10"/>
      <c r="AI8" s="10"/>
      <c r="AJ8" s="10" t="s">
        <v>47</v>
      </c>
      <c r="AK8" s="10" t="s">
        <v>16</v>
      </c>
    </row>
    <row r="9" spans="1:37" x14ac:dyDescent="0.35">
      <c r="A9" s="10" t="s">
        <v>1</v>
      </c>
      <c r="B9" s="10" t="s">
        <v>73</v>
      </c>
      <c r="D9" s="10">
        <v>2023</v>
      </c>
      <c r="E9" s="10">
        <v>2024</v>
      </c>
      <c r="F9" s="10">
        <v>2025</v>
      </c>
      <c r="G9" s="10">
        <v>2026</v>
      </c>
      <c r="H9" s="10">
        <v>2027</v>
      </c>
      <c r="I9" s="10">
        <v>2028</v>
      </c>
      <c r="J9" s="10" t="s">
        <v>17</v>
      </c>
      <c r="K9" s="10" t="s">
        <v>18</v>
      </c>
      <c r="L9" s="10" t="s">
        <v>26</v>
      </c>
      <c r="M9" s="10" t="s">
        <v>27</v>
      </c>
      <c r="N9" s="10" t="s">
        <v>28</v>
      </c>
      <c r="O9" s="10" t="s">
        <v>29</v>
      </c>
      <c r="P9" s="10" t="s">
        <v>30</v>
      </c>
      <c r="Q9" s="10" t="s">
        <v>31</v>
      </c>
      <c r="R9" s="10" t="s">
        <v>32</v>
      </c>
      <c r="S9" s="10" t="s">
        <v>33</v>
      </c>
      <c r="T9" s="10" t="s">
        <v>34</v>
      </c>
      <c r="U9" s="10" t="s">
        <v>35</v>
      </c>
      <c r="V9" s="10" t="s">
        <v>37</v>
      </c>
      <c r="W9" s="10" t="s">
        <v>38</v>
      </c>
      <c r="X9" s="10" t="s">
        <v>39</v>
      </c>
      <c r="Y9" s="10" t="s">
        <v>40</v>
      </c>
      <c r="Z9" s="10" t="s">
        <v>41</v>
      </c>
      <c r="AA9" s="10" t="s">
        <v>42</v>
      </c>
      <c r="AB9" s="10" t="s">
        <v>43</v>
      </c>
      <c r="AC9" s="10" t="s">
        <v>44</v>
      </c>
      <c r="AD9" s="10" t="s">
        <v>45</v>
      </c>
      <c r="AE9" s="10" t="s">
        <v>46</v>
      </c>
      <c r="AF9" s="10" t="s">
        <v>19</v>
      </c>
      <c r="AG9" s="10" t="s">
        <v>69</v>
      </c>
      <c r="AH9" s="10" t="s">
        <v>15</v>
      </c>
      <c r="AI9" s="10"/>
      <c r="AJ9" s="10" t="s">
        <v>20</v>
      </c>
      <c r="AK9" s="10" t="s">
        <v>21</v>
      </c>
    </row>
    <row r="10" spans="1:37" ht="20" x14ac:dyDescent="0.8">
      <c r="A10" s="13" t="s">
        <v>2</v>
      </c>
      <c r="B10" s="104" t="s">
        <v>72</v>
      </c>
      <c r="C10" s="13" t="s">
        <v>0</v>
      </c>
      <c r="D10" s="13" t="s">
        <v>22</v>
      </c>
      <c r="E10" s="13" t="s">
        <v>22</v>
      </c>
      <c r="F10" s="13" t="s">
        <v>22</v>
      </c>
      <c r="G10" s="13" t="s">
        <v>22</v>
      </c>
      <c r="H10" s="13" t="s">
        <v>22</v>
      </c>
      <c r="I10" s="13" t="s">
        <v>22</v>
      </c>
      <c r="J10" s="13" t="s">
        <v>22</v>
      </c>
      <c r="K10" s="13" t="s">
        <v>22</v>
      </c>
      <c r="L10" s="13" t="s">
        <v>22</v>
      </c>
      <c r="M10" s="13" t="s">
        <v>22</v>
      </c>
      <c r="N10" s="13" t="s">
        <v>22</v>
      </c>
      <c r="O10" s="13" t="s">
        <v>22</v>
      </c>
      <c r="P10" s="13" t="s">
        <v>22</v>
      </c>
      <c r="Q10" s="13" t="s">
        <v>22</v>
      </c>
      <c r="R10" s="13" t="s">
        <v>22</v>
      </c>
      <c r="S10" s="13" t="s">
        <v>22</v>
      </c>
      <c r="T10" s="13" t="s">
        <v>22</v>
      </c>
      <c r="U10" s="13" t="s">
        <v>22</v>
      </c>
      <c r="V10" s="13" t="s">
        <v>22</v>
      </c>
      <c r="W10" s="13" t="s">
        <v>22</v>
      </c>
      <c r="X10" s="13" t="s">
        <v>22</v>
      </c>
      <c r="Y10" s="13" t="s">
        <v>22</v>
      </c>
      <c r="Z10" s="13" t="s">
        <v>22</v>
      </c>
      <c r="AA10" s="13" t="s">
        <v>22</v>
      </c>
      <c r="AB10" s="13" t="s">
        <v>22</v>
      </c>
      <c r="AC10" s="13" t="s">
        <v>22</v>
      </c>
      <c r="AD10" s="13" t="s">
        <v>22</v>
      </c>
      <c r="AE10" s="13" t="s">
        <v>22</v>
      </c>
      <c r="AF10" s="13" t="s">
        <v>23</v>
      </c>
      <c r="AG10" s="13" t="s">
        <v>70</v>
      </c>
      <c r="AH10" s="13" t="s">
        <v>23</v>
      </c>
      <c r="AI10" s="13" t="s">
        <v>24</v>
      </c>
      <c r="AJ10" s="116" t="s">
        <v>100</v>
      </c>
      <c r="AK10" s="13" t="s">
        <v>25</v>
      </c>
    </row>
    <row r="11" spans="1:37" x14ac:dyDescent="0.35">
      <c r="A11" s="13"/>
      <c r="B11" s="106" t="s">
        <v>220</v>
      </c>
      <c r="C11" s="10" t="s">
        <v>221</v>
      </c>
      <c r="D11" s="106" t="s">
        <v>222</v>
      </c>
      <c r="E11" s="106" t="s">
        <v>223</v>
      </c>
      <c r="F11" s="106" t="s">
        <v>224</v>
      </c>
      <c r="G11" s="106" t="s">
        <v>225</v>
      </c>
      <c r="H11" s="106" t="s">
        <v>226</v>
      </c>
      <c r="I11" s="106" t="s">
        <v>227</v>
      </c>
      <c r="J11" s="106" t="e">
        <f t="shared" ref="J11:AE11" si="1">+I11-1</f>
        <v>#VALUE!</v>
      </c>
      <c r="K11" s="106" t="e">
        <f t="shared" si="1"/>
        <v>#VALUE!</v>
      </c>
      <c r="L11" s="106" t="e">
        <f t="shared" si="1"/>
        <v>#VALUE!</v>
      </c>
      <c r="M11" s="106" t="e">
        <f t="shared" si="1"/>
        <v>#VALUE!</v>
      </c>
      <c r="N11" s="106" t="e">
        <f t="shared" si="1"/>
        <v>#VALUE!</v>
      </c>
      <c r="O11" s="106" t="e">
        <f t="shared" si="1"/>
        <v>#VALUE!</v>
      </c>
      <c r="P11" s="106" t="e">
        <f t="shared" si="1"/>
        <v>#VALUE!</v>
      </c>
      <c r="Q11" s="106" t="e">
        <f t="shared" si="1"/>
        <v>#VALUE!</v>
      </c>
      <c r="R11" s="106" t="e">
        <f>+Q11-1</f>
        <v>#VALUE!</v>
      </c>
      <c r="S11" s="106" t="e">
        <f t="shared" si="1"/>
        <v>#VALUE!</v>
      </c>
      <c r="T11" s="106" t="e">
        <f t="shared" si="1"/>
        <v>#VALUE!</v>
      </c>
      <c r="U11" s="106" t="e">
        <f t="shared" si="1"/>
        <v>#VALUE!</v>
      </c>
      <c r="V11" s="106" t="e">
        <f t="shared" si="1"/>
        <v>#VALUE!</v>
      </c>
      <c r="W11" s="106" t="e">
        <f t="shared" si="1"/>
        <v>#VALUE!</v>
      </c>
      <c r="X11" s="106" t="e">
        <f t="shared" si="1"/>
        <v>#VALUE!</v>
      </c>
      <c r="Y11" s="106" t="e">
        <f t="shared" si="1"/>
        <v>#VALUE!</v>
      </c>
      <c r="Z11" s="106" t="e">
        <f t="shared" si="1"/>
        <v>#VALUE!</v>
      </c>
      <c r="AA11" s="106" t="e">
        <f t="shared" si="1"/>
        <v>#VALUE!</v>
      </c>
      <c r="AB11" s="106" t="e">
        <f t="shared" si="1"/>
        <v>#VALUE!</v>
      </c>
      <c r="AC11" s="106" t="e">
        <f t="shared" si="1"/>
        <v>#VALUE!</v>
      </c>
      <c r="AD11" s="106" t="e">
        <f t="shared" si="1"/>
        <v>#VALUE!</v>
      </c>
      <c r="AE11" s="106" t="e">
        <f t="shared" si="1"/>
        <v>#VALUE!</v>
      </c>
      <c r="AF11" s="106" t="s">
        <v>228</v>
      </c>
      <c r="AG11" s="106" t="s">
        <v>229</v>
      </c>
      <c r="AH11" s="106" t="s">
        <v>230</v>
      </c>
      <c r="AI11" s="106" t="s">
        <v>231</v>
      </c>
      <c r="AJ11" s="106" t="s">
        <v>232</v>
      </c>
      <c r="AK11" s="106" t="s">
        <v>233</v>
      </c>
    </row>
    <row r="12" spans="1:37" x14ac:dyDescent="0.35">
      <c r="A12" s="13"/>
      <c r="B12" s="78"/>
      <c r="C12" s="10"/>
      <c r="D12" s="107" t="s">
        <v>13</v>
      </c>
      <c r="E12" s="107" t="s">
        <v>13</v>
      </c>
      <c r="F12" s="107" t="s">
        <v>13</v>
      </c>
      <c r="G12" s="107" t="s">
        <v>13</v>
      </c>
      <c r="H12" s="107" t="s">
        <v>13</v>
      </c>
      <c r="I12" s="107" t="s">
        <v>13</v>
      </c>
      <c r="J12" s="107" t="s">
        <v>13</v>
      </c>
      <c r="K12" s="107" t="s">
        <v>13</v>
      </c>
      <c r="L12" s="107" t="s">
        <v>13</v>
      </c>
      <c r="M12" s="107" t="s">
        <v>13</v>
      </c>
      <c r="N12" s="107" t="s">
        <v>13</v>
      </c>
      <c r="O12" s="107" t="s">
        <v>13</v>
      </c>
      <c r="P12" s="107" t="s">
        <v>13</v>
      </c>
      <c r="Q12" s="107" t="s">
        <v>13</v>
      </c>
      <c r="R12" s="107" t="s">
        <v>13</v>
      </c>
      <c r="S12" s="107" t="s">
        <v>13</v>
      </c>
      <c r="T12" s="107" t="s">
        <v>13</v>
      </c>
      <c r="U12" s="107" t="s">
        <v>13</v>
      </c>
      <c r="V12" s="107" t="s">
        <v>13</v>
      </c>
      <c r="W12" s="107" t="s">
        <v>13</v>
      </c>
      <c r="X12" s="107" t="s">
        <v>13</v>
      </c>
      <c r="Y12" s="107" t="s">
        <v>13</v>
      </c>
      <c r="Z12" s="107" t="s">
        <v>13</v>
      </c>
      <c r="AA12" s="107" t="s">
        <v>13</v>
      </c>
      <c r="AB12" s="107" t="s">
        <v>13</v>
      </c>
      <c r="AC12" s="107" t="s">
        <v>13</v>
      </c>
      <c r="AD12" s="107" t="s">
        <v>13</v>
      </c>
      <c r="AE12" s="107" t="s">
        <v>13</v>
      </c>
      <c r="AF12" s="107" t="s">
        <v>13</v>
      </c>
      <c r="AG12" s="10" t="s">
        <v>13</v>
      </c>
      <c r="AH12" s="107" t="s">
        <v>13</v>
      </c>
      <c r="AI12" s="107" t="s">
        <v>13</v>
      </c>
      <c r="AJ12" s="107" t="s">
        <v>13</v>
      </c>
      <c r="AK12" s="107" t="s">
        <v>13</v>
      </c>
    </row>
    <row r="13" spans="1:37" x14ac:dyDescent="0.35">
      <c r="A13" s="13"/>
      <c r="B13" s="108"/>
      <c r="C13" s="109"/>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row>
    <row r="14" spans="1:37" ht="17" x14ac:dyDescent="0.5">
      <c r="A14" s="23">
        <v>1</v>
      </c>
      <c r="B14" s="8" t="s">
        <v>174</v>
      </c>
      <c r="C14" s="109"/>
      <c r="D14" s="136">
        <f>'5.0 Depr Expense'!Q13+'5.0 Depr Expense'!Q33</f>
        <v>43862082.25</v>
      </c>
      <c r="E14" s="136">
        <f>'5.0 Depr Expense'!Q97+'5.0 Depr Expense'!Q117</f>
        <v>41168967.460000001</v>
      </c>
      <c r="F14" s="136">
        <f>'5.0 Depr Expense'!Q170+'5.0 Depr Expense'!Q190</f>
        <v>42634346.490000002</v>
      </c>
      <c r="G14" s="136">
        <f>'5.0 Depr Expense'!Q251+'5.0 Depr Expense'!Q271</f>
        <v>52087819.578999996</v>
      </c>
      <c r="H14" s="136">
        <f>'5.0 Depr Expense'!Q332+'5.0 Depr Expense'!Q352</f>
        <v>62923350</v>
      </c>
      <c r="I14" s="111">
        <v>0</v>
      </c>
      <c r="J14" s="111" t="e">
        <f>#REF!+#REF!</f>
        <v>#REF!</v>
      </c>
      <c r="K14" s="111" t="e">
        <f>#REF!+#REF!</f>
        <v>#REF!</v>
      </c>
      <c r="L14" s="111" t="e">
        <f>#REF!+#REF!</f>
        <v>#REF!</v>
      </c>
      <c r="M14" s="111" t="e">
        <f>#REF!+#REF!</f>
        <v>#REF!</v>
      </c>
      <c r="N14" s="111" t="e">
        <f>#REF!+#REF!</f>
        <v>#REF!</v>
      </c>
      <c r="O14" s="111" t="e">
        <f>#REF!+#REF!</f>
        <v>#REF!</v>
      </c>
      <c r="P14" s="111" t="e">
        <f>#REF!+#REF!</f>
        <v>#REF!</v>
      </c>
      <c r="Q14" s="111" t="e">
        <f>#REF!+#REF!</f>
        <v>#REF!</v>
      </c>
      <c r="R14" s="111" t="e">
        <f>#REF!+#REF!</f>
        <v>#REF!</v>
      </c>
      <c r="S14" s="111" t="e">
        <f>#REF!+#REF!</f>
        <v>#REF!</v>
      </c>
      <c r="T14" s="111" t="e">
        <f>#REF!+#REF!</f>
        <v>#REF!</v>
      </c>
      <c r="U14" s="111" t="e">
        <f>#REF!+#REF!</f>
        <v>#REF!</v>
      </c>
      <c r="V14" s="111" t="e">
        <f>#REF!+#REF!</f>
        <v>#REF!</v>
      </c>
      <c r="W14" s="111" t="e">
        <f>#REF!+#REF!</f>
        <v>#REF!</v>
      </c>
      <c r="X14" s="111" t="e">
        <f>#REF!+#REF!</f>
        <v>#REF!</v>
      </c>
      <c r="Y14" s="111" t="e">
        <f>#REF!+#REF!</f>
        <v>#REF!</v>
      </c>
      <c r="Z14" s="111" t="e">
        <f>#REF!+#REF!</f>
        <v>#REF!</v>
      </c>
      <c r="AA14" s="111" t="e">
        <f>#REF!+#REF!</f>
        <v>#REF!</v>
      </c>
      <c r="AB14" s="111" t="e">
        <f>#REF!+#REF!</f>
        <v>#REF!</v>
      </c>
      <c r="AC14" s="111" t="e">
        <f>#REF!+#REF!</f>
        <v>#REF!</v>
      </c>
      <c r="AD14" s="111" t="e">
        <f>#REF!+#REF!</f>
        <v>#REF!</v>
      </c>
      <c r="AE14" s="111" t="e">
        <f>#REF!+#REF!</f>
        <v>#REF!</v>
      </c>
      <c r="AH14" s="43"/>
    </row>
    <row r="15" spans="1:37" ht="13.5" customHeight="1" x14ac:dyDescent="0.35">
      <c r="A15" s="13"/>
      <c r="B15" s="108"/>
      <c r="C15" s="109"/>
      <c r="D15" s="144"/>
      <c r="E15" s="144"/>
      <c r="F15" s="144"/>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row>
    <row r="16" spans="1:37" ht="13.5" customHeight="1" x14ac:dyDescent="0.35">
      <c r="A16" s="23">
        <f>A14+1</f>
        <v>2</v>
      </c>
      <c r="B16" s="110" t="s">
        <v>97</v>
      </c>
      <c r="C16" s="109"/>
      <c r="D16" s="112">
        <f t="shared" ref="D16:I16" si="2">D55+D54</f>
        <v>0.38835172000000001</v>
      </c>
      <c r="E16" s="112">
        <f t="shared" si="2"/>
        <v>0.38826111021115212</v>
      </c>
      <c r="F16" s="112">
        <f t="shared" si="2"/>
        <v>0.38826111021115212</v>
      </c>
      <c r="G16" s="112">
        <f t="shared" si="2"/>
        <v>0.63706181000000006</v>
      </c>
      <c r="H16" s="112">
        <f t="shared" si="2"/>
        <v>0.63706181000000006</v>
      </c>
      <c r="I16" s="112">
        <f t="shared" si="2"/>
        <v>0.63706181000000006</v>
      </c>
      <c r="J16" s="10"/>
      <c r="K16" s="10"/>
      <c r="L16" s="10"/>
      <c r="M16" s="10"/>
      <c r="N16" s="10"/>
      <c r="O16" s="10"/>
      <c r="P16" s="10"/>
      <c r="Q16" s="10"/>
      <c r="R16" s="10"/>
      <c r="S16" s="10"/>
      <c r="T16" s="10"/>
      <c r="U16" s="10"/>
      <c r="V16" s="10"/>
      <c r="W16" s="10"/>
      <c r="X16" s="10"/>
      <c r="Y16" s="10"/>
      <c r="Z16" s="10"/>
      <c r="AA16" s="10"/>
      <c r="AB16" s="10"/>
      <c r="AC16" s="10"/>
      <c r="AD16" s="10"/>
      <c r="AE16" s="10"/>
      <c r="AF16" s="10"/>
      <c r="AG16" s="10"/>
    </row>
    <row r="17" spans="1:37" ht="13.5" customHeight="1" x14ac:dyDescent="0.35">
      <c r="B17" s="110"/>
      <c r="C17" s="109"/>
      <c r="D17" s="112"/>
      <c r="E17" s="112"/>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row>
    <row r="18" spans="1:37" x14ac:dyDescent="0.35">
      <c r="A18" s="23">
        <f>A16+1</f>
        <v>3</v>
      </c>
      <c r="B18" s="113">
        <v>3.7500000000000089E-2</v>
      </c>
      <c r="C18" s="23">
        <v>1</v>
      </c>
      <c r="D18" s="42">
        <f>ROUND((D$14)*$D$16,0)+ROUND(($D$14-($D$14*$D$16))*B18,0)</f>
        <v>18039971</v>
      </c>
      <c r="E18" s="42"/>
      <c r="AF18" s="42">
        <f>SUM(D18:G18)</f>
        <v>18039971</v>
      </c>
      <c r="AG18" s="42">
        <f>SUM('4.0 Accumulated Depr'!D34:O34)+SUM('4.0 Accumulated Depr'!D36:O36)</f>
        <v>1997634.6495919998</v>
      </c>
      <c r="AH18" s="42">
        <f>'5.0 Depr Expense'!Q20+'5.0 Depr Expense'!Q40</f>
        <v>421651.05500000005</v>
      </c>
      <c r="AI18" s="43">
        <f>AF18+AG18-AH18</f>
        <v>19615954.594592001</v>
      </c>
      <c r="AJ18" s="42">
        <f>ROUND(0.2495*AI18,0)</f>
        <v>4894181</v>
      </c>
      <c r="AK18" s="42">
        <f>+AJ18</f>
        <v>4894181</v>
      </c>
    </row>
    <row r="19" spans="1:37" x14ac:dyDescent="0.35">
      <c r="A19" s="23">
        <f>A18+1</f>
        <v>4</v>
      </c>
      <c r="B19" s="113">
        <v>7.2190000000000004E-2</v>
      </c>
      <c r="C19" s="23">
        <f>+C18+1</f>
        <v>2</v>
      </c>
      <c r="D19" s="42">
        <f t="shared" ref="D19:D37" si="3">ROUND(($D$14-($D$14*$D$16))*B19,0)</f>
        <v>1936725</v>
      </c>
      <c r="E19" s="42">
        <f>ROUND((E$14)*E$16,0)+ROUND((E$14-(E$14*E$16))*$B18,0)</f>
        <v>16928734</v>
      </c>
      <c r="F19" s="42"/>
      <c r="AF19" s="42">
        <f>SUM(D19:G19)</f>
        <v>18865459</v>
      </c>
      <c r="AG19" s="42">
        <f>SUM('4.0 Accumulated Depr'!D115:O115)+SUM('4.0 Accumulated Depr'!D117:O117)</f>
        <v>1030769.3200000001</v>
      </c>
      <c r="AH19" s="42">
        <f>'5.0 Depr Expense'!Q104+'5.0 Depr Expense'!Q124</f>
        <v>1264703.8850000002</v>
      </c>
      <c r="AI19" s="43">
        <f>AF19+AG19-AH19</f>
        <v>18631524.434999999</v>
      </c>
      <c r="AJ19" s="42">
        <f>ROUND(0.2495*AI19,0)</f>
        <v>4648565</v>
      </c>
      <c r="AK19" s="42">
        <f>+AK18+AJ19</f>
        <v>9542746</v>
      </c>
    </row>
    <row r="20" spans="1:37" x14ac:dyDescent="0.35">
      <c r="A20" s="23">
        <f t="shared" ref="A20:A43" si="4">A19+1</f>
        <v>5</v>
      </c>
      <c r="B20" s="113">
        <v>6.6769999999999996E-2</v>
      </c>
      <c r="C20" s="23">
        <f t="shared" ref="C20:C41" si="5">+C19+1</f>
        <v>3</v>
      </c>
      <c r="D20" s="42">
        <f t="shared" si="3"/>
        <v>1791317</v>
      </c>
      <c r="E20" s="42">
        <f>ROUND((E$14-(E$14*E$16))*$B19,0)</f>
        <v>1818080</v>
      </c>
      <c r="F20" s="42">
        <f>ROUND((F$14)*F$16,0)+ROUND((F$14-(F$14*F$16))*$B18,0)</f>
        <v>17531300</v>
      </c>
      <c r="G20" s="42"/>
      <c r="AF20" s="42">
        <f>SUM(D20:G20)</f>
        <v>21140697</v>
      </c>
      <c r="AG20" s="42">
        <f>SUM('4.0 Accumulated Depr'!D196:O196)+SUM('4.0 Accumulated Depr'!D198:O198)</f>
        <v>1094391.3499999999</v>
      </c>
      <c r="AH20" s="42">
        <f>'5.0 Depr Expense'!Q177+'5.0 Depr Expense'!Q197</f>
        <v>2440812.2560000001</v>
      </c>
      <c r="AI20" s="43">
        <f>AF20+AG20-AH20</f>
        <v>19794276.094000001</v>
      </c>
      <c r="AJ20" s="42">
        <f>ROUND(0.2495*AI20,0)</f>
        <v>4938672</v>
      </c>
      <c r="AK20" s="42">
        <f>+AK19+AJ20</f>
        <v>14481418</v>
      </c>
    </row>
    <row r="21" spans="1:37" x14ac:dyDescent="0.35">
      <c r="A21" s="23">
        <f t="shared" si="4"/>
        <v>6</v>
      </c>
      <c r="B21" s="113">
        <v>6.1769999999999999E-2</v>
      </c>
      <c r="C21" s="23">
        <f t="shared" si="5"/>
        <v>4</v>
      </c>
      <c r="D21" s="42">
        <f t="shared" si="3"/>
        <v>1657176</v>
      </c>
      <c r="E21" s="42">
        <f t="shared" ref="E21:E38" si="6">ROUND(($E$14-($E$14*$E$16))*B20,0)</f>
        <v>1681580</v>
      </c>
      <c r="F21" s="42">
        <f>ROUND((F$14-(F$14*F$16))*$B19,0)</f>
        <v>1882794</v>
      </c>
      <c r="G21" s="42">
        <f>ROUND((G$14)*G$16,0)+ROUND((G$14-(G$14*G$16))*$B18,0)</f>
        <v>33892086</v>
      </c>
      <c r="H21" s="42"/>
      <c r="AF21" s="42">
        <f>SUM(D21:H21)</f>
        <v>39113636</v>
      </c>
      <c r="AG21" s="42">
        <f>SUM('4.0 Accumulated Depr'!D277:O277)+SUM('4.0 Accumulated Depr'!D279:O279)</f>
        <v>1514201.9847960002</v>
      </c>
      <c r="AH21" s="42">
        <f>'5.0 Depr Expense'!Q258+'5.0 Depr Expense'!Q278</f>
        <v>3549294.0350000001</v>
      </c>
      <c r="AI21" s="43">
        <f>AF21+AG21-AH21</f>
        <v>37078543.949796006</v>
      </c>
      <c r="AJ21" s="42">
        <f>ROUND(0.2495*AI21,0)</f>
        <v>9251097</v>
      </c>
      <c r="AK21" s="42">
        <f>+AK20+AJ21</f>
        <v>23732515</v>
      </c>
    </row>
    <row r="22" spans="1:37" x14ac:dyDescent="0.35">
      <c r="A22" s="23">
        <f t="shared" si="4"/>
        <v>7</v>
      </c>
      <c r="B22" s="113">
        <v>5.713E-2</v>
      </c>
      <c r="C22" s="23">
        <f t="shared" si="5"/>
        <v>5</v>
      </c>
      <c r="D22" s="42">
        <f t="shared" si="3"/>
        <v>1532693</v>
      </c>
      <c r="E22" s="42">
        <f t="shared" si="6"/>
        <v>1555656</v>
      </c>
      <c r="F22" s="42">
        <f t="shared" ref="F22:F39" si="7">ROUND((F$14-(F$14*F$16))*$B20,0)</f>
        <v>1741434</v>
      </c>
      <c r="G22" s="42">
        <f>ROUND((G$14-(G$14*G$16))*$B19,0)</f>
        <v>1364727</v>
      </c>
      <c r="H22" s="42">
        <f>ROUND((H$14)*H$16,0)+ROUND((H$14-(H$14*H$16))*$B18,0)</f>
        <v>40942461</v>
      </c>
      <c r="I22" s="42">
        <f>ROUND((I$14)*I$16,0)+ROUND((I$14-(I$14*I$16))*$B18,0)</f>
        <v>0</v>
      </c>
      <c r="AF22" s="42">
        <f>SUM(D22:I22)</f>
        <v>47136971</v>
      </c>
      <c r="AG22" s="42">
        <f>'4.0 Accumulated Depr'!P358-'4.0 Accumulated Depr'!C358+'4.0 Accumulated Depr'!P360-'4.0 Accumulated Depr'!C360</f>
        <v>2233313.0250000004</v>
      </c>
      <c r="AH22" s="42">
        <f>'5.0 Depr Expense'!Q339+'5.0 Depr Expense'!Q359</f>
        <v>4985588.2630000003</v>
      </c>
      <c r="AI22" s="43">
        <f>AF22+AG22-AH22</f>
        <v>44384695.761999995</v>
      </c>
      <c r="AJ22" s="42">
        <f>ROUND(0.2495*AI22,0)</f>
        <v>11073982</v>
      </c>
      <c r="AK22" s="42">
        <f>+AK21+AJ22</f>
        <v>34806497</v>
      </c>
    </row>
    <row r="23" spans="1:37" x14ac:dyDescent="0.35">
      <c r="A23" s="23">
        <f t="shared" si="4"/>
        <v>8</v>
      </c>
      <c r="B23" s="113">
        <v>5.2850000000000001E-2</v>
      </c>
      <c r="C23" s="23">
        <f t="shared" si="5"/>
        <v>6</v>
      </c>
      <c r="D23" s="42">
        <f t="shared" si="3"/>
        <v>1417869</v>
      </c>
      <c r="E23" s="42">
        <f t="shared" si="6"/>
        <v>1438800</v>
      </c>
      <c r="F23" s="42">
        <f t="shared" si="7"/>
        <v>1611029</v>
      </c>
      <c r="G23" s="42">
        <f>ROUND((G$14-(G$14*G$16))*$B20,0)</f>
        <v>1262264</v>
      </c>
      <c r="H23" s="42">
        <f>ROUND((H$14-(H$14*H$16))*$B19,0)</f>
        <v>1648624</v>
      </c>
      <c r="I23" s="42">
        <f>ROUND((I$14-(I$14*I$16))*$B19,0)</f>
        <v>0</v>
      </c>
      <c r="AF23" s="42">
        <f t="shared" ref="AF23:AF42" si="8">SUM(D23:I23)</f>
        <v>7378586</v>
      </c>
      <c r="AG23" s="42"/>
      <c r="AH23" s="42"/>
      <c r="AI23" s="43"/>
      <c r="AJ23" s="42"/>
      <c r="AK23" s="42"/>
    </row>
    <row r="24" spans="1:37" x14ac:dyDescent="0.35">
      <c r="A24" s="23">
        <f t="shared" si="4"/>
        <v>9</v>
      </c>
      <c r="B24" s="113">
        <v>4.888E-2</v>
      </c>
      <c r="C24" s="23">
        <f t="shared" si="5"/>
        <v>7</v>
      </c>
      <c r="D24" s="42">
        <f t="shared" si="3"/>
        <v>1311361</v>
      </c>
      <c r="E24" s="42">
        <f t="shared" si="6"/>
        <v>1331009</v>
      </c>
      <c r="F24" s="42">
        <f t="shared" si="7"/>
        <v>1490013</v>
      </c>
      <c r="G24" s="42">
        <f t="shared" ref="G24:G41" si="9">ROUND((G$14-(G$14*G$16))*$B21,0)</f>
        <v>1167741</v>
      </c>
      <c r="H24" s="42">
        <f t="shared" ref="H24:H42" si="10">ROUND((H$14-(H$14*H$16))*$B20,0)</f>
        <v>1524846</v>
      </c>
      <c r="I24" s="42">
        <f t="shared" ref="I24:I42" si="11">ROUND((I$14-(I$14*I$16))*$B20,0)</f>
        <v>0</v>
      </c>
      <c r="AF24" s="42">
        <f t="shared" si="8"/>
        <v>6824970</v>
      </c>
      <c r="AG24" s="42"/>
      <c r="AH24" s="42"/>
      <c r="AI24" s="43"/>
      <c r="AJ24" s="42"/>
      <c r="AK24" s="42"/>
    </row>
    <row r="25" spans="1:37" x14ac:dyDescent="0.35">
      <c r="A25" s="23">
        <f t="shared" si="4"/>
        <v>10</v>
      </c>
      <c r="B25" s="113">
        <v>4.5220000000000003E-2</v>
      </c>
      <c r="C25" s="23">
        <f t="shared" si="5"/>
        <v>8</v>
      </c>
      <c r="D25" s="42">
        <f t="shared" si="3"/>
        <v>1213170</v>
      </c>
      <c r="E25" s="42">
        <f t="shared" si="6"/>
        <v>1231026</v>
      </c>
      <c r="F25" s="42">
        <f t="shared" si="7"/>
        <v>1378385</v>
      </c>
      <c r="G25" s="42">
        <f t="shared" si="9"/>
        <v>1080023</v>
      </c>
      <c r="H25" s="42">
        <f t="shared" si="10"/>
        <v>1410659</v>
      </c>
      <c r="I25" s="42">
        <f t="shared" si="11"/>
        <v>0</v>
      </c>
      <c r="AF25" s="42">
        <f t="shared" si="8"/>
        <v>6313263</v>
      </c>
      <c r="AG25" s="42"/>
      <c r="AH25" s="42"/>
      <c r="AI25" s="43"/>
      <c r="AJ25" s="42"/>
      <c r="AK25" s="42"/>
    </row>
    <row r="26" spans="1:37" x14ac:dyDescent="0.35">
      <c r="A26" s="23">
        <f t="shared" si="4"/>
        <v>11</v>
      </c>
      <c r="B26" s="113">
        <v>4.462E-2</v>
      </c>
      <c r="C26" s="23">
        <f t="shared" si="5"/>
        <v>9</v>
      </c>
      <c r="D26" s="42">
        <f t="shared" si="3"/>
        <v>1197073</v>
      </c>
      <c r="E26" s="42">
        <f t="shared" si="6"/>
        <v>1138850</v>
      </c>
      <c r="F26" s="42">
        <f t="shared" si="7"/>
        <v>1274844</v>
      </c>
      <c r="G26" s="42">
        <f t="shared" si="9"/>
        <v>999111</v>
      </c>
      <c r="H26" s="42">
        <f t="shared" si="10"/>
        <v>1304694</v>
      </c>
      <c r="I26" s="42">
        <f t="shared" si="11"/>
        <v>0</v>
      </c>
      <c r="J26" s="42"/>
      <c r="AF26" s="42">
        <f t="shared" si="8"/>
        <v>5914572</v>
      </c>
      <c r="AG26" s="42"/>
      <c r="AH26" s="42"/>
      <c r="AI26" s="43"/>
      <c r="AJ26" s="42"/>
      <c r="AK26" s="42"/>
    </row>
    <row r="27" spans="1:37" x14ac:dyDescent="0.35">
      <c r="A27" s="23">
        <f t="shared" si="4"/>
        <v>12</v>
      </c>
      <c r="B27" s="113">
        <v>4.4609999999999997E-2</v>
      </c>
      <c r="C27" s="23">
        <f t="shared" si="5"/>
        <v>10</v>
      </c>
      <c r="D27" s="42">
        <f t="shared" si="3"/>
        <v>1196805</v>
      </c>
      <c r="E27" s="42">
        <f t="shared" si="6"/>
        <v>1123739</v>
      </c>
      <c r="F27" s="42">
        <f t="shared" si="7"/>
        <v>1179387</v>
      </c>
      <c r="G27" s="42">
        <f t="shared" si="9"/>
        <v>924060</v>
      </c>
      <c r="H27" s="42">
        <f t="shared" si="10"/>
        <v>1206951</v>
      </c>
      <c r="I27" s="42">
        <f t="shared" si="11"/>
        <v>0</v>
      </c>
      <c r="J27" s="42"/>
      <c r="K27" s="42"/>
      <c r="AF27" s="42">
        <f t="shared" si="8"/>
        <v>5630942</v>
      </c>
      <c r="AG27" s="42"/>
      <c r="AH27" s="42"/>
      <c r="AI27" s="43"/>
      <c r="AJ27" s="42"/>
      <c r="AK27" s="42"/>
    </row>
    <row r="28" spans="1:37" x14ac:dyDescent="0.35">
      <c r="A28" s="23">
        <f t="shared" si="4"/>
        <v>13</v>
      </c>
      <c r="B28" s="113">
        <v>4.462E-2</v>
      </c>
      <c r="C28" s="23">
        <f t="shared" si="5"/>
        <v>11</v>
      </c>
      <c r="D28" s="42">
        <f t="shared" si="3"/>
        <v>1197073</v>
      </c>
      <c r="E28" s="42">
        <f t="shared" si="6"/>
        <v>1123488</v>
      </c>
      <c r="F28" s="42">
        <f t="shared" si="7"/>
        <v>1163738</v>
      </c>
      <c r="G28" s="42">
        <f t="shared" si="9"/>
        <v>854869</v>
      </c>
      <c r="H28" s="42">
        <f t="shared" si="10"/>
        <v>1116287</v>
      </c>
      <c r="I28" s="42">
        <f t="shared" si="11"/>
        <v>0</v>
      </c>
      <c r="J28" s="42"/>
      <c r="K28" s="42"/>
      <c r="L28" s="42"/>
      <c r="N28" s="42"/>
      <c r="O28" s="42"/>
      <c r="P28" s="42"/>
      <c r="Q28" s="42"/>
      <c r="R28" s="42"/>
      <c r="S28" s="42"/>
      <c r="T28" s="42"/>
      <c r="U28" s="42"/>
      <c r="V28" s="42"/>
      <c r="W28" s="42"/>
      <c r="X28" s="42"/>
      <c r="Y28" s="42"/>
      <c r="Z28" s="42"/>
      <c r="AA28" s="42"/>
      <c r="AB28" s="42"/>
      <c r="AC28" s="42"/>
      <c r="AD28" s="42"/>
      <c r="AE28" s="42"/>
      <c r="AF28" s="42">
        <f t="shared" si="8"/>
        <v>5455455</v>
      </c>
      <c r="AG28" s="42"/>
      <c r="AH28" s="42"/>
      <c r="AI28" s="43"/>
      <c r="AJ28" s="42"/>
      <c r="AK28" s="42"/>
    </row>
    <row r="29" spans="1:37" x14ac:dyDescent="0.35">
      <c r="A29" s="23">
        <f t="shared" si="4"/>
        <v>14</v>
      </c>
      <c r="B29" s="113">
        <v>4.4609999999999997E-2</v>
      </c>
      <c r="C29" s="23">
        <f t="shared" si="5"/>
        <v>12</v>
      </c>
      <c r="D29" s="42">
        <f t="shared" si="3"/>
        <v>1196805</v>
      </c>
      <c r="E29" s="42">
        <f t="shared" si="6"/>
        <v>1123739</v>
      </c>
      <c r="F29" s="42">
        <f t="shared" si="7"/>
        <v>1163477</v>
      </c>
      <c r="G29" s="42">
        <f t="shared" si="9"/>
        <v>843526</v>
      </c>
      <c r="H29" s="42">
        <f t="shared" si="10"/>
        <v>1032702</v>
      </c>
      <c r="I29" s="42">
        <f t="shared" si="11"/>
        <v>0</v>
      </c>
      <c r="J29" s="42"/>
      <c r="K29" s="42"/>
      <c r="L29" s="42"/>
      <c r="M29" s="42"/>
      <c r="O29" s="42"/>
      <c r="P29" s="42"/>
      <c r="Q29" s="42"/>
      <c r="R29" s="42"/>
      <c r="S29" s="42"/>
      <c r="T29" s="42"/>
      <c r="U29" s="42"/>
      <c r="V29" s="42"/>
      <c r="W29" s="42"/>
      <c r="X29" s="42"/>
      <c r="Y29" s="42"/>
      <c r="Z29" s="42"/>
      <c r="AA29" s="42"/>
      <c r="AB29" s="42"/>
      <c r="AC29" s="42"/>
      <c r="AD29" s="42"/>
      <c r="AE29" s="42"/>
      <c r="AF29" s="42">
        <f t="shared" si="8"/>
        <v>5360249</v>
      </c>
      <c r="AG29" s="42"/>
      <c r="AH29" s="42"/>
      <c r="AI29" s="43"/>
      <c r="AJ29" s="42"/>
      <c r="AK29" s="42"/>
    </row>
    <row r="30" spans="1:37" x14ac:dyDescent="0.35">
      <c r="A30" s="23">
        <f t="shared" si="4"/>
        <v>15</v>
      </c>
      <c r="B30" s="113">
        <v>4.462E-2</v>
      </c>
      <c r="C30" s="23">
        <f t="shared" si="5"/>
        <v>13</v>
      </c>
      <c r="D30" s="42">
        <f t="shared" si="3"/>
        <v>1197073</v>
      </c>
      <c r="E30" s="42">
        <f t="shared" si="6"/>
        <v>1123488</v>
      </c>
      <c r="F30" s="42">
        <f t="shared" si="7"/>
        <v>1163738</v>
      </c>
      <c r="G30" s="42">
        <f t="shared" si="9"/>
        <v>843337</v>
      </c>
      <c r="H30" s="42">
        <f t="shared" si="10"/>
        <v>1019000</v>
      </c>
      <c r="I30" s="42">
        <f t="shared" si="11"/>
        <v>0</v>
      </c>
      <c r="J30" s="42"/>
      <c r="K30" s="42"/>
      <c r="L30" s="42"/>
      <c r="M30" s="42"/>
      <c r="N30" s="42"/>
      <c r="P30" s="42"/>
      <c r="Q30" s="42"/>
      <c r="R30" s="42"/>
      <c r="S30" s="42"/>
      <c r="T30" s="42"/>
      <c r="U30" s="42"/>
      <c r="V30" s="42"/>
      <c r="W30" s="42"/>
      <c r="X30" s="42"/>
      <c r="Y30" s="42"/>
      <c r="Z30" s="42"/>
      <c r="AA30" s="42"/>
      <c r="AB30" s="42"/>
      <c r="AC30" s="42"/>
      <c r="AD30" s="42"/>
      <c r="AE30" s="42"/>
      <c r="AF30" s="42">
        <f t="shared" si="8"/>
        <v>5346636</v>
      </c>
      <c r="AG30" s="42"/>
      <c r="AH30" s="42"/>
      <c r="AI30" s="43"/>
      <c r="AJ30" s="42"/>
      <c r="AK30" s="42"/>
    </row>
    <row r="31" spans="1:37" x14ac:dyDescent="0.35">
      <c r="A31" s="23">
        <f t="shared" si="4"/>
        <v>16</v>
      </c>
      <c r="B31" s="113">
        <v>4.4609999999999997E-2</v>
      </c>
      <c r="C31" s="23">
        <f t="shared" si="5"/>
        <v>14</v>
      </c>
      <c r="D31" s="42">
        <f t="shared" si="3"/>
        <v>1196805</v>
      </c>
      <c r="E31" s="42">
        <f t="shared" si="6"/>
        <v>1123739</v>
      </c>
      <c r="F31" s="42">
        <f t="shared" si="7"/>
        <v>1163477</v>
      </c>
      <c r="G31" s="42">
        <f t="shared" si="9"/>
        <v>843526</v>
      </c>
      <c r="H31" s="42">
        <f t="shared" si="10"/>
        <v>1018771</v>
      </c>
      <c r="I31" s="42">
        <f t="shared" si="11"/>
        <v>0</v>
      </c>
      <c r="J31" s="42"/>
      <c r="K31" s="42"/>
      <c r="L31" s="42"/>
      <c r="M31" s="42"/>
      <c r="N31" s="42"/>
      <c r="O31" s="42"/>
      <c r="Q31" s="42"/>
      <c r="R31" s="42"/>
      <c r="S31" s="42"/>
      <c r="T31" s="42"/>
      <c r="U31" s="42"/>
      <c r="V31" s="42"/>
      <c r="W31" s="42"/>
      <c r="X31" s="42"/>
      <c r="Y31" s="42"/>
      <c r="Z31" s="42"/>
      <c r="AA31" s="42"/>
      <c r="AB31" s="42"/>
      <c r="AC31" s="42"/>
      <c r="AD31" s="42"/>
      <c r="AE31" s="42"/>
      <c r="AF31" s="42">
        <f t="shared" si="8"/>
        <v>5346318</v>
      </c>
      <c r="AG31" s="42"/>
      <c r="AH31" s="42"/>
      <c r="AI31" s="43"/>
      <c r="AJ31" s="42"/>
      <c r="AK31" s="42"/>
    </row>
    <row r="32" spans="1:37" x14ac:dyDescent="0.35">
      <c r="A32" s="23">
        <f t="shared" si="4"/>
        <v>17</v>
      </c>
      <c r="B32" s="113">
        <v>4.462E-2</v>
      </c>
      <c r="C32" s="23">
        <f t="shared" si="5"/>
        <v>15</v>
      </c>
      <c r="D32" s="42">
        <f t="shared" si="3"/>
        <v>1197073</v>
      </c>
      <c r="E32" s="42">
        <f t="shared" si="6"/>
        <v>1123488</v>
      </c>
      <c r="F32" s="42">
        <f t="shared" si="7"/>
        <v>1163738</v>
      </c>
      <c r="G32" s="42">
        <f t="shared" si="9"/>
        <v>843337</v>
      </c>
      <c r="H32" s="42">
        <f t="shared" si="10"/>
        <v>1019000</v>
      </c>
      <c r="I32" s="42">
        <f t="shared" si="11"/>
        <v>0</v>
      </c>
      <c r="J32" s="42"/>
      <c r="K32" s="42"/>
      <c r="L32" s="42"/>
      <c r="M32" s="42"/>
      <c r="N32" s="42"/>
      <c r="O32" s="42"/>
      <c r="P32" s="42"/>
      <c r="AF32" s="42">
        <f t="shared" si="8"/>
        <v>5346636</v>
      </c>
      <c r="AG32" s="42"/>
      <c r="AH32" s="42"/>
      <c r="AI32" s="43"/>
      <c r="AJ32" s="42"/>
      <c r="AK32" s="42"/>
    </row>
    <row r="33" spans="1:37" x14ac:dyDescent="0.35">
      <c r="A33" s="23">
        <f t="shared" si="4"/>
        <v>18</v>
      </c>
      <c r="B33" s="113">
        <v>4.4609999999999997E-2</v>
      </c>
      <c r="C33" s="23">
        <f t="shared" si="5"/>
        <v>16</v>
      </c>
      <c r="D33" s="42">
        <f t="shared" si="3"/>
        <v>1196805</v>
      </c>
      <c r="E33" s="42">
        <f t="shared" si="6"/>
        <v>1123739</v>
      </c>
      <c r="F33" s="42">
        <f t="shared" si="7"/>
        <v>1163477</v>
      </c>
      <c r="G33" s="42">
        <f t="shared" si="9"/>
        <v>843526</v>
      </c>
      <c r="H33" s="42">
        <f t="shared" si="10"/>
        <v>1018771</v>
      </c>
      <c r="I33" s="42">
        <f t="shared" si="11"/>
        <v>0</v>
      </c>
      <c r="J33" s="42"/>
      <c r="K33" s="42"/>
      <c r="L33" s="42"/>
      <c r="M33" s="42"/>
      <c r="N33" s="42"/>
      <c r="O33" s="42"/>
      <c r="P33" s="42"/>
      <c r="Q33" s="42"/>
      <c r="AF33" s="42">
        <f t="shared" si="8"/>
        <v>5346318</v>
      </c>
      <c r="AG33" s="42"/>
      <c r="AH33" s="42"/>
      <c r="AI33" s="43"/>
      <c r="AJ33" s="42"/>
      <c r="AK33" s="42"/>
    </row>
    <row r="34" spans="1:37" x14ac:dyDescent="0.35">
      <c r="A34" s="23">
        <f t="shared" si="4"/>
        <v>19</v>
      </c>
      <c r="B34" s="113">
        <v>4.462E-2</v>
      </c>
      <c r="C34" s="23">
        <f t="shared" si="5"/>
        <v>17</v>
      </c>
      <c r="D34" s="42">
        <f t="shared" si="3"/>
        <v>1197073</v>
      </c>
      <c r="E34" s="42">
        <f t="shared" si="6"/>
        <v>1123488</v>
      </c>
      <c r="F34" s="42">
        <f t="shared" si="7"/>
        <v>1163738</v>
      </c>
      <c r="G34" s="42">
        <f t="shared" si="9"/>
        <v>843337</v>
      </c>
      <c r="H34" s="42">
        <f t="shared" si="10"/>
        <v>1019000</v>
      </c>
      <c r="I34" s="42">
        <f t="shared" si="11"/>
        <v>0</v>
      </c>
      <c r="J34" s="42"/>
      <c r="K34" s="42"/>
      <c r="L34" s="42"/>
      <c r="M34" s="42"/>
      <c r="N34" s="42"/>
      <c r="O34" s="42"/>
      <c r="P34" s="42"/>
      <c r="Q34" s="42"/>
      <c r="R34" s="42"/>
      <c r="AF34" s="42">
        <f t="shared" si="8"/>
        <v>5346636</v>
      </c>
      <c r="AG34" s="42"/>
      <c r="AH34" s="42"/>
      <c r="AI34" s="43"/>
      <c r="AJ34" s="42"/>
      <c r="AK34" s="42"/>
    </row>
    <row r="35" spans="1:37" x14ac:dyDescent="0.35">
      <c r="A35" s="23">
        <f t="shared" si="4"/>
        <v>20</v>
      </c>
      <c r="B35" s="113">
        <v>4.4609999999999997E-2</v>
      </c>
      <c r="C35" s="23">
        <f t="shared" si="5"/>
        <v>18</v>
      </c>
      <c r="D35" s="42">
        <f t="shared" si="3"/>
        <v>1196805</v>
      </c>
      <c r="E35" s="42">
        <f t="shared" si="6"/>
        <v>1123739</v>
      </c>
      <c r="F35" s="42">
        <f t="shared" si="7"/>
        <v>1163477</v>
      </c>
      <c r="G35" s="42">
        <f t="shared" si="9"/>
        <v>843526</v>
      </c>
      <c r="H35" s="42">
        <f t="shared" si="10"/>
        <v>1018771</v>
      </c>
      <c r="I35" s="42">
        <f t="shared" si="11"/>
        <v>0</v>
      </c>
      <c r="J35" s="42"/>
      <c r="K35" s="42"/>
      <c r="L35" s="42"/>
      <c r="M35" s="42"/>
      <c r="N35" s="42"/>
      <c r="O35" s="42"/>
      <c r="P35" s="42"/>
      <c r="Q35" s="42"/>
      <c r="R35" s="42"/>
      <c r="S35" s="42"/>
      <c r="AF35" s="42">
        <f t="shared" si="8"/>
        <v>5346318</v>
      </c>
      <c r="AG35" s="42"/>
      <c r="AH35" s="42"/>
      <c r="AI35" s="43"/>
      <c r="AJ35" s="42"/>
      <c r="AK35" s="42"/>
    </row>
    <row r="36" spans="1:37" x14ac:dyDescent="0.35">
      <c r="A36" s="23">
        <f t="shared" si="4"/>
        <v>21</v>
      </c>
      <c r="B36" s="113">
        <v>4.462E-2</v>
      </c>
      <c r="C36" s="23">
        <f t="shared" si="5"/>
        <v>19</v>
      </c>
      <c r="D36" s="42">
        <f t="shared" si="3"/>
        <v>1197073</v>
      </c>
      <c r="E36" s="42">
        <f t="shared" si="6"/>
        <v>1123488</v>
      </c>
      <c r="F36" s="42">
        <f t="shared" si="7"/>
        <v>1163738</v>
      </c>
      <c r="G36" s="42">
        <f t="shared" si="9"/>
        <v>843337</v>
      </c>
      <c r="H36" s="42">
        <f t="shared" si="10"/>
        <v>1019000</v>
      </c>
      <c r="I36" s="42">
        <f t="shared" si="11"/>
        <v>0</v>
      </c>
      <c r="J36" s="42"/>
      <c r="K36" s="42"/>
      <c r="L36" s="42"/>
      <c r="M36" s="42"/>
      <c r="N36" s="42"/>
      <c r="O36" s="42"/>
      <c r="P36" s="42"/>
      <c r="Q36" s="42"/>
      <c r="R36" s="42"/>
      <c r="S36" s="42"/>
      <c r="T36" s="42"/>
      <c r="U36" s="42"/>
      <c r="V36" s="42"/>
      <c r="W36" s="42"/>
      <c r="X36" s="42"/>
      <c r="Y36" s="42"/>
      <c r="Z36" s="42"/>
      <c r="AA36" s="42"/>
      <c r="AB36" s="42"/>
      <c r="AC36" s="42"/>
      <c r="AD36" s="42"/>
      <c r="AF36" s="42">
        <f t="shared" si="8"/>
        <v>5346636</v>
      </c>
      <c r="AG36" s="42"/>
      <c r="AH36" s="42"/>
      <c r="AI36" s="43"/>
      <c r="AJ36" s="42"/>
      <c r="AK36" s="42"/>
    </row>
    <row r="37" spans="1:37" x14ac:dyDescent="0.35">
      <c r="A37" s="23">
        <f t="shared" si="4"/>
        <v>22</v>
      </c>
      <c r="B37" s="113">
        <v>4.4609999999999997E-2</v>
      </c>
      <c r="C37" s="23">
        <f t="shared" si="5"/>
        <v>20</v>
      </c>
      <c r="D37" s="42">
        <f t="shared" si="3"/>
        <v>1196805</v>
      </c>
      <c r="E37" s="42">
        <f t="shared" si="6"/>
        <v>1123739</v>
      </c>
      <c r="F37" s="42">
        <f t="shared" si="7"/>
        <v>1163477</v>
      </c>
      <c r="G37" s="42">
        <f t="shared" si="9"/>
        <v>843526</v>
      </c>
      <c r="H37" s="42">
        <f t="shared" si="10"/>
        <v>1018771</v>
      </c>
      <c r="I37" s="42">
        <f t="shared" si="11"/>
        <v>0</v>
      </c>
      <c r="J37" s="42"/>
      <c r="K37" s="42"/>
      <c r="L37" s="42"/>
      <c r="M37" s="42"/>
      <c r="N37" s="42"/>
      <c r="O37" s="42"/>
      <c r="P37" s="42"/>
      <c r="Q37" s="42"/>
      <c r="R37" s="42"/>
      <c r="S37" s="42"/>
      <c r="T37" s="42"/>
      <c r="U37" s="42"/>
      <c r="V37" s="42"/>
      <c r="W37" s="42"/>
      <c r="X37" s="42"/>
      <c r="Y37" s="42"/>
      <c r="Z37" s="42"/>
      <c r="AA37" s="42"/>
      <c r="AB37" s="42"/>
      <c r="AC37" s="42"/>
      <c r="AD37" s="42"/>
      <c r="AE37" s="42"/>
      <c r="AF37" s="42">
        <f t="shared" si="8"/>
        <v>5346318</v>
      </c>
      <c r="AG37" s="42"/>
      <c r="AH37" s="42"/>
      <c r="AI37" s="43"/>
      <c r="AJ37" s="42"/>
      <c r="AK37" s="42"/>
    </row>
    <row r="38" spans="1:37" x14ac:dyDescent="0.35">
      <c r="A38" s="23">
        <f t="shared" si="4"/>
        <v>23</v>
      </c>
      <c r="B38" s="113">
        <v>2.231E-2</v>
      </c>
      <c r="C38" s="23">
        <f t="shared" si="5"/>
        <v>21</v>
      </c>
      <c r="D38" s="42">
        <f>ROUND(($D$14-($D$14*$D$16))*B38,0)+1</f>
        <v>598537</v>
      </c>
      <c r="E38" s="42">
        <f t="shared" si="6"/>
        <v>1123488</v>
      </c>
      <c r="F38" s="42">
        <f t="shared" si="7"/>
        <v>1163738</v>
      </c>
      <c r="G38" s="42">
        <f t="shared" si="9"/>
        <v>843337</v>
      </c>
      <c r="H38" s="42">
        <f t="shared" si="10"/>
        <v>1019000</v>
      </c>
      <c r="I38" s="42">
        <f t="shared" si="11"/>
        <v>0</v>
      </c>
      <c r="J38" s="42"/>
      <c r="K38" s="42"/>
      <c r="L38" s="42"/>
      <c r="M38" s="42"/>
      <c r="N38" s="42"/>
      <c r="O38" s="42"/>
      <c r="P38" s="42"/>
      <c r="Q38" s="42"/>
      <c r="R38" s="42"/>
      <c r="S38" s="42"/>
      <c r="T38" s="42"/>
      <c r="U38" s="42"/>
      <c r="V38" s="42"/>
      <c r="W38" s="42"/>
      <c r="X38" s="42"/>
      <c r="Y38" s="42"/>
      <c r="Z38" s="42"/>
      <c r="AA38" s="42"/>
      <c r="AB38" s="42"/>
      <c r="AC38" s="42"/>
      <c r="AD38" s="42"/>
      <c r="AE38" s="42"/>
      <c r="AF38" s="42">
        <f t="shared" si="8"/>
        <v>4748100</v>
      </c>
      <c r="AG38" s="42"/>
      <c r="AH38" s="42"/>
      <c r="AI38" s="43"/>
      <c r="AJ38" s="42"/>
      <c r="AK38" s="42"/>
    </row>
    <row r="39" spans="1:37" x14ac:dyDescent="0.35">
      <c r="A39" s="23">
        <f t="shared" si="4"/>
        <v>24</v>
      </c>
      <c r="B39" s="113"/>
      <c r="C39" s="23">
        <f t="shared" si="5"/>
        <v>22</v>
      </c>
      <c r="E39" s="42">
        <f>ROUND(($E$14-($E$14*$E$16))*B38,0)+6</f>
        <v>561876</v>
      </c>
      <c r="F39" s="42">
        <f t="shared" si="7"/>
        <v>1163477</v>
      </c>
      <c r="G39" s="42">
        <f t="shared" si="9"/>
        <v>843526</v>
      </c>
      <c r="H39" s="42">
        <f t="shared" si="10"/>
        <v>1018771</v>
      </c>
      <c r="I39" s="42">
        <f t="shared" si="11"/>
        <v>0</v>
      </c>
      <c r="J39" s="42"/>
      <c r="K39" s="42"/>
      <c r="L39" s="42"/>
      <c r="M39" s="42"/>
      <c r="N39" s="42"/>
      <c r="O39" s="42"/>
      <c r="P39" s="42"/>
      <c r="Q39" s="42"/>
      <c r="R39" s="42"/>
      <c r="S39" s="42"/>
      <c r="T39" s="42"/>
      <c r="U39" s="42"/>
      <c r="V39" s="42"/>
      <c r="W39" s="42"/>
      <c r="X39" s="42"/>
      <c r="Y39" s="42"/>
      <c r="Z39" s="42"/>
      <c r="AA39" s="42"/>
      <c r="AB39" s="42"/>
      <c r="AC39" s="42"/>
      <c r="AD39" s="42"/>
      <c r="AE39" s="42"/>
      <c r="AF39" s="42">
        <f t="shared" si="8"/>
        <v>3587650</v>
      </c>
      <c r="AH39" s="42"/>
      <c r="AI39" s="43"/>
      <c r="AJ39" s="42"/>
      <c r="AK39" s="42"/>
    </row>
    <row r="40" spans="1:37" x14ac:dyDescent="0.35">
      <c r="A40" s="23">
        <f t="shared" si="4"/>
        <v>25</v>
      </c>
      <c r="B40" s="113"/>
      <c r="C40" s="23">
        <f t="shared" si="5"/>
        <v>23</v>
      </c>
      <c r="F40" s="42">
        <f>ROUND((F$14-(F$14*F$16))*$B38,0)</f>
        <v>581869</v>
      </c>
      <c r="G40" s="42">
        <f t="shared" si="9"/>
        <v>843337</v>
      </c>
      <c r="H40" s="42">
        <f t="shared" si="10"/>
        <v>1019000</v>
      </c>
      <c r="I40" s="42">
        <f t="shared" si="11"/>
        <v>0</v>
      </c>
      <c r="J40" s="42"/>
      <c r="K40" s="42"/>
      <c r="L40" s="42"/>
      <c r="M40" s="42"/>
      <c r="N40" s="42"/>
      <c r="O40" s="42"/>
      <c r="P40" s="42"/>
      <c r="Q40" s="42"/>
      <c r="R40" s="42"/>
      <c r="S40" s="42"/>
      <c r="T40" s="42"/>
      <c r="U40" s="42"/>
      <c r="V40" s="42"/>
      <c r="W40" s="42"/>
      <c r="X40" s="42"/>
      <c r="Y40" s="42"/>
      <c r="Z40" s="42"/>
      <c r="AA40" s="42"/>
      <c r="AB40" s="42"/>
      <c r="AC40" s="42"/>
      <c r="AD40" s="42"/>
      <c r="AE40" s="42"/>
      <c r="AF40" s="42">
        <f t="shared" si="8"/>
        <v>2444206</v>
      </c>
      <c r="AH40" s="42"/>
      <c r="AI40" s="43"/>
      <c r="AJ40" s="42"/>
      <c r="AK40" s="42"/>
    </row>
    <row r="41" spans="1:37" x14ac:dyDescent="0.35">
      <c r="A41" s="23">
        <f t="shared" si="4"/>
        <v>26</v>
      </c>
      <c r="B41" s="113"/>
      <c r="C41" s="23">
        <f t="shared" si="5"/>
        <v>24</v>
      </c>
      <c r="F41" s="42"/>
      <c r="G41" s="42">
        <f t="shared" si="9"/>
        <v>421763</v>
      </c>
      <c r="H41" s="42">
        <f t="shared" si="10"/>
        <v>1018771</v>
      </c>
      <c r="I41" s="42">
        <f t="shared" si="11"/>
        <v>0</v>
      </c>
      <c r="J41" s="42"/>
      <c r="K41" s="42"/>
      <c r="L41" s="42"/>
      <c r="M41" s="42"/>
      <c r="N41" s="42"/>
      <c r="O41" s="42"/>
      <c r="P41" s="42"/>
      <c r="Q41" s="42"/>
      <c r="R41" s="42"/>
      <c r="S41" s="42"/>
      <c r="T41" s="42"/>
      <c r="U41" s="42"/>
      <c r="V41" s="42"/>
      <c r="W41" s="42"/>
      <c r="X41" s="42"/>
      <c r="Y41" s="42"/>
      <c r="Z41" s="42"/>
      <c r="AA41" s="42"/>
      <c r="AB41" s="42"/>
      <c r="AC41" s="42"/>
      <c r="AD41" s="42"/>
      <c r="AE41" s="42"/>
      <c r="AF41" s="42">
        <f t="shared" si="8"/>
        <v>1440534</v>
      </c>
      <c r="AH41" s="42"/>
      <c r="AI41" s="43"/>
      <c r="AJ41" s="42"/>
      <c r="AK41" s="42"/>
    </row>
    <row r="42" spans="1:37" x14ac:dyDescent="0.35">
      <c r="A42" s="23">
        <f t="shared" si="4"/>
        <v>27</v>
      </c>
      <c r="B42" s="113"/>
      <c r="C42" s="23"/>
      <c r="F42" s="42"/>
      <c r="G42" s="42"/>
      <c r="H42" s="42">
        <f t="shared" si="10"/>
        <v>509500</v>
      </c>
      <c r="I42" s="42">
        <f t="shared" si="11"/>
        <v>0</v>
      </c>
      <c r="J42" s="42"/>
      <c r="K42" s="42"/>
      <c r="L42" s="42"/>
      <c r="M42" s="42"/>
      <c r="N42" s="42"/>
      <c r="O42" s="42"/>
      <c r="P42" s="42"/>
      <c r="Q42" s="42"/>
      <c r="R42" s="42"/>
      <c r="S42" s="42"/>
      <c r="T42" s="42"/>
      <c r="U42" s="42"/>
      <c r="V42" s="42"/>
      <c r="W42" s="42"/>
      <c r="X42" s="42"/>
      <c r="Y42" s="42"/>
      <c r="Z42" s="42"/>
      <c r="AA42" s="42"/>
      <c r="AB42" s="42"/>
      <c r="AC42" s="42"/>
      <c r="AD42" s="42"/>
      <c r="AE42" s="42"/>
      <c r="AF42" s="42">
        <f t="shared" si="8"/>
        <v>509500</v>
      </c>
      <c r="AH42" s="42"/>
      <c r="AI42" s="43"/>
      <c r="AJ42" s="42"/>
      <c r="AK42" s="42"/>
    </row>
    <row r="43" spans="1:37" x14ac:dyDescent="0.35">
      <c r="A43" s="23">
        <f t="shared" si="4"/>
        <v>28</v>
      </c>
      <c r="D43" s="43">
        <f>SUM(D18:D39)</f>
        <v>43862087</v>
      </c>
      <c r="E43" s="43">
        <f>SUM(E18:E39)-2</f>
        <v>41168971</v>
      </c>
      <c r="F43" s="43">
        <f>SUM(F18:F41)</f>
        <v>42634345</v>
      </c>
      <c r="G43" s="43">
        <f>SUM(G18:G41)</f>
        <v>52087822</v>
      </c>
      <c r="H43" s="43">
        <f>SUM(H18:H42)</f>
        <v>62923350</v>
      </c>
      <c r="I43" s="43">
        <f>SUM(I18:I42)</f>
        <v>0</v>
      </c>
      <c r="J43" s="43">
        <f t="shared" ref="J43:AE43" si="12">SUM(J18:J40)</f>
        <v>0</v>
      </c>
      <c r="K43" s="43">
        <f t="shared" si="12"/>
        <v>0</v>
      </c>
      <c r="L43" s="43">
        <f t="shared" si="12"/>
        <v>0</v>
      </c>
      <c r="M43" s="43">
        <f t="shared" si="12"/>
        <v>0</v>
      </c>
      <c r="N43" s="43">
        <f t="shared" si="12"/>
        <v>0</v>
      </c>
      <c r="O43" s="43">
        <f t="shared" si="12"/>
        <v>0</v>
      </c>
      <c r="P43" s="43">
        <f t="shared" si="12"/>
        <v>0</v>
      </c>
      <c r="Q43" s="43">
        <f t="shared" si="12"/>
        <v>0</v>
      </c>
      <c r="R43" s="43">
        <f t="shared" si="12"/>
        <v>0</v>
      </c>
      <c r="S43" s="43">
        <f t="shared" si="12"/>
        <v>0</v>
      </c>
      <c r="T43" s="43">
        <f t="shared" si="12"/>
        <v>0</v>
      </c>
      <c r="U43" s="43">
        <f t="shared" si="12"/>
        <v>0</v>
      </c>
      <c r="V43" s="43">
        <f t="shared" si="12"/>
        <v>0</v>
      </c>
      <c r="W43" s="43">
        <f t="shared" si="12"/>
        <v>0</v>
      </c>
      <c r="X43" s="43">
        <f t="shared" si="12"/>
        <v>0</v>
      </c>
      <c r="Y43" s="43">
        <f t="shared" si="12"/>
        <v>0</v>
      </c>
      <c r="Z43" s="43">
        <f t="shared" si="12"/>
        <v>0</v>
      </c>
      <c r="AA43" s="43">
        <f t="shared" si="12"/>
        <v>0</v>
      </c>
      <c r="AB43" s="43">
        <f t="shared" si="12"/>
        <v>0</v>
      </c>
      <c r="AC43" s="43">
        <f t="shared" si="12"/>
        <v>0</v>
      </c>
      <c r="AD43" s="43">
        <f t="shared" si="12"/>
        <v>0</v>
      </c>
      <c r="AE43" s="43">
        <f t="shared" si="12"/>
        <v>0</v>
      </c>
      <c r="AF43" s="43">
        <f>SUM(AF18:AF41)</f>
        <v>242167077</v>
      </c>
      <c r="AG43" s="43">
        <f>SUM(AG18:AG41)</f>
        <v>7870310.3293880001</v>
      </c>
      <c r="AH43" s="43">
        <f>SUM(AH18:AH41)</f>
        <v>12662049.494000001</v>
      </c>
      <c r="AI43" s="42"/>
      <c r="AJ43" s="42"/>
      <c r="AK43" s="42"/>
    </row>
    <row r="44" spans="1:37" x14ac:dyDescent="0.35">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2"/>
      <c r="AG44" s="43"/>
      <c r="AH44" s="42"/>
      <c r="AI44" s="42"/>
      <c r="AJ44" s="42"/>
      <c r="AK44" s="42"/>
    </row>
    <row r="45" spans="1:37" x14ac:dyDescent="0.35">
      <c r="A45" s="24" t="s">
        <v>71</v>
      </c>
      <c r="F45" s="43"/>
      <c r="AF45" s="43"/>
      <c r="AG45" s="43"/>
      <c r="AH45" s="42"/>
      <c r="AI45" s="42"/>
      <c r="AJ45" s="114"/>
      <c r="AK45" s="114"/>
    </row>
    <row r="46" spans="1:37" x14ac:dyDescent="0.35">
      <c r="A46" s="24" t="s">
        <v>93</v>
      </c>
      <c r="AH46" s="43"/>
      <c r="AI46" s="42"/>
      <c r="AJ46" s="42"/>
      <c r="AK46" s="42"/>
    </row>
    <row r="47" spans="1:37" x14ac:dyDescent="0.35">
      <c r="A47" s="24" t="s">
        <v>312</v>
      </c>
      <c r="AH47" s="43"/>
      <c r="AI47" s="42"/>
      <c r="AJ47" s="42"/>
      <c r="AK47" s="42"/>
    </row>
    <row r="48" spans="1:37" x14ac:dyDescent="0.35">
      <c r="A48" s="24" t="s">
        <v>176</v>
      </c>
      <c r="AH48" s="43"/>
      <c r="AI48" s="42"/>
      <c r="AJ48" s="42"/>
      <c r="AK48" s="42"/>
    </row>
    <row r="49" spans="1:37" x14ac:dyDescent="0.35">
      <c r="A49" s="24"/>
      <c r="AH49" s="43"/>
      <c r="AI49" s="42"/>
      <c r="AJ49" s="42"/>
      <c r="AK49" s="42"/>
    </row>
    <row r="50" spans="1:37" x14ac:dyDescent="0.35">
      <c r="D50" s="117">
        <v>2023</v>
      </c>
      <c r="E50" s="117">
        <f>+D50+1</f>
        <v>2024</v>
      </c>
      <c r="F50" s="117">
        <f>+E50+1</f>
        <v>2025</v>
      </c>
      <c r="G50" s="117">
        <f>+F50+1</f>
        <v>2026</v>
      </c>
      <c r="H50" s="117">
        <f>+G50+1</f>
        <v>2027</v>
      </c>
      <c r="I50" s="117">
        <f>+H50+1</f>
        <v>2028</v>
      </c>
      <c r="AH50" s="43"/>
      <c r="AI50" s="42"/>
      <c r="AJ50" s="42"/>
      <c r="AK50" s="42"/>
    </row>
    <row r="51" spans="1:37" x14ac:dyDescent="0.35">
      <c r="B51" s="118" t="s">
        <v>74</v>
      </c>
      <c r="D51" s="119">
        <v>0.36280000000000001</v>
      </c>
      <c r="E51" s="119">
        <v>0.36270560497046789</v>
      </c>
      <c r="F51" s="119">
        <v>0.36270560497046789</v>
      </c>
      <c r="G51" s="119">
        <v>0.62190000000000001</v>
      </c>
      <c r="H51" s="119">
        <f>+G51</f>
        <v>0.62190000000000001</v>
      </c>
      <c r="I51" s="119">
        <f>+H51</f>
        <v>0.62190000000000001</v>
      </c>
      <c r="AF51" s="135"/>
      <c r="AH51" s="43"/>
      <c r="AI51" s="42"/>
      <c r="AJ51" s="42"/>
      <c r="AK51" s="42"/>
    </row>
    <row r="52" spans="1:37" x14ac:dyDescent="0.35">
      <c r="B52" s="118" t="s">
        <v>75</v>
      </c>
      <c r="D52" s="119">
        <v>4.0099999999999997E-2</v>
      </c>
      <c r="E52" s="119">
        <v>4.0099999999999997E-2</v>
      </c>
      <c r="F52" s="119">
        <v>4.0099999999999997E-2</v>
      </c>
      <c r="G52" s="119">
        <v>4.0099999999999997E-2</v>
      </c>
      <c r="H52" s="119">
        <v>4.0099999999999997E-2</v>
      </c>
      <c r="I52" s="119">
        <v>4.0099999999999997E-2</v>
      </c>
      <c r="AF52" s="135"/>
      <c r="AG52" s="11"/>
    </row>
    <row r="53" spans="1:37" x14ac:dyDescent="0.35">
      <c r="D53" s="120">
        <f>(1-D51)*D52</f>
        <v>2.5551719999999997E-2</v>
      </c>
      <c r="E53" s="120">
        <f>(1-E51)*E52</f>
        <v>2.5555505240684236E-2</v>
      </c>
      <c r="F53" s="120">
        <f t="shared" ref="F53:AE53" si="13">(1-F51)*F52</f>
        <v>2.5555505240684236E-2</v>
      </c>
      <c r="G53" s="120">
        <f t="shared" si="13"/>
        <v>1.5161809999999998E-2</v>
      </c>
      <c r="H53" s="120">
        <f>(1-H51)*H52</f>
        <v>1.5161809999999998E-2</v>
      </c>
      <c r="I53" s="120">
        <f>(1-I51)*I52</f>
        <v>1.5161809999999998E-2</v>
      </c>
      <c r="J53" s="120">
        <f t="shared" si="13"/>
        <v>0</v>
      </c>
      <c r="K53" s="120">
        <f t="shared" si="13"/>
        <v>0</v>
      </c>
      <c r="L53" s="120">
        <f t="shared" si="13"/>
        <v>0</v>
      </c>
      <c r="M53" s="120">
        <f t="shared" si="13"/>
        <v>0</v>
      </c>
      <c r="N53" s="120">
        <f t="shared" si="13"/>
        <v>0</v>
      </c>
      <c r="O53" s="120">
        <f t="shared" si="13"/>
        <v>0</v>
      </c>
      <c r="P53" s="120">
        <f t="shared" si="13"/>
        <v>0</v>
      </c>
      <c r="Q53" s="120">
        <f t="shared" si="13"/>
        <v>0</v>
      </c>
      <c r="R53" s="120">
        <f t="shared" si="13"/>
        <v>0</v>
      </c>
      <c r="S53" s="120">
        <f t="shared" si="13"/>
        <v>0</v>
      </c>
      <c r="T53" s="120">
        <f t="shared" si="13"/>
        <v>0</v>
      </c>
      <c r="U53" s="120">
        <f t="shared" si="13"/>
        <v>0</v>
      </c>
      <c r="V53" s="120">
        <f t="shared" si="13"/>
        <v>0</v>
      </c>
      <c r="W53" s="120">
        <f t="shared" si="13"/>
        <v>0</v>
      </c>
      <c r="X53" s="120">
        <f t="shared" si="13"/>
        <v>0</v>
      </c>
      <c r="Y53" s="120">
        <f t="shared" si="13"/>
        <v>0</v>
      </c>
      <c r="Z53" s="120">
        <f t="shared" si="13"/>
        <v>0</v>
      </c>
      <c r="AA53" s="120">
        <f t="shared" si="13"/>
        <v>0</v>
      </c>
      <c r="AB53" s="120">
        <f t="shared" si="13"/>
        <v>0</v>
      </c>
      <c r="AC53" s="120">
        <f t="shared" si="13"/>
        <v>0</v>
      </c>
      <c r="AD53" s="120">
        <f t="shared" si="13"/>
        <v>0</v>
      </c>
      <c r="AE53" s="120">
        <f t="shared" si="13"/>
        <v>0</v>
      </c>
      <c r="AJ53" s="23"/>
      <c r="AK53" s="23"/>
    </row>
    <row r="54" spans="1:37" x14ac:dyDescent="0.35">
      <c r="B54" s="118" t="s">
        <v>99</v>
      </c>
      <c r="D54" s="120">
        <v>0</v>
      </c>
      <c r="E54" s="120">
        <f>+D54</f>
        <v>0</v>
      </c>
      <c r="F54" s="120">
        <f>(1-F51-F53)*0</f>
        <v>0</v>
      </c>
      <c r="G54" s="120">
        <f>(1-G51-G53)*0</f>
        <v>0</v>
      </c>
      <c r="H54" s="120">
        <f>(1-H51-H53)*0</f>
        <v>0</v>
      </c>
      <c r="I54" s="120">
        <f>(1-I51-I53)*0</f>
        <v>0</v>
      </c>
      <c r="AG54" s="23"/>
      <c r="AH54" s="23"/>
      <c r="AI54" s="23"/>
      <c r="AJ54" s="23"/>
      <c r="AK54" s="23"/>
    </row>
    <row r="55" spans="1:37" x14ac:dyDescent="0.35">
      <c r="B55" s="121"/>
      <c r="D55" s="120">
        <f t="shared" ref="D55:I55" si="14">D51+D53</f>
        <v>0.38835172000000001</v>
      </c>
      <c r="E55" s="120">
        <f t="shared" si="14"/>
        <v>0.38826111021115212</v>
      </c>
      <c r="F55" s="120">
        <f t="shared" si="14"/>
        <v>0.38826111021115212</v>
      </c>
      <c r="G55" s="120">
        <f t="shared" si="14"/>
        <v>0.63706181000000006</v>
      </c>
      <c r="H55" s="120">
        <f t="shared" si="14"/>
        <v>0.63706181000000006</v>
      </c>
      <c r="I55" s="120">
        <f t="shared" si="14"/>
        <v>0.63706181000000006</v>
      </c>
      <c r="AG55" s="122"/>
      <c r="AH55" s="122"/>
      <c r="AI55" s="122"/>
      <c r="AJ55" s="122"/>
      <c r="AK55" s="122"/>
    </row>
    <row r="56" spans="1:37" x14ac:dyDescent="0.35">
      <c r="D56" s="115"/>
      <c r="E56" s="115"/>
      <c r="F56" s="115"/>
      <c r="AH56" s="42"/>
      <c r="AI56" s="43"/>
      <c r="AJ56" s="42"/>
      <c r="AK56" s="42"/>
    </row>
    <row r="57" spans="1:37" x14ac:dyDescent="0.35">
      <c r="D57" s="115"/>
      <c r="E57" s="115"/>
      <c r="F57" s="115"/>
      <c r="AH57" s="42"/>
      <c r="AI57" s="43"/>
      <c r="AJ57" s="42"/>
      <c r="AK57" s="42"/>
    </row>
    <row r="58" spans="1:37" x14ac:dyDescent="0.35">
      <c r="AH58" s="42"/>
      <c r="AI58" s="43"/>
      <c r="AJ58" s="42"/>
      <c r="AK58" s="42"/>
    </row>
    <row r="59" spans="1:37" x14ac:dyDescent="0.35">
      <c r="AH59" s="42"/>
      <c r="AI59" s="43"/>
      <c r="AJ59" s="42"/>
      <c r="AK59" s="42"/>
    </row>
    <row r="60" spans="1:37" x14ac:dyDescent="0.35">
      <c r="AH60" s="42"/>
      <c r="AI60" s="43"/>
      <c r="AJ60" s="42"/>
      <c r="AK60" s="42"/>
    </row>
    <row r="61" spans="1:37" x14ac:dyDescent="0.35">
      <c r="AH61" s="42"/>
      <c r="AI61" s="43"/>
      <c r="AJ61" s="42"/>
      <c r="AK61" s="42"/>
    </row>
    <row r="62" spans="1:37" x14ac:dyDescent="0.35">
      <c r="AF62" s="43"/>
      <c r="AH62" s="42"/>
      <c r="AI62" s="43"/>
      <c r="AJ62" s="42"/>
      <c r="AK62" s="42"/>
    </row>
    <row r="63" spans="1:37" x14ac:dyDescent="0.35">
      <c r="AF63" s="43"/>
      <c r="AH63" s="42"/>
      <c r="AI63" s="43"/>
      <c r="AJ63" s="42"/>
      <c r="AK63" s="42"/>
    </row>
    <row r="64" spans="1:37" x14ac:dyDescent="0.35">
      <c r="AF64" s="43"/>
      <c r="AH64" s="42"/>
      <c r="AI64" s="43"/>
      <c r="AJ64" s="42"/>
      <c r="AK64" s="42"/>
    </row>
    <row r="65" spans="7:37" x14ac:dyDescent="0.35">
      <c r="AF65" s="43"/>
      <c r="AH65" s="42"/>
      <c r="AI65" s="43"/>
      <c r="AJ65" s="42"/>
      <c r="AK65" s="42"/>
    </row>
    <row r="66" spans="7:37" x14ac:dyDescent="0.35">
      <c r="G66" s="42"/>
      <c r="AF66" s="43"/>
      <c r="AH66" s="42"/>
      <c r="AI66" s="43"/>
      <c r="AJ66" s="42"/>
      <c r="AK66" s="42"/>
    </row>
    <row r="67" spans="7:37" x14ac:dyDescent="0.35">
      <c r="G67" s="42"/>
      <c r="H67" s="42"/>
      <c r="AF67" s="43"/>
      <c r="AH67" s="42"/>
      <c r="AI67" s="43"/>
      <c r="AJ67" s="42"/>
      <c r="AK67" s="42"/>
    </row>
    <row r="68" spans="7:37" x14ac:dyDescent="0.35">
      <c r="G68" s="42"/>
      <c r="H68" s="42"/>
      <c r="I68" s="42"/>
      <c r="AF68" s="43"/>
      <c r="AH68" s="42"/>
      <c r="AI68" s="43"/>
      <c r="AJ68" s="42"/>
      <c r="AK68" s="42"/>
    </row>
    <row r="69" spans="7:37" x14ac:dyDescent="0.35">
      <c r="G69" s="42"/>
      <c r="H69" s="42"/>
      <c r="I69" s="42"/>
      <c r="J69" s="42"/>
      <c r="AF69" s="43"/>
      <c r="AH69" s="42"/>
      <c r="AI69" s="43"/>
      <c r="AJ69" s="42"/>
      <c r="AK69" s="42"/>
    </row>
    <row r="70" spans="7:37" x14ac:dyDescent="0.35">
      <c r="G70" s="42"/>
      <c r="H70" s="42"/>
      <c r="I70" s="42"/>
      <c r="J70" s="42"/>
      <c r="K70" s="42"/>
      <c r="AF70" s="43"/>
      <c r="AH70" s="42"/>
      <c r="AI70" s="43"/>
      <c r="AJ70" s="42"/>
      <c r="AK70" s="42"/>
    </row>
    <row r="71" spans="7:37" x14ac:dyDescent="0.35">
      <c r="G71" s="42"/>
      <c r="H71" s="42"/>
      <c r="I71" s="42"/>
      <c r="J71" s="42"/>
      <c r="K71" s="42"/>
      <c r="L71" s="42"/>
      <c r="M71" s="42"/>
      <c r="N71" s="42"/>
      <c r="O71" s="42"/>
      <c r="P71" s="42"/>
      <c r="Q71" s="42"/>
      <c r="R71" s="42"/>
      <c r="S71" s="42"/>
      <c r="T71" s="42"/>
      <c r="U71" s="42"/>
      <c r="V71" s="42"/>
      <c r="W71" s="42"/>
      <c r="X71" s="42"/>
      <c r="Y71" s="42"/>
      <c r="Z71" s="42"/>
      <c r="AA71" s="42"/>
      <c r="AB71" s="42"/>
      <c r="AC71" s="42"/>
      <c r="AD71" s="42"/>
      <c r="AE71" s="42"/>
      <c r="AF71" s="43"/>
      <c r="AH71" s="42"/>
      <c r="AI71" s="43"/>
      <c r="AJ71" s="42"/>
      <c r="AK71" s="42"/>
    </row>
    <row r="72" spans="7:37" x14ac:dyDescent="0.35">
      <c r="G72" s="42"/>
      <c r="H72" s="42"/>
      <c r="I72" s="42"/>
      <c r="J72" s="42"/>
      <c r="K72" s="42"/>
      <c r="L72" s="42"/>
      <c r="M72" s="42"/>
      <c r="N72" s="42"/>
      <c r="O72" s="42"/>
      <c r="P72" s="42"/>
      <c r="Q72" s="42"/>
      <c r="R72" s="42"/>
      <c r="S72" s="42"/>
      <c r="T72" s="42"/>
      <c r="U72" s="42"/>
      <c r="V72" s="42"/>
      <c r="W72" s="42"/>
      <c r="X72" s="42"/>
      <c r="Y72" s="42"/>
      <c r="Z72" s="42"/>
      <c r="AA72" s="42"/>
      <c r="AB72" s="42"/>
      <c r="AC72" s="42"/>
      <c r="AD72" s="42"/>
      <c r="AE72" s="42"/>
      <c r="AF72" s="43"/>
      <c r="AH72" s="42"/>
      <c r="AI72" s="43"/>
      <c r="AJ72" s="42"/>
      <c r="AK72" s="42"/>
    </row>
    <row r="73" spans="7:37" x14ac:dyDescent="0.35">
      <c r="G73" s="42"/>
      <c r="H73" s="42"/>
      <c r="I73" s="42"/>
      <c r="J73" s="42"/>
      <c r="K73" s="42"/>
      <c r="L73" s="42"/>
      <c r="M73" s="42"/>
      <c r="N73" s="42"/>
      <c r="O73" s="42"/>
      <c r="P73" s="42"/>
      <c r="Q73" s="42"/>
      <c r="R73" s="42"/>
      <c r="S73" s="42"/>
      <c r="T73" s="42"/>
      <c r="U73" s="42"/>
      <c r="V73" s="42"/>
      <c r="W73" s="42"/>
      <c r="X73" s="42"/>
      <c r="Y73" s="42"/>
      <c r="Z73" s="42"/>
      <c r="AA73" s="42"/>
      <c r="AB73" s="42"/>
      <c r="AC73" s="42"/>
      <c r="AD73" s="42"/>
      <c r="AE73" s="42"/>
      <c r="AF73" s="43"/>
      <c r="AH73" s="42"/>
      <c r="AI73" s="43"/>
      <c r="AJ73" s="42"/>
      <c r="AK73" s="42"/>
    </row>
    <row r="74" spans="7:37" x14ac:dyDescent="0.35">
      <c r="G74" s="42"/>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3"/>
      <c r="AH74" s="42"/>
      <c r="AI74" s="43"/>
      <c r="AJ74" s="42"/>
      <c r="AK74" s="42"/>
    </row>
    <row r="75" spans="7:37" x14ac:dyDescent="0.35">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H75" s="42"/>
      <c r="AI75" s="43"/>
      <c r="AJ75" s="42"/>
      <c r="AK75" s="42"/>
    </row>
    <row r="76" spans="7:37" x14ac:dyDescent="0.35">
      <c r="H76" s="42"/>
      <c r="I76" s="42"/>
      <c r="J76" s="42"/>
      <c r="K76" s="42"/>
      <c r="L76" s="42"/>
      <c r="M76" s="42"/>
      <c r="N76" s="42"/>
      <c r="O76" s="42"/>
      <c r="P76" s="42"/>
      <c r="Q76" s="42"/>
      <c r="R76" s="42"/>
      <c r="S76" s="42"/>
      <c r="T76" s="42"/>
      <c r="U76" s="42"/>
      <c r="V76" s="42"/>
      <c r="W76" s="42"/>
      <c r="X76" s="42"/>
      <c r="Y76" s="42"/>
      <c r="Z76" s="42"/>
      <c r="AA76" s="42"/>
      <c r="AB76" s="42"/>
      <c r="AC76" s="42"/>
      <c r="AD76" s="42"/>
      <c r="AE76" s="42"/>
      <c r="AH76" s="42"/>
      <c r="AI76" s="43"/>
      <c r="AJ76" s="42"/>
      <c r="AK76" s="42"/>
    </row>
    <row r="77" spans="7:37" x14ac:dyDescent="0.35">
      <c r="I77" s="42"/>
      <c r="J77" s="42"/>
      <c r="K77" s="42"/>
      <c r="L77" s="42"/>
      <c r="M77" s="42"/>
      <c r="N77" s="42"/>
      <c r="O77" s="42"/>
      <c r="P77" s="42"/>
      <c r="Q77" s="42"/>
      <c r="R77" s="42"/>
      <c r="S77" s="42"/>
      <c r="T77" s="42"/>
      <c r="U77" s="42"/>
      <c r="V77" s="42"/>
      <c r="W77" s="42"/>
      <c r="X77" s="42"/>
      <c r="Y77" s="42"/>
      <c r="Z77" s="42"/>
      <c r="AA77" s="42"/>
      <c r="AB77" s="42"/>
      <c r="AC77" s="42"/>
      <c r="AD77" s="42"/>
      <c r="AE77" s="42"/>
      <c r="AH77" s="43"/>
      <c r="AI77" s="43"/>
      <c r="AJ77" s="43"/>
      <c r="AK77" s="43"/>
    </row>
    <row r="78" spans="7:37" x14ac:dyDescent="0.35">
      <c r="J78" s="42"/>
      <c r="K78" s="42"/>
      <c r="L78" s="42"/>
      <c r="M78" s="42"/>
      <c r="N78" s="42"/>
      <c r="O78" s="42"/>
      <c r="P78" s="42"/>
      <c r="Q78" s="42"/>
      <c r="R78" s="42"/>
      <c r="S78" s="42"/>
      <c r="T78" s="42"/>
      <c r="U78" s="42"/>
      <c r="V78" s="42"/>
      <c r="W78" s="42"/>
      <c r="X78" s="42"/>
      <c r="Y78" s="42"/>
      <c r="Z78" s="42"/>
      <c r="AA78" s="42"/>
      <c r="AB78" s="42"/>
      <c r="AC78" s="42"/>
      <c r="AD78" s="42"/>
      <c r="AE78" s="42"/>
    </row>
    <row r="79" spans="7:37" x14ac:dyDescent="0.35">
      <c r="K79" s="42"/>
      <c r="L79" s="42"/>
      <c r="M79" s="42"/>
      <c r="N79" s="42"/>
      <c r="O79" s="42"/>
      <c r="P79" s="42"/>
      <c r="Q79" s="42"/>
      <c r="R79" s="42"/>
      <c r="S79" s="42"/>
      <c r="T79" s="42"/>
      <c r="U79" s="42"/>
      <c r="V79" s="42"/>
      <c r="W79" s="42"/>
      <c r="X79" s="42"/>
      <c r="Y79" s="42"/>
      <c r="Z79" s="42"/>
      <c r="AA79" s="42"/>
      <c r="AB79" s="42"/>
      <c r="AC79" s="42"/>
      <c r="AD79" s="42"/>
      <c r="AE79" s="42"/>
    </row>
    <row r="80" spans="7:37" x14ac:dyDescent="0.35">
      <c r="L80" s="42"/>
      <c r="M80" s="42"/>
      <c r="N80" s="42"/>
      <c r="O80" s="42"/>
      <c r="P80" s="42"/>
      <c r="Q80" s="42"/>
      <c r="R80" s="42"/>
      <c r="S80" s="42"/>
      <c r="T80" s="42"/>
      <c r="U80" s="42"/>
      <c r="V80" s="42"/>
      <c r="W80" s="42"/>
      <c r="X80" s="42"/>
      <c r="Y80" s="42"/>
      <c r="Z80" s="42"/>
      <c r="AA80" s="42"/>
      <c r="AB80" s="42"/>
      <c r="AC80" s="42"/>
      <c r="AD80" s="42"/>
      <c r="AE80" s="42"/>
      <c r="AG80" s="11"/>
    </row>
    <row r="81" spans="33:37" x14ac:dyDescent="0.35">
      <c r="AJ81" s="23"/>
      <c r="AK81" s="23"/>
    </row>
    <row r="82" spans="33:37" x14ac:dyDescent="0.35">
      <c r="AG82" s="23"/>
      <c r="AH82" s="23"/>
      <c r="AI82" s="23"/>
      <c r="AJ82" s="23"/>
      <c r="AK82" s="23"/>
    </row>
    <row r="83" spans="33:37" x14ac:dyDescent="0.35">
      <c r="AG83" s="122"/>
      <c r="AH83" s="122"/>
      <c r="AI83" s="122"/>
      <c r="AJ83" s="122"/>
      <c r="AK83" s="122"/>
    </row>
    <row r="84" spans="33:37" x14ac:dyDescent="0.35">
      <c r="AH84" s="42"/>
      <c r="AI84" s="43"/>
      <c r="AJ84" s="42"/>
      <c r="AK84" s="42"/>
    </row>
    <row r="85" spans="33:37" x14ac:dyDescent="0.35">
      <c r="AH85" s="42"/>
      <c r="AI85" s="43"/>
      <c r="AJ85" s="42"/>
      <c r="AK85" s="42"/>
    </row>
    <row r="86" spans="33:37" x14ac:dyDescent="0.35">
      <c r="AH86" s="42"/>
      <c r="AI86" s="43"/>
      <c r="AJ86" s="42"/>
      <c r="AK86" s="42"/>
    </row>
    <row r="87" spans="33:37" x14ac:dyDescent="0.35">
      <c r="AH87" s="42"/>
      <c r="AI87" s="43"/>
      <c r="AJ87" s="42"/>
      <c r="AK87" s="42"/>
    </row>
    <row r="88" spans="33:37" x14ac:dyDescent="0.35">
      <c r="AH88" s="42"/>
      <c r="AI88" s="43"/>
      <c r="AJ88" s="42"/>
      <c r="AK88" s="42"/>
    </row>
    <row r="89" spans="33:37" x14ac:dyDescent="0.35">
      <c r="AH89" s="42"/>
      <c r="AI89" s="43"/>
      <c r="AJ89" s="42"/>
      <c r="AK89" s="42"/>
    </row>
    <row r="90" spans="33:37" x14ac:dyDescent="0.35">
      <c r="AH90" s="42"/>
      <c r="AI90" s="43"/>
      <c r="AJ90" s="42"/>
      <c r="AK90" s="42"/>
    </row>
    <row r="91" spans="33:37" x14ac:dyDescent="0.35">
      <c r="AH91" s="42"/>
      <c r="AI91" s="43"/>
      <c r="AJ91" s="42"/>
      <c r="AK91" s="42"/>
    </row>
    <row r="92" spans="33:37" x14ac:dyDescent="0.35">
      <c r="AH92" s="42"/>
      <c r="AI92" s="43"/>
      <c r="AJ92" s="42"/>
      <c r="AK92" s="42"/>
    </row>
    <row r="93" spans="33:37" x14ac:dyDescent="0.35">
      <c r="AH93" s="42"/>
      <c r="AI93" s="43"/>
      <c r="AJ93" s="42"/>
      <c r="AK93" s="42"/>
    </row>
    <row r="94" spans="33:37" x14ac:dyDescent="0.35">
      <c r="AH94" s="42"/>
      <c r="AI94" s="43"/>
      <c r="AJ94" s="42"/>
      <c r="AK94" s="42"/>
    </row>
    <row r="95" spans="33:37" x14ac:dyDescent="0.35">
      <c r="AH95" s="42"/>
      <c r="AI95" s="43"/>
      <c r="AJ95" s="42"/>
      <c r="AK95" s="42"/>
    </row>
    <row r="96" spans="33:37" x14ac:dyDescent="0.35">
      <c r="AH96" s="42"/>
      <c r="AI96" s="43"/>
      <c r="AJ96" s="42"/>
      <c r="AK96" s="42"/>
    </row>
    <row r="97" spans="34:37" x14ac:dyDescent="0.35">
      <c r="AH97" s="42"/>
      <c r="AI97" s="43"/>
      <c r="AJ97" s="42"/>
      <c r="AK97" s="42"/>
    </row>
    <row r="98" spans="34:37" x14ac:dyDescent="0.35">
      <c r="AH98" s="42"/>
      <c r="AI98" s="43"/>
      <c r="AJ98" s="42"/>
      <c r="AK98" s="42"/>
    </row>
    <row r="99" spans="34:37" x14ac:dyDescent="0.35">
      <c r="AH99" s="42"/>
      <c r="AI99" s="43"/>
      <c r="AJ99" s="42"/>
      <c r="AK99" s="42"/>
    </row>
    <row r="100" spans="34:37" x14ac:dyDescent="0.35">
      <c r="AH100" s="42"/>
      <c r="AI100" s="43"/>
      <c r="AJ100" s="42"/>
      <c r="AK100" s="42"/>
    </row>
    <row r="101" spans="34:37" x14ac:dyDescent="0.35">
      <c r="AH101" s="42"/>
      <c r="AI101" s="43"/>
      <c r="AJ101" s="42"/>
      <c r="AK101" s="42"/>
    </row>
    <row r="102" spans="34:37" x14ac:dyDescent="0.35">
      <c r="AH102" s="42"/>
      <c r="AI102" s="43"/>
      <c r="AJ102" s="42"/>
      <c r="AK102" s="42"/>
    </row>
    <row r="103" spans="34:37" x14ac:dyDescent="0.35">
      <c r="AH103" s="42"/>
      <c r="AI103" s="43"/>
      <c r="AJ103" s="42"/>
      <c r="AK103" s="42"/>
    </row>
    <row r="104" spans="34:37" x14ac:dyDescent="0.35">
      <c r="AH104" s="42"/>
      <c r="AI104" s="43"/>
      <c r="AJ104" s="42"/>
      <c r="AK104" s="42"/>
    </row>
    <row r="105" spans="34:37" x14ac:dyDescent="0.35">
      <c r="AH105" s="43"/>
      <c r="AI105" s="43"/>
      <c r="AJ105" s="43"/>
      <c r="AK105" s="43"/>
    </row>
  </sheetData>
  <mergeCells count="4">
    <mergeCell ref="A4:AK4"/>
    <mergeCell ref="A5:AK5"/>
    <mergeCell ref="A6:AK6"/>
    <mergeCell ref="D15:AG15"/>
  </mergeCells>
  <printOptions horizontalCentered="1"/>
  <pageMargins left="0" right="0" top="0.5" bottom="0" header="0.5" footer="0.5"/>
  <pageSetup scale="66"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DA5FD-A763-41DC-B203-C82E11CA3CD7}">
  <sheetPr codeName="Sheet8">
    <pageSetUpPr fitToPage="1"/>
  </sheetPr>
  <dimension ref="A1:AK105"/>
  <sheetViews>
    <sheetView zoomScale="90" zoomScaleNormal="90" zoomScaleSheetLayoutView="118" workbookViewId="0">
      <selection activeCell="D18" sqref="D18"/>
    </sheetView>
  </sheetViews>
  <sheetFormatPr defaultColWidth="9.1796875" defaultRowHeight="15.5" x14ac:dyDescent="0.35"/>
  <cols>
    <col min="1" max="1" width="5" style="23" customWidth="1"/>
    <col min="2" max="2" width="17.1796875" style="8" customWidth="1"/>
    <col min="3" max="3" width="7.26953125" style="8" customWidth="1"/>
    <col min="4" max="4" width="13.1796875" style="8" bestFit="1" customWidth="1"/>
    <col min="5" max="5" width="12.81640625" style="8" bestFit="1" customWidth="1"/>
    <col min="6" max="6" width="11" style="8" customWidth="1"/>
    <col min="7" max="7" width="12" style="8" customWidth="1"/>
    <col min="8" max="8" width="12.1796875" style="8" customWidth="1"/>
    <col min="9" max="9" width="11.1796875" style="8" customWidth="1"/>
    <col min="10" max="10" width="11" style="8" hidden="1" customWidth="1"/>
    <col min="11" max="11" width="11.1796875" style="8" hidden="1" customWidth="1"/>
    <col min="12" max="31" width="12.81640625" style="8" hidden="1" customWidth="1"/>
    <col min="32" max="32" width="15.54296875" style="8" bestFit="1" customWidth="1"/>
    <col min="33" max="33" width="11" style="8" bestFit="1" customWidth="1"/>
    <col min="34" max="34" width="15.54296875" style="8" bestFit="1" customWidth="1"/>
    <col min="35" max="35" width="12.54296875" style="8" customWidth="1"/>
    <col min="36" max="36" width="12.54296875" style="8" bestFit="1" customWidth="1"/>
    <col min="37" max="37" width="15.453125" style="8" customWidth="1"/>
    <col min="38" max="16384" width="9.1796875" style="8"/>
  </cols>
  <sheetData>
    <row r="1" spans="1:37" x14ac:dyDescent="0.35">
      <c r="B1" s="11"/>
      <c r="S1" s="9"/>
      <c r="AK1" s="9" t="str">
        <f>'Table of Contents'!F1</f>
        <v>Case No. 2026-00306</v>
      </c>
    </row>
    <row r="2" spans="1:37" x14ac:dyDescent="0.35">
      <c r="B2" s="11"/>
      <c r="S2" s="9"/>
      <c r="AK2" s="9" t="s">
        <v>209</v>
      </c>
    </row>
    <row r="3" spans="1:37" x14ac:dyDescent="0.35">
      <c r="H3" s="9"/>
      <c r="R3" s="103"/>
      <c r="S3" s="103"/>
      <c r="AK3" s="9" t="s">
        <v>210</v>
      </c>
    </row>
    <row r="4" spans="1:37" x14ac:dyDescent="0.35">
      <c r="A4" s="144" t="s">
        <v>12</v>
      </c>
      <c r="B4" s="144"/>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4"/>
      <c r="AJ4" s="144"/>
      <c r="AK4" s="144"/>
    </row>
    <row r="5" spans="1:37" x14ac:dyDescent="0.35">
      <c r="A5" s="144" t="s">
        <v>76</v>
      </c>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row>
    <row r="6" spans="1:37" ht="17.5" x14ac:dyDescent="0.35">
      <c r="A6" s="144" t="s">
        <v>271</v>
      </c>
      <c r="B6" s="144"/>
      <c r="C6" s="144"/>
      <c r="D6" s="144"/>
      <c r="E6" s="144"/>
      <c r="F6" s="144"/>
      <c r="G6" s="144"/>
      <c r="H6" s="144"/>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4"/>
      <c r="AK6" s="144"/>
    </row>
    <row r="7" spans="1:37" x14ac:dyDescent="0.35">
      <c r="B7" s="13"/>
    </row>
    <row r="8" spans="1:37" x14ac:dyDescent="0.35">
      <c r="I8" s="10"/>
      <c r="J8" s="10">
        <v>2022</v>
      </c>
      <c r="K8" s="10">
        <f t="shared" ref="K8:AE8" si="0">+J8+1</f>
        <v>2023</v>
      </c>
      <c r="L8" s="10">
        <f t="shared" si="0"/>
        <v>2024</v>
      </c>
      <c r="M8" s="10">
        <f t="shared" si="0"/>
        <v>2025</v>
      </c>
      <c r="N8" s="10">
        <f t="shared" si="0"/>
        <v>2026</v>
      </c>
      <c r="O8" s="10">
        <f t="shared" si="0"/>
        <v>2027</v>
      </c>
      <c r="P8" s="10">
        <f t="shared" si="0"/>
        <v>2028</v>
      </c>
      <c r="Q8" s="10">
        <f t="shared" si="0"/>
        <v>2029</v>
      </c>
      <c r="R8" s="10">
        <f>+Q8+1</f>
        <v>2030</v>
      </c>
      <c r="S8" s="10">
        <f t="shared" si="0"/>
        <v>2031</v>
      </c>
      <c r="T8" s="10">
        <f t="shared" si="0"/>
        <v>2032</v>
      </c>
      <c r="U8" s="10">
        <f t="shared" si="0"/>
        <v>2033</v>
      </c>
      <c r="V8" s="10">
        <f t="shared" si="0"/>
        <v>2034</v>
      </c>
      <c r="W8" s="10">
        <f t="shared" si="0"/>
        <v>2035</v>
      </c>
      <c r="X8" s="10">
        <f t="shared" si="0"/>
        <v>2036</v>
      </c>
      <c r="Y8" s="10">
        <f t="shared" si="0"/>
        <v>2037</v>
      </c>
      <c r="Z8" s="10">
        <f t="shared" si="0"/>
        <v>2038</v>
      </c>
      <c r="AA8" s="10">
        <f t="shared" si="0"/>
        <v>2039</v>
      </c>
      <c r="AB8" s="10">
        <f t="shared" si="0"/>
        <v>2040</v>
      </c>
      <c r="AC8" s="10">
        <f t="shared" si="0"/>
        <v>2041</v>
      </c>
      <c r="AD8" s="10">
        <f t="shared" si="0"/>
        <v>2042</v>
      </c>
      <c r="AE8" s="10">
        <f t="shared" si="0"/>
        <v>2043</v>
      </c>
      <c r="AF8" s="10" t="s">
        <v>14</v>
      </c>
      <c r="AG8" s="10"/>
      <c r="AI8" s="10"/>
      <c r="AJ8" s="10" t="s">
        <v>47</v>
      </c>
      <c r="AK8" s="10" t="s">
        <v>16</v>
      </c>
    </row>
    <row r="9" spans="1:37" x14ac:dyDescent="0.35">
      <c r="A9" s="10" t="s">
        <v>1</v>
      </c>
      <c r="B9" s="10" t="s">
        <v>73</v>
      </c>
      <c r="D9" s="10">
        <v>2023</v>
      </c>
      <c r="E9" s="10">
        <v>2024</v>
      </c>
      <c r="F9" s="10">
        <v>2025</v>
      </c>
      <c r="G9" s="10">
        <v>2026</v>
      </c>
      <c r="H9" s="10">
        <v>2027</v>
      </c>
      <c r="I9" s="10">
        <v>2028</v>
      </c>
      <c r="J9" s="10" t="s">
        <v>17</v>
      </c>
      <c r="K9" s="10" t="s">
        <v>18</v>
      </c>
      <c r="L9" s="10" t="s">
        <v>26</v>
      </c>
      <c r="M9" s="10" t="s">
        <v>27</v>
      </c>
      <c r="N9" s="10" t="s">
        <v>28</v>
      </c>
      <c r="O9" s="10" t="s">
        <v>29</v>
      </c>
      <c r="P9" s="10" t="s">
        <v>30</v>
      </c>
      <c r="Q9" s="10" t="s">
        <v>31</v>
      </c>
      <c r="R9" s="10" t="s">
        <v>32</v>
      </c>
      <c r="S9" s="10" t="s">
        <v>33</v>
      </c>
      <c r="T9" s="10" t="s">
        <v>34</v>
      </c>
      <c r="U9" s="10" t="s">
        <v>35</v>
      </c>
      <c r="V9" s="10" t="s">
        <v>37</v>
      </c>
      <c r="W9" s="10" t="s">
        <v>38</v>
      </c>
      <c r="X9" s="10" t="s">
        <v>39</v>
      </c>
      <c r="Y9" s="10" t="s">
        <v>40</v>
      </c>
      <c r="Z9" s="10" t="s">
        <v>41</v>
      </c>
      <c r="AA9" s="10" t="s">
        <v>42</v>
      </c>
      <c r="AB9" s="10" t="s">
        <v>43</v>
      </c>
      <c r="AC9" s="10" t="s">
        <v>44</v>
      </c>
      <c r="AD9" s="10" t="s">
        <v>45</v>
      </c>
      <c r="AE9" s="10" t="s">
        <v>46</v>
      </c>
      <c r="AF9" s="10" t="s">
        <v>19</v>
      </c>
      <c r="AG9" s="10" t="s">
        <v>69</v>
      </c>
      <c r="AH9" s="10" t="s">
        <v>15</v>
      </c>
      <c r="AI9" s="10"/>
      <c r="AJ9" s="10" t="s">
        <v>20</v>
      </c>
      <c r="AK9" s="10" t="s">
        <v>21</v>
      </c>
    </row>
    <row r="10" spans="1:37" ht="20" x14ac:dyDescent="0.8">
      <c r="A10" s="13" t="s">
        <v>2</v>
      </c>
      <c r="B10" s="104" t="s">
        <v>72</v>
      </c>
      <c r="C10" s="13" t="s">
        <v>0</v>
      </c>
      <c r="D10" s="13" t="s">
        <v>22</v>
      </c>
      <c r="E10" s="13" t="s">
        <v>22</v>
      </c>
      <c r="F10" s="13" t="s">
        <v>22</v>
      </c>
      <c r="G10" s="13" t="s">
        <v>22</v>
      </c>
      <c r="H10" s="13" t="s">
        <v>22</v>
      </c>
      <c r="I10" s="13" t="s">
        <v>22</v>
      </c>
      <c r="J10" s="13" t="s">
        <v>22</v>
      </c>
      <c r="K10" s="13" t="s">
        <v>22</v>
      </c>
      <c r="L10" s="13" t="s">
        <v>22</v>
      </c>
      <c r="M10" s="13" t="s">
        <v>22</v>
      </c>
      <c r="N10" s="13" t="s">
        <v>22</v>
      </c>
      <c r="O10" s="13" t="s">
        <v>22</v>
      </c>
      <c r="P10" s="13" t="s">
        <v>22</v>
      </c>
      <c r="Q10" s="13" t="s">
        <v>22</v>
      </c>
      <c r="R10" s="13" t="s">
        <v>22</v>
      </c>
      <c r="S10" s="13" t="s">
        <v>22</v>
      </c>
      <c r="T10" s="13" t="s">
        <v>22</v>
      </c>
      <c r="U10" s="13" t="s">
        <v>22</v>
      </c>
      <c r="V10" s="13" t="s">
        <v>22</v>
      </c>
      <c r="W10" s="13" t="s">
        <v>22</v>
      </c>
      <c r="X10" s="13" t="s">
        <v>22</v>
      </c>
      <c r="Y10" s="13" t="s">
        <v>22</v>
      </c>
      <c r="Z10" s="13" t="s">
        <v>22</v>
      </c>
      <c r="AA10" s="13" t="s">
        <v>22</v>
      </c>
      <c r="AB10" s="13" t="s">
        <v>22</v>
      </c>
      <c r="AC10" s="13" t="s">
        <v>22</v>
      </c>
      <c r="AD10" s="13" t="s">
        <v>22</v>
      </c>
      <c r="AE10" s="13" t="s">
        <v>22</v>
      </c>
      <c r="AF10" s="13" t="s">
        <v>23</v>
      </c>
      <c r="AG10" s="13" t="s">
        <v>70</v>
      </c>
      <c r="AH10" s="13" t="s">
        <v>23</v>
      </c>
      <c r="AI10" s="13" t="s">
        <v>24</v>
      </c>
      <c r="AJ10" s="116" t="s">
        <v>100</v>
      </c>
      <c r="AK10" s="13" t="s">
        <v>25</v>
      </c>
    </row>
    <row r="11" spans="1:37" x14ac:dyDescent="0.35">
      <c r="A11" s="13"/>
      <c r="B11" s="106" t="s">
        <v>220</v>
      </c>
      <c r="C11" s="10" t="s">
        <v>221</v>
      </c>
      <c r="D11" s="106" t="s">
        <v>222</v>
      </c>
      <c r="E11" s="106" t="s">
        <v>223</v>
      </c>
      <c r="F11" s="106" t="s">
        <v>224</v>
      </c>
      <c r="G11" s="106" t="s">
        <v>225</v>
      </c>
      <c r="H11" s="106" t="s">
        <v>226</v>
      </c>
      <c r="I11" s="106" t="s">
        <v>227</v>
      </c>
      <c r="J11" s="106" t="e">
        <f t="shared" ref="J11:AE11" si="1">+I11-1</f>
        <v>#VALUE!</v>
      </c>
      <c r="K11" s="106" t="e">
        <f t="shared" si="1"/>
        <v>#VALUE!</v>
      </c>
      <c r="L11" s="106" t="e">
        <f t="shared" si="1"/>
        <v>#VALUE!</v>
      </c>
      <c r="M11" s="106" t="e">
        <f t="shared" si="1"/>
        <v>#VALUE!</v>
      </c>
      <c r="N11" s="106" t="e">
        <f t="shared" si="1"/>
        <v>#VALUE!</v>
      </c>
      <c r="O11" s="106" t="e">
        <f t="shared" si="1"/>
        <v>#VALUE!</v>
      </c>
      <c r="P11" s="106" t="e">
        <f t="shared" si="1"/>
        <v>#VALUE!</v>
      </c>
      <c r="Q11" s="106" t="e">
        <f t="shared" si="1"/>
        <v>#VALUE!</v>
      </c>
      <c r="R11" s="106" t="e">
        <f>+Q11-1</f>
        <v>#VALUE!</v>
      </c>
      <c r="S11" s="106" t="e">
        <f t="shared" si="1"/>
        <v>#VALUE!</v>
      </c>
      <c r="T11" s="106" t="e">
        <f t="shared" si="1"/>
        <v>#VALUE!</v>
      </c>
      <c r="U11" s="106" t="e">
        <f t="shared" si="1"/>
        <v>#VALUE!</v>
      </c>
      <c r="V11" s="106" t="e">
        <f t="shared" si="1"/>
        <v>#VALUE!</v>
      </c>
      <c r="W11" s="106" t="e">
        <f t="shared" si="1"/>
        <v>#VALUE!</v>
      </c>
      <c r="X11" s="106" t="e">
        <f t="shared" si="1"/>
        <v>#VALUE!</v>
      </c>
      <c r="Y11" s="106" t="e">
        <f t="shared" si="1"/>
        <v>#VALUE!</v>
      </c>
      <c r="Z11" s="106" t="e">
        <f t="shared" si="1"/>
        <v>#VALUE!</v>
      </c>
      <c r="AA11" s="106" t="e">
        <f t="shared" si="1"/>
        <v>#VALUE!</v>
      </c>
      <c r="AB11" s="106" t="e">
        <f t="shared" si="1"/>
        <v>#VALUE!</v>
      </c>
      <c r="AC11" s="106" t="e">
        <f t="shared" si="1"/>
        <v>#VALUE!</v>
      </c>
      <c r="AD11" s="106" t="e">
        <f t="shared" si="1"/>
        <v>#VALUE!</v>
      </c>
      <c r="AE11" s="106" t="e">
        <f t="shared" si="1"/>
        <v>#VALUE!</v>
      </c>
      <c r="AF11" s="106" t="s">
        <v>228</v>
      </c>
      <c r="AG11" s="106" t="s">
        <v>229</v>
      </c>
      <c r="AH11" s="106" t="s">
        <v>230</v>
      </c>
      <c r="AI11" s="106" t="s">
        <v>231</v>
      </c>
      <c r="AJ11" s="106" t="s">
        <v>232</v>
      </c>
      <c r="AK11" s="106" t="s">
        <v>233</v>
      </c>
    </row>
    <row r="12" spans="1:37" x14ac:dyDescent="0.35">
      <c r="A12" s="13"/>
      <c r="B12" s="78"/>
      <c r="C12" s="10"/>
      <c r="D12" s="107" t="s">
        <v>13</v>
      </c>
      <c r="E12" s="107" t="s">
        <v>13</v>
      </c>
      <c r="F12" s="107" t="s">
        <v>13</v>
      </c>
      <c r="G12" s="107" t="s">
        <v>13</v>
      </c>
      <c r="H12" s="107" t="s">
        <v>13</v>
      </c>
      <c r="I12" s="107" t="s">
        <v>13</v>
      </c>
      <c r="J12" s="107" t="s">
        <v>13</v>
      </c>
      <c r="K12" s="107" t="s">
        <v>13</v>
      </c>
      <c r="L12" s="107" t="s">
        <v>13</v>
      </c>
      <c r="M12" s="107" t="s">
        <v>13</v>
      </c>
      <c r="N12" s="107" t="s">
        <v>13</v>
      </c>
      <c r="O12" s="107" t="s">
        <v>13</v>
      </c>
      <c r="P12" s="107" t="s">
        <v>13</v>
      </c>
      <c r="Q12" s="107" t="s">
        <v>13</v>
      </c>
      <c r="R12" s="107" t="s">
        <v>13</v>
      </c>
      <c r="S12" s="107" t="s">
        <v>13</v>
      </c>
      <c r="T12" s="107" t="s">
        <v>13</v>
      </c>
      <c r="U12" s="107" t="s">
        <v>13</v>
      </c>
      <c r="V12" s="107" t="s">
        <v>13</v>
      </c>
      <c r="W12" s="107" t="s">
        <v>13</v>
      </c>
      <c r="X12" s="107" t="s">
        <v>13</v>
      </c>
      <c r="Y12" s="107" t="s">
        <v>13</v>
      </c>
      <c r="Z12" s="107" t="s">
        <v>13</v>
      </c>
      <c r="AA12" s="107" t="s">
        <v>13</v>
      </c>
      <c r="AB12" s="107" t="s">
        <v>13</v>
      </c>
      <c r="AC12" s="107" t="s">
        <v>13</v>
      </c>
      <c r="AD12" s="107" t="s">
        <v>13</v>
      </c>
      <c r="AE12" s="107" t="s">
        <v>13</v>
      </c>
      <c r="AF12" s="107" t="s">
        <v>13</v>
      </c>
      <c r="AG12" s="10" t="s">
        <v>13</v>
      </c>
      <c r="AH12" s="107" t="s">
        <v>13</v>
      </c>
      <c r="AI12" s="107" t="s">
        <v>13</v>
      </c>
      <c r="AJ12" s="107" t="s">
        <v>13</v>
      </c>
      <c r="AK12" s="107" t="s">
        <v>13</v>
      </c>
    </row>
    <row r="13" spans="1:37" x14ac:dyDescent="0.35">
      <c r="A13" s="13"/>
      <c r="B13" s="108"/>
      <c r="C13" s="109"/>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row>
    <row r="14" spans="1:37" ht="17" x14ac:dyDescent="0.5">
      <c r="A14" s="23">
        <v>1</v>
      </c>
      <c r="B14" s="8" t="s">
        <v>96</v>
      </c>
      <c r="C14" s="109"/>
      <c r="D14" s="111">
        <f>'5.0 Depr Expense'!Q23+'5.0 Depr Expense'!Q43+'5.0 Depr Expense'!Q53</f>
        <v>85582.380000000019</v>
      </c>
      <c r="E14" s="111">
        <f>'5.0 Depr Expense'!Q107+'5.0 Depr Expense'!Q127+'5.0 Depr Expense'!Q137</f>
        <v>673763.54</v>
      </c>
      <c r="F14" s="111">
        <f>'5.0 Depr Expense'!Q180+'5.0 Depr Expense'!Q200+'5.0 Depr Expense'!Q210</f>
        <v>902210.16999999993</v>
      </c>
      <c r="G14" s="111">
        <f>'5.0 Depr Expense'!Q261+'5.0 Depr Expense'!Q281+'5.0 Depr Expense'!Q291</f>
        <v>773218.57142857136</v>
      </c>
      <c r="H14" s="111">
        <f>'5.0 Depr Expense'!Q342+'5.0 Depr Expense'!Q362+'5.0 Depr Expense'!Q372</f>
        <v>773218.57142857136</v>
      </c>
      <c r="I14" s="111">
        <v>0</v>
      </c>
      <c r="J14" s="111" t="e">
        <f>#REF!+#REF!</f>
        <v>#REF!</v>
      </c>
      <c r="K14" s="111" t="e">
        <f>#REF!+#REF!</f>
        <v>#REF!</v>
      </c>
      <c r="L14" s="111" t="e">
        <f>#REF!+#REF!</f>
        <v>#REF!</v>
      </c>
      <c r="M14" s="111" t="e">
        <f>#REF!+#REF!</f>
        <v>#REF!</v>
      </c>
      <c r="N14" s="111" t="e">
        <f>#REF!+#REF!</f>
        <v>#REF!</v>
      </c>
      <c r="O14" s="111" t="e">
        <f>#REF!+#REF!</f>
        <v>#REF!</v>
      </c>
      <c r="P14" s="111" t="e">
        <f>#REF!+#REF!</f>
        <v>#REF!</v>
      </c>
      <c r="Q14" s="111" t="e">
        <f>#REF!+#REF!</f>
        <v>#REF!</v>
      </c>
      <c r="R14" s="111" t="e">
        <f>#REF!+#REF!</f>
        <v>#REF!</v>
      </c>
      <c r="S14" s="111" t="e">
        <f>#REF!+#REF!</f>
        <v>#REF!</v>
      </c>
      <c r="T14" s="111" t="e">
        <f>#REF!+#REF!</f>
        <v>#REF!</v>
      </c>
      <c r="U14" s="111" t="e">
        <f>#REF!+#REF!</f>
        <v>#REF!</v>
      </c>
      <c r="V14" s="111" t="e">
        <f>#REF!+#REF!</f>
        <v>#REF!</v>
      </c>
      <c r="W14" s="111" t="e">
        <f>#REF!+#REF!</f>
        <v>#REF!</v>
      </c>
      <c r="X14" s="111" t="e">
        <f>#REF!+#REF!</f>
        <v>#REF!</v>
      </c>
      <c r="Y14" s="111" t="e">
        <f>#REF!+#REF!</f>
        <v>#REF!</v>
      </c>
      <c r="Z14" s="111" t="e">
        <f>#REF!+#REF!</f>
        <v>#REF!</v>
      </c>
      <c r="AA14" s="111" t="e">
        <f>#REF!+#REF!</f>
        <v>#REF!</v>
      </c>
      <c r="AB14" s="111" t="e">
        <f>#REF!+#REF!</f>
        <v>#REF!</v>
      </c>
      <c r="AC14" s="111" t="e">
        <f>#REF!+#REF!</f>
        <v>#REF!</v>
      </c>
      <c r="AD14" s="111" t="e">
        <f>#REF!+#REF!</f>
        <v>#REF!</v>
      </c>
      <c r="AE14" s="111" t="e">
        <f>#REF!+#REF!</f>
        <v>#REF!</v>
      </c>
      <c r="AH14" s="43"/>
    </row>
    <row r="15" spans="1:37" ht="13.5" customHeight="1" x14ac:dyDescent="0.35">
      <c r="A15" s="13"/>
      <c r="B15" s="108"/>
      <c r="C15" s="109"/>
      <c r="D15" s="144"/>
      <c r="E15" s="144"/>
      <c r="F15" s="144"/>
      <c r="G15" s="144"/>
      <c r="H15" s="144"/>
      <c r="I15" s="144"/>
      <c r="J15" s="144"/>
      <c r="K15" s="144"/>
      <c r="L15" s="144"/>
      <c r="M15" s="144"/>
      <c r="N15" s="144"/>
      <c r="O15" s="144"/>
      <c r="P15" s="144"/>
      <c r="Q15" s="144"/>
      <c r="R15" s="144"/>
      <c r="S15" s="144"/>
      <c r="T15" s="144"/>
      <c r="U15" s="144"/>
      <c r="V15" s="144"/>
      <c r="W15" s="144"/>
      <c r="X15" s="144"/>
      <c r="Y15" s="144"/>
      <c r="Z15" s="144"/>
      <c r="AA15" s="144"/>
      <c r="AB15" s="144"/>
      <c r="AC15" s="144"/>
      <c r="AD15" s="144"/>
      <c r="AE15" s="144"/>
      <c r="AF15" s="144"/>
      <c r="AG15" s="144"/>
    </row>
    <row r="16" spans="1:37" ht="13.5" customHeight="1" x14ac:dyDescent="0.35">
      <c r="A16" s="23">
        <f>A14+1</f>
        <v>2</v>
      </c>
      <c r="B16" s="110" t="s">
        <v>97</v>
      </c>
      <c r="C16" s="109"/>
      <c r="D16" s="112">
        <f t="shared" ref="D16:I16" si="2">D55+D54</f>
        <v>4.0099999999999997E-2</v>
      </c>
      <c r="E16" s="112">
        <f t="shared" si="2"/>
        <v>4.0099999999999997E-2</v>
      </c>
      <c r="F16" s="112">
        <f t="shared" si="2"/>
        <v>4.0099999999999997E-2</v>
      </c>
      <c r="G16" s="112">
        <f t="shared" si="2"/>
        <v>4.0099999999999997E-2</v>
      </c>
      <c r="H16" s="112">
        <f t="shared" si="2"/>
        <v>4.0099999999999997E-2</v>
      </c>
      <c r="I16" s="112">
        <f t="shared" si="2"/>
        <v>4.0099999999999997E-2</v>
      </c>
      <c r="J16" s="10"/>
      <c r="K16" s="10"/>
      <c r="L16" s="10"/>
      <c r="M16" s="10"/>
      <c r="N16" s="10"/>
      <c r="O16" s="10"/>
      <c r="P16" s="10"/>
      <c r="Q16" s="10"/>
      <c r="R16" s="10"/>
      <c r="S16" s="10"/>
      <c r="T16" s="10"/>
      <c r="U16" s="10"/>
      <c r="V16" s="10"/>
      <c r="W16" s="10"/>
      <c r="X16" s="10"/>
      <c r="Y16" s="10"/>
      <c r="Z16" s="10"/>
      <c r="AA16" s="10"/>
      <c r="AB16" s="10"/>
      <c r="AC16" s="10"/>
      <c r="AD16" s="10"/>
      <c r="AE16" s="10"/>
      <c r="AF16" s="10"/>
      <c r="AG16" s="10"/>
    </row>
    <row r="17" spans="1:37" ht="13.5" customHeight="1" x14ac:dyDescent="0.35">
      <c r="B17" s="110"/>
      <c r="C17" s="109"/>
      <c r="D17" s="112"/>
      <c r="E17" s="112"/>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row>
    <row r="18" spans="1:37" x14ac:dyDescent="0.35">
      <c r="A18" s="23">
        <f>A16+1</f>
        <v>3</v>
      </c>
      <c r="B18" s="113">
        <v>3.7500000000000089E-2</v>
      </c>
      <c r="C18" s="23">
        <v>1</v>
      </c>
      <c r="D18" s="42">
        <f>ROUND((D$14)*$D$16,0)+ROUND(($D$14-($D$14*$D$16))*B18,0)</f>
        <v>6513</v>
      </c>
      <c r="AF18" s="42">
        <f>SUM(D18:G18)</f>
        <v>6513</v>
      </c>
      <c r="AG18" s="42">
        <f>SUM('4.0 Accumulated Depr'!D35:O35)+SUM('4.0 Accumulated Depr'!D37:O38)</f>
        <v>53762.03</v>
      </c>
      <c r="AH18" s="42">
        <f>'5.0 Depr Expense'!Q30+'5.0 Depr Expense'!Q50+'5.0 Depr Expense'!Q60</f>
        <v>-4259.9369999999999</v>
      </c>
      <c r="AI18" s="43">
        <f>AF18+AG18-AH18</f>
        <v>64534.966999999997</v>
      </c>
      <c r="AJ18" s="42">
        <f>ROUND(0.2495*AI18,0)</f>
        <v>16101</v>
      </c>
      <c r="AK18" s="42">
        <f>+AJ18</f>
        <v>16101</v>
      </c>
    </row>
    <row r="19" spans="1:37" x14ac:dyDescent="0.35">
      <c r="A19" s="23">
        <f>A18+1</f>
        <v>4</v>
      </c>
      <c r="B19" s="113">
        <v>7.2190000000000004E-2</v>
      </c>
      <c r="C19" s="23">
        <f>+C18+1</f>
        <v>2</v>
      </c>
      <c r="D19" s="42">
        <f>ROUND(($D$14-($D$14*$D$16))*B19,0)</f>
        <v>5930</v>
      </c>
      <c r="E19" s="42">
        <f>ROUND((E$14)*$E$16,0)+ROUND(($E$14-($E$14*$E$16))*B18,0)</f>
        <v>51271</v>
      </c>
      <c r="AF19" s="42">
        <f>SUM(D19:G19)</f>
        <v>57201</v>
      </c>
      <c r="AG19" s="42">
        <f>SUM('4.0 Accumulated Depr'!D116:O116)+SUM('4.0 Accumulated Depr'!D118:O119)</f>
        <v>3161.3599999999997</v>
      </c>
      <c r="AH19" s="42">
        <f>'5.0 Depr Expense'!Q114+'5.0 Depr Expense'!Q134+'5.0 Depr Expense'!Q144</f>
        <v>-4097.8600000000006</v>
      </c>
      <c r="AI19" s="43">
        <f>AF19+AG19-AH19</f>
        <v>64460.22</v>
      </c>
      <c r="AJ19" s="42">
        <f>ROUND(0.2495*AI19,0)</f>
        <v>16083</v>
      </c>
      <c r="AK19" s="42">
        <f>+AK18+AJ19</f>
        <v>32184</v>
      </c>
    </row>
    <row r="20" spans="1:37" x14ac:dyDescent="0.35">
      <c r="A20" s="23">
        <f t="shared" ref="A20:A43" si="3">A19+1</f>
        <v>5</v>
      </c>
      <c r="B20" s="113">
        <v>6.6769999999999996E-2</v>
      </c>
      <c r="C20" s="23">
        <f t="shared" ref="C20:C41" si="4">+C19+1</f>
        <v>3</v>
      </c>
      <c r="D20" s="42">
        <f t="shared" ref="D20:D37" si="5">ROUND(($D$14-($D$14*$D$16))*B20,0)</f>
        <v>5485</v>
      </c>
      <c r="E20" s="42">
        <f t="shared" ref="E20:E38" si="6">ROUND(($E$14-($E$14*$E$16))*B19,0)</f>
        <v>46689</v>
      </c>
      <c r="F20" s="42">
        <f>ROUND((F$14)*F$16,0)+ROUND((F$14-(F$14*F$16))*$B18,0)</f>
        <v>68655</v>
      </c>
      <c r="AF20" s="42">
        <f>SUM(D20:G20)</f>
        <v>120829</v>
      </c>
      <c r="AG20" s="42">
        <f>SUM('4.0 Accumulated Depr'!D197:O197)+SUM('4.0 Accumulated Depr'!D199:O200)</f>
        <v>13137.220000000001</v>
      </c>
      <c r="AH20" s="42">
        <f>'5.0 Depr Expense'!Q187+'5.0 Depr Expense'!Q207+'5.0 Depr Expense'!Q217</f>
        <v>4171.7420000000002</v>
      </c>
      <c r="AI20" s="43">
        <f>AF20+AG20-AH20</f>
        <v>129794.478</v>
      </c>
      <c r="AJ20" s="42">
        <f>ROUND(0.2495*AI20,0)</f>
        <v>32384</v>
      </c>
      <c r="AK20" s="42">
        <f>+AK19+AJ20</f>
        <v>64568</v>
      </c>
    </row>
    <row r="21" spans="1:37" x14ac:dyDescent="0.35">
      <c r="A21" s="23">
        <f t="shared" si="3"/>
        <v>6</v>
      </c>
      <c r="B21" s="113">
        <v>6.1769999999999999E-2</v>
      </c>
      <c r="C21" s="23">
        <f t="shared" si="4"/>
        <v>4</v>
      </c>
      <c r="D21" s="42">
        <f t="shared" si="5"/>
        <v>5074</v>
      </c>
      <c r="E21" s="42">
        <f t="shared" si="6"/>
        <v>43183</v>
      </c>
      <c r="F21" s="42">
        <f>ROUND((F$14-(F$14*F$16))*$B19,0)</f>
        <v>62519</v>
      </c>
      <c r="G21" s="42">
        <f>ROUND((G$14)*G$16,0)+ROUND((G$14-(G$14*G$16))*$B18,0)</f>
        <v>58839</v>
      </c>
      <c r="H21" s="42"/>
      <c r="AF21" s="42">
        <f>SUM(D21:H21)</f>
        <v>169615</v>
      </c>
      <c r="AG21" s="42">
        <f>SUM('4.0 Accumulated Depr'!D278:O278)+SUM('4.0 Accumulated Depr'!D280:O281)</f>
        <v>28461.695</v>
      </c>
      <c r="AH21" s="42">
        <f>'5.0 Depr Expense'!Q268+'5.0 Depr Expense'!Q288+'5.0 Depr Expense'!Q298</f>
        <v>21926.573999999997</v>
      </c>
      <c r="AI21" s="43">
        <f>AF21+AG21-AH21</f>
        <v>176150.12100000001</v>
      </c>
      <c r="AJ21" s="42">
        <f>ROUND(0.2495*AI21,0)</f>
        <v>43949</v>
      </c>
      <c r="AK21" s="42">
        <f>+AK20+AJ21</f>
        <v>108517</v>
      </c>
    </row>
    <row r="22" spans="1:37" x14ac:dyDescent="0.35">
      <c r="A22" s="23">
        <f t="shared" si="3"/>
        <v>7</v>
      </c>
      <c r="B22" s="113">
        <v>5.713E-2</v>
      </c>
      <c r="C22" s="23">
        <f t="shared" si="4"/>
        <v>5</v>
      </c>
      <c r="D22" s="42">
        <f t="shared" si="5"/>
        <v>4693</v>
      </c>
      <c r="E22" s="42">
        <f t="shared" si="6"/>
        <v>39949</v>
      </c>
      <c r="F22" s="42">
        <f t="shared" ref="F22:F40" si="7">ROUND(($F$14-($F$14*$F$16))*B20,0)</f>
        <v>57825</v>
      </c>
      <c r="G22" s="42">
        <f>ROUND((G$14-(G$14*G$16))*$B19,0)</f>
        <v>53580</v>
      </c>
      <c r="H22" s="42">
        <f>ROUND((H$14)*H$16,0)+ROUND((H$14-(H$14*H$16))*$B18,0)</f>
        <v>58839</v>
      </c>
      <c r="I22" s="42">
        <f>ROUND((I$14)*I$16,0)+ROUND((I$14-(I$14*I$16))*$B18,0)</f>
        <v>0</v>
      </c>
      <c r="AF22" s="42">
        <f>SUM(D22:I22)</f>
        <v>214886</v>
      </c>
      <c r="AG22" s="42">
        <f>'4.0 Accumulated Depr'!P359-'4.0 Accumulated Depr'!C359+'4.0 Accumulated Depr'!P361-'4.0 Accumulated Depr'!C361+'4.0 Accumulated Depr'!P362-'4.0 Accumulated Depr'!C362</f>
        <v>28461.694999999978</v>
      </c>
      <c r="AH22" s="42">
        <f>'5.0 Depr Expense'!Q349+'5.0 Depr Expense'!Q369+'5.0 Depr Expense'!Q379</f>
        <v>30320.56900000001</v>
      </c>
      <c r="AI22" s="43">
        <f>AF22+AG22-AH22</f>
        <v>213027.12599999996</v>
      </c>
      <c r="AJ22" s="42">
        <f>ROUND(0.2495*AI22,0)</f>
        <v>53150</v>
      </c>
      <c r="AK22" s="42">
        <f>+AK21+AJ22</f>
        <v>161667</v>
      </c>
    </row>
    <row r="23" spans="1:37" x14ac:dyDescent="0.35">
      <c r="A23" s="23">
        <f t="shared" si="3"/>
        <v>8</v>
      </c>
      <c r="B23" s="113">
        <v>5.2850000000000001E-2</v>
      </c>
      <c r="C23" s="23">
        <f t="shared" si="4"/>
        <v>6</v>
      </c>
      <c r="D23" s="42">
        <f t="shared" si="5"/>
        <v>4342</v>
      </c>
      <c r="E23" s="42">
        <f t="shared" si="6"/>
        <v>36949</v>
      </c>
      <c r="F23" s="42">
        <f t="shared" si="7"/>
        <v>53495</v>
      </c>
      <c r="G23" s="42">
        <f>ROUND(($F$14-($F$14*$F$16))*B20,0)</f>
        <v>57825</v>
      </c>
      <c r="H23" s="42">
        <f>ROUND((H$14-(H$14*H$16))*$B19,0)</f>
        <v>53580</v>
      </c>
      <c r="I23" s="42">
        <f>ROUND((I$14-(I$14*I$16))*$B19,0)</f>
        <v>0</v>
      </c>
      <c r="AF23" s="42">
        <f t="shared" ref="AF23:AF42" si="8">SUM(D23:I23)</f>
        <v>206191</v>
      </c>
      <c r="AG23" s="42"/>
      <c r="AH23" s="42"/>
      <c r="AI23" s="43"/>
      <c r="AJ23" s="42"/>
      <c r="AK23" s="42"/>
    </row>
    <row r="24" spans="1:37" x14ac:dyDescent="0.35">
      <c r="A24" s="23">
        <f t="shared" si="3"/>
        <v>9</v>
      </c>
      <c r="B24" s="113">
        <v>4.888E-2</v>
      </c>
      <c r="C24" s="23">
        <f t="shared" si="4"/>
        <v>7</v>
      </c>
      <c r="D24" s="42">
        <f t="shared" si="5"/>
        <v>4016</v>
      </c>
      <c r="E24" s="42">
        <f t="shared" si="6"/>
        <v>34181</v>
      </c>
      <c r="F24" s="42">
        <f t="shared" si="7"/>
        <v>49476</v>
      </c>
      <c r="G24" s="42">
        <f t="shared" ref="G24:G41" si="9">ROUND(($F$14-($F$14*$F$16))*B21,0)</f>
        <v>53495</v>
      </c>
      <c r="H24" s="42">
        <f t="shared" ref="H24:H42" si="10">ROUND((H$14-(H$14*H$16))*$B20,0)</f>
        <v>49558</v>
      </c>
      <c r="I24" s="42">
        <f t="shared" ref="I24:I42" si="11">ROUND((I$14-(I$14*I$16))*$B20,0)</f>
        <v>0</v>
      </c>
      <c r="AF24" s="42">
        <f t="shared" si="8"/>
        <v>190726</v>
      </c>
      <c r="AG24" s="42"/>
      <c r="AH24" s="42"/>
      <c r="AI24" s="43"/>
      <c r="AJ24" s="42"/>
      <c r="AK24" s="42"/>
    </row>
    <row r="25" spans="1:37" x14ac:dyDescent="0.35">
      <c r="A25" s="23">
        <f t="shared" si="3"/>
        <v>10</v>
      </c>
      <c r="B25" s="113">
        <v>4.5220000000000003E-2</v>
      </c>
      <c r="C25" s="23">
        <f t="shared" si="4"/>
        <v>8</v>
      </c>
      <c r="D25" s="42">
        <f t="shared" si="5"/>
        <v>3715</v>
      </c>
      <c r="E25" s="42">
        <f t="shared" si="6"/>
        <v>31613</v>
      </c>
      <c r="F25" s="42">
        <f t="shared" si="7"/>
        <v>45770</v>
      </c>
      <c r="G25" s="42">
        <f t="shared" si="9"/>
        <v>49476</v>
      </c>
      <c r="H25" s="42">
        <f t="shared" si="10"/>
        <v>45846</v>
      </c>
      <c r="I25" s="42">
        <f t="shared" si="11"/>
        <v>0</v>
      </c>
      <c r="AF25" s="42">
        <f t="shared" si="8"/>
        <v>176420</v>
      </c>
      <c r="AG25" s="42"/>
      <c r="AH25" s="42"/>
      <c r="AI25" s="43"/>
      <c r="AJ25" s="42"/>
      <c r="AK25" s="42"/>
    </row>
    <row r="26" spans="1:37" x14ac:dyDescent="0.35">
      <c r="A26" s="23">
        <f t="shared" si="3"/>
        <v>11</v>
      </c>
      <c r="B26" s="113">
        <v>4.462E-2</v>
      </c>
      <c r="C26" s="23">
        <f t="shared" si="4"/>
        <v>9</v>
      </c>
      <c r="D26" s="42">
        <f t="shared" si="5"/>
        <v>3666</v>
      </c>
      <c r="E26" s="42">
        <f t="shared" si="6"/>
        <v>29246</v>
      </c>
      <c r="F26" s="42">
        <f t="shared" si="7"/>
        <v>42332</v>
      </c>
      <c r="G26" s="42">
        <f t="shared" si="9"/>
        <v>45770</v>
      </c>
      <c r="H26" s="42">
        <f t="shared" si="10"/>
        <v>42403</v>
      </c>
      <c r="I26" s="42">
        <f t="shared" si="11"/>
        <v>0</v>
      </c>
      <c r="J26" s="42"/>
      <c r="AF26" s="42">
        <f t="shared" si="8"/>
        <v>163417</v>
      </c>
      <c r="AG26" s="42"/>
      <c r="AH26" s="42"/>
      <c r="AI26" s="43"/>
      <c r="AJ26" s="42"/>
      <c r="AK26" s="42"/>
    </row>
    <row r="27" spans="1:37" x14ac:dyDescent="0.35">
      <c r="A27" s="23">
        <f t="shared" si="3"/>
        <v>12</v>
      </c>
      <c r="B27" s="113">
        <v>4.4609999999999997E-2</v>
      </c>
      <c r="C27" s="23">
        <f t="shared" si="4"/>
        <v>10</v>
      </c>
      <c r="D27" s="42">
        <f t="shared" si="5"/>
        <v>3665</v>
      </c>
      <c r="E27" s="42">
        <f t="shared" si="6"/>
        <v>28858</v>
      </c>
      <c r="F27" s="42">
        <f t="shared" si="7"/>
        <v>39162</v>
      </c>
      <c r="G27" s="42">
        <f t="shared" si="9"/>
        <v>42332</v>
      </c>
      <c r="H27" s="42">
        <f t="shared" si="10"/>
        <v>39226</v>
      </c>
      <c r="I27" s="42">
        <f t="shared" si="11"/>
        <v>0</v>
      </c>
      <c r="J27" s="42"/>
      <c r="K27" s="42"/>
      <c r="AF27" s="42">
        <f t="shared" si="8"/>
        <v>153243</v>
      </c>
      <c r="AG27" s="42"/>
      <c r="AH27" s="42"/>
      <c r="AI27" s="43"/>
      <c r="AJ27" s="42"/>
      <c r="AK27" s="42"/>
    </row>
    <row r="28" spans="1:37" x14ac:dyDescent="0.35">
      <c r="A28" s="23">
        <f t="shared" si="3"/>
        <v>13</v>
      </c>
      <c r="B28" s="113">
        <v>4.462E-2</v>
      </c>
      <c r="C28" s="23">
        <f t="shared" si="4"/>
        <v>11</v>
      </c>
      <c r="D28" s="42">
        <f t="shared" si="5"/>
        <v>3666</v>
      </c>
      <c r="E28" s="42">
        <f t="shared" si="6"/>
        <v>28851</v>
      </c>
      <c r="F28" s="42">
        <f t="shared" si="7"/>
        <v>38642</v>
      </c>
      <c r="G28" s="42">
        <f t="shared" si="9"/>
        <v>39162</v>
      </c>
      <c r="H28" s="42">
        <f t="shared" si="10"/>
        <v>36279</v>
      </c>
      <c r="I28" s="42">
        <f t="shared" si="11"/>
        <v>0</v>
      </c>
      <c r="J28" s="42"/>
      <c r="K28" s="42"/>
      <c r="L28" s="42"/>
      <c r="N28" s="42"/>
      <c r="O28" s="42"/>
      <c r="P28" s="42"/>
      <c r="Q28" s="42"/>
      <c r="R28" s="42"/>
      <c r="S28" s="42"/>
      <c r="T28" s="42"/>
      <c r="U28" s="42"/>
      <c r="V28" s="42"/>
      <c r="W28" s="42"/>
      <c r="X28" s="42"/>
      <c r="Y28" s="42"/>
      <c r="Z28" s="42"/>
      <c r="AA28" s="42"/>
      <c r="AB28" s="42"/>
      <c r="AC28" s="42"/>
      <c r="AD28" s="42"/>
      <c r="AE28" s="42"/>
      <c r="AF28" s="42">
        <f t="shared" si="8"/>
        <v>146600</v>
      </c>
      <c r="AG28" s="42"/>
      <c r="AH28" s="42"/>
      <c r="AI28" s="43"/>
      <c r="AJ28" s="42"/>
      <c r="AK28" s="42"/>
    </row>
    <row r="29" spans="1:37" x14ac:dyDescent="0.35">
      <c r="A29" s="23">
        <f t="shared" si="3"/>
        <v>14</v>
      </c>
      <c r="B29" s="113">
        <v>4.4609999999999997E-2</v>
      </c>
      <c r="C29" s="23">
        <f t="shared" si="4"/>
        <v>12</v>
      </c>
      <c r="D29" s="42">
        <f t="shared" si="5"/>
        <v>3665</v>
      </c>
      <c r="E29" s="42">
        <f t="shared" si="6"/>
        <v>28858</v>
      </c>
      <c r="F29" s="42">
        <f t="shared" si="7"/>
        <v>38634</v>
      </c>
      <c r="G29" s="42">
        <f t="shared" si="9"/>
        <v>38642</v>
      </c>
      <c r="H29" s="42">
        <f t="shared" si="10"/>
        <v>33563</v>
      </c>
      <c r="I29" s="42">
        <f t="shared" si="11"/>
        <v>0</v>
      </c>
      <c r="J29" s="42"/>
      <c r="K29" s="42"/>
      <c r="L29" s="42"/>
      <c r="M29" s="42"/>
      <c r="O29" s="42"/>
      <c r="P29" s="42"/>
      <c r="Q29" s="42"/>
      <c r="R29" s="42"/>
      <c r="S29" s="42"/>
      <c r="T29" s="42"/>
      <c r="U29" s="42"/>
      <c r="V29" s="42"/>
      <c r="W29" s="42"/>
      <c r="X29" s="42"/>
      <c r="Y29" s="42"/>
      <c r="Z29" s="42"/>
      <c r="AA29" s="42"/>
      <c r="AB29" s="42"/>
      <c r="AC29" s="42"/>
      <c r="AD29" s="42"/>
      <c r="AE29" s="42"/>
      <c r="AF29" s="42">
        <f t="shared" si="8"/>
        <v>143362</v>
      </c>
      <c r="AG29" s="42"/>
      <c r="AH29" s="42"/>
      <c r="AI29" s="43"/>
      <c r="AJ29" s="42"/>
      <c r="AK29" s="42"/>
    </row>
    <row r="30" spans="1:37" x14ac:dyDescent="0.35">
      <c r="A30" s="23">
        <f t="shared" si="3"/>
        <v>15</v>
      </c>
      <c r="B30" s="113">
        <v>4.462E-2</v>
      </c>
      <c r="C30" s="23">
        <f t="shared" si="4"/>
        <v>13</v>
      </c>
      <c r="D30" s="42">
        <f t="shared" si="5"/>
        <v>3666</v>
      </c>
      <c r="E30" s="42">
        <f t="shared" si="6"/>
        <v>28851</v>
      </c>
      <c r="F30" s="42">
        <f t="shared" si="7"/>
        <v>38642</v>
      </c>
      <c r="G30" s="42">
        <f t="shared" si="9"/>
        <v>38634</v>
      </c>
      <c r="H30" s="42">
        <f t="shared" si="10"/>
        <v>33118</v>
      </c>
      <c r="I30" s="42">
        <f t="shared" si="11"/>
        <v>0</v>
      </c>
      <c r="J30" s="42"/>
      <c r="K30" s="42"/>
      <c r="L30" s="42"/>
      <c r="M30" s="42"/>
      <c r="N30" s="42"/>
      <c r="P30" s="42"/>
      <c r="Q30" s="42"/>
      <c r="R30" s="42"/>
      <c r="S30" s="42"/>
      <c r="T30" s="42"/>
      <c r="U30" s="42"/>
      <c r="V30" s="42"/>
      <c r="W30" s="42"/>
      <c r="X30" s="42"/>
      <c r="Y30" s="42"/>
      <c r="Z30" s="42"/>
      <c r="AA30" s="42"/>
      <c r="AB30" s="42"/>
      <c r="AC30" s="42"/>
      <c r="AD30" s="42"/>
      <c r="AE30" s="42"/>
      <c r="AF30" s="42">
        <f t="shared" si="8"/>
        <v>142911</v>
      </c>
      <c r="AG30" s="42"/>
      <c r="AH30" s="42"/>
      <c r="AI30" s="43"/>
      <c r="AJ30" s="42"/>
      <c r="AK30" s="42"/>
    </row>
    <row r="31" spans="1:37" x14ac:dyDescent="0.35">
      <c r="A31" s="23">
        <f t="shared" si="3"/>
        <v>16</v>
      </c>
      <c r="B31" s="113">
        <v>4.4609999999999997E-2</v>
      </c>
      <c r="C31" s="23">
        <f t="shared" si="4"/>
        <v>14</v>
      </c>
      <c r="D31" s="42">
        <f t="shared" si="5"/>
        <v>3665</v>
      </c>
      <c r="E31" s="42">
        <f t="shared" si="6"/>
        <v>28858</v>
      </c>
      <c r="F31" s="42">
        <f t="shared" si="7"/>
        <v>38634</v>
      </c>
      <c r="G31" s="42">
        <f t="shared" si="9"/>
        <v>38642</v>
      </c>
      <c r="H31" s="42">
        <f t="shared" si="10"/>
        <v>33110</v>
      </c>
      <c r="I31" s="42">
        <f t="shared" si="11"/>
        <v>0</v>
      </c>
      <c r="J31" s="42"/>
      <c r="K31" s="42"/>
      <c r="L31" s="42"/>
      <c r="M31" s="42"/>
      <c r="N31" s="42"/>
      <c r="O31" s="42"/>
      <c r="Q31" s="42"/>
      <c r="R31" s="42"/>
      <c r="S31" s="42"/>
      <c r="T31" s="42"/>
      <c r="U31" s="42"/>
      <c r="V31" s="42"/>
      <c r="W31" s="42"/>
      <c r="X31" s="42"/>
      <c r="Y31" s="42"/>
      <c r="Z31" s="42"/>
      <c r="AA31" s="42"/>
      <c r="AB31" s="42"/>
      <c r="AC31" s="42"/>
      <c r="AD31" s="42"/>
      <c r="AE31" s="42"/>
      <c r="AF31" s="42">
        <f t="shared" si="8"/>
        <v>142909</v>
      </c>
      <c r="AG31" s="42"/>
      <c r="AH31" s="42"/>
      <c r="AI31" s="43"/>
      <c r="AJ31" s="42"/>
      <c r="AK31" s="42"/>
    </row>
    <row r="32" spans="1:37" x14ac:dyDescent="0.35">
      <c r="A32" s="23">
        <f t="shared" si="3"/>
        <v>17</v>
      </c>
      <c r="B32" s="113">
        <v>4.462E-2</v>
      </c>
      <c r="C32" s="23">
        <f t="shared" si="4"/>
        <v>15</v>
      </c>
      <c r="D32" s="42">
        <f t="shared" si="5"/>
        <v>3666</v>
      </c>
      <c r="E32" s="42">
        <f t="shared" si="6"/>
        <v>28851</v>
      </c>
      <c r="F32" s="42">
        <f t="shared" si="7"/>
        <v>38642</v>
      </c>
      <c r="G32" s="42">
        <f t="shared" si="9"/>
        <v>38634</v>
      </c>
      <c r="H32" s="42">
        <f t="shared" si="10"/>
        <v>33118</v>
      </c>
      <c r="I32" s="42">
        <f t="shared" si="11"/>
        <v>0</v>
      </c>
      <c r="J32" s="42"/>
      <c r="K32" s="42"/>
      <c r="L32" s="42"/>
      <c r="M32" s="42"/>
      <c r="N32" s="42"/>
      <c r="O32" s="42"/>
      <c r="P32" s="42"/>
      <c r="AF32" s="42">
        <f t="shared" si="8"/>
        <v>142911</v>
      </c>
      <c r="AG32" s="42"/>
      <c r="AH32" s="42"/>
      <c r="AI32" s="43"/>
      <c r="AJ32" s="42"/>
      <c r="AK32" s="42"/>
    </row>
    <row r="33" spans="1:37" x14ac:dyDescent="0.35">
      <c r="A33" s="23">
        <f t="shared" si="3"/>
        <v>18</v>
      </c>
      <c r="B33" s="113">
        <v>4.4609999999999997E-2</v>
      </c>
      <c r="C33" s="23">
        <f t="shared" si="4"/>
        <v>16</v>
      </c>
      <c r="D33" s="42">
        <f t="shared" si="5"/>
        <v>3665</v>
      </c>
      <c r="E33" s="42">
        <f t="shared" si="6"/>
        <v>28858</v>
      </c>
      <c r="F33" s="42">
        <f t="shared" si="7"/>
        <v>38634</v>
      </c>
      <c r="G33" s="42">
        <f t="shared" si="9"/>
        <v>38642</v>
      </c>
      <c r="H33" s="42">
        <f t="shared" si="10"/>
        <v>33110</v>
      </c>
      <c r="I33" s="42">
        <f t="shared" si="11"/>
        <v>0</v>
      </c>
      <c r="J33" s="42"/>
      <c r="K33" s="42"/>
      <c r="L33" s="42"/>
      <c r="M33" s="42"/>
      <c r="N33" s="42"/>
      <c r="O33" s="42"/>
      <c r="P33" s="42"/>
      <c r="Q33" s="42"/>
      <c r="AF33" s="42">
        <f t="shared" si="8"/>
        <v>142909</v>
      </c>
      <c r="AG33" s="42"/>
      <c r="AH33" s="42"/>
      <c r="AI33" s="43"/>
      <c r="AJ33" s="42"/>
      <c r="AK33" s="42"/>
    </row>
    <row r="34" spans="1:37" x14ac:dyDescent="0.35">
      <c r="A34" s="23">
        <f t="shared" si="3"/>
        <v>19</v>
      </c>
      <c r="B34" s="113">
        <v>4.462E-2</v>
      </c>
      <c r="C34" s="23">
        <f t="shared" si="4"/>
        <v>17</v>
      </c>
      <c r="D34" s="42">
        <f t="shared" si="5"/>
        <v>3666</v>
      </c>
      <c r="E34" s="42">
        <f t="shared" si="6"/>
        <v>28851</v>
      </c>
      <c r="F34" s="42">
        <f t="shared" si="7"/>
        <v>38642</v>
      </c>
      <c r="G34" s="42">
        <f t="shared" si="9"/>
        <v>38634</v>
      </c>
      <c r="H34" s="42">
        <f t="shared" si="10"/>
        <v>33118</v>
      </c>
      <c r="I34" s="42">
        <f t="shared" si="11"/>
        <v>0</v>
      </c>
      <c r="J34" s="42"/>
      <c r="K34" s="42"/>
      <c r="L34" s="42"/>
      <c r="M34" s="42"/>
      <c r="N34" s="42"/>
      <c r="O34" s="42"/>
      <c r="P34" s="42"/>
      <c r="Q34" s="42"/>
      <c r="R34" s="42"/>
      <c r="AF34" s="42">
        <f t="shared" si="8"/>
        <v>142911</v>
      </c>
      <c r="AG34" s="42"/>
      <c r="AH34" s="42"/>
      <c r="AI34" s="43"/>
      <c r="AJ34" s="42"/>
      <c r="AK34" s="42"/>
    </row>
    <row r="35" spans="1:37" x14ac:dyDescent="0.35">
      <c r="A35" s="23">
        <f t="shared" si="3"/>
        <v>20</v>
      </c>
      <c r="B35" s="113">
        <v>4.4609999999999997E-2</v>
      </c>
      <c r="C35" s="23">
        <f t="shared" si="4"/>
        <v>18</v>
      </c>
      <c r="D35" s="42">
        <f t="shared" si="5"/>
        <v>3665</v>
      </c>
      <c r="E35" s="42">
        <f t="shared" si="6"/>
        <v>28858</v>
      </c>
      <c r="F35" s="42">
        <f t="shared" si="7"/>
        <v>38634</v>
      </c>
      <c r="G35" s="42">
        <f t="shared" si="9"/>
        <v>38642</v>
      </c>
      <c r="H35" s="42">
        <f t="shared" si="10"/>
        <v>33110</v>
      </c>
      <c r="I35" s="42">
        <f t="shared" si="11"/>
        <v>0</v>
      </c>
      <c r="J35" s="42"/>
      <c r="K35" s="42"/>
      <c r="L35" s="42"/>
      <c r="M35" s="42"/>
      <c r="N35" s="42"/>
      <c r="O35" s="42"/>
      <c r="P35" s="42"/>
      <c r="Q35" s="42"/>
      <c r="R35" s="42"/>
      <c r="S35" s="42"/>
      <c r="AF35" s="42">
        <f t="shared" si="8"/>
        <v>142909</v>
      </c>
      <c r="AG35" s="42"/>
      <c r="AH35" s="42"/>
      <c r="AI35" s="43"/>
      <c r="AJ35" s="42"/>
      <c r="AK35" s="42"/>
    </row>
    <row r="36" spans="1:37" x14ac:dyDescent="0.35">
      <c r="A36" s="23">
        <f t="shared" si="3"/>
        <v>21</v>
      </c>
      <c r="B36" s="113">
        <v>4.462E-2</v>
      </c>
      <c r="C36" s="23">
        <f t="shared" si="4"/>
        <v>19</v>
      </c>
      <c r="D36" s="42">
        <f t="shared" si="5"/>
        <v>3666</v>
      </c>
      <c r="E36" s="42">
        <f t="shared" si="6"/>
        <v>28851</v>
      </c>
      <c r="F36" s="42">
        <f t="shared" si="7"/>
        <v>38642</v>
      </c>
      <c r="G36" s="42">
        <f t="shared" si="9"/>
        <v>38634</v>
      </c>
      <c r="H36" s="42">
        <f t="shared" si="10"/>
        <v>33118</v>
      </c>
      <c r="I36" s="42">
        <f t="shared" si="11"/>
        <v>0</v>
      </c>
      <c r="J36" s="42"/>
      <c r="K36" s="42"/>
      <c r="L36" s="42"/>
      <c r="M36" s="42"/>
      <c r="N36" s="42"/>
      <c r="O36" s="42"/>
      <c r="P36" s="42"/>
      <c r="Q36" s="42"/>
      <c r="R36" s="42"/>
      <c r="S36" s="42"/>
      <c r="T36" s="42"/>
      <c r="U36" s="42"/>
      <c r="V36" s="42"/>
      <c r="W36" s="42"/>
      <c r="X36" s="42"/>
      <c r="Y36" s="42"/>
      <c r="Z36" s="42"/>
      <c r="AA36" s="42"/>
      <c r="AB36" s="42"/>
      <c r="AC36" s="42"/>
      <c r="AD36" s="42"/>
      <c r="AF36" s="42">
        <f t="shared" si="8"/>
        <v>142911</v>
      </c>
      <c r="AG36" s="42"/>
      <c r="AH36" s="42"/>
      <c r="AI36" s="43"/>
      <c r="AJ36" s="42"/>
      <c r="AK36" s="42"/>
    </row>
    <row r="37" spans="1:37" x14ac:dyDescent="0.35">
      <c r="A37" s="23">
        <f t="shared" si="3"/>
        <v>22</v>
      </c>
      <c r="B37" s="113">
        <v>4.4609999999999997E-2</v>
      </c>
      <c r="C37" s="23">
        <f t="shared" si="4"/>
        <v>20</v>
      </c>
      <c r="D37" s="42">
        <f t="shared" si="5"/>
        <v>3665</v>
      </c>
      <c r="E37" s="42">
        <f t="shared" si="6"/>
        <v>28858</v>
      </c>
      <c r="F37" s="42">
        <f t="shared" si="7"/>
        <v>38634</v>
      </c>
      <c r="G37" s="42">
        <f t="shared" si="9"/>
        <v>38642</v>
      </c>
      <c r="H37" s="42">
        <f t="shared" si="10"/>
        <v>33110</v>
      </c>
      <c r="I37" s="42">
        <f t="shared" si="11"/>
        <v>0</v>
      </c>
      <c r="J37" s="42"/>
      <c r="K37" s="42"/>
      <c r="L37" s="42"/>
      <c r="M37" s="42"/>
      <c r="N37" s="42"/>
      <c r="O37" s="42"/>
      <c r="P37" s="42"/>
      <c r="Q37" s="42"/>
      <c r="R37" s="42"/>
      <c r="S37" s="42"/>
      <c r="T37" s="42"/>
      <c r="U37" s="42"/>
      <c r="V37" s="42"/>
      <c r="W37" s="42"/>
      <c r="X37" s="42"/>
      <c r="Y37" s="42"/>
      <c r="Z37" s="42"/>
      <c r="AA37" s="42"/>
      <c r="AB37" s="42"/>
      <c r="AC37" s="42"/>
      <c r="AD37" s="42"/>
      <c r="AE37" s="42"/>
      <c r="AF37" s="42">
        <f t="shared" si="8"/>
        <v>142909</v>
      </c>
      <c r="AG37" s="42"/>
      <c r="AH37" s="42"/>
      <c r="AI37" s="43"/>
      <c r="AJ37" s="42"/>
      <c r="AK37" s="42"/>
    </row>
    <row r="38" spans="1:37" x14ac:dyDescent="0.35">
      <c r="A38" s="23">
        <f t="shared" si="3"/>
        <v>23</v>
      </c>
      <c r="B38" s="113">
        <v>2.231E-2</v>
      </c>
      <c r="C38" s="23">
        <f t="shared" si="4"/>
        <v>21</v>
      </c>
      <c r="D38" s="42">
        <f>ROUND(($D$14-($D$14*$D$16))*B38,0)</f>
        <v>1833</v>
      </c>
      <c r="E38" s="42">
        <f t="shared" si="6"/>
        <v>28851</v>
      </c>
      <c r="F38" s="42">
        <f t="shared" si="7"/>
        <v>38642</v>
      </c>
      <c r="G38" s="42">
        <f t="shared" si="9"/>
        <v>38634</v>
      </c>
      <c r="H38" s="42">
        <f t="shared" si="10"/>
        <v>33118</v>
      </c>
      <c r="I38" s="42">
        <f t="shared" si="11"/>
        <v>0</v>
      </c>
      <c r="J38" s="42"/>
      <c r="K38" s="42"/>
      <c r="L38" s="42"/>
      <c r="M38" s="42"/>
      <c r="N38" s="42"/>
      <c r="O38" s="42"/>
      <c r="P38" s="42"/>
      <c r="Q38" s="42"/>
      <c r="R38" s="42"/>
      <c r="S38" s="42"/>
      <c r="T38" s="42"/>
      <c r="U38" s="42"/>
      <c r="V38" s="42"/>
      <c r="W38" s="42"/>
      <c r="X38" s="42"/>
      <c r="Y38" s="42"/>
      <c r="Z38" s="42"/>
      <c r="AA38" s="42"/>
      <c r="AB38" s="42"/>
      <c r="AC38" s="42"/>
      <c r="AD38" s="42"/>
      <c r="AE38" s="42"/>
      <c r="AF38" s="42">
        <f t="shared" si="8"/>
        <v>141078</v>
      </c>
      <c r="AG38" s="42"/>
      <c r="AH38" s="42"/>
      <c r="AI38" s="43"/>
      <c r="AJ38" s="42"/>
      <c r="AK38" s="42"/>
    </row>
    <row r="39" spans="1:37" x14ac:dyDescent="0.35">
      <c r="A39" s="23">
        <f t="shared" si="3"/>
        <v>24</v>
      </c>
      <c r="B39" s="113"/>
      <c r="C39" s="23">
        <f t="shared" si="4"/>
        <v>22</v>
      </c>
      <c r="E39" s="42">
        <f>ROUND(($E$14-($E$14*$E$16))*B38,0)+1</f>
        <v>14430</v>
      </c>
      <c r="F39" s="42">
        <f t="shared" si="7"/>
        <v>38634</v>
      </c>
      <c r="G39" s="42">
        <f t="shared" si="9"/>
        <v>38642</v>
      </c>
      <c r="H39" s="42">
        <f t="shared" si="10"/>
        <v>33110</v>
      </c>
      <c r="I39" s="42">
        <f t="shared" si="11"/>
        <v>0</v>
      </c>
      <c r="J39" s="42"/>
      <c r="K39" s="42"/>
      <c r="L39" s="42"/>
      <c r="M39" s="42"/>
      <c r="N39" s="42"/>
      <c r="O39" s="42"/>
      <c r="P39" s="42"/>
      <c r="Q39" s="42"/>
      <c r="R39" s="42"/>
      <c r="S39" s="42"/>
      <c r="T39" s="42"/>
      <c r="U39" s="42"/>
      <c r="V39" s="42"/>
      <c r="W39" s="42"/>
      <c r="X39" s="42"/>
      <c r="Y39" s="42"/>
      <c r="Z39" s="42"/>
      <c r="AA39" s="42"/>
      <c r="AB39" s="42"/>
      <c r="AC39" s="42"/>
      <c r="AD39" s="42"/>
      <c r="AE39" s="42"/>
      <c r="AF39" s="42">
        <f t="shared" si="8"/>
        <v>124816</v>
      </c>
      <c r="AH39" s="42"/>
      <c r="AI39" s="43"/>
      <c r="AJ39" s="42"/>
      <c r="AK39" s="42"/>
    </row>
    <row r="40" spans="1:37" x14ac:dyDescent="0.35">
      <c r="A40" s="23">
        <f t="shared" si="3"/>
        <v>25</v>
      </c>
      <c r="B40" s="113"/>
      <c r="C40" s="23">
        <f t="shared" si="4"/>
        <v>23</v>
      </c>
      <c r="F40" s="42">
        <f t="shared" si="7"/>
        <v>19321</v>
      </c>
      <c r="G40" s="42">
        <f t="shared" si="9"/>
        <v>38634</v>
      </c>
      <c r="H40" s="42">
        <f t="shared" si="10"/>
        <v>33118</v>
      </c>
      <c r="I40" s="42">
        <f t="shared" si="11"/>
        <v>0</v>
      </c>
      <c r="J40" s="42"/>
      <c r="K40" s="42"/>
      <c r="L40" s="42"/>
      <c r="M40" s="42"/>
      <c r="N40" s="42"/>
      <c r="O40" s="42"/>
      <c r="P40" s="42"/>
      <c r="Q40" s="42"/>
      <c r="R40" s="42"/>
      <c r="S40" s="42"/>
      <c r="T40" s="42"/>
      <c r="U40" s="42"/>
      <c r="V40" s="42"/>
      <c r="W40" s="42"/>
      <c r="X40" s="42"/>
      <c r="Y40" s="42"/>
      <c r="Z40" s="42"/>
      <c r="AA40" s="42"/>
      <c r="AB40" s="42"/>
      <c r="AC40" s="42"/>
      <c r="AD40" s="42"/>
      <c r="AE40" s="42"/>
      <c r="AF40" s="42">
        <f t="shared" si="8"/>
        <v>91073</v>
      </c>
      <c r="AH40" s="42"/>
      <c r="AI40" s="43"/>
      <c r="AJ40" s="42"/>
      <c r="AK40" s="42"/>
    </row>
    <row r="41" spans="1:37" x14ac:dyDescent="0.35">
      <c r="A41" s="23">
        <f t="shared" si="3"/>
        <v>26</v>
      </c>
      <c r="B41" s="113"/>
      <c r="C41" s="23">
        <f t="shared" si="4"/>
        <v>24</v>
      </c>
      <c r="F41" s="42"/>
      <c r="G41" s="42">
        <f t="shared" si="9"/>
        <v>19321</v>
      </c>
      <c r="H41" s="42">
        <f t="shared" si="10"/>
        <v>33110</v>
      </c>
      <c r="I41" s="42">
        <f t="shared" si="11"/>
        <v>0</v>
      </c>
      <c r="J41" s="42"/>
      <c r="K41" s="42"/>
      <c r="L41" s="42"/>
      <c r="M41" s="42"/>
      <c r="N41" s="42"/>
      <c r="O41" s="42"/>
      <c r="P41" s="42"/>
      <c r="Q41" s="42"/>
      <c r="R41" s="42"/>
      <c r="S41" s="42"/>
      <c r="T41" s="42"/>
      <c r="U41" s="42"/>
      <c r="V41" s="42"/>
      <c r="W41" s="42"/>
      <c r="X41" s="42"/>
      <c r="Y41" s="42"/>
      <c r="Z41" s="42"/>
      <c r="AA41" s="42"/>
      <c r="AB41" s="42"/>
      <c r="AC41" s="42"/>
      <c r="AD41" s="42"/>
      <c r="AE41" s="42"/>
      <c r="AF41" s="42">
        <f t="shared" si="8"/>
        <v>52431</v>
      </c>
      <c r="AH41" s="42"/>
      <c r="AI41" s="43"/>
      <c r="AJ41" s="42"/>
      <c r="AK41" s="42"/>
    </row>
    <row r="42" spans="1:37" x14ac:dyDescent="0.35">
      <c r="A42" s="23">
        <f t="shared" si="3"/>
        <v>27</v>
      </c>
      <c r="B42" s="113"/>
      <c r="C42" s="23"/>
      <c r="F42" s="42"/>
      <c r="G42" s="42"/>
      <c r="H42" s="42">
        <f t="shared" si="10"/>
        <v>16559</v>
      </c>
      <c r="I42" s="42">
        <f t="shared" si="11"/>
        <v>0</v>
      </c>
      <c r="J42" s="42"/>
      <c r="K42" s="42"/>
      <c r="L42" s="42"/>
      <c r="M42" s="42"/>
      <c r="N42" s="42"/>
      <c r="O42" s="42"/>
      <c r="P42" s="42"/>
      <c r="Q42" s="42"/>
      <c r="R42" s="42"/>
      <c r="S42" s="42"/>
      <c r="T42" s="42"/>
      <c r="U42" s="42"/>
      <c r="V42" s="42"/>
      <c r="W42" s="42"/>
      <c r="X42" s="42"/>
      <c r="Y42" s="42"/>
      <c r="Z42" s="42"/>
      <c r="AA42" s="42"/>
      <c r="AB42" s="42"/>
      <c r="AC42" s="42"/>
      <c r="AD42" s="42"/>
      <c r="AE42" s="42"/>
      <c r="AF42" s="42">
        <f t="shared" si="8"/>
        <v>16559</v>
      </c>
      <c r="AH42" s="42"/>
      <c r="AI42" s="43"/>
      <c r="AJ42" s="42"/>
      <c r="AK42" s="42"/>
    </row>
    <row r="43" spans="1:37" x14ac:dyDescent="0.35">
      <c r="A43" s="23">
        <f t="shared" si="3"/>
        <v>28</v>
      </c>
      <c r="D43" s="43">
        <f>SUM(D18:D39)</f>
        <v>85587</v>
      </c>
      <c r="E43" s="43">
        <f>SUM(E19:E39)</f>
        <v>673765</v>
      </c>
      <c r="F43" s="43">
        <f>SUM(F18:F42)</f>
        <v>902211</v>
      </c>
      <c r="G43" s="43">
        <f>SUM(G18:G42)</f>
        <v>883456</v>
      </c>
      <c r="H43" s="43">
        <f>SUM(H18:H42)</f>
        <v>773221</v>
      </c>
      <c r="I43" s="43">
        <f>SUM(I18:I42)</f>
        <v>0</v>
      </c>
      <c r="J43" s="43">
        <f t="shared" ref="J43:AE43" si="12">SUM(J18:J39)</f>
        <v>0</v>
      </c>
      <c r="K43" s="43">
        <f t="shared" si="12"/>
        <v>0</v>
      </c>
      <c r="L43" s="43">
        <f t="shared" si="12"/>
        <v>0</v>
      </c>
      <c r="M43" s="43">
        <f t="shared" si="12"/>
        <v>0</v>
      </c>
      <c r="N43" s="43">
        <f t="shared" si="12"/>
        <v>0</v>
      </c>
      <c r="O43" s="43">
        <f t="shared" si="12"/>
        <v>0</v>
      </c>
      <c r="P43" s="43">
        <f t="shared" si="12"/>
        <v>0</v>
      </c>
      <c r="Q43" s="43">
        <f t="shared" si="12"/>
        <v>0</v>
      </c>
      <c r="R43" s="43">
        <f t="shared" si="12"/>
        <v>0</v>
      </c>
      <c r="S43" s="43">
        <f t="shared" si="12"/>
        <v>0</v>
      </c>
      <c r="T43" s="43">
        <f t="shared" si="12"/>
        <v>0</v>
      </c>
      <c r="U43" s="43">
        <f t="shared" si="12"/>
        <v>0</v>
      </c>
      <c r="V43" s="43">
        <f t="shared" si="12"/>
        <v>0</v>
      </c>
      <c r="W43" s="43">
        <f t="shared" si="12"/>
        <v>0</v>
      </c>
      <c r="X43" s="43">
        <f t="shared" si="12"/>
        <v>0</v>
      </c>
      <c r="Y43" s="43">
        <f t="shared" si="12"/>
        <v>0</v>
      </c>
      <c r="Z43" s="43">
        <f t="shared" si="12"/>
        <v>0</v>
      </c>
      <c r="AA43" s="43">
        <f t="shared" si="12"/>
        <v>0</v>
      </c>
      <c r="AB43" s="43">
        <f t="shared" si="12"/>
        <v>0</v>
      </c>
      <c r="AC43" s="43">
        <f t="shared" si="12"/>
        <v>0</v>
      </c>
      <c r="AD43" s="43">
        <f t="shared" si="12"/>
        <v>0</v>
      </c>
      <c r="AE43" s="43">
        <f t="shared" si="12"/>
        <v>0</v>
      </c>
      <c r="AF43" s="43">
        <f>SUM(AF18:AF41)</f>
        <v>3301681</v>
      </c>
      <c r="AG43" s="43"/>
      <c r="AH43" s="43"/>
      <c r="AI43" s="42"/>
      <c r="AJ43" s="42"/>
      <c r="AK43" s="43"/>
    </row>
    <row r="44" spans="1:37" x14ac:dyDescent="0.35">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2"/>
      <c r="AG44" s="43"/>
      <c r="AH44" s="42"/>
      <c r="AI44" s="42"/>
      <c r="AJ44" s="42"/>
      <c r="AK44" s="43"/>
    </row>
    <row r="45" spans="1:37" x14ac:dyDescent="0.35">
      <c r="A45" s="24" t="s">
        <v>71</v>
      </c>
      <c r="F45" s="43"/>
      <c r="AF45" s="43"/>
      <c r="AG45" s="43"/>
      <c r="AH45" s="42"/>
      <c r="AI45" s="42"/>
      <c r="AJ45" s="114"/>
      <c r="AK45" s="43"/>
    </row>
    <row r="46" spans="1:37" x14ac:dyDescent="0.35">
      <c r="A46" s="24" t="s">
        <v>98</v>
      </c>
      <c r="AH46" s="43"/>
      <c r="AI46" s="42"/>
      <c r="AJ46" s="42"/>
    </row>
    <row r="47" spans="1:37" x14ac:dyDescent="0.35">
      <c r="A47" s="24" t="s">
        <v>175</v>
      </c>
      <c r="AH47" s="43"/>
      <c r="AI47" s="42"/>
      <c r="AJ47" s="42"/>
    </row>
    <row r="48" spans="1:37" x14ac:dyDescent="0.35">
      <c r="A48" s="24" t="s">
        <v>176</v>
      </c>
      <c r="AH48" s="43"/>
      <c r="AI48" s="42"/>
      <c r="AJ48" s="42"/>
    </row>
    <row r="49" spans="1:37" x14ac:dyDescent="0.35">
      <c r="A49" s="24"/>
      <c r="AH49" s="43"/>
      <c r="AI49" s="42"/>
      <c r="AJ49" s="42"/>
    </row>
    <row r="50" spans="1:37" x14ac:dyDescent="0.35">
      <c r="D50" s="117">
        <v>2023</v>
      </c>
      <c r="E50" s="117">
        <v>2024</v>
      </c>
      <c r="F50" s="117">
        <v>2025</v>
      </c>
      <c r="G50" s="117">
        <v>2026</v>
      </c>
      <c r="H50" s="117">
        <v>2027</v>
      </c>
      <c r="I50" s="117">
        <v>2028</v>
      </c>
      <c r="AH50" s="43"/>
      <c r="AI50" s="42"/>
      <c r="AJ50" s="42"/>
      <c r="AK50" s="123"/>
    </row>
    <row r="51" spans="1:37" x14ac:dyDescent="0.35">
      <c r="B51" s="118" t="s">
        <v>74</v>
      </c>
      <c r="D51" s="119">
        <v>0</v>
      </c>
      <c r="E51" s="119">
        <v>0</v>
      </c>
      <c r="F51" s="119">
        <v>0</v>
      </c>
      <c r="G51" s="119">
        <v>0</v>
      </c>
      <c r="H51" s="119">
        <v>0</v>
      </c>
      <c r="I51" s="119">
        <v>0</v>
      </c>
      <c r="AF51" s="135"/>
      <c r="AH51" s="43"/>
      <c r="AI51" s="42"/>
      <c r="AJ51" s="42"/>
      <c r="AK51" s="123"/>
    </row>
    <row r="52" spans="1:37" x14ac:dyDescent="0.35">
      <c r="B52" s="118" t="s">
        <v>75</v>
      </c>
      <c r="D52" s="119">
        <v>4.0099999999999997E-2</v>
      </c>
      <c r="E52" s="119">
        <v>4.0099999999999997E-2</v>
      </c>
      <c r="F52" s="119">
        <v>4.0099999999999997E-2</v>
      </c>
      <c r="G52" s="119">
        <v>4.0099999999999997E-2</v>
      </c>
      <c r="H52" s="119">
        <v>4.0099999999999997E-2</v>
      </c>
      <c r="I52" s="119">
        <v>4.0099999999999997E-2</v>
      </c>
      <c r="AF52" s="135"/>
      <c r="AG52" s="11"/>
      <c r="AK52" s="43"/>
    </row>
    <row r="53" spans="1:37" x14ac:dyDescent="0.35">
      <c r="B53" s="124"/>
      <c r="D53" s="125">
        <f>(1-D51)*D52</f>
        <v>4.0099999999999997E-2</v>
      </c>
      <c r="E53" s="125">
        <f>(1-E51)*E52</f>
        <v>4.0099999999999997E-2</v>
      </c>
      <c r="F53" s="125">
        <f t="shared" ref="F53:AE53" si="13">(1-F51)*F52</f>
        <v>4.0099999999999997E-2</v>
      </c>
      <c r="G53" s="125">
        <f>(1-G51)*G52</f>
        <v>4.0099999999999997E-2</v>
      </c>
      <c r="H53" s="125">
        <f>(1-H51)*H52</f>
        <v>4.0099999999999997E-2</v>
      </c>
      <c r="I53" s="125">
        <f>(1-I51)*I52</f>
        <v>4.0099999999999997E-2</v>
      </c>
      <c r="J53" s="125">
        <f t="shared" si="13"/>
        <v>0</v>
      </c>
      <c r="K53" s="125">
        <f t="shared" si="13"/>
        <v>0</v>
      </c>
      <c r="L53" s="125">
        <f t="shared" si="13"/>
        <v>0</v>
      </c>
      <c r="M53" s="125">
        <f t="shared" si="13"/>
        <v>0</v>
      </c>
      <c r="N53" s="125">
        <f t="shared" si="13"/>
        <v>0</v>
      </c>
      <c r="O53" s="125">
        <f t="shared" si="13"/>
        <v>0</v>
      </c>
      <c r="P53" s="125">
        <f t="shared" si="13"/>
        <v>0</v>
      </c>
      <c r="Q53" s="125">
        <f t="shared" si="13"/>
        <v>0</v>
      </c>
      <c r="R53" s="125">
        <f t="shared" si="13"/>
        <v>0</v>
      </c>
      <c r="S53" s="125">
        <f t="shared" si="13"/>
        <v>0</v>
      </c>
      <c r="T53" s="125">
        <f t="shared" si="13"/>
        <v>0</v>
      </c>
      <c r="U53" s="125">
        <f t="shared" si="13"/>
        <v>0</v>
      </c>
      <c r="V53" s="125">
        <f t="shared" si="13"/>
        <v>0</v>
      </c>
      <c r="W53" s="125">
        <f t="shared" si="13"/>
        <v>0</v>
      </c>
      <c r="X53" s="125">
        <f t="shared" si="13"/>
        <v>0</v>
      </c>
      <c r="Y53" s="125">
        <f t="shared" si="13"/>
        <v>0</v>
      </c>
      <c r="Z53" s="125">
        <f t="shared" si="13"/>
        <v>0</v>
      </c>
      <c r="AA53" s="125">
        <f t="shared" si="13"/>
        <v>0</v>
      </c>
      <c r="AB53" s="125">
        <f t="shared" si="13"/>
        <v>0</v>
      </c>
      <c r="AC53" s="125">
        <f t="shared" si="13"/>
        <v>0</v>
      </c>
      <c r="AD53" s="125">
        <f t="shared" si="13"/>
        <v>0</v>
      </c>
      <c r="AE53" s="125">
        <f t="shared" si="13"/>
        <v>0</v>
      </c>
      <c r="AJ53" s="23"/>
      <c r="AK53" s="43"/>
    </row>
    <row r="54" spans="1:37" x14ac:dyDescent="0.35">
      <c r="B54" s="142" t="s">
        <v>99</v>
      </c>
      <c r="D54" s="119">
        <v>0</v>
      </c>
      <c r="E54" s="119">
        <v>0</v>
      </c>
      <c r="F54" s="119">
        <v>0</v>
      </c>
      <c r="G54" s="119">
        <v>0</v>
      </c>
      <c r="H54" s="119">
        <v>0</v>
      </c>
      <c r="I54" s="119">
        <v>0</v>
      </c>
      <c r="AG54" s="23"/>
      <c r="AH54" s="23"/>
      <c r="AI54" s="23"/>
      <c r="AJ54" s="23"/>
      <c r="AK54" s="23"/>
    </row>
    <row r="55" spans="1:37" x14ac:dyDescent="0.35">
      <c r="B55" s="126"/>
      <c r="D55" s="125">
        <f t="shared" ref="D55:I55" si="14">D51+D53</f>
        <v>4.0099999999999997E-2</v>
      </c>
      <c r="E55" s="125">
        <f t="shared" si="14"/>
        <v>4.0099999999999997E-2</v>
      </c>
      <c r="F55" s="125">
        <f t="shared" si="14"/>
        <v>4.0099999999999997E-2</v>
      </c>
      <c r="G55" s="125">
        <f t="shared" si="14"/>
        <v>4.0099999999999997E-2</v>
      </c>
      <c r="H55" s="125">
        <f t="shared" si="14"/>
        <v>4.0099999999999997E-2</v>
      </c>
      <c r="I55" s="125">
        <f t="shared" si="14"/>
        <v>4.0099999999999997E-2</v>
      </c>
      <c r="AG55" s="122"/>
      <c r="AH55" s="122"/>
      <c r="AI55" s="122"/>
      <c r="AJ55" s="122"/>
      <c r="AK55" s="122"/>
    </row>
    <row r="56" spans="1:37" x14ac:dyDescent="0.35">
      <c r="D56" s="115"/>
      <c r="E56" s="115"/>
      <c r="F56" s="115"/>
      <c r="AH56" s="80"/>
      <c r="AI56" s="43"/>
      <c r="AJ56" s="42"/>
      <c r="AK56" s="43"/>
    </row>
    <row r="57" spans="1:37" x14ac:dyDescent="0.35">
      <c r="D57" s="115"/>
      <c r="E57" s="115"/>
      <c r="F57" s="115"/>
      <c r="AH57" s="42"/>
      <c r="AI57" s="43"/>
      <c r="AJ57" s="42"/>
      <c r="AK57" s="43"/>
    </row>
    <row r="58" spans="1:37" x14ac:dyDescent="0.35">
      <c r="AH58" s="42"/>
      <c r="AI58" s="43"/>
      <c r="AJ58" s="42"/>
      <c r="AK58" s="43"/>
    </row>
    <row r="59" spans="1:37" x14ac:dyDescent="0.35">
      <c r="AH59" s="42"/>
      <c r="AI59" s="43"/>
      <c r="AJ59" s="42"/>
      <c r="AK59" s="43"/>
    </row>
    <row r="60" spans="1:37" x14ac:dyDescent="0.35">
      <c r="AH60" s="42"/>
      <c r="AI60" s="43"/>
      <c r="AJ60" s="42"/>
      <c r="AK60" s="43"/>
    </row>
    <row r="61" spans="1:37" x14ac:dyDescent="0.35">
      <c r="AH61" s="42"/>
      <c r="AI61" s="43"/>
      <c r="AJ61" s="42"/>
      <c r="AK61" s="43"/>
    </row>
    <row r="62" spans="1:37" x14ac:dyDescent="0.35">
      <c r="AF62" s="43"/>
      <c r="AH62" s="42"/>
      <c r="AI62" s="43"/>
      <c r="AJ62" s="42"/>
      <c r="AK62" s="43"/>
    </row>
    <row r="63" spans="1:37" x14ac:dyDescent="0.35">
      <c r="AF63" s="43"/>
      <c r="AH63" s="42"/>
      <c r="AI63" s="43"/>
      <c r="AJ63" s="42"/>
      <c r="AK63" s="43"/>
    </row>
    <row r="64" spans="1:37" x14ac:dyDescent="0.35">
      <c r="AF64" s="43"/>
      <c r="AH64" s="42"/>
      <c r="AI64" s="43"/>
      <c r="AJ64" s="42"/>
      <c r="AK64" s="43"/>
    </row>
    <row r="65" spans="7:37" x14ac:dyDescent="0.35">
      <c r="AF65" s="43"/>
      <c r="AH65" s="42"/>
      <c r="AI65" s="43"/>
      <c r="AJ65" s="42"/>
      <c r="AK65" s="43"/>
    </row>
    <row r="66" spans="7:37" x14ac:dyDescent="0.35">
      <c r="G66" s="42"/>
      <c r="AF66" s="43"/>
      <c r="AH66" s="42"/>
      <c r="AI66" s="43"/>
      <c r="AJ66" s="42"/>
      <c r="AK66" s="43"/>
    </row>
    <row r="67" spans="7:37" x14ac:dyDescent="0.35">
      <c r="G67" s="42"/>
      <c r="H67" s="42"/>
      <c r="AF67" s="43"/>
      <c r="AH67" s="42"/>
      <c r="AI67" s="43"/>
      <c r="AJ67" s="42"/>
      <c r="AK67" s="43"/>
    </row>
    <row r="68" spans="7:37" x14ac:dyDescent="0.35">
      <c r="G68" s="42"/>
      <c r="H68" s="42"/>
      <c r="I68" s="42"/>
      <c r="AF68" s="43"/>
      <c r="AH68" s="42"/>
      <c r="AI68" s="43"/>
      <c r="AJ68" s="42"/>
      <c r="AK68" s="43"/>
    </row>
    <row r="69" spans="7:37" x14ac:dyDescent="0.35">
      <c r="G69" s="42"/>
      <c r="H69" s="42"/>
      <c r="I69" s="42"/>
      <c r="J69" s="42"/>
      <c r="AF69" s="43"/>
      <c r="AH69" s="42"/>
      <c r="AI69" s="43"/>
      <c r="AJ69" s="42"/>
      <c r="AK69" s="43"/>
    </row>
    <row r="70" spans="7:37" x14ac:dyDescent="0.35">
      <c r="G70" s="42"/>
      <c r="H70" s="42"/>
      <c r="I70" s="42"/>
      <c r="J70" s="42"/>
      <c r="K70" s="42"/>
      <c r="AF70" s="43"/>
      <c r="AH70" s="42"/>
      <c r="AI70" s="43"/>
      <c r="AJ70" s="42"/>
      <c r="AK70" s="43"/>
    </row>
    <row r="71" spans="7:37" x14ac:dyDescent="0.35">
      <c r="G71" s="42"/>
      <c r="H71" s="42"/>
      <c r="I71" s="42"/>
      <c r="J71" s="42"/>
      <c r="K71" s="42"/>
      <c r="L71" s="42"/>
      <c r="M71" s="42"/>
      <c r="N71" s="42"/>
      <c r="O71" s="42"/>
      <c r="P71" s="42"/>
      <c r="Q71" s="42"/>
      <c r="R71" s="42"/>
      <c r="S71" s="42"/>
      <c r="T71" s="42"/>
      <c r="U71" s="42"/>
      <c r="V71" s="42"/>
      <c r="W71" s="42"/>
      <c r="X71" s="42"/>
      <c r="Y71" s="42"/>
      <c r="Z71" s="42"/>
      <c r="AA71" s="42"/>
      <c r="AB71" s="42"/>
      <c r="AC71" s="42"/>
      <c r="AD71" s="42"/>
      <c r="AE71" s="42"/>
      <c r="AF71" s="43"/>
      <c r="AH71" s="42"/>
      <c r="AI71" s="43"/>
      <c r="AJ71" s="42"/>
      <c r="AK71" s="43"/>
    </row>
    <row r="72" spans="7:37" x14ac:dyDescent="0.35">
      <c r="G72" s="42"/>
      <c r="H72" s="42"/>
      <c r="I72" s="42"/>
      <c r="J72" s="42"/>
      <c r="K72" s="42"/>
      <c r="L72" s="42"/>
      <c r="M72" s="42"/>
      <c r="N72" s="42"/>
      <c r="O72" s="42"/>
      <c r="P72" s="42"/>
      <c r="Q72" s="42"/>
      <c r="R72" s="42"/>
      <c r="S72" s="42"/>
      <c r="T72" s="42"/>
      <c r="U72" s="42"/>
      <c r="V72" s="42"/>
      <c r="W72" s="42"/>
      <c r="X72" s="42"/>
      <c r="Y72" s="42"/>
      <c r="Z72" s="42"/>
      <c r="AA72" s="42"/>
      <c r="AB72" s="42"/>
      <c r="AC72" s="42"/>
      <c r="AD72" s="42"/>
      <c r="AE72" s="42"/>
      <c r="AF72" s="43"/>
      <c r="AH72" s="42"/>
      <c r="AI72" s="43"/>
      <c r="AJ72" s="42"/>
      <c r="AK72" s="43"/>
    </row>
    <row r="73" spans="7:37" x14ac:dyDescent="0.35">
      <c r="G73" s="42"/>
      <c r="H73" s="42"/>
      <c r="I73" s="42"/>
      <c r="J73" s="42"/>
      <c r="K73" s="42"/>
      <c r="L73" s="42"/>
      <c r="M73" s="42"/>
      <c r="N73" s="42"/>
      <c r="O73" s="42"/>
      <c r="P73" s="42"/>
      <c r="Q73" s="42"/>
      <c r="R73" s="42"/>
      <c r="S73" s="42"/>
      <c r="T73" s="42"/>
      <c r="U73" s="42"/>
      <c r="V73" s="42"/>
      <c r="W73" s="42"/>
      <c r="X73" s="42"/>
      <c r="Y73" s="42"/>
      <c r="Z73" s="42"/>
      <c r="AA73" s="42"/>
      <c r="AB73" s="42"/>
      <c r="AC73" s="42"/>
      <c r="AD73" s="42"/>
      <c r="AE73" s="42"/>
      <c r="AF73" s="43"/>
      <c r="AH73" s="42"/>
      <c r="AI73" s="43"/>
      <c r="AJ73" s="42"/>
      <c r="AK73" s="43"/>
    </row>
    <row r="74" spans="7:37" x14ac:dyDescent="0.35">
      <c r="G74" s="42"/>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3"/>
      <c r="AH74" s="42"/>
      <c r="AI74" s="43"/>
      <c r="AJ74" s="42"/>
      <c r="AK74" s="43"/>
    </row>
    <row r="75" spans="7:37" x14ac:dyDescent="0.35">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H75" s="42"/>
      <c r="AI75" s="43"/>
      <c r="AJ75" s="42"/>
      <c r="AK75" s="43"/>
    </row>
    <row r="76" spans="7:37" x14ac:dyDescent="0.35">
      <c r="H76" s="42"/>
      <c r="I76" s="42"/>
      <c r="J76" s="42"/>
      <c r="K76" s="42"/>
      <c r="L76" s="42"/>
      <c r="M76" s="42"/>
      <c r="N76" s="42"/>
      <c r="O76" s="42"/>
      <c r="P76" s="42"/>
      <c r="Q76" s="42"/>
      <c r="R76" s="42"/>
      <c r="S76" s="42"/>
      <c r="T76" s="42"/>
      <c r="U76" s="42"/>
      <c r="V76" s="42"/>
      <c r="W76" s="42"/>
      <c r="X76" s="42"/>
      <c r="Y76" s="42"/>
      <c r="Z76" s="42"/>
      <c r="AA76" s="42"/>
      <c r="AB76" s="42"/>
      <c r="AC76" s="42"/>
      <c r="AD76" s="42"/>
      <c r="AE76" s="42"/>
      <c r="AH76" s="42"/>
      <c r="AI76" s="43"/>
      <c r="AJ76" s="42"/>
      <c r="AK76" s="43"/>
    </row>
    <row r="77" spans="7:37" x14ac:dyDescent="0.35">
      <c r="I77" s="42"/>
      <c r="J77" s="42"/>
      <c r="K77" s="42"/>
      <c r="L77" s="42"/>
      <c r="M77" s="42"/>
      <c r="N77" s="42"/>
      <c r="O77" s="42"/>
      <c r="P77" s="42"/>
      <c r="Q77" s="42"/>
      <c r="R77" s="42"/>
      <c r="S77" s="42"/>
      <c r="T77" s="42"/>
      <c r="U77" s="42"/>
      <c r="V77" s="42"/>
      <c r="W77" s="42"/>
      <c r="X77" s="42"/>
      <c r="Y77" s="42"/>
      <c r="Z77" s="42"/>
      <c r="AA77" s="42"/>
      <c r="AB77" s="42"/>
      <c r="AC77" s="42"/>
      <c r="AD77" s="42"/>
      <c r="AE77" s="42"/>
      <c r="AH77" s="43"/>
      <c r="AI77" s="43"/>
      <c r="AJ77" s="43"/>
      <c r="AK77" s="43"/>
    </row>
    <row r="78" spans="7:37" x14ac:dyDescent="0.35">
      <c r="J78" s="42"/>
      <c r="K78" s="42"/>
      <c r="L78" s="42"/>
      <c r="M78" s="42"/>
      <c r="N78" s="42"/>
      <c r="O78" s="42"/>
      <c r="P78" s="42"/>
      <c r="Q78" s="42"/>
      <c r="R78" s="42"/>
      <c r="S78" s="42"/>
      <c r="T78" s="42"/>
      <c r="U78" s="42"/>
      <c r="V78" s="42"/>
      <c r="W78" s="42"/>
      <c r="X78" s="42"/>
      <c r="Y78" s="42"/>
      <c r="Z78" s="42"/>
      <c r="AA78" s="42"/>
      <c r="AB78" s="42"/>
      <c r="AC78" s="42"/>
      <c r="AD78" s="42"/>
      <c r="AE78" s="42"/>
    </row>
    <row r="79" spans="7:37" x14ac:dyDescent="0.35">
      <c r="K79" s="42"/>
      <c r="L79" s="42"/>
      <c r="M79" s="42"/>
      <c r="N79" s="42"/>
      <c r="O79" s="42"/>
      <c r="P79" s="42"/>
      <c r="Q79" s="42"/>
      <c r="R79" s="42"/>
      <c r="S79" s="42"/>
      <c r="T79" s="42"/>
      <c r="U79" s="42"/>
      <c r="V79" s="42"/>
      <c r="W79" s="42"/>
      <c r="X79" s="42"/>
      <c r="Y79" s="42"/>
      <c r="Z79" s="42"/>
      <c r="AA79" s="42"/>
      <c r="AB79" s="42"/>
      <c r="AC79" s="42"/>
      <c r="AD79" s="42"/>
      <c r="AE79" s="42"/>
    </row>
    <row r="80" spans="7:37" x14ac:dyDescent="0.35">
      <c r="L80" s="42"/>
      <c r="M80" s="42"/>
      <c r="N80" s="42"/>
      <c r="O80" s="42"/>
      <c r="P80" s="42"/>
      <c r="Q80" s="42"/>
      <c r="R80" s="42"/>
      <c r="S80" s="42"/>
      <c r="T80" s="42"/>
      <c r="U80" s="42"/>
      <c r="V80" s="42"/>
      <c r="W80" s="42"/>
      <c r="X80" s="42"/>
      <c r="Y80" s="42"/>
      <c r="Z80" s="42"/>
      <c r="AA80" s="42"/>
      <c r="AB80" s="42"/>
      <c r="AC80" s="42"/>
      <c r="AD80" s="42"/>
      <c r="AE80" s="42"/>
      <c r="AG80" s="11"/>
      <c r="AK80" s="43"/>
    </row>
    <row r="81" spans="33:37" x14ac:dyDescent="0.35">
      <c r="AJ81" s="23"/>
      <c r="AK81" s="43"/>
    </row>
    <row r="82" spans="33:37" x14ac:dyDescent="0.35">
      <c r="AG82" s="23"/>
      <c r="AH82" s="23"/>
      <c r="AI82" s="23"/>
      <c r="AJ82" s="23"/>
      <c r="AK82" s="23"/>
    </row>
    <row r="83" spans="33:37" x14ac:dyDescent="0.35">
      <c r="AG83" s="122"/>
      <c r="AH83" s="122"/>
      <c r="AI83" s="122"/>
      <c r="AJ83" s="122"/>
      <c r="AK83" s="122"/>
    </row>
    <row r="84" spans="33:37" x14ac:dyDescent="0.35">
      <c r="AH84" s="42"/>
      <c r="AI84" s="43"/>
      <c r="AJ84" s="42"/>
      <c r="AK84" s="43"/>
    </row>
    <row r="85" spans="33:37" x14ac:dyDescent="0.35">
      <c r="AH85" s="42"/>
      <c r="AI85" s="43"/>
      <c r="AJ85" s="42"/>
      <c r="AK85" s="43"/>
    </row>
    <row r="86" spans="33:37" x14ac:dyDescent="0.35">
      <c r="AH86" s="42"/>
      <c r="AI86" s="43"/>
      <c r="AJ86" s="42"/>
      <c r="AK86" s="43"/>
    </row>
    <row r="87" spans="33:37" x14ac:dyDescent="0.35">
      <c r="AH87" s="42"/>
      <c r="AI87" s="43"/>
      <c r="AJ87" s="42"/>
      <c r="AK87" s="43"/>
    </row>
    <row r="88" spans="33:37" x14ac:dyDescent="0.35">
      <c r="AH88" s="42"/>
      <c r="AI88" s="43"/>
      <c r="AJ88" s="42"/>
      <c r="AK88" s="43"/>
    </row>
    <row r="89" spans="33:37" x14ac:dyDescent="0.35">
      <c r="AH89" s="42"/>
      <c r="AI89" s="43"/>
      <c r="AJ89" s="42"/>
      <c r="AK89" s="43"/>
    </row>
    <row r="90" spans="33:37" x14ac:dyDescent="0.35">
      <c r="AH90" s="42"/>
      <c r="AI90" s="43"/>
      <c r="AJ90" s="42"/>
      <c r="AK90" s="43"/>
    </row>
    <row r="91" spans="33:37" x14ac:dyDescent="0.35">
      <c r="AH91" s="42"/>
      <c r="AI91" s="43"/>
      <c r="AJ91" s="42"/>
      <c r="AK91" s="43"/>
    </row>
    <row r="92" spans="33:37" x14ac:dyDescent="0.35">
      <c r="AH92" s="42"/>
      <c r="AI92" s="43"/>
      <c r="AJ92" s="42"/>
      <c r="AK92" s="43"/>
    </row>
    <row r="93" spans="33:37" x14ac:dyDescent="0.35">
      <c r="AH93" s="42"/>
      <c r="AI93" s="43"/>
      <c r="AJ93" s="42"/>
      <c r="AK93" s="43"/>
    </row>
    <row r="94" spans="33:37" x14ac:dyDescent="0.35">
      <c r="AH94" s="42"/>
      <c r="AI94" s="43"/>
      <c r="AJ94" s="42"/>
      <c r="AK94" s="43"/>
    </row>
    <row r="95" spans="33:37" x14ac:dyDescent="0.35">
      <c r="AH95" s="42"/>
      <c r="AI95" s="43"/>
      <c r="AJ95" s="42"/>
      <c r="AK95" s="43"/>
    </row>
    <row r="96" spans="33:37" x14ac:dyDescent="0.35">
      <c r="AH96" s="42"/>
      <c r="AI96" s="43"/>
      <c r="AJ96" s="42"/>
      <c r="AK96" s="43"/>
    </row>
    <row r="97" spans="34:37" x14ac:dyDescent="0.35">
      <c r="AH97" s="42"/>
      <c r="AI97" s="43"/>
      <c r="AJ97" s="42"/>
      <c r="AK97" s="43"/>
    </row>
    <row r="98" spans="34:37" x14ac:dyDescent="0.35">
      <c r="AH98" s="42"/>
      <c r="AI98" s="43"/>
      <c r="AJ98" s="42"/>
      <c r="AK98" s="43"/>
    </row>
    <row r="99" spans="34:37" x14ac:dyDescent="0.35">
      <c r="AH99" s="42"/>
      <c r="AI99" s="43"/>
      <c r="AJ99" s="42"/>
      <c r="AK99" s="43"/>
    </row>
    <row r="100" spans="34:37" x14ac:dyDescent="0.35">
      <c r="AH100" s="42"/>
      <c r="AI100" s="43"/>
      <c r="AJ100" s="42"/>
      <c r="AK100" s="43"/>
    </row>
    <row r="101" spans="34:37" x14ac:dyDescent="0.35">
      <c r="AH101" s="42"/>
      <c r="AI101" s="43"/>
      <c r="AJ101" s="42"/>
      <c r="AK101" s="43"/>
    </row>
    <row r="102" spans="34:37" x14ac:dyDescent="0.35">
      <c r="AH102" s="42"/>
      <c r="AI102" s="43"/>
      <c r="AJ102" s="42"/>
      <c r="AK102" s="43"/>
    </row>
    <row r="103" spans="34:37" x14ac:dyDescent="0.35">
      <c r="AH103" s="42"/>
      <c r="AI103" s="43"/>
      <c r="AJ103" s="42"/>
      <c r="AK103" s="43"/>
    </row>
    <row r="104" spans="34:37" x14ac:dyDescent="0.35">
      <c r="AH104" s="42"/>
      <c r="AI104" s="43"/>
      <c r="AJ104" s="42"/>
      <c r="AK104" s="43"/>
    </row>
    <row r="105" spans="34:37" x14ac:dyDescent="0.35">
      <c r="AH105" s="43"/>
      <c r="AI105" s="43"/>
      <c r="AJ105" s="43"/>
      <c r="AK105" s="43"/>
    </row>
  </sheetData>
  <mergeCells count="4">
    <mergeCell ref="A4:AK4"/>
    <mergeCell ref="A5:AK5"/>
    <mergeCell ref="A6:AK6"/>
    <mergeCell ref="D15:AG15"/>
  </mergeCells>
  <printOptions horizontalCentered="1"/>
  <pageMargins left="0" right="0" top="0.5" bottom="0" header="0.5" footer="0.5"/>
  <pageSetup scale="67"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29537-A433-4568-9BE1-4182FC969C6B}">
  <sheetPr>
    <pageSetUpPr fitToPage="1"/>
  </sheetPr>
  <dimension ref="A1:Q26"/>
  <sheetViews>
    <sheetView zoomScaleNormal="100" workbookViewId="0">
      <selection activeCell="G14" sqref="G14"/>
    </sheetView>
  </sheetViews>
  <sheetFormatPr defaultColWidth="9.1796875" defaultRowHeight="15.5" x14ac:dyDescent="0.35"/>
  <cols>
    <col min="1" max="1" width="6.1796875" style="8" customWidth="1"/>
    <col min="2" max="2" width="2.453125" style="8" customWidth="1"/>
    <col min="3" max="3" width="3" style="8" customWidth="1"/>
    <col min="4" max="4" width="44.54296875" style="8" bestFit="1" customWidth="1"/>
    <col min="5" max="5" width="8.54296875" style="8" customWidth="1"/>
    <col min="6" max="6" width="9.1796875" style="8"/>
    <col min="7" max="7" width="28" style="8" bestFit="1" customWidth="1"/>
    <col min="8" max="8" width="9.1796875" style="8"/>
    <col min="9" max="9" width="35.1796875" style="8" bestFit="1" customWidth="1"/>
    <col min="10" max="16384" width="9.1796875" style="8"/>
  </cols>
  <sheetData>
    <row r="1" spans="1:17" x14ac:dyDescent="0.35">
      <c r="I1" s="9" t="str">
        <f>'Table of Contents'!F1</f>
        <v>Case No. 2026-00306</v>
      </c>
    </row>
    <row r="2" spans="1:17" x14ac:dyDescent="0.35">
      <c r="I2" s="9" t="s">
        <v>196</v>
      </c>
      <c r="L2" s="9"/>
    </row>
    <row r="3" spans="1:17" x14ac:dyDescent="0.35">
      <c r="A3" s="144" t="s">
        <v>12</v>
      </c>
      <c r="B3" s="144"/>
      <c r="C3" s="144"/>
      <c r="D3" s="144"/>
      <c r="E3" s="144"/>
      <c r="F3" s="144"/>
      <c r="G3" s="144"/>
      <c r="H3" s="144"/>
      <c r="I3" s="144"/>
      <c r="J3" s="11"/>
      <c r="K3" s="11"/>
      <c r="L3" s="11"/>
      <c r="M3" s="11"/>
    </row>
    <row r="4" spans="1:17" x14ac:dyDescent="0.35">
      <c r="A4" s="144" t="s">
        <v>109</v>
      </c>
      <c r="B4" s="144"/>
      <c r="C4" s="144"/>
      <c r="D4" s="144"/>
      <c r="E4" s="144"/>
      <c r="F4" s="144"/>
      <c r="G4" s="144"/>
      <c r="H4" s="144"/>
      <c r="I4" s="144"/>
      <c r="J4" s="11"/>
      <c r="K4" s="11"/>
      <c r="L4" s="11"/>
      <c r="M4" s="11"/>
      <c r="N4" s="11"/>
      <c r="O4" s="11"/>
      <c r="P4" s="11"/>
      <c r="Q4" s="11"/>
    </row>
    <row r="5" spans="1:17" x14ac:dyDescent="0.35">
      <c r="A5" s="144" t="s">
        <v>197</v>
      </c>
      <c r="B5" s="144"/>
      <c r="C5" s="144"/>
      <c r="D5" s="144"/>
      <c r="E5" s="144"/>
      <c r="F5" s="144"/>
      <c r="G5" s="144"/>
      <c r="H5" s="144"/>
      <c r="I5" s="144"/>
      <c r="J5" s="11"/>
      <c r="K5" s="11"/>
      <c r="L5" s="11"/>
      <c r="M5" s="11"/>
    </row>
    <row r="8" spans="1:17" x14ac:dyDescent="0.35">
      <c r="A8" s="10" t="s">
        <v>49</v>
      </c>
      <c r="F8" s="10"/>
      <c r="G8" s="10" t="s">
        <v>111</v>
      </c>
      <c r="H8" s="11"/>
      <c r="I8" s="11"/>
    </row>
    <row r="9" spans="1:17" x14ac:dyDescent="0.35">
      <c r="A9" s="13" t="s">
        <v>50</v>
      </c>
      <c r="E9" s="23"/>
      <c r="F9" s="127"/>
      <c r="G9" s="40">
        <v>46387</v>
      </c>
      <c r="H9" s="11"/>
      <c r="I9" s="13" t="s">
        <v>51</v>
      </c>
    </row>
    <row r="10" spans="1:17" x14ac:dyDescent="0.35">
      <c r="A10" s="10"/>
      <c r="E10" s="23"/>
      <c r="F10" s="22"/>
      <c r="G10" s="22" t="s">
        <v>220</v>
      </c>
      <c r="H10" s="22"/>
      <c r="I10" s="22" t="s">
        <v>221</v>
      </c>
    </row>
    <row r="12" spans="1:17" x14ac:dyDescent="0.35">
      <c r="A12" s="23"/>
      <c r="B12" s="11"/>
    </row>
    <row r="13" spans="1:17" x14ac:dyDescent="0.35">
      <c r="A13" s="23"/>
      <c r="B13" s="19" t="s">
        <v>268</v>
      </c>
    </row>
    <row r="14" spans="1:17" x14ac:dyDescent="0.35">
      <c r="A14" s="23">
        <v>1</v>
      </c>
      <c r="D14" s="8" t="s">
        <v>200</v>
      </c>
      <c r="F14" s="41"/>
      <c r="G14" s="42">
        <f>'3.0 Plant in Service'!P255+'4.0 Accumulated Depr'!O292</f>
        <v>180229308.29981655</v>
      </c>
      <c r="I14" s="8" t="s">
        <v>241</v>
      </c>
      <c r="J14" s="135"/>
    </row>
    <row r="15" spans="1:17" x14ac:dyDescent="0.35">
      <c r="A15" s="23"/>
    </row>
    <row r="16" spans="1:17" x14ac:dyDescent="0.35">
      <c r="A16" s="23"/>
      <c r="B16" s="19" t="s">
        <v>198</v>
      </c>
      <c r="C16" s="11"/>
      <c r="D16" s="11"/>
      <c r="E16" s="11"/>
    </row>
    <row r="17" spans="1:10" ht="18.5" x14ac:dyDescent="0.35">
      <c r="A17" s="23">
        <f>A14+1</f>
        <v>2</v>
      </c>
      <c r="D17" s="8" t="s">
        <v>199</v>
      </c>
      <c r="F17" s="41"/>
      <c r="G17" s="44">
        <f>ROUND(G14*0.015297,0)</f>
        <v>2756968</v>
      </c>
      <c r="I17" s="8" t="s">
        <v>306</v>
      </c>
      <c r="J17" s="135"/>
    </row>
    <row r="18" spans="1:10" x14ac:dyDescent="0.35">
      <c r="A18" s="23"/>
      <c r="F18" s="41"/>
      <c r="G18" s="101"/>
    </row>
    <row r="19" spans="1:10" ht="18.5" x14ac:dyDescent="0.65">
      <c r="A19" s="23"/>
      <c r="F19" s="41"/>
      <c r="G19" s="128"/>
    </row>
    <row r="20" spans="1:10" x14ac:dyDescent="0.35">
      <c r="A20" s="23"/>
      <c r="F20" s="43"/>
      <c r="G20" s="43"/>
    </row>
    <row r="21" spans="1:10" x14ac:dyDescent="0.35">
      <c r="A21" s="23"/>
      <c r="F21" s="53"/>
      <c r="G21" s="43"/>
    </row>
    <row r="22" spans="1:10" x14ac:dyDescent="0.35">
      <c r="A22" s="23"/>
      <c r="B22" s="11"/>
      <c r="F22" s="129"/>
      <c r="G22" s="43"/>
    </row>
    <row r="23" spans="1:10" x14ac:dyDescent="0.35">
      <c r="F23" s="53"/>
      <c r="G23" s="130"/>
    </row>
    <row r="24" spans="1:10" x14ac:dyDescent="0.35">
      <c r="A24" s="23" t="s">
        <v>71</v>
      </c>
      <c r="B24" s="11"/>
      <c r="C24" s="11"/>
      <c r="D24" s="11"/>
      <c r="E24" s="11"/>
      <c r="F24" s="131"/>
      <c r="G24" s="131"/>
      <c r="H24" s="11"/>
      <c r="I24" s="11"/>
    </row>
    <row r="25" spans="1:10" ht="18.5" x14ac:dyDescent="0.35">
      <c r="A25" s="8" t="s">
        <v>284</v>
      </c>
      <c r="F25" s="77"/>
      <c r="G25" s="77"/>
      <c r="I25" s="11"/>
    </row>
    <row r="26" spans="1:10" x14ac:dyDescent="0.35">
      <c r="G26" s="53"/>
    </row>
  </sheetData>
  <mergeCells count="3">
    <mergeCell ref="A3:I3"/>
    <mergeCell ref="A4:I4"/>
    <mergeCell ref="A5:I5"/>
  </mergeCells>
  <pageMargins left="0.7" right="0.7" top="0.75" bottom="0.75" header="0.3" footer="0.3"/>
  <pageSetup scale="84" orientation="landscape"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64E2D-4730-4D00-8F95-4A92EB7485C3}">
  <sheetPr codeName="Sheet10">
    <pageSetUpPr fitToPage="1"/>
  </sheetPr>
  <dimension ref="B1:I21"/>
  <sheetViews>
    <sheetView zoomScaleNormal="100" workbookViewId="0">
      <selection activeCell="B17" sqref="B17"/>
    </sheetView>
  </sheetViews>
  <sheetFormatPr defaultColWidth="9.1796875" defaultRowHeight="15.5" x14ac:dyDescent="0.35"/>
  <cols>
    <col min="1" max="1" width="3.81640625" style="8" customWidth="1"/>
    <col min="2" max="2" width="53.1796875" style="8" bestFit="1" customWidth="1"/>
    <col min="3" max="4" width="10.81640625" style="8" customWidth="1"/>
    <col min="5" max="5" width="20.81640625" style="8" customWidth="1"/>
    <col min="6" max="7" width="10.1796875" style="8" bestFit="1" customWidth="1"/>
    <col min="8" max="8" width="9.1796875" style="8"/>
    <col min="9" max="9" width="9.81640625" style="8" customWidth="1"/>
    <col min="10" max="16384" width="9.1796875" style="8"/>
  </cols>
  <sheetData>
    <row r="1" spans="2:9" x14ac:dyDescent="0.35">
      <c r="G1" s="9" t="str">
        <f>'Table of Contents'!F1</f>
        <v>Case No. 2026-00306</v>
      </c>
    </row>
    <row r="2" spans="2:9" x14ac:dyDescent="0.35">
      <c r="G2" s="9" t="s">
        <v>189</v>
      </c>
    </row>
    <row r="3" spans="2:9" x14ac:dyDescent="0.35">
      <c r="E3" s="9"/>
    </row>
    <row r="4" spans="2:9" x14ac:dyDescent="0.35">
      <c r="B4" s="144" t="s">
        <v>12</v>
      </c>
      <c r="C4" s="144"/>
      <c r="D4" s="144"/>
      <c r="E4" s="144"/>
      <c r="F4" s="11"/>
      <c r="G4" s="11"/>
      <c r="H4" s="11"/>
    </row>
    <row r="5" spans="2:9" x14ac:dyDescent="0.35">
      <c r="B5" s="144" t="s">
        <v>112</v>
      </c>
      <c r="C5" s="144"/>
      <c r="D5" s="144"/>
      <c r="E5" s="144"/>
      <c r="F5" s="11"/>
      <c r="G5" s="11"/>
      <c r="H5" s="11"/>
    </row>
    <row r="6" spans="2:9" x14ac:dyDescent="0.35">
      <c r="B6" s="144" t="s">
        <v>78</v>
      </c>
      <c r="C6" s="144"/>
      <c r="D6" s="144"/>
      <c r="E6" s="144"/>
      <c r="F6" s="11"/>
      <c r="G6" s="11"/>
      <c r="H6" s="11"/>
    </row>
    <row r="9" spans="2:9" x14ac:dyDescent="0.35">
      <c r="E9" s="13" t="s">
        <v>79</v>
      </c>
    </row>
    <row r="10" spans="2:9" x14ac:dyDescent="0.35">
      <c r="E10" s="10" t="s">
        <v>13</v>
      </c>
    </row>
    <row r="11" spans="2:9" ht="18.5" x14ac:dyDescent="0.35">
      <c r="B11" s="8" t="s">
        <v>307</v>
      </c>
      <c r="E11" s="15">
        <f>+E12</f>
        <v>3433598</v>
      </c>
      <c r="F11" s="135"/>
    </row>
    <row r="12" spans="2:9" ht="18.5" x14ac:dyDescent="0.65">
      <c r="B12" s="8" t="s">
        <v>302</v>
      </c>
      <c r="E12" s="143">
        <v>3433598</v>
      </c>
      <c r="F12" s="135"/>
    </row>
    <row r="13" spans="2:9" x14ac:dyDescent="0.35">
      <c r="B13" s="8" t="s">
        <v>77</v>
      </c>
      <c r="E13" s="43">
        <f>IF(+E11-E12&lt;0,+E11-E12,0)</f>
        <v>0</v>
      </c>
      <c r="G13" s="41"/>
    </row>
    <row r="14" spans="2:9" x14ac:dyDescent="0.35">
      <c r="I14" s="53"/>
    </row>
    <row r="16" spans="2:9" ht="18.5" x14ac:dyDescent="0.35">
      <c r="B16" s="8" t="s">
        <v>313</v>
      </c>
    </row>
    <row r="17" spans="2:2" x14ac:dyDescent="0.35">
      <c r="B17" s="8" t="s">
        <v>301</v>
      </c>
    </row>
    <row r="21" spans="2:2" x14ac:dyDescent="0.35">
      <c r="B21" s="8" t="s">
        <v>290</v>
      </c>
    </row>
  </sheetData>
  <mergeCells count="3">
    <mergeCell ref="B4:E4"/>
    <mergeCell ref="B5:E5"/>
    <mergeCell ref="B6:E6"/>
  </mergeCells>
  <pageMargins left="0.7" right="0.7" top="0.75" bottom="0.75" header="0.3" footer="0.3"/>
  <pageSetup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Table of Contents</vt:lpstr>
      <vt:lpstr>1.0 SMRP Rider Calc </vt:lpstr>
      <vt:lpstr>1.1 Projected Volumes</vt:lpstr>
      <vt:lpstr>2.0 Revenue Req.</vt:lpstr>
      <vt:lpstr>2.1 ROR </vt:lpstr>
      <vt:lpstr>2.2 Conversion Factor </vt:lpstr>
      <vt:lpstr>3.0 Plant in Service</vt:lpstr>
      <vt:lpstr>4.0 Accumulated Depr</vt:lpstr>
      <vt:lpstr>5.0 Depr Expense</vt:lpstr>
      <vt:lpstr>6.0 ADIT Normalized </vt:lpstr>
      <vt:lpstr>6.1 ADIT Calculated p.1</vt:lpstr>
      <vt:lpstr>6.1 ADIT Calcluated p.2</vt:lpstr>
      <vt:lpstr>6.1 ADIT Calcluated p.3</vt:lpstr>
      <vt:lpstr>7.0 Property Tax</vt:lpstr>
      <vt:lpstr>8.0 O&amp;M Savings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2023-10-13T13:21:36Z</dcterms:created>
  <dcterms:modified xsi:type="dcterms:W3CDTF">2026-10-16T03:11:23Z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d4922b6-aeec-4a72-96e6-e7f0f1e8ddd5_Enabled">
    <vt:lpwstr>true</vt:lpwstr>
  </property>
  <property fmtid="{D5CDD505-2E9C-101B-9397-08002B2CF9AE}" pid="3" name="MSIP_Label_ed4922b6-aeec-4a72-96e6-e7f0f1e8ddd5_SetDate">
    <vt:lpwstr>2026-10-12T19:24:25Z</vt:lpwstr>
  </property>
  <property fmtid="{D5CDD505-2E9C-101B-9397-08002B2CF9AE}" pid="4" name="MSIP_Label_ed4922b6-aeec-4a72-96e6-e7f0f1e8ddd5_Method">
    <vt:lpwstr>Privileged</vt:lpwstr>
  </property>
  <property fmtid="{D5CDD505-2E9C-101B-9397-08002B2CF9AE}" pid="5" name="MSIP_Label_ed4922b6-aeec-4a72-96e6-e7f0f1e8ddd5_Name">
    <vt:lpwstr>INTERNAL USE</vt:lpwstr>
  </property>
  <property fmtid="{D5CDD505-2E9C-101B-9397-08002B2CF9AE}" pid="6" name="MSIP_Label_ed4922b6-aeec-4a72-96e6-e7f0f1e8ddd5_SiteId">
    <vt:lpwstr>179d26d3-3e59-4051-9377-05d3820e617c</vt:lpwstr>
  </property>
  <property fmtid="{D5CDD505-2E9C-101B-9397-08002B2CF9AE}" pid="7" name="MSIP_Label_ed4922b6-aeec-4a72-96e6-e7f0f1e8ddd5_ActionId">
    <vt:lpwstr>c63105dc-0fc5-4e7f-a4bf-b5b873f4318c</vt:lpwstr>
  </property>
  <property fmtid="{D5CDD505-2E9C-101B-9397-08002B2CF9AE}" pid="8" name="MSIP_Label_ed4922b6-aeec-4a72-96e6-e7f0f1e8ddd5_ContentBits">
    <vt:lpwstr>0</vt:lpwstr>
  </property>
  <property fmtid="{D5CDD505-2E9C-101B-9397-08002B2CF9AE}" pid="9" name="MSIP_Label_ed4922b6-aeec-4a72-96e6-e7f0f1e8ddd5_Tag">
    <vt:lpwstr>10, 0, 1, 1</vt:lpwstr>
  </property>
</Properties>
</file>