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8595\Desktop\KRWA\South Eastern WA\Application\"/>
    </mc:Choice>
  </mc:AlternateContent>
  <xr:revisionPtr revIDLastSave="0" documentId="13_ncr:1_{008C312B-519D-4F93-A720-8E3D84CF0EA5}" xr6:coauthVersionLast="47" xr6:coauthVersionMax="47" xr10:uidLastSave="{00000000-0000-0000-0000-000000000000}"/>
  <bookViews>
    <workbookView xWindow="28680" yWindow="270" windowWidth="25440" windowHeight="15270" activeTab="1" xr2:uid="{00000000-000D-0000-FFFF-FFFF00000000}"/>
  </bookViews>
  <sheets>
    <sheet name="References" sheetId="59" r:id="rId1"/>
    <sheet name="SAO" sheetId="6" r:id="rId2"/>
    <sheet name="Revenue Requirement" sheetId="58" r:id="rId3"/>
    <sheet name="Wages" sheetId="55" r:id="rId4"/>
    <sheet name="Medical" sheetId="40" r:id="rId5"/>
    <sheet name="Depreciation" sheetId="51" r:id="rId6"/>
    <sheet name="Debt Service" sheetId="50" r:id="rId7"/>
    <sheet name="Water Loss" sheetId="54" r:id="rId8"/>
    <sheet name="Rates" sheetId="2" r:id="rId9"/>
    <sheet name="Bills" sheetId="42" r:id="rId10"/>
    <sheet name="ExBA" sheetId="52" r:id="rId11"/>
    <sheet name="PRBA" sheetId="62" r:id="rId12"/>
  </sheets>
  <definedNames>
    <definedName name="AHV">#REF!</definedName>
    <definedName name="_xlnm.Print_Area" localSheetId="9">Bills!$B$2:$I$28</definedName>
    <definedName name="_xlnm.Print_Area" localSheetId="6">'Debt Service'!$A$1:$O$36</definedName>
    <definedName name="_xlnm.Print_Area" localSheetId="5">Depreciation!$A$1:$L$50</definedName>
    <definedName name="_xlnm.Print_Area" localSheetId="10">ExBA!$A$2:$H$24</definedName>
    <definedName name="_xlnm.Print_Area" localSheetId="8">Rates!$A$1:$K$47</definedName>
    <definedName name="_xlnm.Print_Area" localSheetId="2">'Revenue Requirement'!$A$1:$G$28</definedName>
    <definedName name="_xlnm.Print_Area" localSheetId="1">SAO!$A$1:$G$50</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5" i="51" l="1"/>
  <c r="J11" i="51"/>
  <c r="K11" i="51"/>
  <c r="J12" i="51"/>
  <c r="K12" i="51"/>
  <c r="J13" i="51"/>
  <c r="K13" i="51"/>
  <c r="J14" i="51"/>
  <c r="K14" i="51"/>
  <c r="J15" i="51"/>
  <c r="K15" i="51"/>
  <c r="J16" i="51"/>
  <c r="J19" i="51"/>
  <c r="J20" i="51"/>
  <c r="J23" i="51"/>
  <c r="K23" i="51"/>
  <c r="J24" i="51"/>
  <c r="K24" i="51"/>
  <c r="J25" i="51"/>
  <c r="K25" i="51"/>
  <c r="J28" i="51"/>
  <c r="K28" i="51"/>
  <c r="J29" i="51"/>
  <c r="K29" i="51"/>
  <c r="J30" i="51"/>
  <c r="K30" i="51"/>
  <c r="J31" i="51"/>
  <c r="K31" i="51"/>
  <c r="J32" i="51"/>
  <c r="K32" i="51"/>
  <c r="J33" i="51"/>
  <c r="K33" i="51"/>
  <c r="J34" i="51"/>
  <c r="K34" i="51"/>
  <c r="J35" i="51"/>
  <c r="K35" i="51"/>
  <c r="J36" i="51"/>
  <c r="K36" i="51"/>
  <c r="J39" i="51"/>
  <c r="K39" i="51"/>
  <c r="J42" i="51"/>
  <c r="E50" i="40"/>
  <c r="C101" i="62" l="1"/>
  <c r="C100" i="62"/>
  <c r="E95" i="62"/>
  <c r="D95" i="62"/>
  <c r="F95" i="62" s="1"/>
  <c r="E94" i="62"/>
  <c r="E96" i="62" s="1"/>
  <c r="D94" i="62"/>
  <c r="D96" i="62" s="1"/>
  <c r="D100" i="62" s="1"/>
  <c r="D102" i="62" s="1"/>
  <c r="C88" i="62"/>
  <c r="C87" i="62"/>
  <c r="E82" i="62"/>
  <c r="D82" i="62"/>
  <c r="F82" i="62" s="1"/>
  <c r="E81" i="62"/>
  <c r="D81" i="62"/>
  <c r="D83" i="62" s="1"/>
  <c r="D87" i="62" s="1"/>
  <c r="C75" i="62"/>
  <c r="C74" i="62"/>
  <c r="E69" i="62"/>
  <c r="D69" i="62"/>
  <c r="D70" i="62" s="1"/>
  <c r="D74" i="62" s="1"/>
  <c r="E68" i="62"/>
  <c r="D68" i="62"/>
  <c r="C62" i="62"/>
  <c r="C61" i="62"/>
  <c r="E56" i="62"/>
  <c r="D56" i="62"/>
  <c r="F56" i="62" s="1"/>
  <c r="E55" i="62"/>
  <c r="E57" i="62" s="1"/>
  <c r="D55" i="62"/>
  <c r="D57" i="62" s="1"/>
  <c r="D61" i="62" s="1"/>
  <c r="C49" i="62"/>
  <c r="C48" i="62"/>
  <c r="E43" i="62"/>
  <c r="D43" i="62"/>
  <c r="F43" i="62" s="1"/>
  <c r="E42" i="62"/>
  <c r="F42" i="62" s="1"/>
  <c r="D42" i="62"/>
  <c r="D44" i="62" s="1"/>
  <c r="D48" i="62" s="1"/>
  <c r="D50" i="62" s="1"/>
  <c r="E30" i="62"/>
  <c r="D30" i="62"/>
  <c r="F30" i="62" s="1"/>
  <c r="E29" i="62"/>
  <c r="F29" i="62" s="1"/>
  <c r="D29" i="62"/>
  <c r="D31" i="62" s="1"/>
  <c r="D35" i="62" s="1"/>
  <c r="D18" i="62"/>
  <c r="D22" i="62" s="1"/>
  <c r="E17" i="62"/>
  <c r="D17" i="62"/>
  <c r="F17" i="62" s="1"/>
  <c r="E16" i="62"/>
  <c r="F16" i="62" s="1"/>
  <c r="D16" i="62"/>
  <c r="P7" i="62"/>
  <c r="H6" i="62" s="1"/>
  <c r="O17" i="42"/>
  <c r="O16" i="42"/>
  <c r="O15" i="42"/>
  <c r="O14" i="42"/>
  <c r="O13" i="42"/>
  <c r="Q18" i="42"/>
  <c r="O12" i="42"/>
  <c r="O11" i="42"/>
  <c r="O10" i="42"/>
  <c r="E25" i="42"/>
  <c r="E24" i="42"/>
  <c r="E23" i="42"/>
  <c r="E22" i="42"/>
  <c r="E21" i="42"/>
  <c r="E20" i="42"/>
  <c r="E19" i="42"/>
  <c r="M17" i="2"/>
  <c r="E18" i="42"/>
  <c r="E17" i="42"/>
  <c r="E16" i="42"/>
  <c r="E15" i="42"/>
  <c r="E14" i="42"/>
  <c r="E13" i="42"/>
  <c r="E12" i="42"/>
  <c r="E11" i="42"/>
  <c r="E10" i="42"/>
  <c r="G3" i="58"/>
  <c r="G4" i="58"/>
  <c r="M30" i="50"/>
  <c r="E24" i="6"/>
  <c r="J42" i="55"/>
  <c r="J40" i="55"/>
  <c r="J41" i="55"/>
  <c r="J24" i="55"/>
  <c r="M23" i="50"/>
  <c r="L23" i="50"/>
  <c r="K23" i="50"/>
  <c r="J23" i="50"/>
  <c r="I23" i="50"/>
  <c r="H23" i="50"/>
  <c r="G23" i="50"/>
  <c r="F23" i="50"/>
  <c r="E23" i="50"/>
  <c r="D23" i="50"/>
  <c r="C23" i="50"/>
  <c r="L13" i="50"/>
  <c r="K13" i="50"/>
  <c r="J13" i="50"/>
  <c r="I13" i="50"/>
  <c r="H13" i="50"/>
  <c r="G13" i="50"/>
  <c r="F13" i="50"/>
  <c r="E13" i="50"/>
  <c r="D13" i="50"/>
  <c r="C13" i="50"/>
  <c r="C34" i="55"/>
  <c r="E44" i="6"/>
  <c r="K47" i="51"/>
  <c r="J47" i="51"/>
  <c r="G43" i="62" l="1"/>
  <c r="H43" i="62" s="1"/>
  <c r="E83" i="62"/>
  <c r="E70" i="62"/>
  <c r="G56" i="62"/>
  <c r="H56" i="62" s="1"/>
  <c r="F69" i="62"/>
  <c r="G69" i="62" s="1"/>
  <c r="D63" i="62"/>
  <c r="G30" i="62"/>
  <c r="G31" i="62" s="1"/>
  <c r="E36" i="62" s="1"/>
  <c r="D37" i="62"/>
  <c r="D24" i="62"/>
  <c r="D89" i="62"/>
  <c r="F18" i="62"/>
  <c r="E22" i="62" s="1"/>
  <c r="H16" i="62"/>
  <c r="G17" i="62"/>
  <c r="G18" i="62" s="1"/>
  <c r="E23" i="62" s="1"/>
  <c r="H17" i="62"/>
  <c r="G57" i="62"/>
  <c r="E62" i="62" s="1"/>
  <c r="D76" i="62"/>
  <c r="H29" i="62"/>
  <c r="F31" i="62"/>
  <c r="E35" i="62" s="1"/>
  <c r="H82" i="62"/>
  <c r="F44" i="62"/>
  <c r="E48" i="62" s="1"/>
  <c r="H42" i="62"/>
  <c r="H44" i="62" s="1"/>
  <c r="G82" i="62"/>
  <c r="G83" i="62" s="1"/>
  <c r="E88" i="62" s="1"/>
  <c r="G95" i="62"/>
  <c r="G96" i="62" s="1"/>
  <c r="E101" i="62" s="1"/>
  <c r="E18" i="62"/>
  <c r="E31" i="62"/>
  <c r="E44" i="62"/>
  <c r="F94" i="62"/>
  <c r="G44" i="62"/>
  <c r="E49" i="62" s="1"/>
  <c r="F55" i="62"/>
  <c r="F68" i="62"/>
  <c r="F81" i="62"/>
  <c r="F31" i="40"/>
  <c r="F30" i="40"/>
  <c r="F22" i="40"/>
  <c r="F21" i="40"/>
  <c r="D12" i="40"/>
  <c r="D10" i="40"/>
  <c r="H38" i="40"/>
  <c r="E38" i="40"/>
  <c r="I38" i="40" s="1"/>
  <c r="D45" i="40"/>
  <c r="E45" i="40" s="1"/>
  <c r="D44" i="40"/>
  <c r="E44" i="40" s="1"/>
  <c r="D32" i="40"/>
  <c r="D24" i="40"/>
  <c r="H45" i="40"/>
  <c r="H44" i="40"/>
  <c r="H37" i="40"/>
  <c r="E37" i="40"/>
  <c r="I37" i="40" s="1"/>
  <c r="I39" i="40" s="1"/>
  <c r="E31" i="40"/>
  <c r="E30" i="40"/>
  <c r="I30" i="40" s="1"/>
  <c r="E29" i="40"/>
  <c r="F29" i="40" s="1"/>
  <c r="E22" i="40"/>
  <c r="E21" i="40"/>
  <c r="E20" i="40"/>
  <c r="I20" i="40" s="1"/>
  <c r="H10" i="40"/>
  <c r="H11" i="40"/>
  <c r="E11" i="40"/>
  <c r="I11" i="40" s="1"/>
  <c r="H13" i="40"/>
  <c r="H9" i="40"/>
  <c r="H8" i="40"/>
  <c r="H7" i="40"/>
  <c r="E13" i="40"/>
  <c r="E9" i="40"/>
  <c r="E8" i="40"/>
  <c r="E7" i="40"/>
  <c r="E6" i="40"/>
  <c r="G70" i="62" l="1"/>
  <c r="E75" i="62" s="1"/>
  <c r="H69" i="62"/>
  <c r="E37" i="62"/>
  <c r="F5" i="62"/>
  <c r="F96" i="62"/>
  <c r="E100" i="62" s="1"/>
  <c r="E102" i="62" s="1"/>
  <c r="H94" i="62"/>
  <c r="E50" i="62"/>
  <c r="E24" i="62"/>
  <c r="H30" i="62"/>
  <c r="H31" i="62" s="1"/>
  <c r="H81" i="62"/>
  <c r="H83" i="62" s="1"/>
  <c r="F83" i="62"/>
  <c r="E87" i="62" s="1"/>
  <c r="E89" i="62" s="1"/>
  <c r="H68" i="62"/>
  <c r="H70" i="62" s="1"/>
  <c r="F70" i="62"/>
  <c r="E74" i="62" s="1"/>
  <c r="E76" i="62" s="1"/>
  <c r="H18" i="62"/>
  <c r="H95" i="62"/>
  <c r="F57" i="62"/>
  <c r="E61" i="62" s="1"/>
  <c r="E63" i="62" s="1"/>
  <c r="H55" i="62"/>
  <c r="H57" i="62" s="1"/>
  <c r="F20" i="40"/>
  <c r="D46" i="40"/>
  <c r="I29" i="40"/>
  <c r="I31" i="40"/>
  <c r="E10" i="40"/>
  <c r="I10" i="40" s="1"/>
  <c r="I44" i="40"/>
  <c r="I46" i="40" s="1"/>
  <c r="I22" i="40"/>
  <c r="I45" i="40"/>
  <c r="I21" i="40"/>
  <c r="I13" i="40"/>
  <c r="I9" i="40"/>
  <c r="I8" i="40"/>
  <c r="I7" i="40"/>
  <c r="D33" i="54"/>
  <c r="D32" i="54"/>
  <c r="D31" i="54"/>
  <c r="F28" i="54"/>
  <c r="F26" i="54"/>
  <c r="F23" i="54"/>
  <c r="F22" i="54"/>
  <c r="F15" i="54"/>
  <c r="F10" i="54"/>
  <c r="F4" i="54"/>
  <c r="C26" i="54"/>
  <c r="C23" i="54"/>
  <c r="G5" i="52"/>
  <c r="N5" i="40"/>
  <c r="H10" i="55"/>
  <c r="M19" i="50"/>
  <c r="L19" i="50"/>
  <c r="K19" i="50"/>
  <c r="J19" i="50"/>
  <c r="I19" i="50"/>
  <c r="H19" i="50"/>
  <c r="G19" i="50"/>
  <c r="F19" i="50"/>
  <c r="E19" i="50"/>
  <c r="D19" i="50"/>
  <c r="C19" i="50"/>
  <c r="M12" i="50"/>
  <c r="L12" i="50"/>
  <c r="J12" i="50"/>
  <c r="H12" i="50"/>
  <c r="F12" i="50"/>
  <c r="D12" i="50"/>
  <c r="J37" i="55"/>
  <c r="P7" i="52"/>
  <c r="G5" i="62" l="1"/>
  <c r="H96" i="62"/>
  <c r="I32" i="40"/>
  <c r="I24" i="40"/>
  <c r="F42" i="52"/>
  <c r="F43" i="52"/>
  <c r="D2" i="55" l="1"/>
  <c r="H15" i="55"/>
  <c r="I15" i="55"/>
  <c r="F5" i="52"/>
  <c r="F105" i="52"/>
  <c r="G105" i="52" s="1"/>
  <c r="E56" i="52"/>
  <c r="E55" i="52"/>
  <c r="E57" i="52" s="1"/>
  <c r="D56" i="52"/>
  <c r="D55" i="52"/>
  <c r="E30" i="52"/>
  <c r="E31" i="52" s="1"/>
  <c r="E29" i="52"/>
  <c r="D30" i="52"/>
  <c r="D29" i="52"/>
  <c r="E17" i="52"/>
  <c r="E16" i="52"/>
  <c r="D17" i="52"/>
  <c r="D16" i="52"/>
  <c r="F101" i="52"/>
  <c r="F100" i="52"/>
  <c r="C101" i="52"/>
  <c r="C100" i="52"/>
  <c r="F88" i="52"/>
  <c r="F87" i="52"/>
  <c r="C88" i="52"/>
  <c r="C87" i="52"/>
  <c r="F75" i="52"/>
  <c r="F74" i="52"/>
  <c r="E69" i="52"/>
  <c r="E68" i="52"/>
  <c r="F68" i="52" s="1"/>
  <c r="D69" i="52"/>
  <c r="F69" i="52" s="1"/>
  <c r="D68" i="52"/>
  <c r="C75" i="52"/>
  <c r="C74" i="52"/>
  <c r="F62" i="52"/>
  <c r="C49" i="52"/>
  <c r="C48" i="52"/>
  <c r="C62" i="52"/>
  <c r="C61" i="52"/>
  <c r="F61" i="52"/>
  <c r="F56" i="52"/>
  <c r="D57" i="52"/>
  <c r="D61" i="52" s="1"/>
  <c r="F49" i="52"/>
  <c r="F48" i="52"/>
  <c r="F36" i="52"/>
  <c r="F35" i="52"/>
  <c r="D31" i="52"/>
  <c r="D35" i="52" s="1"/>
  <c r="D96" i="52"/>
  <c r="D100" i="52" s="1"/>
  <c r="E95" i="52"/>
  <c r="D95" i="52"/>
  <c r="F95" i="52" s="1"/>
  <c r="E94" i="52"/>
  <c r="E96" i="52" s="1"/>
  <c r="D94" i="52"/>
  <c r="E82" i="52"/>
  <c r="D82" i="52"/>
  <c r="F82" i="52" s="1"/>
  <c r="E81" i="52"/>
  <c r="F81" i="52" s="1"/>
  <c r="D81" i="52"/>
  <c r="D83" i="52" s="1"/>
  <c r="D87" i="52" s="1"/>
  <c r="E43" i="52"/>
  <c r="D43" i="52"/>
  <c r="E42" i="52"/>
  <c r="D42" i="52"/>
  <c r="D44" i="52" s="1"/>
  <c r="D48" i="52" s="1"/>
  <c r="F30" i="52"/>
  <c r="G39" i="6"/>
  <c r="G38" i="6"/>
  <c r="C10" i="54"/>
  <c r="B8" i="2"/>
  <c r="D70" i="52" l="1"/>
  <c r="D74" i="52" s="1"/>
  <c r="G69" i="52"/>
  <c r="G70" i="52" s="1"/>
  <c r="E75" i="52" s="1"/>
  <c r="G75" i="52" s="1"/>
  <c r="G95" i="52"/>
  <c r="G96" i="52" s="1"/>
  <c r="E101" i="52" s="1"/>
  <c r="G101" i="52" s="1"/>
  <c r="G100" i="52"/>
  <c r="D102" i="52"/>
  <c r="F94" i="52"/>
  <c r="D89" i="52"/>
  <c r="G87" i="52"/>
  <c r="F83" i="52"/>
  <c r="E87" i="52" s="1"/>
  <c r="E89" i="52" s="1"/>
  <c r="H81" i="52"/>
  <c r="D76" i="52"/>
  <c r="G74" i="52"/>
  <c r="H82" i="52"/>
  <c r="F70" i="52"/>
  <c r="E74" i="52" s="1"/>
  <c r="E76" i="52" s="1"/>
  <c r="H68" i="52"/>
  <c r="G82" i="52"/>
  <c r="G83" i="52" s="1"/>
  <c r="E88" i="52" s="1"/>
  <c r="G88" i="52" s="1"/>
  <c r="E83" i="52"/>
  <c r="E70" i="52"/>
  <c r="D50" i="52"/>
  <c r="G48" i="52"/>
  <c r="F44" i="52"/>
  <c r="E48" i="52" s="1"/>
  <c r="H42" i="52"/>
  <c r="G61" i="52"/>
  <c r="D63" i="52"/>
  <c r="G56" i="52"/>
  <c r="G57" i="52" s="1"/>
  <c r="E62" i="52" s="1"/>
  <c r="G62" i="52" s="1"/>
  <c r="G43" i="52"/>
  <c r="G44" i="52" s="1"/>
  <c r="E49" i="52" s="1"/>
  <c r="G49" i="52" s="1"/>
  <c r="E44" i="52"/>
  <c r="F55" i="52"/>
  <c r="D37" i="52"/>
  <c r="G35" i="52"/>
  <c r="G30" i="52"/>
  <c r="G31" i="52" s="1"/>
  <c r="E36" i="52" s="1"/>
  <c r="G36" i="52" s="1"/>
  <c r="F29" i="52"/>
  <c r="G55" i="6"/>
  <c r="E50" i="52" l="1"/>
  <c r="G102" i="52"/>
  <c r="H95" i="52"/>
  <c r="H69" i="52"/>
  <c r="H70" i="52" s="1"/>
  <c r="G76" i="52"/>
  <c r="F96" i="52"/>
  <c r="E100" i="52" s="1"/>
  <c r="E102" i="52" s="1"/>
  <c r="H94" i="52"/>
  <c r="H96" i="52" s="1"/>
  <c r="H83" i="52"/>
  <c r="G89" i="52"/>
  <c r="H56" i="52"/>
  <c r="G63" i="52"/>
  <c r="F57" i="52"/>
  <c r="E61" i="52" s="1"/>
  <c r="E63" i="52" s="1"/>
  <c r="H55" i="52"/>
  <c r="G50" i="52"/>
  <c r="H43" i="52"/>
  <c r="H44" i="52" s="1"/>
  <c r="G37" i="52"/>
  <c r="F31" i="52"/>
  <c r="E35" i="52" s="1"/>
  <c r="E37" i="52" s="1"/>
  <c r="H29" i="52"/>
  <c r="H30" i="52"/>
  <c r="K30" i="55"/>
  <c r="H57" i="52" l="1"/>
  <c r="H31" i="52"/>
  <c r="F23" i="52"/>
  <c r="F22" i="52"/>
  <c r="G45" i="6" l="1"/>
  <c r="M13" i="50" l="1"/>
  <c r="M18" i="50"/>
  <c r="M15" i="50"/>
  <c r="M14" i="50"/>
  <c r="M16" i="50"/>
  <c r="M17" i="50"/>
  <c r="G19" i="58" l="1"/>
  <c r="G57" i="6" s="1"/>
  <c r="J15" i="55" l="1"/>
  <c r="H8" i="52" l="1"/>
  <c r="H9" i="52"/>
  <c r="H6" i="52" l="1"/>
  <c r="I18" i="55" l="1"/>
  <c r="H18" i="55"/>
  <c r="I17" i="55"/>
  <c r="H17" i="55"/>
  <c r="I16" i="55"/>
  <c r="H16" i="55"/>
  <c r="I14" i="55"/>
  <c r="H14" i="55"/>
  <c r="I13" i="55"/>
  <c r="H13" i="55"/>
  <c r="J18" i="55" l="1"/>
  <c r="J17" i="55"/>
  <c r="J13" i="55"/>
  <c r="J14" i="55"/>
  <c r="J16" i="55"/>
  <c r="G13" i="6" l="1"/>
  <c r="G6" i="58" s="1"/>
  <c r="G9" i="6"/>
  <c r="G21" i="58" l="1"/>
  <c r="G59" i="6" s="1"/>
  <c r="J34" i="50"/>
  <c r="H34" i="50"/>
  <c r="F34" i="50"/>
  <c r="D34" i="50"/>
  <c r="G14" i="6" l="1"/>
  <c r="G7" i="58" l="1"/>
  <c r="G22" i="58"/>
  <c r="G60" i="6" s="1"/>
  <c r="H12" i="55"/>
  <c r="I12" i="55"/>
  <c r="I11" i="55"/>
  <c r="H11" i="55"/>
  <c r="I10" i="55"/>
  <c r="J10" i="55" s="1"/>
  <c r="I9" i="55"/>
  <c r="H9" i="55"/>
  <c r="J11" i="55" l="1"/>
  <c r="J12" i="55"/>
  <c r="J9" i="55"/>
  <c r="H6" i="40"/>
  <c r="I6" i="40" s="1"/>
  <c r="I14" i="40" l="1"/>
  <c r="H5" i="55"/>
  <c r="I6" i="55"/>
  <c r="H8" i="55"/>
  <c r="I7" i="55"/>
  <c r="E20" i="55"/>
  <c r="I19" i="55"/>
  <c r="H19" i="55"/>
  <c r="E52" i="40" l="1"/>
  <c r="E25" i="6" s="1"/>
  <c r="H7" i="55"/>
  <c r="J7" i="55" s="1"/>
  <c r="I5" i="55"/>
  <c r="J5" i="55" s="1"/>
  <c r="I8" i="55"/>
  <c r="J8" i="55" s="1"/>
  <c r="J19" i="55"/>
  <c r="I20" i="55" l="1"/>
  <c r="F16" i="52"/>
  <c r="H16" i="52" s="1"/>
  <c r="F17" i="52"/>
  <c r="G32" i="6"/>
  <c r="G10" i="6"/>
  <c r="B33" i="54"/>
  <c r="B32" i="54"/>
  <c r="B31" i="54"/>
  <c r="D18" i="52" l="1"/>
  <c r="D22" i="52" s="1"/>
  <c r="G22" i="52" s="1"/>
  <c r="E18" i="52"/>
  <c r="F18" i="52"/>
  <c r="G17" i="52"/>
  <c r="B34" i="54"/>
  <c r="G31" i="6"/>
  <c r="G30" i="6"/>
  <c r="D24" i="52" l="1"/>
  <c r="E22" i="52"/>
  <c r="H17" i="52"/>
  <c r="H18" i="52" s="1"/>
  <c r="G18" i="52"/>
  <c r="A33" i="54"/>
  <c r="A32" i="54"/>
  <c r="A31" i="54"/>
  <c r="E23" i="52" l="1"/>
  <c r="G23" i="52" s="1"/>
  <c r="F45" i="51"/>
  <c r="J43" i="51"/>
  <c r="E24" i="52" l="1"/>
  <c r="K43" i="51"/>
  <c r="J28" i="55"/>
  <c r="H6" i="55"/>
  <c r="C22" i="54"/>
  <c r="C15" i="54"/>
  <c r="C4" i="54"/>
  <c r="H20" i="55" l="1"/>
  <c r="J6" i="55"/>
  <c r="J20" i="55" s="1"/>
  <c r="E26" i="6" l="1"/>
  <c r="G26" i="6" s="1"/>
  <c r="E27" i="6"/>
  <c r="J22" i="55" l="1"/>
  <c r="G25" i="6"/>
  <c r="D34" i="54"/>
  <c r="H45" i="51"/>
  <c r="L34" i="50"/>
  <c r="M34" i="50" s="1"/>
  <c r="M36" i="50" s="1"/>
  <c r="J27" i="55" l="1"/>
  <c r="J34" i="55" s="1"/>
  <c r="J36" i="55" s="1"/>
  <c r="K45" i="51"/>
  <c r="G44" i="6" s="1"/>
  <c r="J45" i="51"/>
  <c r="M26" i="50"/>
  <c r="J38" i="55" l="1"/>
  <c r="E46" i="6" s="1"/>
  <c r="J30" i="55"/>
  <c r="E20" i="6" s="1"/>
  <c r="E41" i="6" s="1"/>
  <c r="M28" i="50"/>
  <c r="G47" i="6" l="1"/>
  <c r="P28" i="50"/>
  <c r="G40" i="6"/>
  <c r="G37" i="6"/>
  <c r="G36" i="6"/>
  <c r="G35" i="6"/>
  <c r="G34" i="6"/>
  <c r="G33" i="6"/>
  <c r="G29" i="6"/>
  <c r="G28" i="6"/>
  <c r="G27" i="6"/>
  <c r="G23" i="6"/>
  <c r="G22" i="6" l="1"/>
  <c r="G15" i="6"/>
  <c r="D41" i="6" l="1"/>
  <c r="D48" i="6" s="1"/>
  <c r="G41" i="6" l="1"/>
  <c r="G48" i="6" s="1"/>
  <c r="G2" i="58" s="1"/>
  <c r="G5" i="58" s="1"/>
  <c r="G10" i="58" s="1"/>
  <c r="G16" i="58" l="1"/>
  <c r="G18" i="58" l="1"/>
  <c r="I17" i="58" s="1"/>
  <c r="J20" i="58" s="1"/>
  <c r="G54" i="6"/>
  <c r="G24" i="52"/>
  <c r="H5" i="52" s="1"/>
  <c r="G20" i="58" l="1"/>
  <c r="G56" i="6"/>
  <c r="H7" i="52"/>
  <c r="H11" i="52" l="1"/>
  <c r="G11" i="58"/>
  <c r="G12" i="58" s="1"/>
  <c r="G13" i="58" s="1"/>
  <c r="G25" i="58"/>
  <c r="G58" i="6"/>
  <c r="G26" i="58"/>
  <c r="E8" i="6" l="1"/>
  <c r="G8" i="6" s="1"/>
  <c r="G64" i="6" s="1"/>
  <c r="G63" i="6"/>
  <c r="H8" i="62" s="1"/>
  <c r="G27" i="58" l="1"/>
  <c r="D16" i="6"/>
  <c r="D50" i="6" s="1"/>
  <c r="G28" i="58" l="1"/>
  <c r="G65" i="6"/>
  <c r="G16" i="6"/>
  <c r="G50" i="6" s="1"/>
  <c r="F38" i="2" l="1"/>
  <c r="F37" i="2"/>
  <c r="G66" i="6"/>
  <c r="F21" i="2"/>
  <c r="F30" i="2"/>
  <c r="F29" i="2"/>
  <c r="F25" i="2"/>
  <c r="F34" i="2"/>
  <c r="F22" i="2"/>
  <c r="F33" i="2"/>
  <c r="F26" i="2"/>
  <c r="F17" i="2"/>
  <c r="F41" i="2"/>
  <c r="F18" i="2"/>
  <c r="F14" i="2"/>
  <c r="F13" i="2"/>
  <c r="H25" i="2" l="1"/>
  <c r="I25" i="2" s="1"/>
  <c r="F61" i="62"/>
  <c r="G61" i="62" s="1"/>
  <c r="H18" i="2"/>
  <c r="I18" i="2" s="1"/>
  <c r="F36" i="62"/>
  <c r="G36" i="62" s="1"/>
  <c r="H22" i="2"/>
  <c r="I22" i="2" s="1"/>
  <c r="F49" i="62"/>
  <c r="G49" i="62" s="1"/>
  <c r="H14" i="2"/>
  <c r="I14" i="2" s="1"/>
  <c r="F23" i="62"/>
  <c r="G23" i="62" s="1"/>
  <c r="F105" i="62"/>
  <c r="G105" i="62" s="1"/>
  <c r="P17" i="42"/>
  <c r="H21" i="2"/>
  <c r="I21" i="2" s="1"/>
  <c r="F48" i="62"/>
  <c r="G48" i="62" s="1"/>
  <c r="P12" i="42"/>
  <c r="F22" i="42"/>
  <c r="G22" i="42" s="1"/>
  <c r="H22" i="42" s="1"/>
  <c r="F15" i="42"/>
  <c r="G15" i="42" s="1"/>
  <c r="H15" i="42" s="1"/>
  <c r="F12" i="42"/>
  <c r="G12" i="42" s="1"/>
  <c r="H12" i="42" s="1"/>
  <c r="P11" i="42"/>
  <c r="F21" i="42"/>
  <c r="G21" i="42" s="1"/>
  <c r="H21" i="42" s="1"/>
  <c r="F14" i="42"/>
  <c r="G14" i="42" s="1"/>
  <c r="H14" i="42" s="1"/>
  <c r="F20" i="42"/>
  <c r="F13" i="42"/>
  <c r="G13" i="42" s="1"/>
  <c r="H13" i="42" s="1"/>
  <c r="F11" i="42"/>
  <c r="G11" i="42" s="1"/>
  <c r="H11" i="42" s="1"/>
  <c r="F18" i="42"/>
  <c r="P13" i="42"/>
  <c r="P10" i="42"/>
  <c r="F19" i="42"/>
  <c r="G19" i="42" s="1"/>
  <c r="H19" i="42" s="1"/>
  <c r="F10" i="42"/>
  <c r="G10" i="42" s="1"/>
  <c r="H10" i="42" s="1"/>
  <c r="F25" i="42"/>
  <c r="G25" i="42" s="1"/>
  <c r="H25" i="42" s="1"/>
  <c r="F24" i="42"/>
  <c r="G24" i="42" s="1"/>
  <c r="H24" i="42" s="1"/>
  <c r="F17" i="42"/>
  <c r="G17" i="42" s="1"/>
  <c r="H17" i="42" s="1"/>
  <c r="F16" i="42"/>
  <c r="F22" i="62"/>
  <c r="G22" i="62" s="1"/>
  <c r="F23" i="42"/>
  <c r="G23" i="42" s="1"/>
  <c r="H23" i="42" s="1"/>
  <c r="H29" i="2"/>
  <c r="I29" i="2" s="1"/>
  <c r="P14" i="42"/>
  <c r="F74" i="62"/>
  <c r="G74" i="62" s="1"/>
  <c r="H17" i="2"/>
  <c r="I17" i="2" s="1"/>
  <c r="F35" i="62"/>
  <c r="G35" i="62" s="1"/>
  <c r="G37" i="62" s="1"/>
  <c r="H26" i="2"/>
  <c r="I26" i="2" s="1"/>
  <c r="F62" i="62"/>
  <c r="G62" i="62" s="1"/>
  <c r="H38" i="2"/>
  <c r="I38" i="2" s="1"/>
  <c r="F101" i="62"/>
  <c r="G101" i="62" s="1"/>
  <c r="H34" i="2"/>
  <c r="I34" i="2" s="1"/>
  <c r="F88" i="62"/>
  <c r="G88" i="62" s="1"/>
  <c r="H30" i="2"/>
  <c r="I30" i="2" s="1"/>
  <c r="F75" i="62"/>
  <c r="G75" i="62" s="1"/>
  <c r="H33" i="2"/>
  <c r="I33" i="2" s="1"/>
  <c r="F87" i="62"/>
  <c r="G87" i="62" s="1"/>
  <c r="P15" i="42"/>
  <c r="H37" i="2"/>
  <c r="I37" i="2" s="1"/>
  <c r="P16" i="42"/>
  <c r="F100" i="62"/>
  <c r="G100" i="62" s="1"/>
  <c r="H41" i="2"/>
  <c r="I41" i="2" s="1"/>
  <c r="H13" i="2"/>
  <c r="I13" i="2" s="1"/>
  <c r="G18" i="42"/>
  <c r="H18" i="42" s="1"/>
  <c r="G20" i="42"/>
  <c r="H20" i="42" s="1"/>
  <c r="G16" i="42"/>
  <c r="H16" i="42" s="1"/>
  <c r="G89" i="62" l="1"/>
  <c r="Q14" i="42"/>
  <c r="R14" i="42" s="1"/>
  <c r="Q10" i="42"/>
  <c r="R10" i="42" s="1"/>
  <c r="Q11" i="42"/>
  <c r="R11" i="42" s="1"/>
  <c r="Q12" i="42"/>
  <c r="R12" i="42" s="1"/>
  <c r="Q16" i="42"/>
  <c r="R16" i="42" s="1"/>
  <c r="G102" i="62"/>
  <c r="G76" i="62"/>
  <c r="G24" i="62"/>
  <c r="G50" i="62"/>
  <c r="Q13" i="42"/>
  <c r="R13" i="42" s="1"/>
  <c r="Q17" i="42"/>
  <c r="R17" i="42" s="1"/>
  <c r="G63" i="62"/>
  <c r="Q15" i="42"/>
  <c r="R15" i="42" s="1"/>
  <c r="H5" i="62" l="1"/>
  <c r="H7" i="62" s="1"/>
  <c r="H9" i="62" s="1"/>
</calcChain>
</file>

<file path=xl/sharedStrings.xml><?xml version="1.0" encoding="utf-8"?>
<sst xmlns="http://schemas.openxmlformats.org/spreadsheetml/2006/main" count="957" uniqueCount="395">
  <si>
    <t>Total Operating Expenses</t>
  </si>
  <si>
    <t>Taxes Other Than Income</t>
  </si>
  <si>
    <t>Salaries and Wages - Employees</t>
  </si>
  <si>
    <t>Salaries and Wages - Officers</t>
  </si>
  <si>
    <t>Employee Pensions and Benefits</t>
  </si>
  <si>
    <t>Purchased Water</t>
  </si>
  <si>
    <t>Purchased Power</t>
  </si>
  <si>
    <t>Materials and Supplies</t>
  </si>
  <si>
    <t>Miscellaneous Expenses</t>
  </si>
  <si>
    <t>Transportation Expenses</t>
  </si>
  <si>
    <t>Proposed</t>
  </si>
  <si>
    <t>Total</t>
  </si>
  <si>
    <t>Gallons</t>
  </si>
  <si>
    <t>Operating Revenues</t>
  </si>
  <si>
    <t>Sales for Resale</t>
  </si>
  <si>
    <t>Other Water Revenues:</t>
  </si>
  <si>
    <t>Misc. Service Revenues</t>
  </si>
  <si>
    <t>Total Operating Revenues</t>
  </si>
  <si>
    <t>Operating Expenses</t>
  </si>
  <si>
    <t>Depreciation Expense</t>
  </si>
  <si>
    <t>Plus:</t>
  </si>
  <si>
    <t>Less:</t>
  </si>
  <si>
    <t>Existing</t>
  </si>
  <si>
    <t>Change</t>
  </si>
  <si>
    <t>1"</t>
  </si>
  <si>
    <t>2"</t>
  </si>
  <si>
    <t>Table A</t>
  </si>
  <si>
    <t>SCHEDULE OF ADJUSTED OPERATIONS</t>
  </si>
  <si>
    <t>Test Year</t>
  </si>
  <si>
    <t>Adjustments</t>
  </si>
  <si>
    <t>Ref.</t>
  </si>
  <si>
    <t>Proforma</t>
  </si>
  <si>
    <t>Operation and Maintenance</t>
  </si>
  <si>
    <t>Total Operation and Mnt. Expenses</t>
  </si>
  <si>
    <t>Total Utility Operating Income</t>
  </si>
  <si>
    <t>Pro Forma Operating Expenses</t>
  </si>
  <si>
    <t>Adjustment</t>
  </si>
  <si>
    <t>Forfeited Discounts</t>
  </si>
  <si>
    <t>DEPRECIATION EXPENSE ADJUSTMENTS</t>
  </si>
  <si>
    <t>Depreciation</t>
  </si>
  <si>
    <t>Date in</t>
  </si>
  <si>
    <t>Original</t>
  </si>
  <si>
    <t>Expense</t>
  </si>
  <si>
    <t>Service</t>
  </si>
  <si>
    <t>Life</t>
  </si>
  <si>
    <t>Depr. Exp.</t>
  </si>
  <si>
    <t>CURRENT AND PROPOSED RATES</t>
  </si>
  <si>
    <t>Private Fire Protection</t>
  </si>
  <si>
    <t>Other Water Revenues</t>
  </si>
  <si>
    <t>Rental of Building/Real Property</t>
  </si>
  <si>
    <t>Insurance - Other</t>
  </si>
  <si>
    <t>Revenue Required From Sales of Water</t>
  </si>
  <si>
    <t>Revenue from Sales with Present Rates</t>
  </si>
  <si>
    <t>Total Revenue Requirement</t>
  </si>
  <si>
    <t>Required Revenue Increase</t>
  </si>
  <si>
    <t>Percent Increase</t>
  </si>
  <si>
    <t>Meter</t>
  </si>
  <si>
    <t>Difference</t>
  </si>
  <si>
    <t>Percentage</t>
  </si>
  <si>
    <t>Size</t>
  </si>
  <si>
    <t>5/8 x 3/4"</t>
  </si>
  <si>
    <t>TOTALS</t>
  </si>
  <si>
    <t>per Month*</t>
  </si>
  <si>
    <t>* Highlighted usage represents the average residential bill.</t>
  </si>
  <si>
    <t>Chemicals</t>
  </si>
  <si>
    <t>Salaries &amp; Wages and Associated Adjustments</t>
  </si>
  <si>
    <t>Pro Forma</t>
  </si>
  <si>
    <t xml:space="preserve">Pro Forma </t>
  </si>
  <si>
    <t>Employee</t>
  </si>
  <si>
    <t>Reg. Hrs</t>
  </si>
  <si>
    <t>O. T. Hours</t>
  </si>
  <si>
    <t>Reg. Wages</t>
  </si>
  <si>
    <t>O. T. Wages</t>
  </si>
  <si>
    <t>Wages</t>
  </si>
  <si>
    <t>Pro Forma Salaries &amp; Wages Expense</t>
  </si>
  <si>
    <t>Less: Test Year Salaries &amp; Wages Exp</t>
  </si>
  <si>
    <t>Pro Forma Salaries &amp; Wages Adj'mt</t>
  </si>
  <si>
    <t xml:space="preserve"> </t>
  </si>
  <si>
    <t>Times: 7.65 Percent FICA Rate</t>
  </si>
  <si>
    <t>Pro Forma Payroll Taxes</t>
  </si>
  <si>
    <t>Payroll Tax Adjustment</t>
  </si>
  <si>
    <t>Average Annual Principal and Interest Payments</t>
  </si>
  <si>
    <t>Additional Working Capital</t>
  </si>
  <si>
    <t>Table B</t>
  </si>
  <si>
    <t>DEBT SERVICE SCHDULE</t>
  </si>
  <si>
    <t>Interest</t>
  </si>
  <si>
    <t>Principal</t>
  </si>
  <si>
    <t>&amp; Fees</t>
  </si>
  <si>
    <t>Average Annual Principal &amp; Interest</t>
  </si>
  <si>
    <t>Average Annual Coverage</t>
  </si>
  <si>
    <t>General Plant</t>
  </si>
  <si>
    <t>Pumping Plant</t>
  </si>
  <si>
    <t>Transmission &amp; Distribution Plant</t>
  </si>
  <si>
    <t>Transportation Equipment</t>
  </si>
  <si>
    <t>Water Treatment Plant</t>
  </si>
  <si>
    <t>Asset</t>
  </si>
  <si>
    <t>Structures &amp; Improvements</t>
  </si>
  <si>
    <t>Office Furniture &amp; Equipment</t>
  </si>
  <si>
    <t>Power Operated Equipment</t>
  </si>
  <si>
    <t>Tools, Shop, &amp; Garage Equipment</t>
  </si>
  <si>
    <t>Tank Repairs &amp; Painting</t>
  </si>
  <si>
    <t>Telemetry</t>
  </si>
  <si>
    <t>Pumping Equipment</t>
  </si>
  <si>
    <t>Hydrants</t>
  </si>
  <si>
    <t>Transmission &amp; Distribution Mains</t>
  </si>
  <si>
    <t>Meter Installations</t>
  </si>
  <si>
    <t>Meter Change-outs</t>
  </si>
  <si>
    <t>Pump Equipment</t>
  </si>
  <si>
    <t>Tank Fence</t>
  </si>
  <si>
    <t>Services</t>
  </si>
  <si>
    <t>Reservoirs &amp; Tanks</t>
  </si>
  <si>
    <t>Tank Painting &amp; Repairs</t>
  </si>
  <si>
    <t>Entire Group</t>
  </si>
  <si>
    <t>Cost *</t>
  </si>
  <si>
    <t>Reported</t>
  </si>
  <si>
    <t>Water Loss Adjustment</t>
  </si>
  <si>
    <t>Uses:</t>
  </si>
  <si>
    <t xml:space="preserve">  allowable in rates</t>
  </si>
  <si>
    <t xml:space="preserve">  adjustment percentage</t>
  </si>
  <si>
    <t>Produced</t>
  </si>
  <si>
    <t>Purchased</t>
  </si>
  <si>
    <t>Total Produced and Purchased</t>
  </si>
  <si>
    <t>Total Other Water Used</t>
  </si>
  <si>
    <t>Losses:</t>
  </si>
  <si>
    <t xml:space="preserve">   Flushing</t>
  </si>
  <si>
    <t xml:space="preserve">   Fire</t>
  </si>
  <si>
    <t xml:space="preserve">   Other</t>
  </si>
  <si>
    <t xml:space="preserve">   Line Leaks</t>
  </si>
  <si>
    <t xml:space="preserve">   Unknown</t>
  </si>
  <si>
    <t>Total Losses:</t>
  </si>
  <si>
    <t>Sold, Used, and Lost</t>
  </si>
  <si>
    <t>Total Gross Wages</t>
  </si>
  <si>
    <t>DISTRICT'S</t>
  </si>
  <si>
    <t>EMPLOYEE</t>
  </si>
  <si>
    <t xml:space="preserve">WATER DIST </t>
  </si>
  <si>
    <t>ANNUAL</t>
  </si>
  <si>
    <t>PREMIUM</t>
  </si>
  <si>
    <t>CONTRIB</t>
  </si>
  <si>
    <t>CONTRIB %</t>
  </si>
  <si>
    <t>Structures and Improvements</t>
  </si>
  <si>
    <t>Water Treatment Equipment</t>
  </si>
  <si>
    <t>Source of Supply Plant</t>
  </si>
  <si>
    <t>Collecting &amp; Impounding Reservoirs</t>
  </si>
  <si>
    <t>Supply Mains</t>
  </si>
  <si>
    <t>``</t>
  </si>
  <si>
    <t>Pension</t>
  </si>
  <si>
    <t>Eligible</t>
  </si>
  <si>
    <t>CURRENT AND PROPOSED BILLS</t>
  </si>
  <si>
    <t>Contractual Services - Accounting</t>
  </si>
  <si>
    <t xml:space="preserve">   Tank Overflows</t>
  </si>
  <si>
    <t xml:space="preserve">   Line Breaks</t>
  </si>
  <si>
    <t>Summary</t>
  </si>
  <si>
    <t>Customer Class</t>
  </si>
  <si>
    <t># of Bills</t>
  </si>
  <si>
    <t>Gallons Sold</t>
  </si>
  <si>
    <t>Revenue</t>
  </si>
  <si>
    <t>First</t>
  </si>
  <si>
    <t>Over</t>
  </si>
  <si>
    <t>Usage</t>
  </si>
  <si>
    <t>Bills</t>
  </si>
  <si>
    <t>REVENUE BY RATE INCREMENT</t>
  </si>
  <si>
    <t xml:space="preserve">Rate </t>
  </si>
  <si>
    <t>Less Adjustments</t>
  </si>
  <si>
    <t>Costs Subject to Water Loss Adjustment</t>
  </si>
  <si>
    <t>Adjustment to SAO Billed Retail Revenues</t>
  </si>
  <si>
    <t>Computation of Adjustment:</t>
  </si>
  <si>
    <t>Monthly Water Rates:</t>
  </si>
  <si>
    <t>Minimum Bill</t>
  </si>
  <si>
    <t>All Over</t>
  </si>
  <si>
    <t>Block</t>
  </si>
  <si>
    <t>Second</t>
  </si>
  <si>
    <t>CONSUMPTION BY RATE INCREMENT</t>
  </si>
  <si>
    <t>No</t>
  </si>
  <si>
    <t>Reference</t>
  </si>
  <si>
    <t>Wholesale Rate and Leak Adjustment Rate</t>
  </si>
  <si>
    <t>All Gallons</t>
  </si>
  <si>
    <t>2,000 Gallons</t>
  </si>
  <si>
    <t>various</t>
  </si>
  <si>
    <t>NUMBER OF PARTICIPANTS</t>
  </si>
  <si>
    <t>Tab Medical Cell C18</t>
  </si>
  <si>
    <t>Bill**</t>
  </si>
  <si>
    <t>MEDICAL INSURANCE</t>
  </si>
  <si>
    <t>TOTAL MEDICAL INSURANCE</t>
  </si>
  <si>
    <t>DENTAL INSURANCE</t>
  </si>
  <si>
    <t>TOTAL DENTAL INSURANCE</t>
  </si>
  <si>
    <t xml:space="preserve"> REVENUE REQUIREMENTS USING OPERATING RATIO METHOD </t>
  </si>
  <si>
    <t>Divided by:  Operating Ratio</t>
  </si>
  <si>
    <t xml:space="preserve">  Subtotal</t>
  </si>
  <si>
    <t>Interest Expense</t>
  </si>
  <si>
    <t>REVENUE REQUIREMENTS USING DEBT SERVICE COVERAGE METHOD</t>
  </si>
  <si>
    <t>Interest Only</t>
  </si>
  <si>
    <t>A</t>
  </si>
  <si>
    <t>B</t>
  </si>
  <si>
    <t>D</t>
  </si>
  <si>
    <t>E</t>
  </si>
  <si>
    <t>F</t>
  </si>
  <si>
    <t>G</t>
  </si>
  <si>
    <t>H</t>
  </si>
  <si>
    <t>I</t>
  </si>
  <si>
    <t>Average annual debt service over next five years.</t>
  </si>
  <si>
    <t>Twenty percent of average annual debt service.</t>
  </si>
  <si>
    <t>Tab Debt Service Cell M25</t>
  </si>
  <si>
    <t>Tab Debt Service Cell M27</t>
  </si>
  <si>
    <t>K</t>
  </si>
  <si>
    <t>Adjust to allowable water loss.</t>
  </si>
  <si>
    <t>Tab Water Loss Cell D29</t>
  </si>
  <si>
    <t>Tab Water Loss Cell D30</t>
  </si>
  <si>
    <t>Tab SAO Cell D20</t>
  </si>
  <si>
    <t>Miscellaneous Service Revenues</t>
  </si>
  <si>
    <t>Sales to Residential Customers</t>
  </si>
  <si>
    <t>Sales to Commercial Customers</t>
  </si>
  <si>
    <t>Contractual Services - legal</t>
  </si>
  <si>
    <t>Contractual Services - Water Testiing</t>
  </si>
  <si>
    <t>Insurance - Workers Comp</t>
  </si>
  <si>
    <t>Advertising</t>
  </si>
  <si>
    <t>Misread</t>
  </si>
  <si>
    <t>Leak Adjustment</t>
  </si>
  <si>
    <t>Water Adjustment</t>
  </si>
  <si>
    <t>CY 2027</t>
  </si>
  <si>
    <t>CY 2028</t>
  </si>
  <si>
    <t>CY 2029</t>
  </si>
  <si>
    <t>CY 2030</t>
  </si>
  <si>
    <t>Loan</t>
  </si>
  <si>
    <t>Interest Income</t>
  </si>
  <si>
    <t>2024 AR pg.20</t>
  </si>
  <si>
    <t>VISION INSURANCE</t>
  </si>
  <si>
    <t>Total Employer Medical Premium</t>
  </si>
  <si>
    <t>Amortization Expense</t>
  </si>
  <si>
    <t>Adjust wages to reflect staff changes and increase in employee wage rates.</t>
  </si>
  <si>
    <t>Wages tab Cell H30</t>
  </si>
  <si>
    <t>Tab ExBA Cell H10</t>
  </si>
  <si>
    <t>5 year Average Interest Only</t>
  </si>
  <si>
    <t>MANAGER</t>
  </si>
  <si>
    <t>REFRENCES</t>
  </si>
  <si>
    <t>A.</t>
  </si>
  <si>
    <t>B.</t>
  </si>
  <si>
    <t>C.</t>
  </si>
  <si>
    <t>K.</t>
  </si>
  <si>
    <t xml:space="preserve">Revenue requirement is computed using the Operating Ratio Method. This method is used when systems have little or no debt. </t>
  </si>
  <si>
    <t>Tab Wages Cell I36</t>
  </si>
  <si>
    <t>CY 2031</t>
  </si>
  <si>
    <t>CY 2027 - 2031</t>
  </si>
  <si>
    <t>Rate case Expense amortized over 3 years($9,335/3=$3,112)</t>
  </si>
  <si>
    <t>TOTAL</t>
  </si>
  <si>
    <t>Per Gallon</t>
  </si>
  <si>
    <t>Hourly Wage Rate</t>
  </si>
  <si>
    <t>Water</t>
  </si>
  <si>
    <t>Loss</t>
  </si>
  <si>
    <t>Report</t>
  </si>
  <si>
    <t>Tab Debt Service Cell M29</t>
  </si>
  <si>
    <t>5-Year Average Interest &amp; fees Only</t>
  </si>
  <si>
    <t>5-Year Average annual interest over next five years.</t>
  </si>
  <si>
    <t>SOUTH EASTERN WATER ASSOCIATION, INC.</t>
  </si>
  <si>
    <t>SOLD</t>
  </si>
  <si>
    <t>Residential</t>
  </si>
  <si>
    <t>Commercial</t>
  </si>
  <si>
    <t>Bulk loadiing</t>
  </si>
  <si>
    <t>Other</t>
  </si>
  <si>
    <t>Bad Debt</t>
  </si>
  <si>
    <t>Regulatory Commission Exp. - Other</t>
  </si>
  <si>
    <t>Less: 2025 Payroll Taxes</t>
  </si>
  <si>
    <t>Non Utility Income</t>
  </si>
  <si>
    <t>AR pg. 20</t>
  </si>
  <si>
    <t>BILLING ANALYSIS WITH 2025 USAGE AND CURRENT RATES</t>
  </si>
  <si>
    <t>5/8 x 3/4 Meter</t>
  </si>
  <si>
    <t>1-Inch Meter</t>
  </si>
  <si>
    <t>1 1/2-Inch Meter</t>
  </si>
  <si>
    <t>2-Inch Meter</t>
  </si>
  <si>
    <t>3-Inch Meter</t>
  </si>
  <si>
    <t>4-Inch Meter</t>
  </si>
  <si>
    <t>6-Inch Meter</t>
  </si>
  <si>
    <t>5,000 Gallons</t>
  </si>
  <si>
    <t>10,000 Gallons</t>
  </si>
  <si>
    <t>20,000 Gallons</t>
  </si>
  <si>
    <t>30,000 Gallons</t>
  </si>
  <si>
    <t>50,000 Gallons</t>
  </si>
  <si>
    <t>100,000 Gallons</t>
  </si>
  <si>
    <t>Wholesale</t>
  </si>
  <si>
    <t>Less 2025 PSC Annual Report</t>
  </si>
  <si>
    <t>401K</t>
  </si>
  <si>
    <t>Joe Crawford</t>
  </si>
  <si>
    <t>EFF. 2/15/24</t>
  </si>
  <si>
    <t>Penalties</t>
  </si>
  <si>
    <t>Penalty adjustments</t>
  </si>
  <si>
    <t xml:space="preserve">2025 Annual Report pg. 45 </t>
  </si>
  <si>
    <t>KRWFC 2015 C</t>
  </si>
  <si>
    <t>91-22</t>
  </si>
  <si>
    <t>40406-94</t>
  </si>
  <si>
    <t>91-24</t>
  </si>
  <si>
    <t>91-26</t>
  </si>
  <si>
    <t>91-28</t>
  </si>
  <si>
    <t>91-30</t>
  </si>
  <si>
    <t>91-32</t>
  </si>
  <si>
    <t>EQUIP OPERATOR /FIELD LABORER</t>
  </si>
  <si>
    <t>Leak Detection/ GPS</t>
  </si>
  <si>
    <t>FIELD LABORER</t>
  </si>
  <si>
    <t>Leak Detection/ GPS/Distrib. Operator</t>
  </si>
  <si>
    <t>Distrib. Operator/Customer Service</t>
  </si>
  <si>
    <t>CUSTOMER SERVICE</t>
  </si>
  <si>
    <t>Confirmed no customers with this meter size</t>
  </si>
  <si>
    <t>SOUTH EASTERN WATER ASSOCIATION</t>
  </si>
  <si>
    <t>Less: District's 2025 Annual Premium</t>
  </si>
  <si>
    <t>Source 7/23 email accountant</t>
  </si>
  <si>
    <t>Health Ins</t>
  </si>
  <si>
    <t>Retirement</t>
  </si>
  <si>
    <t>Emp. Pensions &amp; Benefits</t>
  </si>
  <si>
    <t>MONTHLY</t>
  </si>
  <si>
    <t>Family</t>
  </si>
  <si>
    <t>Single EMP</t>
  </si>
  <si>
    <t>EMP/spouse</t>
  </si>
  <si>
    <t>Yes</t>
  </si>
  <si>
    <t>Communication &amp; Computer Equipment</t>
  </si>
  <si>
    <t xml:space="preserve">  Reported Water Loss Percentage</t>
  </si>
  <si>
    <t>2025 PSC annual report     (To Be Revised)</t>
  </si>
  <si>
    <t>Board Memebers</t>
  </si>
  <si>
    <t>Total Pro Forma Pension Contribution</t>
  </si>
  <si>
    <t>Less: Test Year Pension Contribution</t>
  </si>
  <si>
    <t>Pension &amp; Benefits Adjustment</t>
  </si>
  <si>
    <t xml:space="preserve"> CONTRIBUTION-Eligible wages times 3%</t>
  </si>
  <si>
    <t>Gross Wages for Full Time Employees Pension Eligible</t>
  </si>
  <si>
    <t>Member ship dues</t>
  </si>
  <si>
    <t>Emp/ child</t>
  </si>
  <si>
    <t>EMP</t>
  </si>
  <si>
    <t>EMP/SP</t>
  </si>
  <si>
    <t>LIFE INSURANCE</t>
  </si>
  <si>
    <t>DISABILITY INSURANCE</t>
  </si>
  <si>
    <t>STD</t>
  </si>
  <si>
    <t>LTD</t>
  </si>
  <si>
    <t>FAM</t>
  </si>
  <si>
    <t>Med - AARP</t>
  </si>
  <si>
    <t>TOTAL VISION INSURANCE</t>
  </si>
  <si>
    <t>TOTAL LIFE INSURANCE</t>
  </si>
  <si>
    <t>TOTAL DISABILITY INSURANCE</t>
  </si>
  <si>
    <t>Basic Life</t>
  </si>
  <si>
    <t>Medicare Sup</t>
  </si>
  <si>
    <t>Medicare Ind</t>
  </si>
  <si>
    <t>PSC Annual</t>
  </si>
  <si>
    <t xml:space="preserve"> *  Includes only costs associated with assets that contributed to depreciation expense in the test year.</t>
  </si>
  <si>
    <t>Depreciation Expense 2025 PSC annual report</t>
  </si>
  <si>
    <t xml:space="preserve">TOTALS for Depreciation Expense 2025 ** </t>
  </si>
  <si>
    <t xml:space="preserve">** Deprecitaion schedule differs from PSC annual report by $1,856 due to adjustments made after 12/31/25.  </t>
  </si>
  <si>
    <t>2025 Depreciation schedule adjusted to PSC policy allowed lives</t>
  </si>
  <si>
    <t>Tab Depreciation Cell K47</t>
  </si>
  <si>
    <t>Net Adjustment to reported revenues to current billing analysis.</t>
  </si>
  <si>
    <t>KIA Fund B (B26-002)</t>
  </si>
  <si>
    <t>Wade Bumgardner</t>
  </si>
  <si>
    <t>Bobby Crow</t>
  </si>
  <si>
    <t>Grant Treado</t>
  </si>
  <si>
    <t>Dennis R. Faulkner</t>
  </si>
  <si>
    <t>H. Dwight Faulkner</t>
  </si>
  <si>
    <t>Mark Davis</t>
  </si>
  <si>
    <t>Board members receive $6,000 annually. Seven board members, one elects not to recive compensation</t>
  </si>
  <si>
    <t>One time Insurance rembursement $27,486</t>
  </si>
  <si>
    <t>Pro Forma Salaries and Wages Expense plus Commissioners</t>
  </si>
  <si>
    <t>Adjust medical insurance to 2026 employer premium.</t>
  </si>
  <si>
    <t>Adjust Pension expense to 2026 eligible employee wages</t>
  </si>
  <si>
    <t>Wages Tab Cell J42</t>
  </si>
  <si>
    <t>Chooses not to participate</t>
  </si>
  <si>
    <t>Must be with the system for 3 yrs</t>
  </si>
  <si>
    <t>Adjust payroll taxes to reflect employee turnover.</t>
  </si>
  <si>
    <t>1 1/2"</t>
  </si>
  <si>
    <t>3"</t>
  </si>
  <si>
    <t>4"</t>
  </si>
  <si>
    <t>6"</t>
  </si>
  <si>
    <t>Wholesale (rate per gallon)</t>
  </si>
  <si>
    <t>BILLING ANALYSIS WITH 2025 USAGE AND PROPOSED RATES</t>
  </si>
  <si>
    <t xml:space="preserve">Total </t>
  </si>
  <si>
    <t>Revenue Required from water sales</t>
  </si>
  <si>
    <t>Decrease to revenues to match test year billing analysis with current rates.</t>
  </si>
  <si>
    <t>Since 2025, there have been increases to individual wage rates and employee turnover, resulting in an increase to wages of $11,939.</t>
  </si>
  <si>
    <t>C</t>
  </si>
  <si>
    <t>L</t>
  </si>
  <si>
    <t>Decrease Pension contribution by $4,460 to 2026 eligible employee wages.</t>
  </si>
  <si>
    <t>Increase Medical benefits by $25,863 due to increased premiums for employees.</t>
  </si>
  <si>
    <t>The utility's test year water loss was 21.19 percent. The PSC's maximum allowable loss for rate-making purposes is 15.0 percent. Therefore, the expenses for purchased water and purchased power above the 15 percent limit is not allowed in the rate base and must be deducted. Purchased Water expense was decreased by $107,830 and purchased power expense was decreased by $6,674.</t>
  </si>
  <si>
    <t>The PSC requires adjustments to a water utility's depreciation expense when asset lives fall outside the ranges recommended by NARUC in its publication titled "Depreciation Practices for small utilities".  Adjustments are included to bring asset lives to the midpoint of the recommended ranges. SEWA total depreciation expense was decreased by $240,809 . See Table A.</t>
  </si>
  <si>
    <t xml:space="preserve">Increase amortization expense to Recover of Rate Case Expense of $9,335 amortized over a three year period (9,335/3yrs=$3,112). </t>
  </si>
  <si>
    <t>Decrease payroll taxes by $10,818 due to employee turnover.</t>
  </si>
  <si>
    <t>Total Metered Sales</t>
  </si>
  <si>
    <t>Net Sales</t>
  </si>
  <si>
    <t>M</t>
  </si>
  <si>
    <t xml:space="preserve">The utility has seven board members, each receives $6,000 annually. One current board member declined compensation. </t>
  </si>
  <si>
    <t xml:space="preserve">The utility reported non utility revenue of $27,486 from a one time insurance reimbursement </t>
  </si>
  <si>
    <t>TABLE D</t>
  </si>
  <si>
    <t>TABLE C</t>
  </si>
  <si>
    <t>USE 2025 Water Loss Reports for Rate Application</t>
  </si>
  <si>
    <t>(PSC annual report to be revised)</t>
  </si>
  <si>
    <t>SEWA WATER LOSS PERCENTAGE</t>
  </si>
  <si>
    <t>Declined compensation</t>
  </si>
  <si>
    <t>Current Rates</t>
  </si>
  <si>
    <t>Bill</t>
  </si>
  <si>
    <t>Per Month</t>
  </si>
  <si>
    <t>Medical, Dental, vision, Life and disability  Insurance Adjustment</t>
  </si>
  <si>
    <t>2025 Adjustments Report</t>
  </si>
  <si>
    <t xml:space="preserve">2025 Adjustments Report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</si>
</sst>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0.0%"/>
    <numFmt numFmtId="167" formatCode="_(* #,##0.0_);_(* \(#,##0.0\);_(* &quot;-&quot;??_);_(@_)"/>
    <numFmt numFmtId="168" formatCode="mm/dd/yy;@"/>
    <numFmt numFmtId="169" formatCode="_([$$-409]* #,##0_);_([$$-409]* \(#,##0\);_([$$-409]* &quot;-&quot;??_);_(@_)"/>
    <numFmt numFmtId="170" formatCode="[$$-409]#,##0"/>
    <numFmt numFmtId="171" formatCode="_(&quot;$&quot;* #,##0.00000_);_(&quot;$&quot;* \(#,##0.00000\);_(&quot;$&quot;* &quot;-&quot;??_);_(@_)"/>
    <numFmt numFmtId="172" formatCode="0.0000%"/>
    <numFmt numFmtId="173" formatCode="0_);\(0\)"/>
    <numFmt numFmtId="174" formatCode="_(* #,##0.00000_);_(* \(#,##0.00000\);_(* &quot;-&quot;??_);_(@_)"/>
  </numFmts>
  <fonts count="35" x14ac:knownFonts="1">
    <font>
      <sz val="12"/>
      <name val="Arial"/>
    </font>
    <font>
      <sz val="11"/>
      <color theme="1"/>
      <name val="Calibri"/>
      <family val="2"/>
      <scheme val="minor"/>
    </font>
    <font>
      <sz val="11"/>
      <color theme="1"/>
      <name val="Calibri"/>
      <family val="2"/>
      <scheme val="minor"/>
    </font>
    <font>
      <sz val="11"/>
      <color theme="1"/>
      <name val="Calibri"/>
      <family val="2"/>
      <scheme val="minor"/>
    </font>
    <font>
      <sz val="12"/>
      <name val="Arial"/>
      <family val="2"/>
    </font>
    <font>
      <sz val="12"/>
      <name val="Arial"/>
      <family val="2"/>
    </font>
    <font>
      <sz val="11"/>
      <name val="Calibri"/>
      <family val="2"/>
      <scheme val="minor"/>
    </font>
    <font>
      <b/>
      <sz val="14"/>
      <name val="Calibri"/>
      <family val="2"/>
      <scheme val="minor"/>
    </font>
    <font>
      <b/>
      <u/>
      <sz val="14"/>
      <name val="Calibri"/>
      <family val="2"/>
      <scheme val="minor"/>
    </font>
    <font>
      <u/>
      <sz val="11"/>
      <name val="Calibri"/>
      <family val="2"/>
      <scheme val="minor"/>
    </font>
    <font>
      <b/>
      <sz val="11"/>
      <name val="Calibri"/>
      <family val="2"/>
      <scheme val="minor"/>
    </font>
    <font>
      <b/>
      <u/>
      <sz val="11"/>
      <name val="Calibri"/>
      <family val="2"/>
      <scheme val="minor"/>
    </font>
    <font>
      <u val="singleAccounting"/>
      <sz val="11"/>
      <name val="Calibri"/>
      <family val="2"/>
      <scheme val="minor"/>
    </font>
    <font>
      <b/>
      <u val="singleAccounting"/>
      <sz val="11"/>
      <name val="Calibri"/>
      <family val="2"/>
      <scheme val="minor"/>
    </font>
    <font>
      <b/>
      <sz val="12"/>
      <name val="Calibri"/>
      <family val="2"/>
      <scheme val="minor"/>
    </font>
    <font>
      <sz val="8"/>
      <color rgb="FFFF0000"/>
      <name val="Calibri"/>
      <family val="2"/>
      <scheme val="minor"/>
    </font>
    <font>
      <b/>
      <sz val="11"/>
      <color rgb="FFFF0000"/>
      <name val="Calibri"/>
      <family val="2"/>
      <scheme val="minor"/>
    </font>
    <font>
      <b/>
      <sz val="8"/>
      <color rgb="FF00B050"/>
      <name val="Calibri"/>
      <family val="2"/>
      <scheme val="minor"/>
    </font>
    <font>
      <sz val="11"/>
      <color theme="1"/>
      <name val="Calibri"/>
      <family val="2"/>
      <scheme val="minor"/>
    </font>
    <font>
      <b/>
      <sz val="11"/>
      <color rgb="FF00B050"/>
      <name val="Calibri"/>
      <family val="2"/>
      <scheme val="minor"/>
    </font>
    <font>
      <sz val="8"/>
      <name val="Calibri"/>
      <family val="2"/>
      <scheme val="minor"/>
    </font>
    <font>
      <b/>
      <u/>
      <sz val="11"/>
      <color rgb="FFC00000"/>
      <name val="Calibri"/>
      <family val="2"/>
      <scheme val="minor"/>
    </font>
    <font>
      <u/>
      <sz val="11"/>
      <color theme="1"/>
      <name val="Calibri"/>
      <family val="2"/>
      <scheme val="minor"/>
    </font>
    <font>
      <b/>
      <u/>
      <sz val="16"/>
      <name val="Calibri"/>
      <family val="2"/>
      <scheme val="minor"/>
    </font>
    <font>
      <sz val="12"/>
      <name val="Calibri"/>
      <family val="2"/>
      <scheme val="minor"/>
    </font>
    <font>
      <sz val="11"/>
      <name val="Arial"/>
      <family val="2"/>
    </font>
    <font>
      <sz val="11"/>
      <name val="Calibri"/>
      <family val="2"/>
    </font>
    <font>
      <b/>
      <i/>
      <sz val="14"/>
      <name val="Calibri"/>
      <family val="2"/>
      <scheme val="minor"/>
    </font>
    <font>
      <sz val="8"/>
      <name val="Arial"/>
      <family val="2"/>
    </font>
    <font>
      <b/>
      <sz val="10"/>
      <color theme="1"/>
      <name val="Calibri"/>
      <family val="2"/>
      <scheme val="minor"/>
    </font>
    <font>
      <b/>
      <sz val="14"/>
      <name val="Arial"/>
      <family val="2"/>
    </font>
    <font>
      <sz val="14"/>
      <name val="Arial"/>
      <family val="2"/>
    </font>
    <font>
      <sz val="11"/>
      <color rgb="FFFF0000"/>
      <name val="Calibri"/>
      <family val="2"/>
      <scheme val="minor"/>
    </font>
    <font>
      <b/>
      <sz val="16"/>
      <name val="Calibri"/>
      <family val="2"/>
      <scheme val="minor"/>
    </font>
    <font>
      <u/>
      <sz val="12"/>
      <name val="Arial"/>
      <family val="2"/>
    </font>
  </fonts>
  <fills count="7">
    <fill>
      <patternFill patternType="none"/>
    </fill>
    <fill>
      <patternFill patternType="gray125"/>
    </fill>
    <fill>
      <patternFill patternType="solid">
        <fgColor rgb="FFFFFFCC"/>
        <bgColor indexed="64"/>
      </patternFill>
    </fill>
    <fill>
      <patternFill patternType="solid">
        <fgColor rgb="FFFFFF00"/>
        <bgColor indexed="64"/>
      </patternFill>
    </fill>
    <fill>
      <patternFill patternType="solid">
        <fgColor theme="0"/>
        <bgColor indexed="64"/>
      </patternFill>
    </fill>
    <fill>
      <patternFill patternType="solid">
        <fgColor theme="9" tint="0.39997558519241921"/>
        <bgColor indexed="64"/>
      </patternFill>
    </fill>
    <fill>
      <patternFill patternType="solid">
        <fgColor theme="6" tint="0.39997558519241921"/>
        <bgColor indexed="64"/>
      </patternFill>
    </fill>
  </fills>
  <borders count="24">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2">
    <xf numFmtId="0" fontId="0" fillId="0" borderId="0"/>
    <xf numFmtId="43" fontId="5" fillId="0" borderId="0" applyFont="0" applyFill="0" applyBorder="0" applyAlignment="0" applyProtection="0"/>
    <xf numFmtId="44" fontId="5" fillId="0" borderId="0" applyFont="0" applyFill="0" applyBorder="0" applyAlignment="0" applyProtection="0"/>
    <xf numFmtId="9" fontId="5" fillId="0" borderId="0" applyFont="0" applyFill="0" applyBorder="0" applyAlignment="0" applyProtection="0"/>
    <xf numFmtId="0" fontId="4" fillId="0" borderId="0"/>
    <xf numFmtId="43" fontId="4" fillId="0" borderId="0" applyFont="0" applyFill="0" applyBorder="0" applyAlignment="0" applyProtection="0"/>
    <xf numFmtId="44" fontId="4" fillId="0" borderId="0" applyFont="0" applyFill="0" applyBorder="0" applyAlignment="0" applyProtection="0"/>
    <xf numFmtId="9" fontId="4" fillId="0" borderId="0" applyFont="0" applyFill="0" applyBorder="0" applyAlignment="0" applyProtection="0"/>
    <xf numFmtId="0" fontId="18" fillId="0" borderId="0"/>
    <xf numFmtId="43" fontId="18" fillId="0" borderId="0" applyFont="0" applyFill="0" applyBorder="0" applyAlignment="0" applyProtection="0"/>
    <xf numFmtId="44" fontId="18" fillId="0" borderId="0" applyFont="0" applyFill="0" applyBorder="0" applyAlignment="0" applyProtection="0"/>
    <xf numFmtId="0" fontId="1" fillId="0" borderId="0"/>
  </cellStyleXfs>
  <cellXfs count="458">
    <xf numFmtId="0" fontId="0" fillId="0" borderId="0" xfId="0"/>
    <xf numFmtId="0" fontId="6" fillId="0" borderId="0" xfId="0" applyFont="1"/>
    <xf numFmtId="165" fontId="6" fillId="0" borderId="0" xfId="0" applyNumberFormat="1" applyFont="1"/>
    <xf numFmtId="3" fontId="6" fillId="0" borderId="0" xfId="0" applyNumberFormat="1" applyFont="1"/>
    <xf numFmtId="0" fontId="0" fillId="0" borderId="6" xfId="0" applyBorder="1"/>
    <xf numFmtId="165" fontId="6" fillId="0" borderId="1" xfId="1" applyNumberFormat="1" applyFont="1" applyBorder="1"/>
    <xf numFmtId="165" fontId="6" fillId="0" borderId="0" xfId="1" applyNumberFormat="1" applyFont="1" applyBorder="1"/>
    <xf numFmtId="165" fontId="6" fillId="0" borderId="0" xfId="1" applyNumberFormat="1" applyFont="1"/>
    <xf numFmtId="165" fontId="6" fillId="0" borderId="3" xfId="1" applyNumberFormat="1" applyFont="1" applyBorder="1"/>
    <xf numFmtId="165" fontId="6" fillId="0" borderId="2" xfId="1" applyNumberFormat="1" applyFont="1" applyBorder="1"/>
    <xf numFmtId="165" fontId="6" fillId="0" borderId="4" xfId="1" applyNumberFormat="1" applyFont="1" applyBorder="1"/>
    <xf numFmtId="165" fontId="6" fillId="0" borderId="7" xfId="1" applyNumberFormat="1" applyFont="1" applyBorder="1"/>
    <xf numFmtId="165" fontId="6" fillId="0" borderId="8" xfId="1" applyNumberFormat="1" applyFont="1" applyBorder="1"/>
    <xf numFmtId="165" fontId="6" fillId="0" borderId="5" xfId="1" applyNumberFormat="1" applyFont="1" applyBorder="1"/>
    <xf numFmtId="165" fontId="6" fillId="0" borderId="6" xfId="1" applyNumberFormat="1" applyFont="1" applyBorder="1"/>
    <xf numFmtId="43" fontId="6" fillId="0" borderId="0" xfId="1" applyFont="1"/>
    <xf numFmtId="165" fontId="12" fillId="0" borderId="0" xfId="1" applyNumberFormat="1" applyFont="1" applyBorder="1" applyAlignment="1">
      <alignment horizontal="center"/>
    </xf>
    <xf numFmtId="43" fontId="6" fillId="0" borderId="0" xfId="1" applyFont="1" applyBorder="1"/>
    <xf numFmtId="165" fontId="6" fillId="0" borderId="0" xfId="5" applyNumberFormat="1" applyFont="1"/>
    <xf numFmtId="3" fontId="6" fillId="0" borderId="0" xfId="0" applyNumberFormat="1" applyFont="1" applyAlignment="1">
      <alignment horizontal="right"/>
    </xf>
    <xf numFmtId="165" fontId="6" fillId="0" borderId="7" xfId="5" applyNumberFormat="1" applyFont="1" applyBorder="1"/>
    <xf numFmtId="0" fontId="6" fillId="0" borderId="0" xfId="0" applyFont="1" applyAlignment="1">
      <alignment horizontal="center"/>
    </xf>
    <xf numFmtId="0" fontId="6" fillId="0" borderId="0" xfId="0" applyFont="1" applyAlignment="1">
      <alignment horizontal="right"/>
    </xf>
    <xf numFmtId="165" fontId="6" fillId="0" borderId="0" xfId="5" applyNumberFormat="1" applyFont="1" applyBorder="1"/>
    <xf numFmtId="167" fontId="11" fillId="0" borderId="0" xfId="5" applyNumberFormat="1" applyFont="1" applyBorder="1" applyAlignment="1">
      <alignment horizontal="center"/>
    </xf>
    <xf numFmtId="43" fontId="6" fillId="0" borderId="0" xfId="1" applyFont="1" applyBorder="1" applyAlignment="1"/>
    <xf numFmtId="44" fontId="6" fillId="0" borderId="0" xfId="2" applyFont="1" applyBorder="1" applyAlignment="1"/>
    <xf numFmtId="44" fontId="6" fillId="0" borderId="0" xfId="2" applyFont="1" applyBorder="1" applyAlignment="1">
      <alignment vertical="center"/>
    </xf>
    <xf numFmtId="165" fontId="6" fillId="0" borderId="1" xfId="0" applyNumberFormat="1" applyFont="1" applyBorder="1"/>
    <xf numFmtId="164" fontId="6" fillId="0" borderId="0" xfId="6" applyNumberFormat="1" applyFont="1"/>
    <xf numFmtId="165" fontId="9" fillId="0" borderId="0" xfId="1" applyNumberFormat="1" applyFont="1"/>
    <xf numFmtId="165" fontId="12" fillId="0" borderId="8" xfId="1" applyNumberFormat="1" applyFont="1" applyBorder="1" applyAlignment="1">
      <alignment horizontal="center"/>
    </xf>
    <xf numFmtId="3" fontId="7" fillId="0" borderId="0" xfId="0" applyNumberFormat="1" applyFont="1" applyAlignment="1">
      <alignment horizontal="center" vertical="center"/>
    </xf>
    <xf numFmtId="3" fontId="14" fillId="0" borderId="0" xfId="0" applyNumberFormat="1" applyFont="1" applyAlignment="1">
      <alignment horizontal="center" vertical="center"/>
    </xf>
    <xf numFmtId="3" fontId="14" fillId="0" borderId="8" xfId="0" applyNumberFormat="1" applyFont="1" applyBorder="1" applyAlignment="1">
      <alignment horizontal="center" vertical="center"/>
    </xf>
    <xf numFmtId="43" fontId="6" fillId="0" borderId="8" xfId="1" quotePrefix="1" applyFont="1" applyBorder="1" applyAlignment="1">
      <alignment horizontal="center"/>
    </xf>
    <xf numFmtId="0" fontId="6" fillId="0" borderId="8" xfId="0" applyFont="1" applyBorder="1" applyAlignment="1">
      <alignment horizontal="center"/>
    </xf>
    <xf numFmtId="43" fontId="6" fillId="0" borderId="1" xfId="1" applyFont="1" applyBorder="1"/>
    <xf numFmtId="166" fontId="6" fillId="0" borderId="8" xfId="3" applyNumberFormat="1" applyFont="1" applyBorder="1"/>
    <xf numFmtId="165" fontId="6" fillId="2" borderId="0" xfId="1" applyNumberFormat="1" applyFont="1" applyFill="1" applyBorder="1"/>
    <xf numFmtId="43" fontId="6" fillId="2" borderId="8" xfId="1" quotePrefix="1" applyFont="1" applyFill="1" applyBorder="1" applyAlignment="1">
      <alignment horizontal="center"/>
    </xf>
    <xf numFmtId="43" fontId="6" fillId="2" borderId="0" xfId="1" applyFont="1" applyFill="1" applyBorder="1"/>
    <xf numFmtId="166" fontId="6" fillId="2" borderId="8" xfId="3" applyNumberFormat="1" applyFont="1" applyFill="1" applyBorder="1"/>
    <xf numFmtId="165" fontId="16" fillId="0" borderId="0" xfId="1" applyNumberFormat="1" applyFont="1"/>
    <xf numFmtId="0" fontId="22" fillId="0" borderId="0" xfId="0" applyFont="1" applyAlignment="1">
      <alignment horizontal="center"/>
    </xf>
    <xf numFmtId="44" fontId="6" fillId="0" borderId="0" xfId="2" applyFont="1" applyBorder="1"/>
    <xf numFmtId="165" fontId="6" fillId="0" borderId="0" xfId="5" quotePrefix="1" applyNumberFormat="1" applyFont="1"/>
    <xf numFmtId="0" fontId="6" fillId="0" borderId="7" xfId="0" applyFont="1" applyBorder="1"/>
    <xf numFmtId="165" fontId="19" fillId="0" borderId="0" xfId="1" applyNumberFormat="1" applyFont="1"/>
    <xf numFmtId="165" fontId="6" fillId="0" borderId="0" xfId="1" applyNumberFormat="1" applyFont="1" applyAlignment="1">
      <alignment horizontal="centerContinuous" vertical="center"/>
    </xf>
    <xf numFmtId="165" fontId="6" fillId="0" borderId="0" xfId="1" applyNumberFormat="1" applyFont="1" applyAlignment="1">
      <alignment vertical="center"/>
    </xf>
    <xf numFmtId="165" fontId="11" fillId="0" borderId="0" xfId="1" applyNumberFormat="1" applyFont="1" applyAlignment="1">
      <alignment horizontal="center" vertical="center"/>
    </xf>
    <xf numFmtId="165" fontId="9" fillId="0" borderId="0" xfId="1" applyNumberFormat="1" applyFont="1" applyAlignment="1">
      <alignment vertical="center"/>
    </xf>
    <xf numFmtId="165" fontId="6" fillId="0" borderId="0" xfId="1" applyNumberFormat="1" applyFont="1" applyAlignment="1">
      <alignment horizontal="center" vertical="center"/>
    </xf>
    <xf numFmtId="165" fontId="15" fillId="0" borderId="0" xfId="1" applyNumberFormat="1" applyFont="1" applyAlignment="1">
      <alignment vertical="center"/>
    </xf>
    <xf numFmtId="165" fontId="17" fillId="0" borderId="0" xfId="1" applyNumberFormat="1" applyFont="1" applyAlignment="1">
      <alignment vertical="center"/>
    </xf>
    <xf numFmtId="165" fontId="20" fillId="0" borderId="0" xfId="1" applyNumberFormat="1" applyFont="1" applyAlignment="1">
      <alignment vertical="center"/>
    </xf>
    <xf numFmtId="165" fontId="10" fillId="0" borderId="0" xfId="1" applyNumberFormat="1" applyFont="1" applyAlignment="1">
      <alignment vertical="center"/>
    </xf>
    <xf numFmtId="165" fontId="6" fillId="0" borderId="0" xfId="1" applyNumberFormat="1" applyFont="1" applyAlignment="1">
      <alignment horizontal="center"/>
    </xf>
    <xf numFmtId="165" fontId="15" fillId="0" borderId="0" xfId="1" applyNumberFormat="1" applyFont="1" applyAlignment="1">
      <alignment horizontal="left"/>
    </xf>
    <xf numFmtId="165" fontId="15" fillId="0" borderId="0" xfId="1" applyNumberFormat="1" applyFont="1" applyAlignment="1">
      <alignment horizontal="center"/>
    </xf>
    <xf numFmtId="165" fontId="13" fillId="0" borderId="0" xfId="1" quotePrefix="1" applyNumberFormat="1" applyFont="1" applyAlignment="1">
      <alignment horizontal="center" vertical="center"/>
    </xf>
    <xf numFmtId="165" fontId="13" fillId="0" borderId="0" xfId="1" applyNumberFormat="1" applyFont="1" applyAlignment="1">
      <alignment horizontal="center" vertical="center"/>
    </xf>
    <xf numFmtId="165" fontId="6" fillId="0" borderId="0" xfId="1" applyNumberFormat="1" applyFont="1" applyAlignment="1"/>
    <xf numFmtId="165" fontId="13" fillId="0" borderId="0" xfId="1" applyNumberFormat="1" applyFont="1" applyAlignment="1">
      <alignment vertical="center"/>
    </xf>
    <xf numFmtId="165" fontId="6" fillId="0" borderId="6" xfId="5" applyNumberFormat="1" applyFont="1" applyBorder="1"/>
    <xf numFmtId="165" fontId="6" fillId="0" borderId="0" xfId="5" applyNumberFormat="1" applyFont="1" applyBorder="1" applyAlignment="1">
      <alignment horizontal="center"/>
    </xf>
    <xf numFmtId="10" fontId="6" fillId="0" borderId="0" xfId="3" applyNumberFormat="1" applyFont="1" applyBorder="1"/>
    <xf numFmtId="10" fontId="6" fillId="2" borderId="0" xfId="3" applyNumberFormat="1" applyFont="1" applyFill="1" applyBorder="1"/>
    <xf numFmtId="165" fontId="6" fillId="0" borderId="8" xfId="5" applyNumberFormat="1" applyFont="1" applyBorder="1"/>
    <xf numFmtId="165" fontId="10" fillId="0" borderId="7" xfId="5" applyNumberFormat="1" applyFont="1" applyBorder="1" applyAlignment="1">
      <alignment horizontal="center"/>
    </xf>
    <xf numFmtId="165" fontId="6" fillId="0" borderId="0" xfId="1" applyNumberFormat="1" applyFont="1" applyBorder="1" applyAlignment="1">
      <alignment vertical="center"/>
    </xf>
    <xf numFmtId="165" fontId="12" fillId="0" borderId="0" xfId="1" applyNumberFormat="1" applyFont="1" applyBorder="1" applyAlignment="1">
      <alignment vertical="center"/>
    </xf>
    <xf numFmtId="165" fontId="6" fillId="0" borderId="0" xfId="1" applyNumberFormat="1" applyFont="1" applyBorder="1" applyAlignment="1">
      <alignment horizontal="center" vertical="center"/>
    </xf>
    <xf numFmtId="165" fontId="12" fillId="0" borderId="0" xfId="1" applyNumberFormat="1" applyFont="1" applyAlignment="1">
      <alignment vertical="center"/>
    </xf>
    <xf numFmtId="165" fontId="6" fillId="0" borderId="3" xfId="5" applyNumberFormat="1" applyFont="1" applyBorder="1"/>
    <xf numFmtId="165" fontId="6" fillId="0" borderId="2" xfId="5" applyNumberFormat="1" applyFont="1" applyBorder="1"/>
    <xf numFmtId="165" fontId="6" fillId="0" borderId="4" xfId="5" applyNumberFormat="1" applyFont="1" applyBorder="1"/>
    <xf numFmtId="165" fontId="7" fillId="0" borderId="7" xfId="5" applyNumberFormat="1" applyFont="1" applyBorder="1" applyAlignment="1">
      <alignment horizontal="centerContinuous"/>
    </xf>
    <xf numFmtId="165" fontId="10" fillId="0" borderId="0" xfId="5" applyNumberFormat="1" applyFont="1" applyAlignment="1">
      <alignment horizontal="centerContinuous"/>
    </xf>
    <xf numFmtId="165" fontId="8" fillId="0" borderId="7" xfId="5" applyNumberFormat="1" applyFont="1" applyBorder="1" applyAlignment="1">
      <alignment horizontal="centerContinuous"/>
    </xf>
    <xf numFmtId="165" fontId="11" fillId="0" borderId="0" xfId="5" applyNumberFormat="1" applyFont="1" applyAlignment="1">
      <alignment horizontal="centerContinuous"/>
    </xf>
    <xf numFmtId="3" fontId="14" fillId="0" borderId="7" xfId="0" applyNumberFormat="1" applyFont="1" applyBorder="1" applyAlignment="1">
      <alignment horizontal="centerContinuous" vertical="center"/>
    </xf>
    <xf numFmtId="165" fontId="24" fillId="0" borderId="7" xfId="5" applyNumberFormat="1" applyFont="1" applyBorder="1" applyAlignment="1">
      <alignment horizontal="centerContinuous"/>
    </xf>
    <xf numFmtId="165" fontId="6" fillId="0" borderId="0" xfId="5" applyNumberFormat="1" applyFont="1" applyAlignment="1">
      <alignment horizontal="centerContinuous"/>
    </xf>
    <xf numFmtId="165" fontId="6" fillId="0" borderId="7" xfId="5" applyNumberFormat="1" applyFont="1" applyBorder="1" applyAlignment="1">
      <alignment horizontal="centerContinuous"/>
    </xf>
    <xf numFmtId="165" fontId="6" fillId="0" borderId="9" xfId="5" applyNumberFormat="1" applyFont="1" applyBorder="1" applyAlignment="1">
      <alignment horizontal="left"/>
    </xf>
    <xf numFmtId="165" fontId="6" fillId="0" borderId="3" xfId="5" applyNumberFormat="1" applyFont="1" applyBorder="1" applyAlignment="1">
      <alignment horizontal="left"/>
    </xf>
    <xf numFmtId="165" fontId="6" fillId="0" borderId="2" xfId="5" applyNumberFormat="1" applyFont="1" applyBorder="1" applyAlignment="1">
      <alignment horizontal="left"/>
    </xf>
    <xf numFmtId="165" fontId="6" fillId="0" borderId="4" xfId="5" applyNumberFormat="1" applyFont="1" applyBorder="1" applyAlignment="1">
      <alignment horizontal="left"/>
    </xf>
    <xf numFmtId="165" fontId="6" fillId="0" borderId="10" xfId="5" applyNumberFormat="1" applyFont="1" applyBorder="1"/>
    <xf numFmtId="165" fontId="13" fillId="0" borderId="0" xfId="5" applyNumberFormat="1" applyFont="1" applyAlignment="1">
      <alignment horizontal="center" vertical="center"/>
    </xf>
    <xf numFmtId="165" fontId="10" fillId="0" borderId="8" xfId="5" applyNumberFormat="1" applyFont="1" applyBorder="1" applyAlignment="1">
      <alignment horizontal="center" vertical="center"/>
    </xf>
    <xf numFmtId="165" fontId="10" fillId="0" borderId="0" xfId="5" applyNumberFormat="1" applyFont="1" applyAlignment="1">
      <alignment horizontal="center" vertical="center"/>
    </xf>
    <xf numFmtId="165" fontId="13" fillId="0" borderId="8" xfId="5" applyNumberFormat="1" applyFont="1" applyBorder="1" applyAlignment="1">
      <alignment horizontal="center" vertical="center"/>
    </xf>
    <xf numFmtId="165" fontId="13" fillId="0" borderId="0" xfId="5" applyNumberFormat="1" applyFont="1" applyBorder="1" applyAlignment="1">
      <alignment horizontal="center" vertical="center"/>
    </xf>
    <xf numFmtId="165" fontId="6" fillId="0" borderId="10" xfId="5" applyNumberFormat="1" applyFont="1" applyBorder="1" applyAlignment="1">
      <alignment horizontal="left"/>
    </xf>
    <xf numFmtId="165" fontId="6" fillId="0" borderId="7" xfId="5" applyNumberFormat="1" applyFont="1" applyBorder="1" applyAlignment="1">
      <alignment horizontal="center"/>
    </xf>
    <xf numFmtId="165" fontId="6" fillId="0" borderId="0" xfId="5" applyNumberFormat="1" applyFont="1" applyAlignment="1">
      <alignment horizontal="center"/>
    </xf>
    <xf numFmtId="165" fontId="6" fillId="0" borderId="8" xfId="5" applyNumberFormat="1" applyFont="1" applyBorder="1" applyAlignment="1">
      <alignment horizontal="center"/>
    </xf>
    <xf numFmtId="165" fontId="6" fillId="0" borderId="0" xfId="5" quotePrefix="1" applyNumberFormat="1" applyFont="1" applyBorder="1" applyAlignment="1">
      <alignment horizontal="center"/>
    </xf>
    <xf numFmtId="165" fontId="10" fillId="0" borderId="7" xfId="5" quotePrefix="1" applyNumberFormat="1" applyFont="1" applyBorder="1" applyAlignment="1">
      <alignment horizontal="left"/>
    </xf>
    <xf numFmtId="165" fontId="10" fillId="0" borderId="11" xfId="5" applyNumberFormat="1" applyFont="1" applyBorder="1" applyAlignment="1">
      <alignment horizontal="right"/>
    </xf>
    <xf numFmtId="165" fontId="10" fillId="0" borderId="5" xfId="5" applyNumberFormat="1" applyFont="1" applyBorder="1" applyAlignment="1">
      <alignment horizontal="right"/>
    </xf>
    <xf numFmtId="165" fontId="10" fillId="0" borderId="1" xfId="5" applyNumberFormat="1" applyFont="1" applyBorder="1" applyAlignment="1">
      <alignment horizontal="right"/>
    </xf>
    <xf numFmtId="165" fontId="10" fillId="0" borderId="6" xfId="5" applyNumberFormat="1" applyFont="1" applyBorder="1" applyAlignment="1">
      <alignment horizontal="right"/>
    </xf>
    <xf numFmtId="165" fontId="10" fillId="0" borderId="8" xfId="5" applyNumberFormat="1" applyFont="1" applyBorder="1" applyAlignment="1">
      <alignment horizontal="right"/>
    </xf>
    <xf numFmtId="165" fontId="10" fillId="0" borderId="7" xfId="5" applyNumberFormat="1" applyFont="1" applyBorder="1" applyAlignment="1">
      <alignment horizontal="right"/>
    </xf>
    <xf numFmtId="165" fontId="10" fillId="0" borderId="0" xfId="5" applyNumberFormat="1" applyFont="1" applyAlignment="1">
      <alignment horizontal="right"/>
    </xf>
    <xf numFmtId="165" fontId="10" fillId="0" borderId="2" xfId="5" applyNumberFormat="1" applyFont="1" applyBorder="1" applyAlignment="1">
      <alignment horizontal="right"/>
    </xf>
    <xf numFmtId="165" fontId="10" fillId="0" borderId="7" xfId="5" applyNumberFormat="1" applyFont="1" applyBorder="1"/>
    <xf numFmtId="164" fontId="10" fillId="0" borderId="0" xfId="6" applyNumberFormat="1" applyFont="1"/>
    <xf numFmtId="165" fontId="10" fillId="0" borderId="0" xfId="5" applyNumberFormat="1" applyFont="1"/>
    <xf numFmtId="165" fontId="10" fillId="0" borderId="0" xfId="5" applyNumberFormat="1" applyFont="1" applyBorder="1"/>
    <xf numFmtId="164" fontId="10" fillId="0" borderId="0" xfId="6" applyNumberFormat="1" applyFont="1" applyBorder="1"/>
    <xf numFmtId="165" fontId="6" fillId="0" borderId="5" xfId="5" applyNumberFormat="1" applyFont="1" applyBorder="1" applyAlignment="1">
      <alignment horizontal="center"/>
    </xf>
    <xf numFmtId="165" fontId="6" fillId="0" borderId="1" xfId="5" applyNumberFormat="1" applyFont="1" applyBorder="1" applyAlignment="1">
      <alignment horizontal="center"/>
    </xf>
    <xf numFmtId="0" fontId="6" fillId="0" borderId="3" xfId="0" applyFont="1" applyBorder="1"/>
    <xf numFmtId="0" fontId="6" fillId="0" borderId="5" xfId="0" applyFont="1" applyBorder="1"/>
    <xf numFmtId="3" fontId="6" fillId="0" borderId="2" xfId="0" applyNumberFormat="1" applyFont="1" applyBorder="1"/>
    <xf numFmtId="3" fontId="10" fillId="0" borderId="0" xfId="0" applyNumberFormat="1" applyFont="1" applyAlignment="1">
      <alignment horizontal="center"/>
    </xf>
    <xf numFmtId="3" fontId="11" fillId="0" borderId="0" xfId="0" applyNumberFormat="1" applyFont="1" applyAlignment="1">
      <alignment horizontal="center"/>
    </xf>
    <xf numFmtId="3" fontId="11" fillId="0" borderId="0" xfId="0" applyNumberFormat="1" applyFont="1"/>
    <xf numFmtId="3" fontId="10" fillId="0" borderId="0" xfId="0" applyNumberFormat="1" applyFont="1"/>
    <xf numFmtId="3" fontId="6" fillId="0" borderId="1" xfId="0" applyNumberFormat="1" applyFont="1" applyBorder="1"/>
    <xf numFmtId="44" fontId="13" fillId="0" borderId="0" xfId="0" applyNumberFormat="1" applyFont="1" applyAlignment="1">
      <alignment horizontal="center"/>
    </xf>
    <xf numFmtId="168" fontId="6" fillId="0" borderId="0" xfId="0" applyNumberFormat="1" applyFont="1" applyAlignment="1">
      <alignment horizontal="center"/>
    </xf>
    <xf numFmtId="167" fontId="6" fillId="0" borderId="0" xfId="5" applyNumberFormat="1" applyFont="1" applyAlignment="1"/>
    <xf numFmtId="167" fontId="6" fillId="0" borderId="2" xfId="5" applyNumberFormat="1" applyFont="1" applyBorder="1"/>
    <xf numFmtId="167" fontId="6" fillId="0" borderId="0" xfId="5" applyNumberFormat="1" applyFont="1" applyBorder="1" applyAlignment="1"/>
    <xf numFmtId="167" fontId="6" fillId="0" borderId="0" xfId="5" applyNumberFormat="1" applyFont="1" applyBorder="1" applyAlignment="1">
      <alignment horizontal="center"/>
    </xf>
    <xf numFmtId="167" fontId="16" fillId="0" borderId="0" xfId="5" applyNumberFormat="1" applyFont="1" applyBorder="1" applyAlignment="1"/>
    <xf numFmtId="170" fontId="6" fillId="0" borderId="0" xfId="0" applyNumberFormat="1" applyFont="1"/>
    <xf numFmtId="169" fontId="10" fillId="0" borderId="0" xfId="0" applyNumberFormat="1" applyFont="1"/>
    <xf numFmtId="167" fontId="6" fillId="0" borderId="0" xfId="5" quotePrefix="1" applyNumberFormat="1" applyFont="1" applyBorder="1" applyAlignment="1">
      <alignment horizontal="center"/>
    </xf>
    <xf numFmtId="3" fontId="6" fillId="0" borderId="4" xfId="0" applyNumberFormat="1" applyFont="1" applyBorder="1"/>
    <xf numFmtId="3" fontId="6" fillId="0" borderId="8" xfId="0" applyNumberFormat="1" applyFont="1" applyBorder="1"/>
    <xf numFmtId="3" fontId="6" fillId="0" borderId="6" xfId="0" applyNumberFormat="1" applyFont="1" applyBorder="1"/>
    <xf numFmtId="3" fontId="6" fillId="0" borderId="7" xfId="0" applyNumberFormat="1" applyFont="1" applyBorder="1"/>
    <xf numFmtId="4" fontId="6" fillId="0" borderId="7" xfId="0" applyNumberFormat="1" applyFont="1" applyBorder="1"/>
    <xf numFmtId="0" fontId="6" fillId="0" borderId="0" xfId="0" applyFont="1" applyAlignment="1">
      <alignment vertical="top"/>
    </xf>
    <xf numFmtId="0" fontId="25" fillId="0" borderId="0" xfId="0" applyFont="1"/>
    <xf numFmtId="165" fontId="25" fillId="0" borderId="0" xfId="1" applyNumberFormat="1" applyFont="1"/>
    <xf numFmtId="43" fontId="6" fillId="0" borderId="0" xfId="1" applyFont="1" applyAlignment="1">
      <alignment horizontal="right"/>
    </xf>
    <xf numFmtId="10" fontId="6" fillId="0" borderId="1" xfId="3" applyNumberFormat="1" applyFont="1" applyBorder="1"/>
    <xf numFmtId="165" fontId="6" fillId="0" borderId="0" xfId="5" applyNumberFormat="1" applyFont="1" applyBorder="1" applyAlignment="1">
      <alignment horizontal="right"/>
    </xf>
    <xf numFmtId="165" fontId="6" fillId="0" borderId="0" xfId="1" applyNumberFormat="1" applyFont="1" applyFill="1" applyAlignment="1">
      <alignment vertical="center"/>
    </xf>
    <xf numFmtId="165" fontId="6" fillId="0" borderId="0" xfId="9" applyNumberFormat="1" applyFont="1" applyFill="1" applyBorder="1"/>
    <xf numFmtId="165" fontId="12" fillId="0" borderId="0" xfId="9" applyNumberFormat="1" applyFont="1" applyFill="1" applyBorder="1"/>
    <xf numFmtId="43" fontId="6" fillId="0" borderId="0" xfId="1" applyFont="1" applyFill="1" applyBorder="1"/>
    <xf numFmtId="166" fontId="6" fillId="0" borderId="0" xfId="3" applyNumberFormat="1" applyFont="1" applyFill="1" applyBorder="1"/>
    <xf numFmtId="44" fontId="6" fillId="0" borderId="0" xfId="0" applyNumberFormat="1" applyFont="1"/>
    <xf numFmtId="44" fontId="6" fillId="0" borderId="0" xfId="0" applyNumberFormat="1" applyFont="1" applyAlignment="1">
      <alignment horizontal="right"/>
    </xf>
    <xf numFmtId="9" fontId="6" fillId="0" borderId="0" xfId="0" applyNumberFormat="1" applyFont="1" applyAlignment="1">
      <alignment horizontal="right"/>
    </xf>
    <xf numFmtId="9" fontId="6" fillId="0" borderId="0" xfId="3" applyFont="1" applyFill="1" applyBorder="1" applyAlignment="1">
      <alignment horizontal="right"/>
    </xf>
    <xf numFmtId="44" fontId="21" fillId="0" borderId="0" xfId="0" applyNumberFormat="1" applyFont="1" applyAlignment="1">
      <alignment horizontal="right"/>
    </xf>
    <xf numFmtId="44" fontId="6" fillId="0" borderId="0" xfId="10" applyFont="1" applyFill="1" applyBorder="1" applyAlignment="1">
      <alignment horizontal="right"/>
    </xf>
    <xf numFmtId="44" fontId="6" fillId="0" borderId="1" xfId="0" applyNumberFormat="1" applyFont="1" applyBorder="1" applyAlignment="1">
      <alignment horizontal="right"/>
    </xf>
    <xf numFmtId="166" fontId="6" fillId="0" borderId="0" xfId="3" applyNumberFormat="1" applyFont="1" applyFill="1" applyBorder="1" applyAlignment="1">
      <alignment horizontal="right"/>
    </xf>
    <xf numFmtId="166" fontId="10" fillId="0" borderId="0" xfId="3" applyNumberFormat="1" applyFont="1" applyFill="1" applyBorder="1" applyAlignment="1">
      <alignment horizontal="right"/>
    </xf>
    <xf numFmtId="9" fontId="22" fillId="0" borderId="0" xfId="4" applyNumberFormat="1" applyFont="1" applyAlignment="1">
      <alignment horizontal="right"/>
    </xf>
    <xf numFmtId="9" fontId="6" fillId="0" borderId="0" xfId="9" applyNumberFormat="1" applyFont="1" applyFill="1" applyBorder="1" applyAlignment="1">
      <alignment horizontal="right"/>
    </xf>
    <xf numFmtId="9" fontId="12" fillId="0" borderId="0" xfId="9" applyNumberFormat="1" applyFont="1" applyFill="1" applyBorder="1" applyAlignment="1">
      <alignment horizontal="right"/>
    </xf>
    <xf numFmtId="9" fontId="22" fillId="0" borderId="0" xfId="3" applyFont="1" applyFill="1" applyBorder="1" applyAlignment="1">
      <alignment horizontal="right"/>
    </xf>
    <xf numFmtId="44" fontId="3" fillId="0" borderId="0" xfId="0" applyNumberFormat="1" applyFont="1" applyAlignment="1">
      <alignment horizontal="right"/>
    </xf>
    <xf numFmtId="44" fontId="6" fillId="0" borderId="0" xfId="3" applyNumberFormat="1" applyFont="1" applyFill="1" applyBorder="1" applyAlignment="1">
      <alignment horizontal="right"/>
    </xf>
    <xf numFmtId="44" fontId="22" fillId="0" borderId="0" xfId="0" applyNumberFormat="1" applyFont="1" applyAlignment="1">
      <alignment horizontal="right"/>
    </xf>
    <xf numFmtId="44" fontId="6" fillId="0" borderId="0" xfId="9" applyNumberFormat="1" applyFont="1" applyFill="1" applyBorder="1" applyAlignment="1">
      <alignment horizontal="right"/>
    </xf>
    <xf numFmtId="44" fontId="12" fillId="0" borderId="0" xfId="9" applyNumberFormat="1" applyFont="1" applyFill="1" applyBorder="1" applyAlignment="1">
      <alignment horizontal="right"/>
    </xf>
    <xf numFmtId="3" fontId="6" fillId="0" borderId="2" xfId="0" applyNumberFormat="1" applyFont="1" applyBorder="1" applyAlignment="1">
      <alignment horizontal="right"/>
    </xf>
    <xf numFmtId="3" fontId="11" fillId="0" borderId="0" xfId="0" applyNumberFormat="1" applyFont="1" applyAlignment="1">
      <alignment horizontal="right"/>
    </xf>
    <xf numFmtId="165" fontId="6" fillId="0" borderId="0" xfId="0" applyNumberFormat="1" applyFont="1" applyAlignment="1">
      <alignment horizontal="right"/>
    </xf>
    <xf numFmtId="0" fontId="0" fillId="0" borderId="0" xfId="0" applyAlignment="1">
      <alignment horizontal="right"/>
    </xf>
    <xf numFmtId="169" fontId="10" fillId="0" borderId="0" xfId="0" applyNumberFormat="1" applyFont="1" applyAlignment="1">
      <alignment horizontal="right"/>
    </xf>
    <xf numFmtId="167" fontId="6" fillId="0" borderId="1" xfId="5" applyNumberFormat="1" applyFont="1" applyBorder="1" applyAlignment="1">
      <alignment horizontal="right"/>
    </xf>
    <xf numFmtId="167" fontId="6" fillId="0" borderId="0" xfId="5" applyNumberFormat="1" applyFont="1" applyBorder="1" applyAlignment="1">
      <alignment horizontal="right"/>
    </xf>
    <xf numFmtId="164" fontId="6" fillId="0" borderId="0" xfId="0" applyNumberFormat="1" applyFont="1" applyAlignment="1">
      <alignment horizontal="right"/>
    </xf>
    <xf numFmtId="164" fontId="6" fillId="0" borderId="2" xfId="0" applyNumberFormat="1" applyFont="1" applyBorder="1" applyAlignment="1">
      <alignment horizontal="right"/>
    </xf>
    <xf numFmtId="164" fontId="10" fillId="0" borderId="0" xfId="0" applyNumberFormat="1" applyFont="1" applyAlignment="1">
      <alignment horizontal="center"/>
    </xf>
    <xf numFmtId="164" fontId="11" fillId="0" borderId="0" xfId="0" applyNumberFormat="1" applyFont="1" applyAlignment="1">
      <alignment horizontal="center"/>
    </xf>
    <xf numFmtId="164" fontId="11" fillId="0" borderId="0" xfId="0" applyNumberFormat="1" applyFont="1" applyAlignment="1">
      <alignment horizontal="right"/>
    </xf>
    <xf numFmtId="164" fontId="6" fillId="0" borderId="0" xfId="5" applyNumberFormat="1" applyFont="1" applyBorder="1" applyAlignment="1">
      <alignment horizontal="right"/>
    </xf>
    <xf numFmtId="164" fontId="6" fillId="0" borderId="1" xfId="0" applyNumberFormat="1" applyFont="1" applyBorder="1" applyAlignment="1">
      <alignment horizontal="right"/>
    </xf>
    <xf numFmtId="164" fontId="12" fillId="0" borderId="0" xfId="0" applyNumberFormat="1" applyFont="1" applyAlignment="1">
      <alignment horizontal="right"/>
    </xf>
    <xf numFmtId="10" fontId="6" fillId="0" borderId="0" xfId="3" applyNumberFormat="1" applyFont="1" applyBorder="1" applyAlignment="1"/>
    <xf numFmtId="43" fontId="6" fillId="0" borderId="0" xfId="1" applyFont="1" applyBorder="1" applyAlignment="1">
      <alignment vertical="center"/>
    </xf>
    <xf numFmtId="43" fontId="6" fillId="0" borderId="5" xfId="1" applyFont="1" applyFill="1" applyBorder="1"/>
    <xf numFmtId="0" fontId="6" fillId="0" borderId="1" xfId="0" applyFont="1" applyBorder="1" applyAlignment="1">
      <alignment horizontal="center" vertical="center"/>
    </xf>
    <xf numFmtId="0" fontId="6" fillId="0" borderId="0" xfId="0" applyFont="1" applyAlignment="1">
      <alignment horizontal="center" vertical="center"/>
    </xf>
    <xf numFmtId="165" fontId="6" fillId="0" borderId="0" xfId="0" applyNumberFormat="1" applyFont="1" applyAlignment="1">
      <alignment horizontal="center" vertical="center"/>
    </xf>
    <xf numFmtId="165" fontId="6" fillId="0" borderId="1" xfId="1" applyNumberFormat="1" applyFont="1" applyBorder="1" applyAlignment="1">
      <alignment horizontal="center" vertical="center"/>
    </xf>
    <xf numFmtId="44" fontId="6" fillId="0" borderId="0" xfId="2" applyFont="1"/>
    <xf numFmtId="164" fontId="6" fillId="0" borderId="0" xfId="2" applyNumberFormat="1" applyFont="1"/>
    <xf numFmtId="164" fontId="6" fillId="0" borderId="0" xfId="1" applyNumberFormat="1" applyFont="1" applyAlignment="1">
      <alignment horizontal="center" vertical="center"/>
    </xf>
    <xf numFmtId="164" fontId="6" fillId="0" borderId="0" xfId="1" applyNumberFormat="1" applyFont="1" applyAlignment="1">
      <alignment horizontal="right" vertical="center"/>
    </xf>
    <xf numFmtId="165" fontId="6" fillId="0" borderId="1" xfId="0" applyNumberFormat="1" applyFont="1" applyBorder="1" applyAlignment="1">
      <alignment horizontal="center" vertical="center"/>
    </xf>
    <xf numFmtId="10" fontId="6" fillId="0" borderId="0" xfId="3" applyNumberFormat="1" applyFont="1" applyAlignment="1">
      <alignment vertical="top"/>
    </xf>
    <xf numFmtId="10" fontId="6" fillId="0" borderId="0" xfId="3" applyNumberFormat="1" applyFont="1" applyBorder="1" applyAlignment="1">
      <alignment horizontal="center"/>
    </xf>
    <xf numFmtId="0" fontId="6" fillId="0" borderId="0" xfId="0" applyFont="1" applyAlignment="1">
      <alignment wrapText="1"/>
    </xf>
    <xf numFmtId="44" fontId="6" fillId="0" borderId="0" xfId="0" applyNumberFormat="1" applyFont="1" applyAlignment="1">
      <alignment horizontal="right" wrapText="1"/>
    </xf>
    <xf numFmtId="166" fontId="6" fillId="0" borderId="0" xfId="3" applyNumberFormat="1" applyFont="1" applyFill="1" applyBorder="1" applyAlignment="1">
      <alignment horizontal="right" wrapText="1"/>
    </xf>
    <xf numFmtId="9" fontId="6" fillId="0" borderId="0" xfId="0" applyNumberFormat="1" applyFont="1" applyAlignment="1">
      <alignment horizontal="right" wrapText="1"/>
    </xf>
    <xf numFmtId="9" fontId="6" fillId="0" borderId="0" xfId="3" applyFont="1" applyFill="1" applyBorder="1" applyAlignment="1">
      <alignment horizontal="right" wrapText="1"/>
    </xf>
    <xf numFmtId="44" fontId="6" fillId="0" borderId="0" xfId="0" applyNumberFormat="1" applyFont="1" applyAlignment="1">
      <alignment wrapText="1"/>
    </xf>
    <xf numFmtId="43" fontId="6" fillId="0" borderId="1" xfId="1" applyFont="1" applyFill="1" applyBorder="1"/>
    <xf numFmtId="165" fontId="6" fillId="0" borderId="0" xfId="1" applyNumberFormat="1" applyFont="1" applyFill="1"/>
    <xf numFmtId="165" fontId="6" fillId="0" borderId="2" xfId="1" applyNumberFormat="1" applyFont="1" applyFill="1" applyBorder="1"/>
    <xf numFmtId="165" fontId="6" fillId="0" borderId="1" xfId="1" applyNumberFormat="1" applyFont="1" applyFill="1" applyBorder="1"/>
    <xf numFmtId="3" fontId="14" fillId="0" borderId="7" xfId="0" applyNumberFormat="1" applyFont="1" applyBorder="1" applyAlignment="1">
      <alignment horizontal="center" vertical="center"/>
    </xf>
    <xf numFmtId="165" fontId="12" fillId="0" borderId="7" xfId="1" applyNumberFormat="1" applyFont="1" applyFill="1" applyBorder="1" applyAlignment="1">
      <alignment horizontal="center"/>
    </xf>
    <xf numFmtId="43" fontId="6" fillId="0" borderId="7" xfId="1" applyFont="1" applyFill="1" applyBorder="1"/>
    <xf numFmtId="165" fontId="12" fillId="0" borderId="0" xfId="1" applyNumberFormat="1" applyFont="1" applyFill="1" applyBorder="1" applyAlignment="1">
      <alignment horizontal="center"/>
    </xf>
    <xf numFmtId="43" fontId="6" fillId="2" borderId="7" xfId="1" applyFont="1" applyFill="1" applyBorder="1"/>
    <xf numFmtId="43" fontId="6" fillId="0" borderId="15" xfId="1" applyFont="1" applyBorder="1" applyAlignment="1"/>
    <xf numFmtId="43" fontId="6" fillId="0" borderId="16" xfId="1" applyFont="1" applyBorder="1" applyAlignment="1"/>
    <xf numFmtId="43" fontId="12" fillId="0" borderId="16" xfId="1" applyFont="1" applyBorder="1" applyAlignment="1">
      <alignment horizontal="center"/>
    </xf>
    <xf numFmtId="43" fontId="6" fillId="0" borderId="15" xfId="1" applyFont="1" applyBorder="1" applyAlignment="1">
      <alignment horizontal="right"/>
    </xf>
    <xf numFmtId="44" fontId="6" fillId="0" borderId="16" xfId="2" applyFont="1" applyBorder="1" applyAlignment="1"/>
    <xf numFmtId="43" fontId="6" fillId="0" borderId="17" xfId="1" applyFont="1" applyBorder="1" applyAlignment="1"/>
    <xf numFmtId="43" fontId="6" fillId="0" borderId="18" xfId="1" applyFont="1" applyBorder="1" applyAlignment="1"/>
    <xf numFmtId="10" fontId="6" fillId="0" borderId="18" xfId="3" applyNumberFormat="1" applyFont="1" applyBorder="1" applyAlignment="1">
      <alignment horizontal="center"/>
    </xf>
    <xf numFmtId="43" fontId="6" fillId="0" borderId="19" xfId="1" applyFont="1" applyBorder="1" applyAlignment="1"/>
    <xf numFmtId="0" fontId="6" fillId="0" borderId="0" xfId="0" applyFont="1" applyAlignment="1">
      <alignment horizontal="center" vertical="top"/>
    </xf>
    <xf numFmtId="0" fontId="6" fillId="0" borderId="0" xfId="0" applyFont="1" applyAlignment="1">
      <alignment horizontal="left"/>
    </xf>
    <xf numFmtId="171" fontId="6" fillId="0" borderId="0" xfId="2" applyNumberFormat="1" applyFont="1"/>
    <xf numFmtId="0" fontId="6" fillId="0" borderId="1" xfId="0" applyFont="1" applyBorder="1" applyAlignment="1">
      <alignment horizontal="right"/>
    </xf>
    <xf numFmtId="164" fontId="6" fillId="0" borderId="1" xfId="2" applyNumberFormat="1" applyFont="1" applyBorder="1"/>
    <xf numFmtId="171" fontId="6" fillId="0" borderId="0" xfId="2" applyNumberFormat="1" applyFont="1" applyBorder="1"/>
    <xf numFmtId="164" fontId="6" fillId="0" borderId="1" xfId="1" applyNumberFormat="1" applyFont="1" applyFill="1" applyBorder="1" applyAlignment="1">
      <alignment horizontal="right" vertical="center"/>
    </xf>
    <xf numFmtId="43" fontId="6" fillId="0" borderId="15" xfId="1" applyFont="1" applyFill="1" applyBorder="1" applyAlignment="1">
      <alignment horizontal="right"/>
    </xf>
    <xf numFmtId="43" fontId="6" fillId="0" borderId="0" xfId="1" applyFont="1" applyFill="1" applyBorder="1" applyAlignment="1">
      <alignment horizontal="right"/>
    </xf>
    <xf numFmtId="44" fontId="6" fillId="0" borderId="0" xfId="2" applyFont="1" applyFill="1" applyBorder="1" applyAlignment="1"/>
    <xf numFmtId="44" fontId="6" fillId="0" borderId="0" xfId="2" applyFont="1" applyFill="1" applyBorder="1" applyAlignment="1">
      <alignment vertical="center"/>
    </xf>
    <xf numFmtId="44" fontId="6" fillId="0" borderId="16" xfId="2" applyFont="1" applyFill="1" applyBorder="1" applyAlignment="1"/>
    <xf numFmtId="171" fontId="6" fillId="0" borderId="0" xfId="2" applyNumberFormat="1" applyFont="1" applyFill="1" applyBorder="1" applyAlignment="1"/>
    <xf numFmtId="0" fontId="6" fillId="0" borderId="0" xfId="0" quotePrefix="1" applyFont="1" applyAlignment="1">
      <alignment horizontal="center"/>
    </xf>
    <xf numFmtId="44" fontId="2" fillId="0" borderId="0" xfId="0" applyNumberFormat="1" applyFont="1" applyAlignment="1">
      <alignment horizontal="right"/>
    </xf>
    <xf numFmtId="0" fontId="6" fillId="0" borderId="0" xfId="1" applyNumberFormat="1" applyFont="1" applyAlignment="1">
      <alignment horizontal="left"/>
    </xf>
    <xf numFmtId="0" fontId="13" fillId="0" borderId="0" xfId="1" applyNumberFormat="1" applyFont="1" applyAlignment="1">
      <alignment horizontal="left"/>
    </xf>
    <xf numFmtId="43" fontId="12" fillId="0" borderId="0" xfId="1" applyFont="1" applyBorder="1" applyAlignment="1"/>
    <xf numFmtId="164" fontId="6" fillId="0" borderId="0" xfId="2" applyNumberFormat="1" applyFont="1" applyAlignment="1">
      <alignment horizontal="center" vertical="center"/>
    </xf>
    <xf numFmtId="43" fontId="6" fillId="0" borderId="0" xfId="1" applyFont="1" applyAlignment="1">
      <alignment vertical="center"/>
    </xf>
    <xf numFmtId="43" fontId="6" fillId="0" borderId="1" xfId="1" applyFont="1" applyBorder="1" applyAlignment="1">
      <alignment horizontal="right" vertical="center"/>
    </xf>
    <xf numFmtId="43" fontId="6" fillId="0" borderId="1" xfId="1" applyFont="1" applyBorder="1" applyAlignment="1">
      <alignment horizontal="right"/>
    </xf>
    <xf numFmtId="43" fontId="6" fillId="0" borderId="0" xfId="1" applyFont="1" applyAlignment="1">
      <alignment horizontal="right" vertical="center"/>
    </xf>
    <xf numFmtId="43" fontId="6" fillId="0" borderId="1" xfId="1" applyFont="1" applyBorder="1" applyAlignment="1">
      <alignment horizontal="right" indent="1"/>
    </xf>
    <xf numFmtId="43" fontId="6" fillId="0" borderId="0" xfId="1" applyFont="1" applyFill="1" applyBorder="1" applyAlignment="1">
      <alignment horizontal="center"/>
    </xf>
    <xf numFmtId="0" fontId="6" fillId="0" borderId="0" xfId="0" applyFont="1" applyAlignment="1">
      <alignment horizontal="center" wrapText="1"/>
    </xf>
    <xf numFmtId="166" fontId="6" fillId="0" borderId="0" xfId="3" applyNumberFormat="1" applyFont="1" applyFill="1" applyBorder="1" applyAlignment="1">
      <alignment horizontal="center"/>
    </xf>
    <xf numFmtId="0" fontId="6" fillId="0" borderId="0" xfId="1" applyNumberFormat="1" applyFont="1" applyFill="1" applyBorder="1"/>
    <xf numFmtId="0" fontId="26" fillId="0" borderId="0" xfId="0" applyFont="1"/>
    <xf numFmtId="165" fontId="6" fillId="0" borderId="0" xfId="1" applyNumberFormat="1" applyFont="1" applyFill="1" applyBorder="1" applyAlignment="1">
      <alignment vertical="center"/>
    </xf>
    <xf numFmtId="164" fontId="6" fillId="0" borderId="0" xfId="1" applyNumberFormat="1" applyFont="1" applyBorder="1" applyAlignment="1">
      <alignment horizontal="right" vertical="center"/>
    </xf>
    <xf numFmtId="0" fontId="6" fillId="0" borderId="0" xfId="1" applyNumberFormat="1" applyFont="1"/>
    <xf numFmtId="165" fontId="10" fillId="0" borderId="0" xfId="1" applyNumberFormat="1" applyFont="1"/>
    <xf numFmtId="3" fontId="7" fillId="0" borderId="15" xfId="0" applyNumberFormat="1" applyFont="1" applyBorder="1" applyAlignment="1">
      <alignment horizontal="center" vertical="center"/>
    </xf>
    <xf numFmtId="3" fontId="7" fillId="0" borderId="16" xfId="0" applyNumberFormat="1" applyFont="1" applyBorder="1" applyAlignment="1">
      <alignment horizontal="center" vertical="center"/>
    </xf>
    <xf numFmtId="43" fontId="7" fillId="0" borderId="15" xfId="1" applyFont="1" applyBorder="1" applyAlignment="1">
      <alignment horizontal="center"/>
    </xf>
    <xf numFmtId="43" fontId="7" fillId="0" borderId="0" xfId="1" applyFont="1" applyBorder="1" applyAlignment="1">
      <alignment horizontal="center"/>
    </xf>
    <xf numFmtId="43" fontId="7" fillId="0" borderId="16" xfId="1" applyFont="1" applyBorder="1" applyAlignment="1">
      <alignment horizontal="center"/>
    </xf>
    <xf numFmtId="165" fontId="26" fillId="0" borderId="0" xfId="1" applyNumberFormat="1" applyFont="1"/>
    <xf numFmtId="0" fontId="9" fillId="0" borderId="0" xfId="0" applyFont="1"/>
    <xf numFmtId="165" fontId="12" fillId="0" borderId="0" xfId="1" applyNumberFormat="1" applyFont="1" applyFill="1" applyBorder="1" applyAlignment="1">
      <alignment vertical="center"/>
    </xf>
    <xf numFmtId="165" fontId="6" fillId="0" borderId="0" xfId="0" applyNumberFormat="1" applyFont="1" applyAlignment="1">
      <alignment vertical="top"/>
    </xf>
    <xf numFmtId="0" fontId="6" fillId="0" borderId="1" xfId="0" applyFont="1" applyBorder="1" applyAlignment="1">
      <alignment vertical="top"/>
    </xf>
    <xf numFmtId="165" fontId="12" fillId="0" borderId="0" xfId="5" applyNumberFormat="1" applyFont="1" applyAlignment="1">
      <alignment horizontal="center"/>
    </xf>
    <xf numFmtId="165" fontId="12" fillId="0" borderId="0" xfId="5" applyNumberFormat="1" applyFont="1" applyFill="1" applyBorder="1" applyAlignment="1">
      <alignment horizontal="center"/>
    </xf>
    <xf numFmtId="43" fontId="6" fillId="0" borderId="0" xfId="1" applyFont="1" applyAlignment="1">
      <alignment vertical="top"/>
    </xf>
    <xf numFmtId="165" fontId="6" fillId="0" borderId="0" xfId="1" applyNumberFormat="1" applyFont="1" applyAlignment="1">
      <alignment vertical="top"/>
    </xf>
    <xf numFmtId="0" fontId="10" fillId="0" borderId="0" xfId="0" applyFont="1" applyAlignment="1">
      <alignment horizontal="center" vertical="top"/>
    </xf>
    <xf numFmtId="43" fontId="6" fillId="0" borderId="1" xfId="1" applyFont="1" applyBorder="1" applyAlignment="1">
      <alignment vertical="top"/>
    </xf>
    <xf numFmtId="43" fontId="6" fillId="0" borderId="0" xfId="0" applyNumberFormat="1" applyFont="1" applyAlignment="1">
      <alignment vertical="top"/>
    </xf>
    <xf numFmtId="165" fontId="6" fillId="4" borderId="0" xfId="5" applyNumberFormat="1" applyFont="1" applyFill="1" applyAlignment="1">
      <alignment vertical="center"/>
    </xf>
    <xf numFmtId="165" fontId="6" fillId="0" borderId="0" xfId="5" applyNumberFormat="1" applyFont="1" applyAlignment="1">
      <alignment vertical="center"/>
    </xf>
    <xf numFmtId="0" fontId="11" fillId="0" borderId="0" xfId="0" applyFont="1"/>
    <xf numFmtId="164" fontId="6" fillId="0" borderId="0" xfId="1" applyNumberFormat="1" applyFont="1" applyFill="1" applyBorder="1" applyAlignment="1">
      <alignment horizontal="right" vertical="center"/>
    </xf>
    <xf numFmtId="173" fontId="6" fillId="0" borderId="0" xfId="1" applyNumberFormat="1" applyFont="1" applyAlignment="1">
      <alignment horizontal="center"/>
    </xf>
    <xf numFmtId="165" fontId="12" fillId="0" borderId="0" xfId="1" applyNumberFormat="1" applyFont="1" applyFill="1" applyBorder="1"/>
    <xf numFmtId="165" fontId="6" fillId="0" borderId="0" xfId="1" applyNumberFormat="1" applyFont="1" applyFill="1" applyBorder="1"/>
    <xf numFmtId="165" fontId="12" fillId="0" borderId="0" xfId="1" applyNumberFormat="1" applyFont="1" applyFill="1"/>
    <xf numFmtId="10" fontId="6" fillId="0" borderId="0" xfId="3" applyNumberFormat="1" applyFont="1" applyFill="1"/>
    <xf numFmtId="9" fontId="9" fillId="0" borderId="0" xfId="3" applyFont="1" applyFill="1" applyAlignment="1">
      <alignment vertical="center"/>
    </xf>
    <xf numFmtId="0" fontId="0" fillId="0" borderId="0" xfId="0" applyAlignment="1">
      <alignment horizontal="center" vertical="top"/>
    </xf>
    <xf numFmtId="0" fontId="30" fillId="0" borderId="0" xfId="0" applyFont="1" applyAlignment="1">
      <alignment horizontal="center" wrapText="1"/>
    </xf>
    <xf numFmtId="0" fontId="31" fillId="0" borderId="0" xfId="0" applyFont="1" applyAlignment="1">
      <alignment horizontal="center" wrapText="1"/>
    </xf>
    <xf numFmtId="165" fontId="6" fillId="0" borderId="10" xfId="5" applyNumberFormat="1" applyFont="1" applyFill="1" applyBorder="1" applyAlignment="1">
      <alignment horizontal="left"/>
    </xf>
    <xf numFmtId="165" fontId="6" fillId="0" borderId="7" xfId="5" applyNumberFormat="1" applyFont="1" applyFill="1" applyBorder="1" applyAlignment="1">
      <alignment horizontal="center"/>
    </xf>
    <xf numFmtId="165" fontId="6" fillId="0" borderId="8" xfId="5" applyNumberFormat="1" applyFont="1" applyFill="1" applyBorder="1" applyAlignment="1">
      <alignment horizontal="center"/>
    </xf>
    <xf numFmtId="165" fontId="6" fillId="0" borderId="0" xfId="5" applyNumberFormat="1" applyFont="1" applyFill="1" applyBorder="1" applyAlignment="1">
      <alignment horizontal="center"/>
    </xf>
    <xf numFmtId="165" fontId="24" fillId="0" borderId="8" xfId="1" applyNumberFormat="1" applyFont="1" applyBorder="1"/>
    <xf numFmtId="165" fontId="0" fillId="0" borderId="0" xfId="0" applyNumberFormat="1"/>
    <xf numFmtId="0" fontId="6" fillId="0" borderId="1" xfId="0" applyFont="1" applyBorder="1"/>
    <xf numFmtId="14" fontId="6" fillId="0" borderId="0" xfId="0" applyNumberFormat="1" applyFont="1" applyAlignment="1">
      <alignment horizontal="center"/>
    </xf>
    <xf numFmtId="171" fontId="6" fillId="0" borderId="0" xfId="2" applyNumberFormat="1" applyFont="1" applyFill="1" applyBorder="1" applyAlignment="1">
      <alignment vertical="center"/>
    </xf>
    <xf numFmtId="0" fontId="6" fillId="0" borderId="1" xfId="0" applyFont="1" applyBorder="1" applyAlignment="1">
      <alignment horizontal="center"/>
    </xf>
    <xf numFmtId="43" fontId="6" fillId="0" borderId="1" xfId="1" applyFont="1" applyBorder="1" applyAlignment="1">
      <alignment horizontal="center"/>
    </xf>
    <xf numFmtId="171" fontId="6" fillId="0" borderId="0" xfId="2" quotePrefix="1" applyNumberFormat="1" applyFont="1" applyFill="1" applyBorder="1" applyAlignment="1">
      <alignment vertical="center"/>
    </xf>
    <xf numFmtId="43" fontId="32" fillId="0" borderId="0" xfId="1" applyFont="1" applyFill="1" applyBorder="1"/>
    <xf numFmtId="43" fontId="6" fillId="0" borderId="0" xfId="1" applyFont="1" applyAlignment="1">
      <alignment horizontal="center"/>
    </xf>
    <xf numFmtId="43" fontId="6" fillId="0" borderId="0" xfId="1" applyFont="1" applyFill="1"/>
    <xf numFmtId="43" fontId="12" fillId="0" borderId="1" xfId="1" applyFont="1" applyFill="1" applyBorder="1"/>
    <xf numFmtId="0" fontId="6" fillId="0" borderId="0" xfId="1" applyNumberFormat="1" applyFont="1" applyFill="1" applyAlignment="1">
      <alignment horizontal="left"/>
    </xf>
    <xf numFmtId="0" fontId="4" fillId="4" borderId="20" xfId="0" applyFont="1" applyFill="1" applyBorder="1" applyAlignment="1">
      <alignment horizontal="center" vertical="top"/>
    </xf>
    <xf numFmtId="0" fontId="4" fillId="4" borderId="20" xfId="0" applyFont="1" applyFill="1" applyBorder="1" applyAlignment="1">
      <alignment vertical="top" wrapText="1"/>
    </xf>
    <xf numFmtId="0" fontId="4" fillId="0" borderId="20" xfId="0" applyFont="1" applyBorder="1" applyAlignment="1">
      <alignment horizontal="center" vertical="top"/>
    </xf>
    <xf numFmtId="0" fontId="4" fillId="0" borderId="20" xfId="0" applyFont="1" applyBorder="1" applyAlignment="1">
      <alignment wrapText="1"/>
    </xf>
    <xf numFmtId="0" fontId="0" fillId="0" borderId="20" xfId="0" applyBorder="1" applyAlignment="1">
      <alignment horizontal="center" vertical="top"/>
    </xf>
    <xf numFmtId="0" fontId="0" fillId="0" borderId="20" xfId="0" applyBorder="1" applyAlignment="1">
      <alignment wrapText="1"/>
    </xf>
    <xf numFmtId="0" fontId="25" fillId="0" borderId="0" xfId="0" applyFont="1" applyAlignment="1">
      <alignment horizontal="center"/>
    </xf>
    <xf numFmtId="10" fontId="6" fillId="0" borderId="0" xfId="3" applyNumberFormat="1" applyFont="1"/>
    <xf numFmtId="165" fontId="26" fillId="0" borderId="0" xfId="0" applyNumberFormat="1" applyFont="1"/>
    <xf numFmtId="167" fontId="6" fillId="0" borderId="0" xfId="5" applyNumberFormat="1" applyFont="1" applyFill="1" applyBorder="1" applyAlignment="1"/>
    <xf numFmtId="43" fontId="12" fillId="0" borderId="0" xfId="1" applyFont="1" applyBorder="1" applyAlignment="1">
      <alignment horizontal="right"/>
    </xf>
    <xf numFmtId="43" fontId="12" fillId="0" borderId="0" xfId="1" applyFont="1" applyFill="1" applyBorder="1" applyAlignment="1">
      <alignment horizontal="right"/>
    </xf>
    <xf numFmtId="10" fontId="6" fillId="0" borderId="0" xfId="3" applyNumberFormat="1" applyFont="1" applyFill="1" applyBorder="1"/>
    <xf numFmtId="165" fontId="6" fillId="0" borderId="6" xfId="5" applyNumberFormat="1" applyFont="1" applyBorder="1" applyAlignment="1">
      <alignment horizontal="center"/>
    </xf>
    <xf numFmtId="165" fontId="24" fillId="0" borderId="6" xfId="1" applyNumberFormat="1" applyFont="1" applyBorder="1"/>
    <xf numFmtId="165" fontId="6" fillId="0" borderId="1" xfId="5" quotePrefix="1" applyNumberFormat="1" applyFont="1" applyBorder="1" applyAlignment="1">
      <alignment horizontal="center"/>
    </xf>
    <xf numFmtId="0" fontId="10" fillId="0" borderId="0" xfId="0" applyFont="1"/>
    <xf numFmtId="165" fontId="12" fillId="0" borderId="1" xfId="1" applyNumberFormat="1" applyFont="1" applyBorder="1"/>
    <xf numFmtId="165" fontId="6" fillId="0" borderId="0" xfId="0" applyNumberFormat="1" applyFont="1" applyAlignment="1">
      <alignment horizontal="center"/>
    </xf>
    <xf numFmtId="165" fontId="6" fillId="0" borderId="0" xfId="1" applyNumberFormat="1" applyFont="1" applyBorder="1" applyAlignment="1">
      <alignment vertical="top"/>
    </xf>
    <xf numFmtId="165" fontId="6" fillId="0" borderId="0" xfId="1" applyNumberFormat="1" applyFont="1" applyBorder="1" applyAlignment="1">
      <alignment horizontal="center"/>
    </xf>
    <xf numFmtId="43" fontId="6" fillId="0" borderId="0" xfId="1" applyFont="1" applyFill="1" applyBorder="1" applyAlignment="1">
      <alignment vertical="top"/>
    </xf>
    <xf numFmtId="165" fontId="6" fillId="0" borderId="0" xfId="1" applyNumberFormat="1" applyFont="1" applyFill="1" applyBorder="1" applyAlignment="1">
      <alignment vertical="top"/>
    </xf>
    <xf numFmtId="43" fontId="12" fillId="0" borderId="0" xfId="1" applyFont="1" applyBorder="1" applyAlignment="1">
      <alignment horizontal="center"/>
    </xf>
    <xf numFmtId="43" fontId="12" fillId="0" borderId="0" xfId="1" applyFont="1" applyFill="1" applyBorder="1" applyAlignment="1">
      <alignment horizontal="center"/>
    </xf>
    <xf numFmtId="174" fontId="6" fillId="0" borderId="0" xfId="0" applyNumberFormat="1" applyFont="1" applyAlignment="1">
      <alignment vertical="top"/>
    </xf>
    <xf numFmtId="173" fontId="6" fillId="0" borderId="0" xfId="1" quotePrefix="1" applyNumberFormat="1" applyFont="1" applyAlignment="1">
      <alignment horizontal="center" vertical="center"/>
    </xf>
    <xf numFmtId="171" fontId="6" fillId="0" borderId="1" xfId="2" applyNumberFormat="1" applyFont="1" applyBorder="1"/>
    <xf numFmtId="0" fontId="25" fillId="0" borderId="8" xfId="0" applyFont="1" applyBorder="1"/>
    <xf numFmtId="0" fontId="4" fillId="0" borderId="0" xfId="0" applyFont="1"/>
    <xf numFmtId="43" fontId="0" fillId="0" borderId="0" xfId="0" applyNumberFormat="1"/>
    <xf numFmtId="0" fontId="29" fillId="0" borderId="0" xfId="11" applyFont="1" applyAlignment="1">
      <alignment horizontal="center" vertical="center"/>
    </xf>
    <xf numFmtId="165" fontId="6" fillId="0" borderId="0" xfId="1" applyNumberFormat="1" applyFont="1" applyFill="1" applyAlignment="1">
      <alignment vertical="top"/>
    </xf>
    <xf numFmtId="166" fontId="6" fillId="0" borderId="0" xfId="3" applyNumberFormat="1" applyFont="1" applyFill="1" applyBorder="1" applyAlignment="1">
      <alignment horizontal="left"/>
    </xf>
    <xf numFmtId="44" fontId="6" fillId="0" borderId="1" xfId="2" applyFont="1" applyBorder="1"/>
    <xf numFmtId="44" fontId="6" fillId="0" borderId="1" xfId="0" applyNumberFormat="1" applyFont="1" applyBorder="1" applyAlignment="1">
      <alignment horizontal="center"/>
    </xf>
    <xf numFmtId="166" fontId="6" fillId="0" borderId="1" xfId="3" applyNumberFormat="1" applyFont="1" applyFill="1" applyBorder="1" applyAlignment="1">
      <alignment horizontal="right"/>
    </xf>
    <xf numFmtId="9" fontId="6" fillId="0" borderId="1" xfId="0" applyNumberFormat="1" applyFont="1" applyBorder="1" applyAlignment="1">
      <alignment horizontal="right"/>
    </xf>
    <xf numFmtId="164" fontId="6" fillId="0" borderId="0" xfId="2" applyNumberFormat="1" applyFont="1" applyBorder="1" applyAlignment="1">
      <alignment horizontal="right"/>
    </xf>
    <xf numFmtId="0" fontId="34" fillId="0" borderId="0" xfId="0" applyFont="1"/>
    <xf numFmtId="165" fontId="4" fillId="0" borderId="0" xfId="1" applyNumberFormat="1" applyFont="1"/>
    <xf numFmtId="165" fontId="4" fillId="0" borderId="1" xfId="1" applyNumberFormat="1" applyFont="1" applyBorder="1"/>
    <xf numFmtId="0" fontId="4" fillId="0" borderId="0" xfId="0" applyFont="1" applyAlignment="1">
      <alignment horizontal="center"/>
    </xf>
    <xf numFmtId="165" fontId="4" fillId="0" borderId="22" xfId="1" applyNumberFormat="1" applyFont="1" applyBorder="1"/>
    <xf numFmtId="0" fontId="4" fillId="0" borderId="0" xfId="0" applyFont="1" applyAlignment="1">
      <alignment horizontal="right"/>
    </xf>
    <xf numFmtId="172" fontId="4" fillId="0" borderId="0" xfId="3" applyNumberFormat="1" applyFont="1"/>
    <xf numFmtId="172" fontId="4" fillId="0" borderId="0" xfId="0" applyNumberFormat="1" applyFont="1"/>
    <xf numFmtId="10" fontId="4" fillId="0" borderId="0" xfId="0" applyNumberFormat="1" applyFont="1"/>
    <xf numFmtId="164" fontId="4" fillId="0" borderId="0" xfId="1" applyNumberFormat="1" applyFont="1" applyFill="1"/>
    <xf numFmtId="44" fontId="4" fillId="0" borderId="0" xfId="1" applyNumberFormat="1" applyFont="1"/>
    <xf numFmtId="44" fontId="4" fillId="0" borderId="0" xfId="0" applyNumberFormat="1" applyFont="1"/>
    <xf numFmtId="164" fontId="4" fillId="0" borderId="1" xfId="1" applyNumberFormat="1" applyFont="1" applyBorder="1"/>
    <xf numFmtId="44" fontId="4" fillId="0" borderId="0" xfId="1" applyNumberFormat="1" applyFont="1" applyBorder="1"/>
    <xf numFmtId="44" fontId="4" fillId="0" borderId="1" xfId="0" applyNumberFormat="1" applyFont="1" applyBorder="1"/>
    <xf numFmtId="164" fontId="4" fillId="0" borderId="0" xfId="1" applyNumberFormat="1" applyFont="1"/>
    <xf numFmtId="165" fontId="4" fillId="0" borderId="0" xfId="1" applyNumberFormat="1" applyFont="1" applyBorder="1"/>
    <xf numFmtId="165" fontId="4" fillId="0" borderId="0" xfId="1" applyNumberFormat="1" applyFont="1" applyFill="1"/>
    <xf numFmtId="44" fontId="4" fillId="0" borderId="0" xfId="1" applyNumberFormat="1" applyFont="1" applyFill="1" applyBorder="1"/>
    <xf numFmtId="165" fontId="4" fillId="0" borderId="7" xfId="1" applyNumberFormat="1" applyFont="1" applyBorder="1"/>
    <xf numFmtId="165" fontId="4" fillId="0" borderId="8" xfId="1" applyNumberFormat="1" applyFont="1" applyBorder="1"/>
    <xf numFmtId="165" fontId="4" fillId="0" borderId="6" xfId="1" applyNumberFormat="1" applyFont="1" applyBorder="1"/>
    <xf numFmtId="165" fontId="4" fillId="0" borderId="23" xfId="1" applyNumberFormat="1" applyFont="1" applyBorder="1"/>
    <xf numFmtId="165" fontId="4" fillId="0" borderId="5" xfId="1" applyNumberFormat="1" applyFont="1" applyBorder="1"/>
    <xf numFmtId="44" fontId="4" fillId="0" borderId="0" xfId="0" applyNumberFormat="1" applyFont="1" applyAlignment="1">
      <alignment horizontal="center"/>
    </xf>
    <xf numFmtId="43" fontId="6" fillId="0" borderId="0" xfId="5" applyFont="1"/>
    <xf numFmtId="2" fontId="6" fillId="0" borderId="0" xfId="0" applyNumberFormat="1" applyFont="1" applyAlignment="1">
      <alignment horizontal="center"/>
    </xf>
    <xf numFmtId="172" fontId="25" fillId="0" borderId="0" xfId="3" applyNumberFormat="1" applyFont="1"/>
    <xf numFmtId="165" fontId="6" fillId="0" borderId="0" xfId="5" applyNumberFormat="1" applyFont="1" applyFill="1" applyAlignment="1">
      <alignment vertical="center"/>
    </xf>
    <xf numFmtId="169" fontId="0" fillId="0" borderId="0" xfId="0" applyNumberFormat="1" applyAlignment="1">
      <alignment horizontal="right"/>
    </xf>
    <xf numFmtId="43" fontId="6" fillId="0" borderId="0" xfId="0" applyNumberFormat="1" applyFont="1" applyAlignment="1">
      <alignment horizontal="right"/>
    </xf>
    <xf numFmtId="174" fontId="6" fillId="0" borderId="0" xfId="1" applyNumberFormat="1" applyFont="1"/>
    <xf numFmtId="174" fontId="6" fillId="0" borderId="0" xfId="1" applyNumberFormat="1" applyFont="1" applyBorder="1"/>
    <xf numFmtId="166" fontId="6" fillId="2" borderId="0" xfId="3" applyNumberFormat="1" applyFont="1" applyFill="1" applyBorder="1"/>
    <xf numFmtId="166" fontId="6" fillId="0" borderId="0" xfId="3" applyNumberFormat="1" applyFont="1" applyBorder="1"/>
    <xf numFmtId="165" fontId="6" fillId="0" borderId="8" xfId="1" applyNumberFormat="1" applyFont="1" applyBorder="1" applyAlignment="1">
      <alignment horizontal="center"/>
    </xf>
    <xf numFmtId="165" fontId="12" fillId="0" borderId="10" xfId="1" applyNumberFormat="1" applyFont="1" applyFill="1" applyBorder="1" applyAlignment="1">
      <alignment horizontal="center"/>
    </xf>
    <xf numFmtId="43" fontId="6" fillId="2" borderId="10" xfId="1" applyFont="1" applyFill="1" applyBorder="1"/>
    <xf numFmtId="43" fontId="6" fillId="0" borderId="10" xfId="1" applyFont="1" applyFill="1" applyBorder="1"/>
    <xf numFmtId="43" fontId="6" fillId="0" borderId="10" xfId="1" applyFont="1" applyBorder="1"/>
    <xf numFmtId="174" fontId="6" fillId="0" borderId="10" xfId="1" applyNumberFormat="1" applyFont="1" applyBorder="1"/>
    <xf numFmtId="166" fontId="6" fillId="0" borderId="0" xfId="3" applyNumberFormat="1" applyFont="1" applyFill="1" applyBorder="1" applyAlignment="1">
      <alignment horizontal="right" vertical="center"/>
    </xf>
    <xf numFmtId="164" fontId="6" fillId="0" borderId="1" xfId="1" applyNumberFormat="1" applyFont="1" applyBorder="1" applyAlignment="1">
      <alignment horizontal="right" vertical="center"/>
    </xf>
    <xf numFmtId="44" fontId="6" fillId="0" borderId="0" xfId="2" applyFont="1" applyFill="1" applyBorder="1"/>
    <xf numFmtId="43" fontId="6" fillId="0" borderId="0" xfId="1" quotePrefix="1" applyFont="1" applyFill="1" applyBorder="1" applyAlignment="1">
      <alignment horizontal="center"/>
    </xf>
    <xf numFmtId="165" fontId="6" fillId="0" borderId="0" xfId="5" quotePrefix="1" applyNumberFormat="1" applyFont="1" applyFill="1" applyBorder="1"/>
    <xf numFmtId="0" fontId="4" fillId="0" borderId="0" xfId="0" applyFont="1" applyAlignment="1">
      <alignment wrapText="1"/>
    </xf>
    <xf numFmtId="165" fontId="6" fillId="5" borderId="0" xfId="1" applyNumberFormat="1" applyFont="1" applyFill="1" applyAlignment="1">
      <alignment vertical="center"/>
    </xf>
    <xf numFmtId="165" fontId="6" fillId="5" borderId="0" xfId="1" applyNumberFormat="1" applyFont="1" applyFill="1"/>
    <xf numFmtId="0" fontId="0" fillId="0" borderId="20" xfId="0" applyBorder="1"/>
    <xf numFmtId="0" fontId="4" fillId="0" borderId="20" xfId="0" applyFont="1" applyBorder="1"/>
    <xf numFmtId="169" fontId="6" fillId="0" borderId="0" xfId="0" applyNumberFormat="1" applyFont="1"/>
    <xf numFmtId="172" fontId="4" fillId="3" borderId="0" xfId="3" applyNumberFormat="1" applyFont="1" applyFill="1"/>
    <xf numFmtId="9" fontId="4" fillId="3" borderId="1" xfId="3" applyFont="1" applyFill="1" applyBorder="1"/>
    <xf numFmtId="172" fontId="4" fillId="3" borderId="0" xfId="0" applyNumberFormat="1" applyFont="1" applyFill="1"/>
    <xf numFmtId="0" fontId="25" fillId="0" borderId="3" xfId="0" applyFont="1" applyBorder="1" applyAlignment="1">
      <alignment horizontal="center"/>
    </xf>
    <xf numFmtId="0" fontId="25" fillId="0" borderId="4" xfId="0" applyFont="1" applyBorder="1" applyAlignment="1">
      <alignment horizontal="center"/>
    </xf>
    <xf numFmtId="0" fontId="25" fillId="0" borderId="7" xfId="0" applyFont="1" applyBorder="1" applyAlignment="1">
      <alignment horizontal="center"/>
    </xf>
    <xf numFmtId="0" fontId="25" fillId="0" borderId="8" xfId="0" applyFont="1" applyBorder="1" applyAlignment="1">
      <alignment horizontal="center"/>
    </xf>
    <xf numFmtId="172" fontId="25" fillId="0" borderId="8" xfId="3" applyNumberFormat="1" applyFont="1" applyBorder="1"/>
    <xf numFmtId="0" fontId="25" fillId="0" borderId="5" xfId="0" applyFont="1" applyBorder="1" applyAlignment="1">
      <alignment horizontal="center"/>
    </xf>
    <xf numFmtId="172" fontId="25" fillId="0" borderId="6" xfId="3" applyNumberFormat="1" applyFont="1" applyBorder="1"/>
    <xf numFmtId="0" fontId="10" fillId="0" borderId="0" xfId="0" applyFont="1" applyAlignment="1">
      <alignment horizontal="center"/>
    </xf>
    <xf numFmtId="164" fontId="4" fillId="0" borderId="0" xfId="0" applyNumberFormat="1" applyFont="1"/>
    <xf numFmtId="165" fontId="4" fillId="0" borderId="0" xfId="0" applyNumberFormat="1" applyFont="1"/>
    <xf numFmtId="165" fontId="4" fillId="0" borderId="0" xfId="1" applyNumberFormat="1" applyFont="1" applyAlignment="1">
      <alignment horizontal="right"/>
    </xf>
    <xf numFmtId="43" fontId="6" fillId="0" borderId="0" xfId="1" applyFont="1" applyBorder="1" applyAlignment="1">
      <alignment vertical="top"/>
    </xf>
    <xf numFmtId="49" fontId="6" fillId="0" borderId="0" xfId="0" applyNumberFormat="1" applyFont="1" applyAlignment="1" applyProtection="1">
      <alignment horizontal="center" vertical="center"/>
      <protection locked="0"/>
    </xf>
    <xf numFmtId="165" fontId="6" fillId="0" borderId="0" xfId="5" applyNumberFormat="1" applyFont="1" applyFill="1"/>
    <xf numFmtId="165" fontId="7" fillId="0" borderId="0" xfId="1" applyNumberFormat="1" applyFont="1" applyAlignment="1">
      <alignment horizontal="center" vertical="center"/>
    </xf>
    <xf numFmtId="0" fontId="31" fillId="0" borderId="0" xfId="0" applyFont="1" applyAlignment="1">
      <alignment horizontal="center" vertical="center"/>
    </xf>
    <xf numFmtId="165" fontId="7" fillId="0" borderId="0" xfId="1" applyNumberFormat="1" applyFont="1" applyAlignment="1">
      <alignment horizontal="center"/>
    </xf>
    <xf numFmtId="3" fontId="7" fillId="0" borderId="0" xfId="0" applyNumberFormat="1" applyFont="1" applyAlignment="1">
      <alignment horizontal="center"/>
    </xf>
    <xf numFmtId="3" fontId="8" fillId="0" borderId="0" xfId="0" applyNumberFormat="1" applyFont="1" applyAlignment="1">
      <alignment horizontal="center"/>
    </xf>
    <xf numFmtId="3" fontId="14" fillId="0" borderId="0" xfId="0" applyNumberFormat="1" applyFont="1" applyAlignment="1">
      <alignment horizontal="center" vertical="center"/>
    </xf>
    <xf numFmtId="167" fontId="11" fillId="0" borderId="0" xfId="5" applyNumberFormat="1" applyFont="1" applyBorder="1" applyAlignment="1">
      <alignment horizontal="center"/>
    </xf>
    <xf numFmtId="165" fontId="13" fillId="0" borderId="7" xfId="5" applyNumberFormat="1" applyFont="1" applyBorder="1" applyAlignment="1">
      <alignment horizontal="center" vertical="center"/>
    </xf>
    <xf numFmtId="165" fontId="13" fillId="0" borderId="8" xfId="5" applyNumberFormat="1" applyFont="1" applyBorder="1" applyAlignment="1">
      <alignment horizontal="center" vertical="center"/>
    </xf>
    <xf numFmtId="173" fontId="34" fillId="0" borderId="3" xfId="1" quotePrefix="1" applyNumberFormat="1" applyFont="1" applyBorder="1" applyAlignment="1">
      <alignment horizontal="center" wrapText="1"/>
    </xf>
    <xf numFmtId="173" fontId="34" fillId="0" borderId="4" xfId="1" quotePrefix="1" applyNumberFormat="1" applyFont="1" applyBorder="1" applyAlignment="1">
      <alignment horizontal="center" wrapText="1"/>
    </xf>
    <xf numFmtId="0" fontId="34" fillId="6" borderId="0" xfId="0" applyFont="1" applyFill="1" applyAlignment="1">
      <alignment horizontal="center" wrapText="1"/>
    </xf>
    <xf numFmtId="43" fontId="6" fillId="0" borderId="21" xfId="1" applyFont="1" applyFill="1" applyBorder="1" applyAlignment="1">
      <alignment horizontal="center" wrapText="1"/>
    </xf>
    <xf numFmtId="43" fontId="6" fillId="0" borderId="1" xfId="1" applyFont="1" applyFill="1" applyBorder="1" applyAlignment="1">
      <alignment horizontal="center" wrapText="1"/>
    </xf>
    <xf numFmtId="43" fontId="33" fillId="0" borderId="12" xfId="1" applyFont="1" applyBorder="1" applyAlignment="1">
      <alignment horizontal="center"/>
    </xf>
    <xf numFmtId="43" fontId="33" fillId="0" borderId="13" xfId="1" applyFont="1" applyBorder="1" applyAlignment="1">
      <alignment horizontal="center"/>
    </xf>
    <xf numFmtId="43" fontId="33" fillId="0" borderId="14" xfId="1" applyFont="1" applyBorder="1" applyAlignment="1">
      <alignment horizontal="center"/>
    </xf>
    <xf numFmtId="3" fontId="23" fillId="0" borderId="15" xfId="0" applyNumberFormat="1" applyFont="1" applyBorder="1" applyAlignment="1">
      <alignment horizontal="center"/>
    </xf>
    <xf numFmtId="3" fontId="23" fillId="0" borderId="0" xfId="0" applyNumberFormat="1" applyFont="1" applyAlignment="1">
      <alignment horizontal="center"/>
    </xf>
    <xf numFmtId="3" fontId="23" fillId="0" borderId="16" xfId="0" applyNumberFormat="1" applyFont="1" applyBorder="1" applyAlignment="1">
      <alignment horizontal="center"/>
    </xf>
    <xf numFmtId="3" fontId="7" fillId="0" borderId="15" xfId="0" applyNumberFormat="1" applyFont="1" applyBorder="1" applyAlignment="1">
      <alignment horizontal="center" vertical="center"/>
    </xf>
    <xf numFmtId="3" fontId="7" fillId="0" borderId="0" xfId="0" applyNumberFormat="1" applyFont="1" applyAlignment="1">
      <alignment horizontal="center" vertical="center"/>
    </xf>
    <xf numFmtId="3" fontId="7" fillId="0" borderId="16" xfId="0" applyNumberFormat="1" applyFont="1" applyBorder="1" applyAlignment="1">
      <alignment horizontal="center" vertical="center"/>
    </xf>
    <xf numFmtId="43" fontId="6" fillId="0" borderId="21" xfId="1" applyFont="1" applyBorder="1" applyAlignment="1">
      <alignment horizontal="right" wrapText="1"/>
    </xf>
    <xf numFmtId="43" fontId="6" fillId="0" borderId="1" xfId="1" applyFont="1" applyBorder="1" applyAlignment="1">
      <alignment horizontal="right" wrapText="1"/>
    </xf>
    <xf numFmtId="43" fontId="6" fillId="0" borderId="1" xfId="1" applyFont="1" applyBorder="1" applyAlignment="1">
      <alignment horizontal="center"/>
    </xf>
    <xf numFmtId="43" fontId="7" fillId="0" borderId="15" xfId="1" applyFont="1" applyBorder="1" applyAlignment="1">
      <alignment horizontal="center"/>
    </xf>
    <xf numFmtId="43" fontId="7" fillId="0" borderId="0" xfId="1" applyFont="1" applyBorder="1" applyAlignment="1">
      <alignment horizontal="center"/>
    </xf>
    <xf numFmtId="43" fontId="7" fillId="0" borderId="16" xfId="1" applyFont="1" applyBorder="1" applyAlignment="1">
      <alignment horizontal="center"/>
    </xf>
    <xf numFmtId="3" fontId="27" fillId="0" borderId="15" xfId="0" applyNumberFormat="1" applyFont="1" applyBorder="1" applyAlignment="1">
      <alignment horizontal="center" vertical="center"/>
    </xf>
    <xf numFmtId="3" fontId="27" fillId="0" borderId="0" xfId="0" applyNumberFormat="1" applyFont="1" applyAlignment="1">
      <alignment horizontal="center" vertical="center"/>
    </xf>
    <xf numFmtId="3" fontId="27" fillId="0" borderId="16" xfId="0" applyNumberFormat="1" applyFont="1" applyBorder="1" applyAlignment="1">
      <alignment horizontal="center" vertical="center"/>
    </xf>
    <xf numFmtId="49" fontId="6" fillId="0" borderId="1" xfId="1" applyNumberFormat="1" applyFont="1" applyBorder="1" applyAlignment="1">
      <alignment horizontal="center" wrapText="1"/>
    </xf>
    <xf numFmtId="0" fontId="4" fillId="0" borderId="1" xfId="0" applyFont="1" applyBorder="1" applyAlignment="1">
      <alignment horizontal="center"/>
    </xf>
    <xf numFmtId="0" fontId="8" fillId="0" borderId="0" xfId="0" applyFont="1" applyAlignment="1">
      <alignment horizontal="center"/>
    </xf>
    <xf numFmtId="0" fontId="8" fillId="0" borderId="8" xfId="0" applyFont="1" applyBorder="1" applyAlignment="1">
      <alignment horizontal="center"/>
    </xf>
    <xf numFmtId="3" fontId="14" fillId="0" borderId="8" xfId="0" applyNumberFormat="1" applyFont="1" applyBorder="1" applyAlignment="1">
      <alignment horizontal="center" vertical="center"/>
    </xf>
    <xf numFmtId="165" fontId="7" fillId="0" borderId="0" xfId="1" applyNumberFormat="1" applyFont="1" applyBorder="1" applyAlignment="1">
      <alignment horizontal="center"/>
    </xf>
    <xf numFmtId="165" fontId="7" fillId="0" borderId="8" xfId="1" applyNumberFormat="1" applyFont="1" applyBorder="1" applyAlignment="1">
      <alignment horizontal="center"/>
    </xf>
    <xf numFmtId="165" fontId="7" fillId="0" borderId="0" xfId="1" applyNumberFormat="1" applyFont="1" applyFill="1" applyBorder="1" applyAlignment="1">
      <alignment horizontal="center"/>
    </xf>
    <xf numFmtId="0" fontId="10" fillId="0" borderId="0" xfId="0" applyFont="1" applyAlignment="1">
      <alignment horizontal="center" vertical="top"/>
    </xf>
    <xf numFmtId="0" fontId="6" fillId="0" borderId="0" xfId="0" applyFont="1" applyAlignment="1">
      <alignment horizontal="center" vertical="center"/>
    </xf>
    <xf numFmtId="0" fontId="6" fillId="0" borderId="0" xfId="0" applyFont="1" applyAlignment="1">
      <alignment horizont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10" fillId="0" borderId="0" xfId="0" applyFont="1" applyAlignment="1">
      <alignment horizontal="center"/>
    </xf>
    <xf numFmtId="44" fontId="4" fillId="0" borderId="0" xfId="0" applyNumberFormat="1" applyFont="1" applyBorder="1"/>
    <xf numFmtId="0" fontId="4" fillId="0" borderId="0" xfId="0" applyFont="1" applyBorder="1"/>
  </cellXfs>
  <cellStyles count="12">
    <cellStyle name="Comma" xfId="1" builtinId="3"/>
    <cellStyle name="Comma 2" xfId="5" xr:uid="{00000000-0005-0000-0000-000001000000}"/>
    <cellStyle name="Comma 3" xfId="9" xr:uid="{00000000-0005-0000-0000-000002000000}"/>
    <cellStyle name="Currency" xfId="2" builtinId="4"/>
    <cellStyle name="Currency 2" xfId="6" xr:uid="{00000000-0005-0000-0000-000004000000}"/>
    <cellStyle name="Currency 3" xfId="10" xr:uid="{00000000-0005-0000-0000-000005000000}"/>
    <cellStyle name="Normal" xfId="0" builtinId="0"/>
    <cellStyle name="Normal 2" xfId="4" xr:uid="{00000000-0005-0000-0000-000007000000}"/>
    <cellStyle name="Normal 3" xfId="8" xr:uid="{00000000-0005-0000-0000-000008000000}"/>
    <cellStyle name="Normal 4" xfId="11" xr:uid="{13C53230-ADD4-4E85-9BB6-5809CAD74095}"/>
    <cellStyle name="Percent" xfId="3" builtinId="5"/>
    <cellStyle name="Percent 2" xfId="7" xr:uid="{00000000-0005-0000-0000-00000A000000}"/>
  </cellStyles>
  <dxfs count="0"/>
  <tableStyles count="0" defaultTableStyle="TableStyleMedium2" defaultPivotStyle="PivotStyleLight16"/>
  <colors>
    <mruColors>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83926-0D56-420A-9275-CC408C10508A}">
  <sheetPr>
    <tabColor rgb="FF92D050"/>
  </sheetPr>
  <dimension ref="B2:C24"/>
  <sheetViews>
    <sheetView topLeftCell="A6" workbookViewId="0">
      <selection activeCell="E20" sqref="E20"/>
    </sheetView>
  </sheetViews>
  <sheetFormatPr defaultRowHeight="15.5" x14ac:dyDescent="0.35"/>
  <cols>
    <col min="2" max="2" width="4.07421875" customWidth="1"/>
    <col min="3" max="3" width="99.4609375" customWidth="1"/>
  </cols>
  <sheetData>
    <row r="2" spans="2:3" ht="18" x14ac:dyDescent="0.4">
      <c r="B2" s="282"/>
      <c r="C2" s="283" t="s">
        <v>233</v>
      </c>
    </row>
    <row r="3" spans="2:3" ht="17.5" x14ac:dyDescent="0.35">
      <c r="B3" s="282"/>
      <c r="C3" s="284"/>
    </row>
    <row r="4" spans="2:3" x14ac:dyDescent="0.35">
      <c r="B4" s="302" t="s">
        <v>234</v>
      </c>
      <c r="C4" s="387" t="s">
        <v>368</v>
      </c>
    </row>
    <row r="5" spans="2:3" x14ac:dyDescent="0.35">
      <c r="B5" s="302"/>
      <c r="C5" s="303"/>
    </row>
    <row r="6" spans="2:3" ht="31" x14ac:dyDescent="0.35">
      <c r="B6" s="304" t="s">
        <v>235</v>
      </c>
      <c r="C6" s="305" t="s">
        <v>369</v>
      </c>
    </row>
    <row r="7" spans="2:3" x14ac:dyDescent="0.35">
      <c r="B7" s="304"/>
      <c r="C7" s="305"/>
    </row>
    <row r="8" spans="2:3" ht="31" x14ac:dyDescent="0.35">
      <c r="B8" s="304" t="s">
        <v>236</v>
      </c>
      <c r="C8" s="305" t="s">
        <v>381</v>
      </c>
    </row>
    <row r="9" spans="2:3" x14ac:dyDescent="0.35">
      <c r="B9" s="304"/>
      <c r="C9" s="305"/>
    </row>
    <row r="10" spans="2:3" x14ac:dyDescent="0.35">
      <c r="B10" s="304" t="s">
        <v>193</v>
      </c>
      <c r="C10" s="305" t="s">
        <v>372</v>
      </c>
    </row>
    <row r="11" spans="2:3" x14ac:dyDescent="0.35">
      <c r="B11" s="304"/>
      <c r="C11" s="305"/>
    </row>
    <row r="12" spans="2:3" x14ac:dyDescent="0.35">
      <c r="B12" s="304" t="s">
        <v>194</v>
      </c>
      <c r="C12" s="305" t="s">
        <v>373</v>
      </c>
    </row>
    <row r="13" spans="2:3" x14ac:dyDescent="0.35">
      <c r="B13" s="304"/>
      <c r="C13" s="305"/>
    </row>
    <row r="14" spans="2:3" ht="62" x14ac:dyDescent="0.35">
      <c r="B14" s="304" t="s">
        <v>195</v>
      </c>
      <c r="C14" s="305" t="s">
        <v>374</v>
      </c>
    </row>
    <row r="15" spans="2:3" x14ac:dyDescent="0.35">
      <c r="B15" s="306"/>
      <c r="C15" s="307"/>
    </row>
    <row r="16" spans="2:3" ht="62" x14ac:dyDescent="0.35">
      <c r="B16" s="304" t="s">
        <v>196</v>
      </c>
      <c r="C16" s="305" t="s">
        <v>375</v>
      </c>
    </row>
    <row r="17" spans="2:3" x14ac:dyDescent="0.35">
      <c r="B17" s="306"/>
      <c r="C17" s="307"/>
    </row>
    <row r="18" spans="2:3" ht="31" x14ac:dyDescent="0.35">
      <c r="B18" s="304" t="s">
        <v>197</v>
      </c>
      <c r="C18" s="305" t="s">
        <v>376</v>
      </c>
    </row>
    <row r="19" spans="2:3" x14ac:dyDescent="0.35">
      <c r="B19" s="306"/>
      <c r="C19" s="307"/>
    </row>
    <row r="20" spans="2:3" x14ac:dyDescent="0.35">
      <c r="B20" s="304" t="s">
        <v>198</v>
      </c>
      <c r="C20" s="305" t="s">
        <v>377</v>
      </c>
    </row>
    <row r="21" spans="2:3" x14ac:dyDescent="0.35">
      <c r="B21" s="306"/>
      <c r="C21" s="307"/>
    </row>
    <row r="22" spans="2:3" ht="31" x14ac:dyDescent="0.35">
      <c r="B22" s="304" t="s">
        <v>237</v>
      </c>
      <c r="C22" s="305" t="s">
        <v>238</v>
      </c>
    </row>
    <row r="24" spans="2:3" x14ac:dyDescent="0.35">
      <c r="B24" s="390" t="s">
        <v>380</v>
      </c>
      <c r="C24" s="391" t="s">
        <v>382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N66"/>
  <sheetViews>
    <sheetView showGridLines="0" tabSelected="1" workbookViewId="0">
      <selection activeCell="D3" sqref="D3"/>
    </sheetView>
  </sheetViews>
  <sheetFormatPr defaultColWidth="8.765625" defaultRowHeight="14.5" x14ac:dyDescent="0.35"/>
  <cols>
    <col min="1" max="1" width="3.61328125" style="7" customWidth="1"/>
    <col min="2" max="2" width="2.61328125" style="7" customWidth="1"/>
    <col min="3" max="3" width="30.61328125" style="7" customWidth="1"/>
    <col min="4" max="4" width="11.3046875" style="7" customWidth="1"/>
    <col min="5" max="5" width="11.53515625" style="7" customWidth="1"/>
    <col min="6" max="6" width="5.3046875" style="7" customWidth="1"/>
    <col min="7" max="7" width="11.53515625" style="7" customWidth="1"/>
    <col min="8" max="8" width="3.61328125" style="7" customWidth="1"/>
    <col min="9" max="11" width="11.3046875" style="7" customWidth="1"/>
    <col min="12" max="12" width="10.84375" style="7" customWidth="1"/>
    <col min="13" max="13" width="27.84375" style="7" customWidth="1"/>
    <col min="14" max="14" width="8.765625" style="237"/>
    <col min="15" max="16384" width="8.765625" style="7"/>
  </cols>
  <sheetData>
    <row r="1" spans="1:14" ht="18.5" x14ac:dyDescent="0.35">
      <c r="A1" s="410" t="s">
        <v>27</v>
      </c>
      <c r="B1" s="410"/>
      <c r="C1" s="410"/>
      <c r="D1" s="410"/>
      <c r="E1" s="410"/>
      <c r="F1" s="410"/>
      <c r="G1" s="410"/>
      <c r="H1" s="50"/>
      <c r="I1" s="50"/>
      <c r="J1" s="50"/>
      <c r="K1" s="50"/>
    </row>
    <row r="2" spans="1:14" ht="18.5" x14ac:dyDescent="0.35">
      <c r="A2" s="410" t="s">
        <v>300</v>
      </c>
      <c r="B2" s="411"/>
      <c r="C2" s="411"/>
      <c r="D2" s="411"/>
      <c r="E2" s="411"/>
      <c r="F2" s="411"/>
      <c r="G2" s="411"/>
      <c r="H2" s="50"/>
      <c r="I2" s="50"/>
      <c r="J2" s="50"/>
      <c r="K2" s="50"/>
      <c r="L2" s="50"/>
    </row>
    <row r="3" spans="1:14" x14ac:dyDescent="0.35">
      <c r="A3" s="43"/>
      <c r="B3" s="49"/>
      <c r="C3" s="49"/>
      <c r="D3" s="328">
        <v>2025</v>
      </c>
      <c r="E3" s="49"/>
      <c r="F3" s="49"/>
      <c r="G3" s="49"/>
      <c r="H3" s="50"/>
      <c r="I3" s="50"/>
      <c r="J3" s="50"/>
      <c r="K3" s="50"/>
    </row>
    <row r="4" spans="1:14" ht="16" x14ac:dyDescent="0.5">
      <c r="A4" s="50"/>
      <c r="B4" s="50"/>
      <c r="C4" s="50"/>
      <c r="D4" s="51" t="s">
        <v>28</v>
      </c>
      <c r="E4" s="51" t="s">
        <v>29</v>
      </c>
      <c r="F4" s="51" t="s">
        <v>30</v>
      </c>
      <c r="G4" s="51" t="s">
        <v>31</v>
      </c>
      <c r="H4" s="50"/>
      <c r="I4" s="64" t="s">
        <v>36</v>
      </c>
      <c r="J4" s="50"/>
      <c r="K4" s="50"/>
      <c r="N4" s="238" t="s">
        <v>173</v>
      </c>
    </row>
    <row r="5" spans="1:14" x14ac:dyDescent="0.35">
      <c r="A5" s="52" t="s">
        <v>13</v>
      </c>
      <c r="B5" s="50"/>
      <c r="C5" s="50"/>
      <c r="D5" s="146"/>
      <c r="E5" s="205"/>
      <c r="F5" s="50"/>
      <c r="G5" s="50"/>
      <c r="H5" s="50"/>
      <c r="J5" s="50"/>
      <c r="K5" s="50"/>
    </row>
    <row r="6" spans="1:14" x14ac:dyDescent="0.35">
      <c r="A6" s="50"/>
      <c r="B6" s="50" t="s">
        <v>209</v>
      </c>
      <c r="C6" s="50"/>
      <c r="D6" s="146">
        <v>4089388</v>
      </c>
      <c r="E6" s="146"/>
      <c r="F6" s="53"/>
      <c r="G6" s="50"/>
      <c r="H6" s="54"/>
      <c r="I6" s="146"/>
      <c r="J6" s="50"/>
      <c r="K6" s="50"/>
    </row>
    <row r="7" spans="1:14" x14ac:dyDescent="0.35">
      <c r="A7" s="50"/>
      <c r="B7" s="50" t="s">
        <v>210</v>
      </c>
      <c r="C7" s="50"/>
      <c r="D7" s="146">
        <v>1091860</v>
      </c>
      <c r="E7" s="146"/>
      <c r="F7" s="53"/>
      <c r="G7" s="50"/>
      <c r="H7" s="54"/>
      <c r="I7" s="146"/>
    </row>
    <row r="8" spans="1:14" x14ac:dyDescent="0.35">
      <c r="A8" s="50"/>
      <c r="B8" s="50"/>
      <c r="C8" s="50"/>
      <c r="D8" s="146"/>
      <c r="E8" s="146">
        <f>ExBA!H11</f>
        <v>-189682.29607999884</v>
      </c>
      <c r="F8" s="53" t="s">
        <v>191</v>
      </c>
      <c r="G8" s="50">
        <f>D6+D7+E6+E7+E8</f>
        <v>4991565.7039200012</v>
      </c>
      <c r="H8" s="54"/>
      <c r="I8" s="146" t="s">
        <v>343</v>
      </c>
      <c r="J8" s="50"/>
      <c r="K8" s="50"/>
      <c r="N8" s="237" t="s">
        <v>230</v>
      </c>
    </row>
    <row r="9" spans="1:14" x14ac:dyDescent="0.35">
      <c r="A9" s="50"/>
      <c r="B9" s="50" t="s">
        <v>47</v>
      </c>
      <c r="C9" s="50"/>
      <c r="D9" s="146">
        <v>0</v>
      </c>
      <c r="E9" s="146"/>
      <c r="F9" s="53"/>
      <c r="G9" s="50">
        <f>D9+E9</f>
        <v>0</v>
      </c>
      <c r="H9" s="55"/>
      <c r="I9" s="48"/>
      <c r="J9" s="50"/>
      <c r="K9" s="50"/>
    </row>
    <row r="10" spans="1:14" x14ac:dyDescent="0.35">
      <c r="A10" s="50"/>
      <c r="B10" s="50" t="s">
        <v>14</v>
      </c>
      <c r="C10" s="50"/>
      <c r="D10" s="146">
        <v>0</v>
      </c>
      <c r="E10" s="146"/>
      <c r="F10" s="53"/>
      <c r="G10" s="50">
        <f>D10+E10</f>
        <v>0</v>
      </c>
      <c r="H10" s="54"/>
      <c r="I10" s="50"/>
      <c r="J10" s="50"/>
    </row>
    <row r="11" spans="1:14" x14ac:dyDescent="0.35">
      <c r="A11" s="50"/>
      <c r="B11" s="50" t="s">
        <v>15</v>
      </c>
      <c r="C11" s="50"/>
      <c r="D11" s="146"/>
      <c r="E11" s="146"/>
      <c r="F11" s="53"/>
      <c r="G11" s="50"/>
      <c r="H11" s="56"/>
      <c r="I11" s="50"/>
      <c r="J11" s="50"/>
      <c r="K11" s="50"/>
    </row>
    <row r="12" spans="1:14" x14ac:dyDescent="0.35">
      <c r="A12" s="50"/>
      <c r="B12" s="50"/>
      <c r="C12" s="50" t="s">
        <v>37</v>
      </c>
      <c r="D12" s="146">
        <v>0</v>
      </c>
      <c r="E12" s="146"/>
      <c r="F12" s="53"/>
      <c r="G12" s="50"/>
      <c r="H12" s="54"/>
      <c r="I12" s="146"/>
      <c r="J12" s="50"/>
      <c r="K12" s="50"/>
      <c r="N12" s="301"/>
    </row>
    <row r="13" spans="1:14" x14ac:dyDescent="0.35">
      <c r="A13" s="50"/>
      <c r="B13" s="50"/>
      <c r="C13" s="50"/>
      <c r="D13" s="146"/>
      <c r="E13" s="146"/>
      <c r="F13" s="53"/>
      <c r="G13" s="50">
        <f>D12+E12+E13</f>
        <v>0</v>
      </c>
      <c r="H13" s="54"/>
      <c r="I13" s="146"/>
      <c r="J13" s="50"/>
      <c r="K13" s="50"/>
      <c r="N13" s="301"/>
    </row>
    <row r="14" spans="1:14" x14ac:dyDescent="0.35">
      <c r="A14" s="50"/>
      <c r="C14" s="50" t="s">
        <v>16</v>
      </c>
      <c r="D14" s="146">
        <v>406372</v>
      </c>
      <c r="E14" s="146"/>
      <c r="F14" s="53"/>
      <c r="G14" s="50">
        <f>D14+E14</f>
        <v>406372</v>
      </c>
      <c r="H14" s="54"/>
      <c r="I14" s="146"/>
      <c r="J14" s="50"/>
      <c r="K14" s="50"/>
      <c r="N14" s="301"/>
    </row>
    <row r="15" spans="1:14" ht="16" x14ac:dyDescent="0.35">
      <c r="A15" s="50"/>
      <c r="C15" s="50" t="s">
        <v>48</v>
      </c>
      <c r="D15" s="72">
        <v>0</v>
      </c>
      <c r="E15" s="50">
        <v>0</v>
      </c>
      <c r="F15" s="53"/>
      <c r="G15" s="72">
        <f>D15+E15</f>
        <v>0</v>
      </c>
      <c r="H15" s="55"/>
      <c r="I15" s="50"/>
      <c r="J15" s="50"/>
      <c r="K15" s="50"/>
    </row>
    <row r="16" spans="1:14" x14ac:dyDescent="0.35">
      <c r="A16" s="57" t="s">
        <v>17</v>
      </c>
      <c r="B16" s="50"/>
      <c r="C16" s="50"/>
      <c r="D16" s="50">
        <f>SUM(D6:D15)</f>
        <v>5587620</v>
      </c>
      <c r="E16" s="50"/>
      <c r="F16" s="53"/>
      <c r="G16" s="50">
        <f>SUM(G6:G15)</f>
        <v>5397937.7039200012</v>
      </c>
      <c r="H16" s="56"/>
      <c r="J16" s="50"/>
      <c r="K16" s="50"/>
    </row>
    <row r="17" spans="1:14" x14ac:dyDescent="0.35">
      <c r="A17" s="50"/>
      <c r="B17" s="50"/>
      <c r="C17" s="50"/>
      <c r="D17" s="50"/>
      <c r="E17" s="50"/>
      <c r="F17" s="53"/>
      <c r="G17" s="50"/>
      <c r="H17" s="56"/>
      <c r="I17" s="50"/>
      <c r="J17" s="50"/>
      <c r="K17" s="50"/>
    </row>
    <row r="18" spans="1:14" x14ac:dyDescent="0.35">
      <c r="A18" s="52" t="s">
        <v>18</v>
      </c>
      <c r="B18" s="50"/>
      <c r="C18" s="50"/>
      <c r="D18" s="50"/>
      <c r="E18" s="50"/>
      <c r="F18" s="53"/>
      <c r="G18" s="50"/>
      <c r="H18" s="56"/>
      <c r="I18" s="50"/>
      <c r="J18" s="50"/>
      <c r="K18" s="50"/>
    </row>
    <row r="19" spans="1:14" x14ac:dyDescent="0.35">
      <c r="A19" s="50"/>
      <c r="B19" s="50" t="s">
        <v>32</v>
      </c>
      <c r="C19" s="50"/>
      <c r="D19" s="146"/>
      <c r="E19" s="50"/>
      <c r="F19" s="53"/>
      <c r="G19" s="50"/>
      <c r="H19" s="56"/>
      <c r="I19" s="50"/>
      <c r="J19" s="50"/>
      <c r="K19" s="50"/>
    </row>
    <row r="20" spans="1:14" x14ac:dyDescent="0.35">
      <c r="A20" s="50"/>
      <c r="B20" s="50"/>
      <c r="C20" s="50" t="s">
        <v>2</v>
      </c>
      <c r="D20" s="146">
        <v>696411</v>
      </c>
      <c r="E20" s="146">
        <f>Wages!J30</f>
        <v>11938.859999999986</v>
      </c>
      <c r="F20" s="58" t="s">
        <v>192</v>
      </c>
      <c r="G20" s="50"/>
      <c r="H20" s="54"/>
      <c r="I20" s="146" t="s">
        <v>228</v>
      </c>
      <c r="N20" s="253" t="s">
        <v>229</v>
      </c>
    </row>
    <row r="21" spans="1:14" x14ac:dyDescent="0.35">
      <c r="A21" s="50"/>
      <c r="B21" s="50"/>
      <c r="C21" s="50"/>
      <c r="D21" s="146"/>
      <c r="E21" s="146"/>
      <c r="F21" s="58"/>
      <c r="G21" s="50"/>
      <c r="H21" s="54"/>
      <c r="I21" s="205"/>
      <c r="N21" s="253"/>
    </row>
    <row r="22" spans="1:14" x14ac:dyDescent="0.35">
      <c r="A22" s="50"/>
      <c r="B22" s="50"/>
      <c r="C22" s="50"/>
      <c r="D22" s="146"/>
      <c r="E22" s="146"/>
      <c r="F22" s="58"/>
      <c r="G22" s="50">
        <f>D20+E20+E21+E22</f>
        <v>708349.86</v>
      </c>
      <c r="H22" s="54"/>
      <c r="I22" s="50"/>
      <c r="J22" s="50"/>
      <c r="K22" s="50"/>
    </row>
    <row r="23" spans="1:14" x14ac:dyDescent="0.35">
      <c r="A23" s="50"/>
      <c r="B23" s="50"/>
      <c r="C23" s="50" t="s">
        <v>3</v>
      </c>
      <c r="D23" s="146">
        <v>36500</v>
      </c>
      <c r="E23" s="146">
        <v>-500</v>
      </c>
      <c r="F23" s="53" t="s">
        <v>370</v>
      </c>
      <c r="G23" s="50">
        <f t="shared" ref="G23:G40" si="0">D23+E23</f>
        <v>36000</v>
      </c>
      <c r="H23" s="54"/>
      <c r="I23" s="7" t="s">
        <v>351</v>
      </c>
    </row>
    <row r="24" spans="1:14" x14ac:dyDescent="0.35">
      <c r="A24" s="50"/>
      <c r="B24" s="50"/>
      <c r="C24" s="146" t="s">
        <v>4</v>
      </c>
      <c r="D24" s="146">
        <v>161728</v>
      </c>
      <c r="E24" s="146">
        <f>Wages!J42</f>
        <v>-4459.6556999999993</v>
      </c>
      <c r="F24" s="58" t="s">
        <v>193</v>
      </c>
      <c r="G24" s="50"/>
      <c r="H24" s="54"/>
      <c r="I24" s="146" t="s">
        <v>355</v>
      </c>
      <c r="J24" s="50"/>
      <c r="K24" s="50"/>
      <c r="N24" s="237" t="s">
        <v>356</v>
      </c>
    </row>
    <row r="25" spans="1:14" x14ac:dyDescent="0.35">
      <c r="A25" s="50"/>
      <c r="B25" s="50"/>
      <c r="C25" s="146"/>
      <c r="D25" s="146"/>
      <c r="E25" s="146">
        <f>Medical!E52</f>
        <v>25862.569999999978</v>
      </c>
      <c r="F25" s="58" t="s">
        <v>194</v>
      </c>
      <c r="G25" s="50">
        <f>D24+E24+E25</f>
        <v>183130.91429999997</v>
      </c>
      <c r="H25" s="54"/>
      <c r="I25" s="146" t="s">
        <v>354</v>
      </c>
      <c r="J25" s="50"/>
      <c r="K25" s="50"/>
      <c r="N25" s="237" t="s">
        <v>179</v>
      </c>
    </row>
    <row r="26" spans="1:14" x14ac:dyDescent="0.35">
      <c r="A26" s="50"/>
      <c r="B26" s="50"/>
      <c r="C26" s="50" t="s">
        <v>5</v>
      </c>
      <c r="D26" s="146">
        <v>1741470</v>
      </c>
      <c r="E26" s="146">
        <f>'Water Loss'!D31</f>
        <v>-107829.83350471732</v>
      </c>
      <c r="F26" s="58" t="s">
        <v>195</v>
      </c>
      <c r="G26" s="50">
        <f>D26+E26</f>
        <v>1633640.1664952827</v>
      </c>
      <c r="H26" s="59"/>
      <c r="I26" s="205" t="s">
        <v>204</v>
      </c>
      <c r="N26" s="237" t="s">
        <v>205</v>
      </c>
    </row>
    <row r="27" spans="1:14" x14ac:dyDescent="0.35">
      <c r="A27" s="50"/>
      <c r="B27" s="50"/>
      <c r="C27" s="50" t="s">
        <v>6</v>
      </c>
      <c r="D27" s="146">
        <v>107780</v>
      </c>
      <c r="E27" s="146">
        <f>'Water Loss'!D32</f>
        <v>-6673.6145067893403</v>
      </c>
      <c r="F27" s="58" t="s">
        <v>195</v>
      </c>
      <c r="G27" s="50">
        <f t="shared" si="0"/>
        <v>101106.38549321066</v>
      </c>
      <c r="H27" s="60"/>
      <c r="I27" s="205" t="s">
        <v>204</v>
      </c>
      <c r="J27" s="50"/>
      <c r="K27" s="50"/>
      <c r="N27" s="237" t="s">
        <v>206</v>
      </c>
    </row>
    <row r="28" spans="1:14" x14ac:dyDescent="0.35">
      <c r="A28" s="50"/>
      <c r="B28" s="50"/>
      <c r="C28" s="50" t="s">
        <v>64</v>
      </c>
      <c r="D28" s="146">
        <v>0</v>
      </c>
      <c r="E28" s="146"/>
      <c r="F28" s="58"/>
      <c r="G28" s="50">
        <f t="shared" si="0"/>
        <v>0</v>
      </c>
      <c r="H28" s="60"/>
      <c r="J28" s="50"/>
      <c r="K28" s="50"/>
    </row>
    <row r="29" spans="1:14" x14ac:dyDescent="0.35">
      <c r="A29" s="50"/>
      <c r="B29" s="50"/>
      <c r="C29" s="146" t="s">
        <v>7</v>
      </c>
      <c r="D29" s="146">
        <v>73032</v>
      </c>
      <c r="E29" s="146"/>
      <c r="F29" s="58"/>
      <c r="G29" s="50">
        <f t="shared" si="0"/>
        <v>73032</v>
      </c>
      <c r="H29" s="54"/>
      <c r="I29" s="146"/>
      <c r="J29" s="50"/>
      <c r="K29" s="50"/>
    </row>
    <row r="30" spans="1:14" x14ac:dyDescent="0.35">
      <c r="A30" s="50"/>
      <c r="B30" s="50"/>
      <c r="C30" s="50" t="s">
        <v>148</v>
      </c>
      <c r="D30" s="146">
        <v>52450</v>
      </c>
      <c r="E30" s="146"/>
      <c r="F30" s="58"/>
      <c r="G30" s="50">
        <f t="shared" si="0"/>
        <v>52450</v>
      </c>
      <c r="H30" s="54"/>
      <c r="I30" s="50"/>
      <c r="J30" s="50"/>
      <c r="K30" s="50"/>
    </row>
    <row r="31" spans="1:14" x14ac:dyDescent="0.35">
      <c r="A31" s="50"/>
      <c r="B31" s="50"/>
      <c r="C31" s="146" t="s">
        <v>211</v>
      </c>
      <c r="D31" s="146">
        <v>59461</v>
      </c>
      <c r="E31" s="146"/>
      <c r="F31" s="58"/>
      <c r="G31" s="50">
        <f t="shared" si="0"/>
        <v>59461</v>
      </c>
      <c r="H31" s="54"/>
      <c r="I31" s="50"/>
      <c r="J31" s="50"/>
      <c r="K31" s="50"/>
    </row>
    <row r="32" spans="1:14" x14ac:dyDescent="0.35">
      <c r="A32" s="50"/>
      <c r="B32" s="50"/>
      <c r="C32" s="146" t="s">
        <v>212</v>
      </c>
      <c r="D32" s="146">
        <v>17153</v>
      </c>
      <c r="E32" s="146"/>
      <c r="F32" s="58"/>
      <c r="G32" s="50">
        <f t="shared" si="0"/>
        <v>17153</v>
      </c>
      <c r="H32" s="54"/>
      <c r="I32" s="50"/>
      <c r="J32" s="50"/>
      <c r="K32" s="50"/>
    </row>
    <row r="33" spans="1:14" x14ac:dyDescent="0.35">
      <c r="A33" s="50"/>
      <c r="B33" s="50"/>
      <c r="C33" s="50" t="s">
        <v>49</v>
      </c>
      <c r="D33" s="146"/>
      <c r="E33" s="146"/>
      <c r="F33" s="58"/>
      <c r="G33" s="50">
        <f t="shared" si="0"/>
        <v>0</v>
      </c>
      <c r="H33" s="54"/>
      <c r="I33" s="50"/>
      <c r="J33" s="50"/>
      <c r="K33" s="50"/>
    </row>
    <row r="34" spans="1:14" x14ac:dyDescent="0.35">
      <c r="A34" s="50"/>
      <c r="B34" s="50"/>
      <c r="C34" s="50" t="s">
        <v>9</v>
      </c>
      <c r="D34" s="146">
        <v>73983</v>
      </c>
      <c r="E34" s="146"/>
      <c r="F34" s="58"/>
      <c r="G34" s="50">
        <f t="shared" si="0"/>
        <v>73983</v>
      </c>
      <c r="H34" s="56"/>
      <c r="I34" s="50"/>
      <c r="J34" s="50"/>
      <c r="K34" s="50"/>
    </row>
    <row r="35" spans="1:14" x14ac:dyDescent="0.35">
      <c r="A35" s="50"/>
      <c r="B35" s="50"/>
      <c r="C35" s="146" t="s">
        <v>213</v>
      </c>
      <c r="D35" s="146"/>
      <c r="E35" s="146"/>
      <c r="F35" s="58"/>
      <c r="G35" s="50">
        <f t="shared" si="0"/>
        <v>0</v>
      </c>
      <c r="H35" s="56"/>
      <c r="I35" s="50"/>
      <c r="J35" s="50"/>
      <c r="K35" s="50"/>
    </row>
    <row r="36" spans="1:14" x14ac:dyDescent="0.35">
      <c r="A36" s="50"/>
      <c r="B36" s="50"/>
      <c r="C36" s="50" t="s">
        <v>50</v>
      </c>
      <c r="D36" s="146">
        <v>88827</v>
      </c>
      <c r="E36" s="146"/>
      <c r="F36" s="58"/>
      <c r="G36" s="50">
        <f t="shared" si="0"/>
        <v>88827</v>
      </c>
      <c r="H36" s="56"/>
      <c r="I36" s="50"/>
      <c r="J36" s="50"/>
      <c r="K36" s="50"/>
    </row>
    <row r="37" spans="1:14" x14ac:dyDescent="0.35">
      <c r="A37" s="50"/>
      <c r="B37" s="50"/>
      <c r="C37" s="50" t="s">
        <v>214</v>
      </c>
      <c r="D37" s="146">
        <v>1487</v>
      </c>
      <c r="E37" s="146"/>
      <c r="F37" s="53"/>
      <c r="G37" s="50">
        <f t="shared" si="0"/>
        <v>1487</v>
      </c>
      <c r="H37" s="56"/>
      <c r="I37" s="50"/>
      <c r="J37" s="50"/>
      <c r="K37" s="50"/>
    </row>
    <row r="38" spans="1:14" x14ac:dyDescent="0.35">
      <c r="A38" s="50"/>
      <c r="B38" s="50"/>
      <c r="C38" s="50" t="s">
        <v>259</v>
      </c>
      <c r="D38" s="146">
        <v>7633</v>
      </c>
      <c r="E38" s="146"/>
      <c r="F38" s="53"/>
      <c r="G38" s="50">
        <f t="shared" si="0"/>
        <v>7633</v>
      </c>
      <c r="H38" s="56"/>
      <c r="I38" s="50"/>
      <c r="J38" s="50"/>
      <c r="K38" s="50"/>
    </row>
    <row r="39" spans="1:14" x14ac:dyDescent="0.35">
      <c r="A39" s="50"/>
      <c r="B39" s="50"/>
      <c r="C39" s="50" t="s">
        <v>258</v>
      </c>
      <c r="D39" s="146">
        <v>3359</v>
      </c>
      <c r="E39" s="146"/>
      <c r="F39" s="53"/>
      <c r="G39" s="50">
        <f t="shared" si="0"/>
        <v>3359</v>
      </c>
      <c r="H39" s="56"/>
      <c r="I39" s="50"/>
      <c r="J39" s="50"/>
      <c r="K39" s="50"/>
    </row>
    <row r="40" spans="1:14" ht="16" x14ac:dyDescent="0.35">
      <c r="A40" s="50"/>
      <c r="B40" s="50"/>
      <c r="C40" s="146" t="s">
        <v>8</v>
      </c>
      <c r="D40" s="262">
        <v>675268</v>
      </c>
      <c r="E40" s="251"/>
      <c r="F40" s="58"/>
      <c r="G40" s="72">
        <f t="shared" si="0"/>
        <v>675268</v>
      </c>
      <c r="H40" s="56"/>
      <c r="I40" s="50"/>
      <c r="J40" s="50"/>
      <c r="K40" s="50"/>
    </row>
    <row r="41" spans="1:14" x14ac:dyDescent="0.35">
      <c r="A41" s="50"/>
      <c r="B41" s="50" t="s">
        <v>33</v>
      </c>
      <c r="C41" s="50"/>
      <c r="D41" s="146">
        <f>SUM(D20:D40)</f>
        <v>3796542</v>
      </c>
      <c r="E41" s="146">
        <f>SUM(E20:E40)</f>
        <v>-81661.673711506694</v>
      </c>
      <c r="F41" s="53"/>
      <c r="G41" s="50">
        <f>SUM(G20:G40)</f>
        <v>3714880.3262884934</v>
      </c>
      <c r="H41" s="56"/>
      <c r="I41" s="50"/>
      <c r="J41" s="50"/>
      <c r="K41" s="50"/>
    </row>
    <row r="42" spans="1:14" x14ac:dyDescent="0.35">
      <c r="A42" s="50"/>
      <c r="B42" s="50"/>
      <c r="C42" s="50"/>
      <c r="D42" s="146"/>
      <c r="E42" s="146"/>
      <c r="F42" s="53"/>
      <c r="G42" s="50"/>
      <c r="H42" s="56"/>
      <c r="I42" s="50"/>
      <c r="J42" s="50"/>
      <c r="K42" s="50"/>
    </row>
    <row r="43" spans="1:14" x14ac:dyDescent="0.35">
      <c r="A43" s="50"/>
      <c r="B43" s="50" t="s">
        <v>19</v>
      </c>
      <c r="C43" s="50"/>
      <c r="D43" s="146">
        <v>1393391</v>
      </c>
      <c r="E43" s="146"/>
      <c r="F43" s="53"/>
      <c r="G43" s="50"/>
      <c r="H43" s="56"/>
      <c r="I43" s="146"/>
      <c r="J43" s="50"/>
    </row>
    <row r="44" spans="1:14" x14ac:dyDescent="0.35">
      <c r="A44" s="50"/>
      <c r="B44" s="50"/>
      <c r="C44" s="50"/>
      <c r="D44" s="146"/>
      <c r="E44" s="146">
        <f>Depreciation!K47</f>
        <v>-240809.46939682518</v>
      </c>
      <c r="F44" s="53" t="s">
        <v>196</v>
      </c>
      <c r="G44" s="50">
        <f>D43+E43+E44</f>
        <v>1152581.5306031748</v>
      </c>
      <c r="H44" s="56"/>
      <c r="I44" s="369" t="s">
        <v>341</v>
      </c>
      <c r="J44" s="50"/>
      <c r="N44" s="237" t="s">
        <v>342</v>
      </c>
    </row>
    <row r="45" spans="1:14" x14ac:dyDescent="0.35">
      <c r="A45" s="50"/>
      <c r="B45" s="50" t="s">
        <v>227</v>
      </c>
      <c r="C45" s="50"/>
      <c r="D45" s="146">
        <v>2724</v>
      </c>
      <c r="E45" s="146">
        <v>3112</v>
      </c>
      <c r="F45" s="53" t="s">
        <v>197</v>
      </c>
      <c r="G45" s="50">
        <f>D45+E45</f>
        <v>5836</v>
      </c>
      <c r="H45" s="56"/>
      <c r="I45" s="146" t="s">
        <v>242</v>
      </c>
      <c r="J45" s="50"/>
    </row>
    <row r="46" spans="1:14" x14ac:dyDescent="0.35">
      <c r="A46" s="50"/>
      <c r="B46" s="146" t="s">
        <v>1</v>
      </c>
      <c r="C46" s="146"/>
      <c r="D46" s="251">
        <v>67761</v>
      </c>
      <c r="E46" s="251">
        <f>Wages!J38</f>
        <v>-10818</v>
      </c>
      <c r="F46" s="73" t="s">
        <v>198</v>
      </c>
      <c r="G46" s="71"/>
      <c r="H46" s="56"/>
      <c r="I46" s="146" t="s">
        <v>359</v>
      </c>
      <c r="J46" s="50"/>
      <c r="N46" s="253" t="s">
        <v>239</v>
      </c>
    </row>
    <row r="47" spans="1:14" x14ac:dyDescent="0.35">
      <c r="A47" s="50"/>
      <c r="B47" s="146"/>
      <c r="C47" s="146"/>
      <c r="D47" s="251"/>
      <c r="E47" s="251"/>
      <c r="F47" s="73"/>
      <c r="G47" s="71">
        <f>D46+E46+E47</f>
        <v>56943</v>
      </c>
      <c r="H47" s="56"/>
      <c r="I47" s="205"/>
      <c r="J47" s="146"/>
      <c r="K47" s="205"/>
      <c r="L47" s="205"/>
      <c r="M47" s="205"/>
    </row>
    <row r="48" spans="1:14" ht="16" x14ac:dyDescent="0.35">
      <c r="A48" s="57" t="s">
        <v>0</v>
      </c>
      <c r="B48" s="50"/>
      <c r="C48" s="50"/>
      <c r="D48" s="262">
        <f>SUM(D41:D47)</f>
        <v>5260418</v>
      </c>
      <c r="E48" s="251"/>
      <c r="F48" s="73"/>
      <c r="G48" s="72">
        <f>SUM(G41:G47)</f>
        <v>4930240.8568916684</v>
      </c>
      <c r="H48" s="56"/>
      <c r="I48" s="50"/>
      <c r="J48" s="50"/>
      <c r="K48" s="50"/>
    </row>
    <row r="49" spans="1:12" ht="4" customHeight="1" x14ac:dyDescent="0.35">
      <c r="A49" s="57"/>
      <c r="B49" s="50"/>
      <c r="C49" s="50"/>
      <c r="D49" s="74"/>
      <c r="E49" s="50"/>
      <c r="F49" s="53"/>
      <c r="G49" s="50"/>
      <c r="H49" s="50"/>
      <c r="I49" s="50"/>
      <c r="J49" s="50"/>
      <c r="K49" s="50"/>
    </row>
    <row r="50" spans="1:12" x14ac:dyDescent="0.35">
      <c r="A50" s="57" t="s">
        <v>34</v>
      </c>
      <c r="B50" s="50"/>
      <c r="C50" s="50"/>
      <c r="D50" s="50">
        <f>D16-D48</f>
        <v>327202</v>
      </c>
      <c r="E50" s="50"/>
      <c r="F50" s="53"/>
      <c r="G50" s="146">
        <f>G16-G48</f>
        <v>467696.84702833276</v>
      </c>
      <c r="H50" s="50"/>
      <c r="I50" s="50"/>
      <c r="K50" s="50"/>
    </row>
    <row r="51" spans="1:12" x14ac:dyDescent="0.35">
      <c r="A51" s="50"/>
      <c r="B51" s="50"/>
      <c r="C51" s="50"/>
      <c r="D51" s="50"/>
      <c r="E51" s="50"/>
      <c r="F51" s="53"/>
      <c r="G51" s="50"/>
      <c r="H51" s="50"/>
      <c r="I51" s="50"/>
      <c r="J51" s="50"/>
      <c r="K51" s="50"/>
    </row>
    <row r="52" spans="1:12" ht="16" x14ac:dyDescent="0.35">
      <c r="H52" s="50"/>
      <c r="I52" s="61"/>
      <c r="J52" s="62"/>
      <c r="K52" s="50"/>
    </row>
    <row r="53" spans="1:12" ht="18.5" x14ac:dyDescent="0.45">
      <c r="A53" s="412" t="s">
        <v>185</v>
      </c>
      <c r="B53" s="412"/>
      <c r="C53" s="412"/>
      <c r="D53" s="412"/>
      <c r="E53" s="412"/>
      <c r="F53" s="412"/>
      <c r="G53" s="412"/>
      <c r="H53" s="50"/>
      <c r="J53" s="50"/>
      <c r="K53" s="50"/>
    </row>
    <row r="54" spans="1:12" x14ac:dyDescent="0.35">
      <c r="A54" s="57" t="s">
        <v>35</v>
      </c>
      <c r="B54" s="50"/>
      <c r="C54" s="50"/>
      <c r="D54" s="63"/>
      <c r="E54" s="50"/>
      <c r="F54" s="58"/>
      <c r="G54" s="7">
        <f>'Revenue Requirement'!G16</f>
        <v>4930240.8568916684</v>
      </c>
      <c r="H54" s="50"/>
      <c r="J54" s="50"/>
      <c r="K54" s="50"/>
    </row>
    <row r="55" spans="1:12" x14ac:dyDescent="0.35">
      <c r="A55" s="50" t="s">
        <v>186</v>
      </c>
      <c r="B55" s="50"/>
      <c r="C55" s="50"/>
      <c r="D55" s="63"/>
      <c r="E55" s="50"/>
      <c r="F55" s="58" t="s">
        <v>203</v>
      </c>
      <c r="G55" s="37">
        <f>'Revenue Requirement'!G17</f>
        <v>0.88</v>
      </c>
      <c r="H55" s="50"/>
      <c r="J55" s="50"/>
      <c r="K55" s="50"/>
    </row>
    <row r="56" spans="1:12" x14ac:dyDescent="0.35">
      <c r="A56" s="57" t="s">
        <v>187</v>
      </c>
      <c r="B56" s="50"/>
      <c r="C56" s="50"/>
      <c r="D56" s="63"/>
      <c r="E56" s="50"/>
      <c r="F56" s="58"/>
      <c r="G56" s="7">
        <f>'Revenue Requirement'!G18</f>
        <v>5602546.4282859871</v>
      </c>
      <c r="H56" s="50"/>
      <c r="J56" s="50"/>
      <c r="K56" s="50"/>
    </row>
    <row r="57" spans="1:12" x14ac:dyDescent="0.35">
      <c r="A57" s="7" t="s">
        <v>20</v>
      </c>
      <c r="C57" s="7" t="s">
        <v>188</v>
      </c>
      <c r="F57" s="58" t="s">
        <v>371</v>
      </c>
      <c r="G57" s="5">
        <f>'Revenue Requirement'!G19</f>
        <v>289536.78980000003</v>
      </c>
      <c r="H57" s="50"/>
      <c r="J57" s="50"/>
      <c r="K57" s="50"/>
    </row>
    <row r="58" spans="1:12" x14ac:dyDescent="0.35">
      <c r="A58" s="254" t="s">
        <v>53</v>
      </c>
      <c r="G58" s="7">
        <f>'Revenue Requirement'!G20</f>
        <v>5892083.2180859875</v>
      </c>
      <c r="H58" s="50"/>
      <c r="J58" s="50"/>
      <c r="K58" s="50"/>
    </row>
    <row r="59" spans="1:12" x14ac:dyDescent="0.35">
      <c r="A59" s="7" t="s">
        <v>21</v>
      </c>
      <c r="C59" s="50" t="s">
        <v>37</v>
      </c>
      <c r="G59" s="7">
        <f>'Revenue Requirement'!G21</f>
        <v>0</v>
      </c>
      <c r="H59" s="50"/>
      <c r="J59" s="50"/>
      <c r="K59" s="50"/>
    </row>
    <row r="60" spans="1:12" x14ac:dyDescent="0.35">
      <c r="C60" s="50" t="s">
        <v>208</v>
      </c>
      <c r="G60" s="7">
        <f>'Revenue Requirement'!G22</f>
        <v>406372</v>
      </c>
      <c r="H60" s="50"/>
      <c r="I60" s="30"/>
      <c r="J60" s="50"/>
      <c r="K60" s="50"/>
    </row>
    <row r="61" spans="1:12" x14ac:dyDescent="0.35">
      <c r="C61" s="272" t="s">
        <v>223</v>
      </c>
      <c r="G61" s="6">
        <v>99725</v>
      </c>
      <c r="H61" s="50"/>
      <c r="I61" s="30" t="s">
        <v>262</v>
      </c>
      <c r="J61" s="50"/>
      <c r="K61" s="50"/>
    </row>
    <row r="62" spans="1:12" x14ac:dyDescent="0.35">
      <c r="C62" s="7" t="s">
        <v>261</v>
      </c>
      <c r="F62" s="58" t="s">
        <v>380</v>
      </c>
      <c r="G62" s="5">
        <v>0</v>
      </c>
      <c r="H62" s="50"/>
      <c r="I62" s="30" t="s">
        <v>262</v>
      </c>
      <c r="J62" s="388" t="s">
        <v>352</v>
      </c>
      <c r="K62" s="388"/>
      <c r="L62" s="389"/>
    </row>
    <row r="63" spans="1:12" x14ac:dyDescent="0.35">
      <c r="A63" s="254" t="s">
        <v>51</v>
      </c>
      <c r="G63" s="7">
        <f>'Revenue Requirement'!G25</f>
        <v>5485711.2180859875</v>
      </c>
      <c r="H63" s="50"/>
      <c r="I63" s="30"/>
      <c r="J63" s="50"/>
      <c r="K63" s="241"/>
    </row>
    <row r="64" spans="1:12" x14ac:dyDescent="0.35">
      <c r="A64" s="7" t="s">
        <v>21</v>
      </c>
      <c r="C64" s="7" t="s">
        <v>52</v>
      </c>
      <c r="G64" s="5">
        <f>G8</f>
        <v>4991565.7039200012</v>
      </c>
      <c r="H64" s="50"/>
      <c r="I64" s="50"/>
      <c r="J64" s="50"/>
      <c r="K64" s="50"/>
    </row>
    <row r="65" spans="1:11" ht="17" customHeight="1" x14ac:dyDescent="0.35">
      <c r="A65" s="254" t="s">
        <v>54</v>
      </c>
      <c r="G65" s="7">
        <f>'Revenue Requirement'!G27</f>
        <v>494145.51416598633</v>
      </c>
      <c r="H65" s="50"/>
      <c r="I65" s="50"/>
      <c r="J65" s="50"/>
      <c r="K65" s="50"/>
    </row>
    <row r="66" spans="1:11" x14ac:dyDescent="0.35">
      <c r="A66" s="254" t="s">
        <v>55</v>
      </c>
      <c r="G66" s="309">
        <f>'Revenue Requirement'!G28</f>
        <v>9.8996095308917106E-2</v>
      </c>
      <c r="H66" s="50"/>
      <c r="I66" s="50"/>
      <c r="J66" s="50"/>
      <c r="K66" s="50"/>
    </row>
  </sheetData>
  <mergeCells count="3">
    <mergeCell ref="A1:G1"/>
    <mergeCell ref="A2:G2"/>
    <mergeCell ref="A53:G53"/>
  </mergeCells>
  <printOptions horizontalCentered="1"/>
  <pageMargins left="0.45" right="0.25" top="0.5" bottom="0.5" header="0.3" footer="0.3"/>
  <pageSetup orientation="portrait" horizontalDpi="4294967293" r:id="rId1"/>
  <rowBreaks count="2" manualBreakCount="2">
    <brk id="50" max="16383" man="1"/>
    <brk id="5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339E1-52CD-47F4-8F19-2B82D9035B84}">
  <sheetPr>
    <tabColor rgb="FF92D050"/>
    <pageSetUpPr fitToPage="1"/>
  </sheetPr>
  <dimension ref="A1:O29"/>
  <sheetViews>
    <sheetView workbookViewId="0">
      <selection activeCell="D13" sqref="D13"/>
    </sheetView>
  </sheetViews>
  <sheetFormatPr defaultRowHeight="15.5" x14ac:dyDescent="0.35"/>
  <cols>
    <col min="1" max="1" width="3.61328125" customWidth="1"/>
    <col min="2" max="2" width="2.61328125" customWidth="1"/>
    <col min="3" max="3" width="30.61328125" customWidth="1"/>
    <col min="8" max="8" width="2.61328125" customWidth="1"/>
  </cols>
  <sheetData>
    <row r="1" spans="1:15" ht="18.5" x14ac:dyDescent="0.5">
      <c r="A1" s="410" t="s">
        <v>189</v>
      </c>
      <c r="B1" s="410"/>
      <c r="C1" s="410"/>
      <c r="D1" s="410"/>
      <c r="E1" s="410"/>
      <c r="F1" s="410"/>
      <c r="G1" s="410"/>
      <c r="I1" s="64" t="s">
        <v>36</v>
      </c>
      <c r="J1" s="50"/>
      <c r="K1" s="50"/>
      <c r="L1" s="7"/>
      <c r="M1" s="7"/>
      <c r="N1" s="7"/>
      <c r="O1" s="238" t="s">
        <v>173</v>
      </c>
    </row>
    <row r="2" spans="1:15" x14ac:dyDescent="0.35">
      <c r="A2" s="57" t="s">
        <v>35</v>
      </c>
      <c r="B2" s="50"/>
      <c r="C2" s="50"/>
      <c r="D2" s="63"/>
      <c r="E2" s="50"/>
      <c r="F2" s="58"/>
      <c r="G2" s="205">
        <f>SAO!G48</f>
        <v>4930240.8568916684</v>
      </c>
    </row>
    <row r="3" spans="1:15" x14ac:dyDescent="0.35">
      <c r="A3" s="50" t="s">
        <v>20</v>
      </c>
      <c r="B3" s="50"/>
      <c r="C3" s="50" t="s">
        <v>81</v>
      </c>
      <c r="D3" s="63"/>
      <c r="E3" s="50"/>
      <c r="F3" s="58"/>
      <c r="G3" s="205">
        <f>'Debt Service'!M26</f>
        <v>758116.78180000011</v>
      </c>
      <c r="I3" s="250" t="s">
        <v>199</v>
      </c>
      <c r="J3" s="250"/>
      <c r="K3" s="250"/>
      <c r="L3" s="250"/>
      <c r="M3" s="250"/>
      <c r="N3" s="250"/>
      <c r="O3" s="250" t="s">
        <v>201</v>
      </c>
    </row>
    <row r="4" spans="1:15" ht="17" x14ac:dyDescent="0.5">
      <c r="A4" s="50"/>
      <c r="B4" s="50"/>
      <c r="C4" s="50" t="s">
        <v>82</v>
      </c>
      <c r="D4" s="63"/>
      <c r="E4" s="50"/>
      <c r="F4" s="58"/>
      <c r="G4" s="277">
        <f>'Debt Service'!M28</f>
        <v>151623.35636000003</v>
      </c>
      <c r="I4" s="250" t="s">
        <v>200</v>
      </c>
      <c r="J4" s="250"/>
      <c r="K4" s="250"/>
      <c r="L4" s="250"/>
      <c r="M4" s="250"/>
      <c r="N4" s="250"/>
      <c r="O4" s="250" t="s">
        <v>202</v>
      </c>
    </row>
    <row r="5" spans="1:15" x14ac:dyDescent="0.35">
      <c r="A5" s="57" t="s">
        <v>53</v>
      </c>
      <c r="B5" s="50"/>
      <c r="C5" s="50"/>
      <c r="D5" s="63"/>
      <c r="E5" s="50"/>
      <c r="F5" s="58"/>
      <c r="G5" s="205">
        <f>G2+G3+G4</f>
        <v>5839980.995051668</v>
      </c>
      <c r="I5" s="250"/>
      <c r="J5" s="250"/>
      <c r="K5" s="250"/>
      <c r="L5" s="250"/>
      <c r="M5" s="250"/>
      <c r="N5" s="250"/>
      <c r="O5" s="250"/>
    </row>
    <row r="6" spans="1:15" x14ac:dyDescent="0.35">
      <c r="A6" s="50" t="s">
        <v>21</v>
      </c>
      <c r="B6" s="50"/>
      <c r="C6" s="50" t="s">
        <v>37</v>
      </c>
      <c r="D6" s="63"/>
      <c r="E6" s="50"/>
      <c r="F6" s="58"/>
      <c r="G6" s="205">
        <f>SAO!G13</f>
        <v>0</v>
      </c>
      <c r="I6" s="250"/>
      <c r="J6" s="250"/>
      <c r="K6" s="250"/>
      <c r="L6" s="250"/>
      <c r="M6" s="250"/>
      <c r="N6" s="250"/>
      <c r="O6" s="250"/>
    </row>
    <row r="7" spans="1:15" x14ac:dyDescent="0.35">
      <c r="A7" s="50"/>
      <c r="B7" s="50"/>
      <c r="C7" s="50" t="s">
        <v>208</v>
      </c>
      <c r="D7" s="63"/>
      <c r="E7" s="50"/>
      <c r="F7" s="58"/>
      <c r="G7" s="278">
        <f>SAO!G14</f>
        <v>406372</v>
      </c>
      <c r="I7" s="250"/>
      <c r="J7" s="250"/>
      <c r="K7" s="250"/>
      <c r="L7" s="250"/>
      <c r="M7" s="250"/>
      <c r="N7" s="250"/>
      <c r="O7" s="250"/>
    </row>
    <row r="8" spans="1:15" x14ac:dyDescent="0.35">
      <c r="A8" s="50"/>
      <c r="B8" s="50"/>
      <c r="C8" s="272" t="s">
        <v>223</v>
      </c>
      <c r="D8" s="7"/>
      <c r="E8" s="7"/>
      <c r="F8" s="7"/>
      <c r="G8" s="6">
        <v>99725</v>
      </c>
      <c r="I8" s="30" t="s">
        <v>262</v>
      </c>
      <c r="J8" s="250"/>
      <c r="K8" s="250"/>
      <c r="L8" s="250"/>
      <c r="M8" s="250"/>
      <c r="N8" s="250"/>
      <c r="O8" s="250"/>
    </row>
    <row r="9" spans="1:15" ht="17" x14ac:dyDescent="0.5">
      <c r="A9" s="50"/>
      <c r="B9" s="50"/>
      <c r="C9" s="7" t="s">
        <v>261</v>
      </c>
      <c r="D9" s="7"/>
      <c r="E9" s="7"/>
      <c r="F9" s="7"/>
      <c r="G9" s="319">
        <v>0</v>
      </c>
      <c r="I9" s="30" t="s">
        <v>262</v>
      </c>
      <c r="J9" s="146" t="s">
        <v>352</v>
      </c>
      <c r="K9" s="50"/>
      <c r="L9" s="7"/>
      <c r="M9" s="250"/>
      <c r="N9" s="250"/>
      <c r="O9" s="273" t="s">
        <v>224</v>
      </c>
    </row>
    <row r="10" spans="1:15" x14ac:dyDescent="0.35">
      <c r="A10" s="57" t="s">
        <v>51</v>
      </c>
      <c r="B10" s="50"/>
      <c r="C10" s="50"/>
      <c r="D10" s="63"/>
      <c r="E10" s="50"/>
      <c r="F10" s="58"/>
      <c r="G10" s="205">
        <f>G5-G6-G7-G9</f>
        <v>5433608.995051668</v>
      </c>
      <c r="I10" s="250"/>
      <c r="J10" s="250"/>
      <c r="K10" s="250"/>
      <c r="L10" s="250"/>
      <c r="M10" s="250"/>
      <c r="N10" s="250"/>
      <c r="O10" s="250"/>
    </row>
    <row r="11" spans="1:15" ht="17" x14ac:dyDescent="0.5">
      <c r="A11" s="50" t="s">
        <v>21</v>
      </c>
      <c r="B11" s="50"/>
      <c r="C11" s="50" t="s">
        <v>52</v>
      </c>
      <c r="D11" s="63"/>
      <c r="E11" s="50"/>
      <c r="F11" s="58"/>
      <c r="G11" s="279">
        <f>ExBA!H7</f>
        <v>4991565.7039200012</v>
      </c>
      <c r="I11" s="250"/>
      <c r="J11" s="250"/>
      <c r="K11" s="250"/>
      <c r="L11" s="250"/>
      <c r="M11" s="250"/>
      <c r="N11" s="250"/>
      <c r="O11" s="250"/>
    </row>
    <row r="12" spans="1:15" x14ac:dyDescent="0.35">
      <c r="A12" s="57" t="s">
        <v>54</v>
      </c>
      <c r="B12" s="50"/>
      <c r="C12" s="50"/>
      <c r="D12" s="63"/>
      <c r="E12" s="50"/>
      <c r="F12" s="58"/>
      <c r="G12" s="146">
        <f>G10-G11</f>
        <v>442043.29113166686</v>
      </c>
      <c r="I12" s="250"/>
      <c r="J12" s="250"/>
      <c r="K12" s="250"/>
      <c r="L12" s="250"/>
      <c r="M12" s="250"/>
      <c r="N12" s="250"/>
      <c r="O12" s="250"/>
    </row>
    <row r="13" spans="1:15" x14ac:dyDescent="0.35">
      <c r="A13" s="57" t="s">
        <v>55</v>
      </c>
      <c r="B13" s="50"/>
      <c r="C13" s="50"/>
      <c r="D13" s="63"/>
      <c r="E13" s="50"/>
      <c r="F13" s="58"/>
      <c r="G13" s="280">
        <f>G12/G11</f>
        <v>8.8558043177618437E-2</v>
      </c>
      <c r="I13" s="250"/>
      <c r="J13" s="250"/>
      <c r="K13" s="250"/>
      <c r="L13" s="250"/>
      <c r="M13" s="250"/>
      <c r="N13" s="250"/>
      <c r="O13" s="250"/>
    </row>
    <row r="14" spans="1:15" x14ac:dyDescent="0.35">
      <c r="A14" s="7"/>
      <c r="B14" s="7"/>
      <c r="C14" s="7"/>
      <c r="D14" s="7"/>
      <c r="E14" s="7"/>
      <c r="F14" s="7"/>
      <c r="G14" s="7"/>
      <c r="I14" s="250"/>
      <c r="J14" s="250"/>
      <c r="K14" s="250"/>
      <c r="L14" s="250"/>
      <c r="M14" s="250"/>
      <c r="N14" s="250"/>
      <c r="O14" s="250"/>
    </row>
    <row r="15" spans="1:15" ht="18.5" x14ac:dyDescent="0.45">
      <c r="A15" s="412" t="s">
        <v>185</v>
      </c>
      <c r="B15" s="412"/>
      <c r="C15" s="412"/>
      <c r="D15" s="412"/>
      <c r="E15" s="412"/>
      <c r="F15" s="412"/>
      <c r="G15" s="412"/>
      <c r="I15" s="250"/>
      <c r="J15" s="250"/>
      <c r="K15" s="250"/>
      <c r="L15" s="250"/>
      <c r="M15" s="250"/>
      <c r="N15" s="250"/>
      <c r="O15" s="250"/>
    </row>
    <row r="16" spans="1:15" x14ac:dyDescent="0.35">
      <c r="A16" s="57" t="s">
        <v>35</v>
      </c>
      <c r="B16" s="50"/>
      <c r="C16" s="50"/>
      <c r="D16" s="63"/>
      <c r="E16" s="50"/>
      <c r="F16" s="58"/>
      <c r="G16" s="146">
        <f>SAO!G48</f>
        <v>4930240.8568916684</v>
      </c>
      <c r="I16" s="250"/>
      <c r="J16" s="250"/>
      <c r="K16" s="250"/>
      <c r="L16" s="250"/>
      <c r="M16" s="250"/>
      <c r="N16" s="250"/>
      <c r="O16" s="250"/>
    </row>
    <row r="17" spans="1:15" x14ac:dyDescent="0.35">
      <c r="A17" s="50" t="s">
        <v>186</v>
      </c>
      <c r="B17" s="50"/>
      <c r="C17" s="50"/>
      <c r="D17" s="63"/>
      <c r="E17" s="50"/>
      <c r="F17" s="58"/>
      <c r="G17" s="281">
        <v>0.88</v>
      </c>
      <c r="I17" s="310">
        <f>G18-G16</f>
        <v>672305.57139431871</v>
      </c>
      <c r="J17" s="250"/>
      <c r="K17" s="250"/>
      <c r="L17" s="250"/>
      <c r="M17" s="250"/>
      <c r="N17" s="250"/>
      <c r="O17" s="250"/>
    </row>
    <row r="18" spans="1:15" x14ac:dyDescent="0.35">
      <c r="A18" s="57" t="s">
        <v>187</v>
      </c>
      <c r="B18" s="50"/>
      <c r="C18" s="50"/>
      <c r="D18" s="63"/>
      <c r="E18" s="50"/>
      <c r="F18" s="58"/>
      <c r="G18" s="146">
        <f>G16/G17</f>
        <v>5602546.4282859871</v>
      </c>
      <c r="I18" s="250"/>
      <c r="J18" s="250"/>
      <c r="K18" s="250"/>
      <c r="L18" s="250"/>
      <c r="M18" s="250"/>
      <c r="N18" s="250"/>
      <c r="O18" s="250"/>
    </row>
    <row r="19" spans="1:15" ht="17" x14ac:dyDescent="0.5">
      <c r="A19" s="7" t="s">
        <v>20</v>
      </c>
      <c r="B19" s="7"/>
      <c r="C19" s="7" t="s">
        <v>188</v>
      </c>
      <c r="D19" s="7"/>
      <c r="E19" s="7"/>
      <c r="F19" s="58" t="s">
        <v>203</v>
      </c>
      <c r="G19" s="277">
        <f>'Debt Service'!M30</f>
        <v>289536.78980000003</v>
      </c>
      <c r="I19" s="250" t="s">
        <v>251</v>
      </c>
      <c r="J19" s="250"/>
      <c r="K19" s="250"/>
      <c r="L19" s="250"/>
      <c r="M19" s="250"/>
      <c r="N19" s="250"/>
      <c r="O19" s="250" t="s">
        <v>249</v>
      </c>
    </row>
    <row r="20" spans="1:15" x14ac:dyDescent="0.35">
      <c r="A20" s="254" t="s">
        <v>53</v>
      </c>
      <c r="B20" s="7"/>
      <c r="C20" s="7"/>
      <c r="D20" s="7"/>
      <c r="E20" s="7"/>
      <c r="F20" s="7"/>
      <c r="G20" s="205">
        <f>G18+G19</f>
        <v>5892083.2180859875</v>
      </c>
      <c r="I20" s="250"/>
      <c r="J20" s="310">
        <f>I17+G19</f>
        <v>961842.36119431874</v>
      </c>
      <c r="K20" s="250"/>
      <c r="L20" s="250"/>
      <c r="M20" s="250"/>
      <c r="N20" s="250"/>
      <c r="O20" s="250"/>
    </row>
    <row r="21" spans="1:15" x14ac:dyDescent="0.35">
      <c r="A21" s="7" t="s">
        <v>21</v>
      </c>
      <c r="B21" s="7"/>
      <c r="C21" s="50" t="s">
        <v>37</v>
      </c>
      <c r="D21" s="7"/>
      <c r="E21" s="7"/>
      <c r="F21" s="7"/>
      <c r="G21" s="205">
        <f>SAO!G13</f>
        <v>0</v>
      </c>
      <c r="I21" s="250"/>
      <c r="J21" s="250"/>
      <c r="K21" s="250"/>
      <c r="L21" s="250"/>
      <c r="M21" s="250"/>
      <c r="N21" s="250"/>
      <c r="O21" s="250"/>
    </row>
    <row r="22" spans="1:15" x14ac:dyDescent="0.35">
      <c r="A22" s="7"/>
      <c r="B22" s="7"/>
      <c r="C22" s="50" t="s">
        <v>208</v>
      </c>
      <c r="D22" s="7"/>
      <c r="E22" s="7"/>
      <c r="F22" s="7"/>
      <c r="G22" s="205">
        <f>SAO!G14</f>
        <v>406372</v>
      </c>
      <c r="I22" s="250"/>
      <c r="J22" s="250"/>
      <c r="K22" s="250"/>
      <c r="L22" s="250"/>
      <c r="M22" s="250"/>
      <c r="N22" s="250"/>
      <c r="O22" s="250"/>
    </row>
    <row r="23" spans="1:15" x14ac:dyDescent="0.35">
      <c r="A23" s="7"/>
      <c r="B23" s="7"/>
      <c r="C23" s="272" t="s">
        <v>223</v>
      </c>
      <c r="D23" s="7"/>
      <c r="E23" s="7"/>
      <c r="F23" s="7"/>
      <c r="G23" s="6">
        <v>99725</v>
      </c>
      <c r="H23" s="50"/>
      <c r="I23" s="30" t="s">
        <v>262</v>
      </c>
      <c r="J23" s="250"/>
      <c r="K23" s="250"/>
      <c r="L23" s="250"/>
      <c r="M23" s="250"/>
      <c r="N23" s="250"/>
      <c r="O23" s="250"/>
    </row>
    <row r="24" spans="1:15" ht="17" x14ac:dyDescent="0.5">
      <c r="A24" s="7"/>
      <c r="B24" s="7"/>
      <c r="C24" s="7" t="s">
        <v>261</v>
      </c>
      <c r="D24" s="7"/>
      <c r="E24" s="7"/>
      <c r="F24" s="7"/>
      <c r="G24" s="319">
        <v>0</v>
      </c>
      <c r="H24" s="50"/>
      <c r="I24" s="30" t="s">
        <v>262</v>
      </c>
      <c r="J24" s="146" t="s">
        <v>352</v>
      </c>
      <c r="K24" s="50"/>
      <c r="L24" s="7"/>
      <c r="M24" s="250"/>
      <c r="N24" s="250"/>
      <c r="O24" s="273"/>
    </row>
    <row r="25" spans="1:15" x14ac:dyDescent="0.35">
      <c r="A25" s="254" t="s">
        <v>51</v>
      </c>
      <c r="B25" s="7"/>
      <c r="C25" s="7"/>
      <c r="D25" s="7"/>
      <c r="E25" s="7"/>
      <c r="F25" s="7"/>
      <c r="G25" s="205">
        <f>G20-G21-G22-G24</f>
        <v>5485711.2180859875</v>
      </c>
      <c r="I25" s="250"/>
      <c r="J25" s="250"/>
      <c r="K25" s="250"/>
      <c r="L25" s="250"/>
      <c r="M25" s="250"/>
      <c r="N25" s="250"/>
      <c r="O25" s="250"/>
    </row>
    <row r="26" spans="1:15" ht="17" x14ac:dyDescent="0.5">
      <c r="A26" s="7" t="s">
        <v>21</v>
      </c>
      <c r="B26" s="7"/>
      <c r="C26" s="7" t="s">
        <v>52</v>
      </c>
      <c r="D26" s="7"/>
      <c r="E26" s="7"/>
      <c r="F26" s="7"/>
      <c r="G26" s="279">
        <f>ExBA!H7</f>
        <v>4991565.7039200012</v>
      </c>
      <c r="I26" s="250"/>
      <c r="J26" s="250"/>
      <c r="K26" s="250"/>
      <c r="L26" s="250"/>
      <c r="M26" s="250"/>
      <c r="N26" s="250"/>
      <c r="O26" s="250"/>
    </row>
    <row r="27" spans="1:15" x14ac:dyDescent="0.35">
      <c r="A27" s="254" t="s">
        <v>54</v>
      </c>
      <c r="B27" s="7"/>
      <c r="C27" s="7"/>
      <c r="D27" s="7"/>
      <c r="E27" s="7"/>
      <c r="F27" s="7"/>
      <c r="G27" s="205">
        <f>G25-G26</f>
        <v>494145.51416598633</v>
      </c>
      <c r="I27" s="250"/>
      <c r="J27" s="250"/>
      <c r="K27" s="250"/>
      <c r="L27" s="250"/>
      <c r="M27" s="250"/>
      <c r="N27" s="250"/>
      <c r="O27" s="250"/>
    </row>
    <row r="28" spans="1:15" x14ac:dyDescent="0.35">
      <c r="A28" s="254" t="s">
        <v>55</v>
      </c>
      <c r="B28" s="7"/>
      <c r="C28" s="7"/>
      <c r="D28" s="7"/>
      <c r="E28" s="7"/>
      <c r="F28" s="7"/>
      <c r="G28" s="280">
        <f>G27/G26</f>
        <v>9.8996095308917106E-2</v>
      </c>
      <c r="I28" s="250"/>
      <c r="J28" s="250"/>
      <c r="K28" s="250"/>
      <c r="L28" s="250"/>
      <c r="M28" s="250"/>
      <c r="N28" s="250"/>
      <c r="O28" s="250"/>
    </row>
    <row r="29" spans="1:15" x14ac:dyDescent="0.35">
      <c r="I29" s="250"/>
      <c r="J29" s="250"/>
      <c r="K29" s="250"/>
      <c r="L29" s="250"/>
      <c r="M29" s="250"/>
      <c r="N29" s="250"/>
      <c r="O29" s="250"/>
    </row>
  </sheetData>
  <mergeCells count="2">
    <mergeCell ref="A1:G1"/>
    <mergeCell ref="A15:G15"/>
  </mergeCells>
  <pageMargins left="0.7" right="0.7" top="0.75" bottom="0.75" header="0.3" footer="0.3"/>
  <pageSetup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7A01C-7852-4E95-BD91-257134D74ABD}">
  <sheetPr>
    <tabColor rgb="FF92D050"/>
  </sheetPr>
  <dimension ref="B1:L44"/>
  <sheetViews>
    <sheetView topLeftCell="C7" zoomScale="114" workbookViewId="0">
      <selection activeCell="G8" sqref="G8"/>
    </sheetView>
  </sheetViews>
  <sheetFormatPr defaultColWidth="8.84375" defaultRowHeight="14.5" x14ac:dyDescent="0.35"/>
  <cols>
    <col min="1" max="1" width="13.765625" style="1" bestFit="1" customWidth="1"/>
    <col min="2" max="2" width="13.4609375" style="1" customWidth="1"/>
    <col min="3" max="3" width="25.4609375" style="1" customWidth="1"/>
    <col min="4" max="4" width="9.07421875" style="15" bestFit="1" customWidth="1"/>
    <col min="5" max="5" width="9.69140625" style="15" bestFit="1" customWidth="1"/>
    <col min="6" max="6" width="2" style="15" customWidth="1"/>
    <col min="7" max="7" width="14.53515625" style="15" customWidth="1"/>
    <col min="8" max="8" width="12.61328125" style="15" customWidth="1"/>
    <col min="9" max="9" width="15.53515625" style="15" customWidth="1"/>
    <col min="10" max="10" width="10.61328125" style="15" bestFit="1" customWidth="1"/>
    <col min="11" max="11" width="9.69140625" style="22" bestFit="1" customWidth="1"/>
    <col min="12" max="16384" width="8.84375" style="1"/>
  </cols>
  <sheetData>
    <row r="1" spans="2:12" x14ac:dyDescent="0.35">
      <c r="B1" s="1" t="s">
        <v>65</v>
      </c>
    </row>
    <row r="2" spans="2:12" x14ac:dyDescent="0.35">
      <c r="D2" s="143">
        <f>1926+50.5+101.5</f>
        <v>2078</v>
      </c>
      <c r="E2" s="276"/>
      <c r="F2" s="143"/>
      <c r="G2" s="143"/>
      <c r="H2" s="143"/>
      <c r="I2" s="143"/>
      <c r="J2" s="298" t="s">
        <v>11</v>
      </c>
    </row>
    <row r="3" spans="2:12" x14ac:dyDescent="0.35">
      <c r="D3" s="143" t="s">
        <v>66</v>
      </c>
      <c r="E3" s="143" t="s">
        <v>66</v>
      </c>
      <c r="F3" s="143"/>
      <c r="G3" s="298" t="s">
        <v>67</v>
      </c>
      <c r="H3" s="298" t="s">
        <v>66</v>
      </c>
      <c r="I3" s="298" t="s">
        <v>66</v>
      </c>
      <c r="J3" s="298" t="s">
        <v>66</v>
      </c>
      <c r="K3" s="22" t="s">
        <v>145</v>
      </c>
    </row>
    <row r="4" spans="2:12" x14ac:dyDescent="0.35">
      <c r="B4" s="261" t="s">
        <v>68</v>
      </c>
      <c r="C4" s="261"/>
      <c r="D4" s="143" t="s">
        <v>69</v>
      </c>
      <c r="E4" s="143" t="s">
        <v>70</v>
      </c>
      <c r="F4" s="143"/>
      <c r="G4" s="298" t="s">
        <v>245</v>
      </c>
      <c r="H4" s="298" t="s">
        <v>71</v>
      </c>
      <c r="I4" s="298" t="s">
        <v>72</v>
      </c>
      <c r="J4" s="298" t="s">
        <v>73</v>
      </c>
      <c r="K4" s="22" t="s">
        <v>146</v>
      </c>
      <c r="L4" s="1" t="s">
        <v>279</v>
      </c>
    </row>
    <row r="5" spans="2:12" x14ac:dyDescent="0.35">
      <c r="B5" s="21">
        <v>1</v>
      </c>
      <c r="C5" s="333" t="s">
        <v>293</v>
      </c>
      <c r="D5" s="15">
        <v>2080</v>
      </c>
      <c r="E5" s="15">
        <v>99</v>
      </c>
      <c r="G5" s="299">
        <v>23.65</v>
      </c>
      <c r="H5" s="15">
        <f>D5*G5</f>
        <v>49192</v>
      </c>
      <c r="I5" s="15">
        <f>E5*G5*1.5</f>
        <v>3512.0249999999996</v>
      </c>
      <c r="J5" s="15">
        <f>H5+I5</f>
        <v>52704.025000000001</v>
      </c>
      <c r="K5" s="22" t="s">
        <v>310</v>
      </c>
    </row>
    <row r="6" spans="2:12" x14ac:dyDescent="0.35">
      <c r="B6" s="21">
        <v>2</v>
      </c>
      <c r="C6" s="333" t="s">
        <v>293</v>
      </c>
      <c r="D6" s="15">
        <v>2080</v>
      </c>
      <c r="E6" s="15">
        <v>219.5</v>
      </c>
      <c r="G6" s="299">
        <v>27.5</v>
      </c>
      <c r="H6" s="15">
        <f t="shared" ref="H6:H8" si="0">D6*G6</f>
        <v>57200</v>
      </c>
      <c r="I6" s="15">
        <f t="shared" ref="I6:I8" si="1">E6*G6*1.5</f>
        <v>9054.375</v>
      </c>
      <c r="J6" s="15">
        <f t="shared" ref="J6:J15" si="2">H6+I6</f>
        <v>66254.375</v>
      </c>
      <c r="K6" s="22" t="s">
        <v>310</v>
      </c>
    </row>
    <row r="7" spans="2:12" x14ac:dyDescent="0.35">
      <c r="B7" s="21">
        <v>3</v>
      </c>
      <c r="C7" s="333" t="s">
        <v>298</v>
      </c>
      <c r="D7" s="15">
        <v>2080</v>
      </c>
      <c r="E7" s="15">
        <v>1.5</v>
      </c>
      <c r="G7" s="299">
        <v>24.75</v>
      </c>
      <c r="H7" s="15">
        <f t="shared" si="0"/>
        <v>51480</v>
      </c>
      <c r="I7" s="15">
        <f t="shared" si="1"/>
        <v>55.6875</v>
      </c>
      <c r="J7" s="15">
        <f t="shared" si="2"/>
        <v>51535.6875</v>
      </c>
      <c r="K7" s="22" t="s">
        <v>310</v>
      </c>
    </row>
    <row r="8" spans="2:12" x14ac:dyDescent="0.35">
      <c r="B8" s="21">
        <v>4</v>
      </c>
      <c r="C8" s="333" t="s">
        <v>298</v>
      </c>
      <c r="D8" s="15">
        <v>2080</v>
      </c>
      <c r="E8" s="15">
        <v>1.5</v>
      </c>
      <c r="G8" s="299">
        <v>23.1</v>
      </c>
      <c r="H8" s="15">
        <f t="shared" si="0"/>
        <v>48048</v>
      </c>
      <c r="I8" s="15">
        <f t="shared" si="1"/>
        <v>51.975000000000009</v>
      </c>
      <c r="J8" s="15">
        <f t="shared" si="2"/>
        <v>48099.974999999999</v>
      </c>
      <c r="K8" s="22" t="s">
        <v>310</v>
      </c>
    </row>
    <row r="9" spans="2:12" x14ac:dyDescent="0.35">
      <c r="B9" s="21">
        <v>5</v>
      </c>
      <c r="C9" s="333" t="s">
        <v>294</v>
      </c>
      <c r="D9" s="15">
        <v>2080</v>
      </c>
      <c r="E9" s="15">
        <v>34</v>
      </c>
      <c r="G9" s="299">
        <v>23.1</v>
      </c>
      <c r="H9" s="15">
        <f t="shared" ref="H9:H12" si="3">D9*G9</f>
        <v>48048</v>
      </c>
      <c r="I9" s="15">
        <f t="shared" ref="I9:I12" si="4">E9*G9*1.5</f>
        <v>1178.1000000000001</v>
      </c>
      <c r="J9" s="15">
        <f t="shared" si="2"/>
        <v>49226.1</v>
      </c>
      <c r="K9" s="22" t="s">
        <v>310</v>
      </c>
    </row>
    <row r="10" spans="2:12" x14ac:dyDescent="0.35">
      <c r="B10" s="21">
        <v>6</v>
      </c>
      <c r="C10" s="333" t="s">
        <v>295</v>
      </c>
      <c r="D10" s="15">
        <v>2080</v>
      </c>
      <c r="E10" s="15">
        <v>50</v>
      </c>
      <c r="G10" s="299">
        <v>20.71</v>
      </c>
      <c r="H10" s="15">
        <f t="shared" si="3"/>
        <v>43076.800000000003</v>
      </c>
      <c r="I10" s="15">
        <f t="shared" si="4"/>
        <v>1553.25</v>
      </c>
      <c r="J10" s="15">
        <f t="shared" si="2"/>
        <v>44630.05</v>
      </c>
      <c r="K10" s="22" t="s">
        <v>172</v>
      </c>
      <c r="L10" s="1" t="s">
        <v>357</v>
      </c>
    </row>
    <row r="11" spans="2:12" x14ac:dyDescent="0.35">
      <c r="B11" s="21">
        <v>7</v>
      </c>
      <c r="C11" s="333" t="s">
        <v>296</v>
      </c>
      <c r="D11" s="15">
        <v>2080</v>
      </c>
      <c r="E11" s="15">
        <v>18</v>
      </c>
      <c r="G11" s="299">
        <v>24.12</v>
      </c>
      <c r="H11" s="15">
        <f t="shared" si="3"/>
        <v>50169.599999999999</v>
      </c>
      <c r="I11" s="15">
        <f t="shared" si="4"/>
        <v>651.24</v>
      </c>
      <c r="J11" s="15">
        <f t="shared" si="2"/>
        <v>50820.84</v>
      </c>
      <c r="K11" s="22" t="s">
        <v>310</v>
      </c>
    </row>
    <row r="12" spans="2:12" x14ac:dyDescent="0.35">
      <c r="B12" s="21">
        <v>8</v>
      </c>
      <c r="C12" s="333" t="s">
        <v>297</v>
      </c>
      <c r="D12" s="15">
        <v>2080</v>
      </c>
      <c r="E12" s="15">
        <v>223.5</v>
      </c>
      <c r="G12" s="299">
        <v>28.5</v>
      </c>
      <c r="H12" s="15">
        <f t="shared" si="3"/>
        <v>59280</v>
      </c>
      <c r="I12" s="15">
        <f t="shared" si="4"/>
        <v>9554.625</v>
      </c>
      <c r="J12" s="15">
        <f t="shared" si="2"/>
        <v>68834.625</v>
      </c>
      <c r="K12" s="22" t="s">
        <v>310</v>
      </c>
    </row>
    <row r="13" spans="2:12" x14ac:dyDescent="0.35">
      <c r="B13" s="21">
        <v>9</v>
      </c>
      <c r="C13" s="333" t="s">
        <v>295</v>
      </c>
      <c r="D13" s="15">
        <v>2080</v>
      </c>
      <c r="E13" s="17">
        <v>90.5</v>
      </c>
      <c r="F13" s="17"/>
      <c r="G13" s="17">
        <v>20.71</v>
      </c>
      <c r="H13" s="15">
        <f>D13*G13</f>
        <v>43076.800000000003</v>
      </c>
      <c r="I13" s="15">
        <f>E13*G13*1.5</f>
        <v>2811.3825000000002</v>
      </c>
      <c r="J13" s="15">
        <f t="shared" si="2"/>
        <v>45888.182500000003</v>
      </c>
      <c r="K13" s="22" t="s">
        <v>310</v>
      </c>
    </row>
    <row r="14" spans="2:12" x14ac:dyDescent="0.35">
      <c r="B14" s="21">
        <v>10</v>
      </c>
      <c r="C14" s="333" t="s">
        <v>298</v>
      </c>
      <c r="D14" s="15">
        <v>2080</v>
      </c>
      <c r="E14" s="17"/>
      <c r="F14" s="17"/>
      <c r="G14" s="17">
        <v>24.75</v>
      </c>
      <c r="H14" s="15">
        <f>D14*G14</f>
        <v>51480</v>
      </c>
      <c r="I14" s="15">
        <f>E14*G14*1.5</f>
        <v>0</v>
      </c>
      <c r="J14" s="15">
        <f t="shared" si="2"/>
        <v>51480</v>
      </c>
      <c r="K14" s="22" t="s">
        <v>310</v>
      </c>
    </row>
    <row r="15" spans="2:12" x14ac:dyDescent="0.35">
      <c r="B15" s="21">
        <v>11</v>
      </c>
      <c r="C15" s="333" t="s">
        <v>232</v>
      </c>
      <c r="D15" s="17">
        <v>2080</v>
      </c>
      <c r="E15" s="17">
        <v>0</v>
      </c>
      <c r="F15" s="17"/>
      <c r="G15" s="17">
        <v>48.7</v>
      </c>
      <c r="H15" s="15">
        <f>D15*G15</f>
        <v>101296</v>
      </c>
      <c r="I15" s="17">
        <f>E15*G15*1.5</f>
        <v>0</v>
      </c>
      <c r="J15" s="15">
        <f t="shared" si="2"/>
        <v>101296</v>
      </c>
      <c r="K15" s="22" t="s">
        <v>310</v>
      </c>
    </row>
    <row r="16" spans="2:12" x14ac:dyDescent="0.35">
      <c r="B16" s="21">
        <v>12</v>
      </c>
      <c r="C16" s="333" t="s">
        <v>295</v>
      </c>
      <c r="D16" s="17">
        <v>2080</v>
      </c>
      <c r="E16" s="17">
        <v>50</v>
      </c>
      <c r="F16" s="17"/>
      <c r="G16" s="17">
        <v>18</v>
      </c>
      <c r="H16" s="17">
        <f t="shared" ref="H16:H18" si="5">D16*G16</f>
        <v>37440</v>
      </c>
      <c r="I16" s="17">
        <f t="shared" ref="I16:I18" si="6">E16*G16*1.5</f>
        <v>1350</v>
      </c>
      <c r="J16" s="17">
        <f t="shared" ref="J16:J18" si="7">H16+I16</f>
        <v>38790</v>
      </c>
      <c r="K16" s="22" t="s">
        <v>172</v>
      </c>
      <c r="L16" s="1" t="s">
        <v>358</v>
      </c>
    </row>
    <row r="17" spans="2:12" x14ac:dyDescent="0.35">
      <c r="B17" s="21">
        <v>13</v>
      </c>
      <c r="C17" s="333" t="s">
        <v>295</v>
      </c>
      <c r="D17" s="17">
        <v>2080</v>
      </c>
      <c r="E17" s="17">
        <v>50</v>
      </c>
      <c r="F17" s="17"/>
      <c r="G17" s="17">
        <v>18</v>
      </c>
      <c r="H17" s="17">
        <f t="shared" si="5"/>
        <v>37440</v>
      </c>
      <c r="I17" s="17">
        <f t="shared" si="6"/>
        <v>1350</v>
      </c>
      <c r="J17" s="17">
        <f t="shared" si="7"/>
        <v>38790</v>
      </c>
      <c r="K17" s="22" t="s">
        <v>172</v>
      </c>
      <c r="L17" s="1" t="s">
        <v>358</v>
      </c>
    </row>
    <row r="18" spans="2:12" x14ac:dyDescent="0.35">
      <c r="C18" s="333"/>
      <c r="D18" s="17"/>
      <c r="E18" s="17">
        <v>0</v>
      </c>
      <c r="F18" s="17"/>
      <c r="G18" s="17"/>
      <c r="H18" s="17">
        <f t="shared" si="5"/>
        <v>0</v>
      </c>
      <c r="I18" s="17">
        <f t="shared" si="6"/>
        <v>0</v>
      </c>
      <c r="J18" s="17">
        <f t="shared" si="7"/>
        <v>0</v>
      </c>
    </row>
    <row r="19" spans="2:12" x14ac:dyDescent="0.35">
      <c r="C19" s="333"/>
      <c r="D19" s="37"/>
      <c r="E19" s="37">
        <v>0</v>
      </c>
      <c r="F19" s="17"/>
      <c r="G19" s="17"/>
      <c r="H19" s="37">
        <f>D19*G19</f>
        <v>0</v>
      </c>
      <c r="I19" s="37">
        <f>E19*G19*1.5</f>
        <v>0</v>
      </c>
      <c r="J19" s="37">
        <f t="shared" ref="J19" si="8">H19+I19</f>
        <v>0</v>
      </c>
    </row>
    <row r="20" spans="2:12" x14ac:dyDescent="0.35">
      <c r="E20" s="15">
        <f>SUM(E5:E19)</f>
        <v>837.5</v>
      </c>
      <c r="H20" s="15">
        <f>SUM(H5:H19)</f>
        <v>677227.2</v>
      </c>
      <c r="I20" s="15">
        <f>SUM(I5:I19)</f>
        <v>31122.66</v>
      </c>
      <c r="J20" s="15">
        <f>SUM(J5:J19)</f>
        <v>708349.86</v>
      </c>
    </row>
    <row r="22" spans="2:12" x14ac:dyDescent="0.35">
      <c r="B22" s="1" t="s">
        <v>131</v>
      </c>
      <c r="J22" s="15">
        <f>J20</f>
        <v>708349.86</v>
      </c>
    </row>
    <row r="24" spans="2:12" x14ac:dyDescent="0.35">
      <c r="B24" s="1" t="s">
        <v>319</v>
      </c>
      <c r="J24" s="15">
        <f>J22-J10-J16-J17</f>
        <v>586139.80999999994</v>
      </c>
      <c r="K24" s="371"/>
    </row>
    <row r="26" spans="2:12" x14ac:dyDescent="0.35">
      <c r="B26" s="261" t="s">
        <v>314</v>
      </c>
      <c r="J26" s="143" t="s">
        <v>29</v>
      </c>
    </row>
    <row r="27" spans="2:12" x14ac:dyDescent="0.35">
      <c r="B27" s="1" t="s">
        <v>346</v>
      </c>
      <c r="C27" s="1">
        <v>6000</v>
      </c>
      <c r="G27" s="15" t="s">
        <v>74</v>
      </c>
      <c r="J27" s="15">
        <f>J22</f>
        <v>708349.86</v>
      </c>
    </row>
    <row r="28" spans="2:12" x14ac:dyDescent="0.35">
      <c r="B28" s="1" t="s">
        <v>345</v>
      </c>
      <c r="C28" s="1">
        <v>6000</v>
      </c>
      <c r="G28" s="15" t="s">
        <v>75</v>
      </c>
      <c r="J28" s="149">
        <f>-SAO!D20</f>
        <v>-696411</v>
      </c>
      <c r="L28" s="1" t="s">
        <v>207</v>
      </c>
    </row>
    <row r="29" spans="2:12" ht="16" x14ac:dyDescent="0.5">
      <c r="B29" s="1" t="s">
        <v>280</v>
      </c>
      <c r="C29" s="1">
        <v>6000</v>
      </c>
      <c r="G29" s="299"/>
      <c r="J29" s="300"/>
    </row>
    <row r="30" spans="2:12" x14ac:dyDescent="0.35">
      <c r="B30" s="1" t="s">
        <v>347</v>
      </c>
      <c r="C30" s="1">
        <v>6000</v>
      </c>
      <c r="G30" s="15" t="s">
        <v>76</v>
      </c>
      <c r="J30" s="15">
        <f>J27+J28+J29</f>
        <v>11938.859999999986</v>
      </c>
      <c r="K30" s="21" t="str">
        <f>SAO!F20</f>
        <v>B</v>
      </c>
    </row>
    <row r="31" spans="2:12" x14ac:dyDescent="0.35">
      <c r="B31" s="1" t="s">
        <v>348</v>
      </c>
      <c r="C31" s="1">
        <v>6000</v>
      </c>
      <c r="K31" s="21"/>
    </row>
    <row r="32" spans="2:12" x14ac:dyDescent="0.35">
      <c r="B32" s="1" t="s">
        <v>349</v>
      </c>
      <c r="C32" s="1">
        <v>6000</v>
      </c>
      <c r="K32" s="21"/>
    </row>
    <row r="33" spans="2:12" x14ac:dyDescent="0.35">
      <c r="B33" s="1" t="s">
        <v>350</v>
      </c>
      <c r="C33" s="291">
        <v>0</v>
      </c>
      <c r="D33" s="15" t="s">
        <v>388</v>
      </c>
      <c r="J33" s="15" t="s">
        <v>77</v>
      </c>
    </row>
    <row r="34" spans="2:12" x14ac:dyDescent="0.35">
      <c r="B34" s="1" t="s">
        <v>11</v>
      </c>
      <c r="C34" s="1">
        <f>SUM(C27:C33)</f>
        <v>36000</v>
      </c>
      <c r="G34" s="15" t="s">
        <v>353</v>
      </c>
      <c r="J34" s="15">
        <f>J27+C34</f>
        <v>744349.86</v>
      </c>
    </row>
    <row r="35" spans="2:12" x14ac:dyDescent="0.35">
      <c r="G35" s="15" t="s">
        <v>78</v>
      </c>
      <c r="J35" s="144">
        <v>7.6499999999999999E-2</v>
      </c>
    </row>
    <row r="36" spans="2:12" x14ac:dyDescent="0.35">
      <c r="G36" s="15" t="s">
        <v>79</v>
      </c>
      <c r="J36" s="299">
        <f>J34*J35</f>
        <v>56942.764289999999</v>
      </c>
    </row>
    <row r="37" spans="2:12" x14ac:dyDescent="0.35">
      <c r="G37" s="15" t="s">
        <v>260</v>
      </c>
      <c r="J37" s="204">
        <f>SAO!D46</f>
        <v>67761</v>
      </c>
      <c r="L37" s="1" t="s">
        <v>284</v>
      </c>
    </row>
    <row r="38" spans="2:12" x14ac:dyDescent="0.35">
      <c r="G38" s="15" t="s">
        <v>80</v>
      </c>
      <c r="J38" s="15">
        <f>ROUND(J36-J37,0)</f>
        <v>-10818</v>
      </c>
    </row>
    <row r="40" spans="2:12" x14ac:dyDescent="0.35">
      <c r="G40" s="366" t="s">
        <v>315</v>
      </c>
      <c r="H40" s="297"/>
      <c r="I40" s="297"/>
      <c r="J40" s="149">
        <f>J24*0.03</f>
        <v>17584.194299999999</v>
      </c>
      <c r="L40" s="1" t="s">
        <v>318</v>
      </c>
    </row>
    <row r="41" spans="2:12" x14ac:dyDescent="0.35">
      <c r="G41" s="366" t="s">
        <v>316</v>
      </c>
      <c r="H41" s="297"/>
      <c r="I41" s="297"/>
      <c r="J41" s="149">
        <f>Medical!N4</f>
        <v>22043.85</v>
      </c>
      <c r="L41" s="318"/>
    </row>
    <row r="42" spans="2:12" x14ac:dyDescent="0.35">
      <c r="G42" s="366" t="s">
        <v>317</v>
      </c>
      <c r="H42" s="297"/>
      <c r="I42" s="297"/>
      <c r="J42" s="149">
        <f>J40-J41</f>
        <v>-4459.6556999999993</v>
      </c>
    </row>
    <row r="43" spans="2:12" x14ac:dyDescent="0.35">
      <c r="G43" s="297"/>
      <c r="H43" s="297"/>
      <c r="I43" s="297"/>
      <c r="J43" s="297"/>
    </row>
    <row r="44" spans="2:12" x14ac:dyDescent="0.35">
      <c r="G44" s="297"/>
      <c r="H44" s="297"/>
      <c r="I44" s="297"/>
      <c r="J44" s="297"/>
    </row>
  </sheetData>
  <pageMargins left="0.7" right="0.7" top="0.75" bottom="0.75" header="0.3" footer="0.3"/>
  <pageSetup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O59"/>
  <sheetViews>
    <sheetView topLeftCell="D22" workbookViewId="0">
      <selection activeCell="O5" sqref="O5"/>
    </sheetView>
  </sheetViews>
  <sheetFormatPr defaultColWidth="8.84375" defaultRowHeight="14.5" x14ac:dyDescent="0.35"/>
  <cols>
    <col min="1" max="1" width="17.3046875" style="1" customWidth="1"/>
    <col min="2" max="2" width="21.61328125" style="1" customWidth="1"/>
    <col min="3" max="4" width="20.61328125" style="21" customWidth="1"/>
    <col min="5" max="5" width="11.53515625" style="152" bestFit="1" customWidth="1"/>
    <col min="6" max="6" width="9.84375" style="152" customWidth="1"/>
    <col min="7" max="7" width="9.765625" style="158" customWidth="1"/>
    <col min="8" max="8" width="9.765625" style="153" customWidth="1"/>
    <col min="9" max="9" width="11.4609375" style="152" customWidth="1"/>
    <col min="10" max="10" width="10.69140625" style="154" customWidth="1"/>
    <col min="11" max="11" width="10.07421875" style="152" customWidth="1"/>
    <col min="12" max="12" width="10.53515625" style="1" customWidth="1"/>
    <col min="13" max="13" width="8.84375" style="1"/>
    <col min="14" max="14" width="10.23046875" style="1" bestFit="1" customWidth="1"/>
    <col min="15" max="15" width="10.07421875" style="1" customWidth="1"/>
    <col min="16" max="16" width="9" style="1" bestFit="1" customWidth="1"/>
    <col min="17" max="17" width="9.765625" style="1" bestFit="1" customWidth="1"/>
    <col min="18" max="16384" width="8.84375" style="1"/>
  </cols>
  <sheetData>
    <row r="1" spans="1:14" x14ac:dyDescent="0.35">
      <c r="B1" s="1" t="s">
        <v>392</v>
      </c>
    </row>
    <row r="2" spans="1:14" x14ac:dyDescent="0.35">
      <c r="E2" s="155"/>
    </row>
    <row r="3" spans="1:14" x14ac:dyDescent="0.35">
      <c r="F3" s="152" t="s">
        <v>135</v>
      </c>
      <c r="I3" s="152" t="s">
        <v>132</v>
      </c>
      <c r="M3" s="1" t="s">
        <v>303</v>
      </c>
      <c r="N3" s="191">
        <v>139683.79</v>
      </c>
    </row>
    <row r="4" spans="1:14" x14ac:dyDescent="0.35">
      <c r="D4" s="21" t="s">
        <v>306</v>
      </c>
      <c r="E4" s="236" t="s">
        <v>135</v>
      </c>
      <c r="F4" s="152" t="s">
        <v>133</v>
      </c>
      <c r="G4" s="158" t="s">
        <v>133</v>
      </c>
      <c r="H4" s="153" t="s">
        <v>134</v>
      </c>
      <c r="I4" s="152" t="s">
        <v>135</v>
      </c>
      <c r="M4" s="1" t="s">
        <v>304</v>
      </c>
      <c r="N4" s="336">
        <v>22043.85</v>
      </c>
    </row>
    <row r="5" spans="1:14" x14ac:dyDescent="0.35">
      <c r="A5" s="21"/>
      <c r="B5" s="291" t="s">
        <v>181</v>
      </c>
      <c r="C5" s="294" t="s">
        <v>178</v>
      </c>
      <c r="D5" s="337" t="s">
        <v>136</v>
      </c>
      <c r="E5" s="157" t="s">
        <v>136</v>
      </c>
      <c r="F5" s="157" t="s">
        <v>137</v>
      </c>
      <c r="G5" s="338" t="s">
        <v>138</v>
      </c>
      <c r="H5" s="339" t="s">
        <v>138</v>
      </c>
      <c r="I5" s="157" t="s">
        <v>136</v>
      </c>
      <c r="L5" s="21"/>
      <c r="M5" s="22" t="s">
        <v>305</v>
      </c>
      <c r="N5" s="151">
        <f>SUM(N3:N4)</f>
        <v>161727.64000000001</v>
      </c>
    </row>
    <row r="6" spans="1:14" x14ac:dyDescent="0.35">
      <c r="B6" s="1" t="s">
        <v>308</v>
      </c>
      <c r="C6" s="21">
        <v>9</v>
      </c>
      <c r="D6" s="21">
        <v>708.13</v>
      </c>
      <c r="E6" s="152">
        <f>(D6*C6)*12</f>
        <v>76478.040000000008</v>
      </c>
      <c r="F6" s="152">
        <v>0</v>
      </c>
      <c r="G6" s="158">
        <v>0</v>
      </c>
      <c r="H6" s="153">
        <f>1-G6</f>
        <v>1</v>
      </c>
      <c r="I6" s="152">
        <f>E6*H6</f>
        <v>76478.040000000008</v>
      </c>
      <c r="L6" s="21"/>
    </row>
    <row r="7" spans="1:14" x14ac:dyDescent="0.35">
      <c r="B7" s="1" t="s">
        <v>309</v>
      </c>
      <c r="C7" s="21">
        <v>1</v>
      </c>
      <c r="D7" s="21">
        <v>1487.06</v>
      </c>
      <c r="E7" s="152">
        <f t="shared" ref="E7:E13" si="0">(D7*C7)*12</f>
        <v>17844.72</v>
      </c>
      <c r="F7" s="152">
        <v>0</v>
      </c>
      <c r="G7" s="158">
        <v>0</v>
      </c>
      <c r="H7" s="153">
        <f t="shared" ref="H7:H13" si="1">1-G7</f>
        <v>1</v>
      </c>
      <c r="I7" s="152">
        <f t="shared" ref="I7:I13" si="2">E7*H7</f>
        <v>17844.72</v>
      </c>
      <c r="L7" s="21"/>
    </row>
    <row r="8" spans="1:14" x14ac:dyDescent="0.35">
      <c r="B8" s="1" t="s">
        <v>321</v>
      </c>
      <c r="C8" s="21">
        <v>2</v>
      </c>
      <c r="D8" s="21">
        <v>1274.6300000000001</v>
      </c>
      <c r="E8" s="152">
        <f t="shared" si="0"/>
        <v>30591.120000000003</v>
      </c>
      <c r="F8" s="152">
        <v>0</v>
      </c>
      <c r="G8" s="158">
        <v>0</v>
      </c>
      <c r="H8" s="153">
        <f t="shared" si="1"/>
        <v>1</v>
      </c>
      <c r="I8" s="152">
        <f t="shared" si="2"/>
        <v>30591.120000000003</v>
      </c>
      <c r="L8" s="21"/>
    </row>
    <row r="9" spans="1:14" x14ac:dyDescent="0.35">
      <c r="B9" s="1" t="s">
        <v>307</v>
      </c>
      <c r="C9" s="21">
        <v>1</v>
      </c>
      <c r="D9" s="21">
        <v>2053.5700000000002</v>
      </c>
      <c r="E9" s="152">
        <f t="shared" si="0"/>
        <v>24642.840000000004</v>
      </c>
      <c r="F9" s="152">
        <v>0</v>
      </c>
      <c r="G9" s="158">
        <v>0</v>
      </c>
      <c r="H9" s="153">
        <f t="shared" si="1"/>
        <v>1</v>
      </c>
      <c r="I9" s="152">
        <f t="shared" si="2"/>
        <v>24642.840000000004</v>
      </c>
    </row>
    <row r="10" spans="1:14" x14ac:dyDescent="0.35">
      <c r="B10" s="1" t="s">
        <v>329</v>
      </c>
      <c r="C10" s="21">
        <v>1</v>
      </c>
      <c r="D10" s="21">
        <f>362.56+9.9</f>
        <v>372.46</v>
      </c>
      <c r="E10" s="152">
        <f t="shared" si="0"/>
        <v>4469.5199999999995</v>
      </c>
      <c r="F10" s="152">
        <v>0</v>
      </c>
      <c r="G10" s="158">
        <v>0</v>
      </c>
      <c r="H10" s="153">
        <f t="shared" si="1"/>
        <v>1</v>
      </c>
      <c r="I10" s="152">
        <f t="shared" ref="I10" si="3">E10*H10</f>
        <v>4469.5199999999995</v>
      </c>
    </row>
    <row r="11" spans="1:14" x14ac:dyDescent="0.35">
      <c r="B11" s="1" t="s">
        <v>334</v>
      </c>
      <c r="C11" s="21">
        <v>1</v>
      </c>
      <c r="D11" s="21">
        <v>198.69</v>
      </c>
      <c r="E11" s="152">
        <f t="shared" ref="E11" si="4">(D11*C11)*12</f>
        <v>2384.2799999999997</v>
      </c>
      <c r="F11" s="152">
        <v>0</v>
      </c>
      <c r="G11" s="158">
        <v>0</v>
      </c>
      <c r="H11" s="153">
        <f t="shared" si="1"/>
        <v>1</v>
      </c>
      <c r="I11" s="152">
        <f t="shared" ref="I11" si="5">E11*H11</f>
        <v>2384.2799999999997</v>
      </c>
    </row>
    <row r="12" spans="1:14" x14ac:dyDescent="0.35">
      <c r="B12" s="1" t="s">
        <v>335</v>
      </c>
      <c r="C12" s="21">
        <v>1</v>
      </c>
      <c r="D12" s="21">
        <f>355.83+29.7</f>
        <v>385.53</v>
      </c>
    </row>
    <row r="13" spans="1:14" x14ac:dyDescent="0.35">
      <c r="B13" s="1" t="s">
        <v>320</v>
      </c>
      <c r="C13" s="21">
        <v>11</v>
      </c>
      <c r="D13" s="367">
        <v>5</v>
      </c>
      <c r="E13" s="152">
        <f t="shared" si="0"/>
        <v>660</v>
      </c>
      <c r="F13" s="152">
        <v>0</v>
      </c>
      <c r="G13" s="158">
        <v>0</v>
      </c>
      <c r="H13" s="153">
        <f t="shared" si="1"/>
        <v>1</v>
      </c>
      <c r="I13" s="157">
        <f t="shared" si="2"/>
        <v>660</v>
      </c>
    </row>
    <row r="14" spans="1:14" x14ac:dyDescent="0.35">
      <c r="B14" s="249" t="s">
        <v>182</v>
      </c>
      <c r="C14" s="246"/>
      <c r="D14" s="246"/>
      <c r="I14" s="152">
        <f>SUM(I6:I13)</f>
        <v>157070.51999999999</v>
      </c>
      <c r="J14" s="163"/>
      <c r="K14" s="164"/>
      <c r="L14" s="44"/>
    </row>
    <row r="15" spans="1:14" x14ac:dyDescent="0.35">
      <c r="F15" s="156"/>
      <c r="H15" s="154"/>
      <c r="K15" s="165"/>
      <c r="L15" s="151"/>
    </row>
    <row r="16" spans="1:14" x14ac:dyDescent="0.35">
      <c r="F16" s="156"/>
      <c r="H16" s="154"/>
      <c r="K16" s="165"/>
      <c r="L16" s="151"/>
    </row>
    <row r="17" spans="2:12" x14ac:dyDescent="0.35">
      <c r="F17" s="152" t="s">
        <v>135</v>
      </c>
      <c r="I17" s="152" t="s">
        <v>132</v>
      </c>
      <c r="L17" s="151"/>
    </row>
    <row r="18" spans="2:12" x14ac:dyDescent="0.35">
      <c r="D18" s="21" t="s">
        <v>306</v>
      </c>
      <c r="E18" s="236" t="s">
        <v>135</v>
      </c>
      <c r="F18" s="152" t="s">
        <v>133</v>
      </c>
      <c r="G18" s="158" t="s">
        <v>133</v>
      </c>
      <c r="H18" s="153" t="s">
        <v>134</v>
      </c>
      <c r="I18" s="152" t="s">
        <v>135</v>
      </c>
      <c r="L18" s="151"/>
    </row>
    <row r="19" spans="2:12" x14ac:dyDescent="0.35">
      <c r="B19" s="274" t="s">
        <v>183</v>
      </c>
      <c r="C19" s="21" t="s">
        <v>178</v>
      </c>
      <c r="D19" s="337" t="s">
        <v>136</v>
      </c>
      <c r="E19" s="152" t="s">
        <v>136</v>
      </c>
      <c r="F19" s="152" t="s">
        <v>137</v>
      </c>
      <c r="G19" s="158" t="s">
        <v>138</v>
      </c>
      <c r="H19" s="153" t="s">
        <v>138</v>
      </c>
      <c r="I19" s="152" t="s">
        <v>136</v>
      </c>
      <c r="L19" s="151"/>
    </row>
    <row r="20" spans="2:12" x14ac:dyDescent="0.35">
      <c r="B20" s="1" t="s">
        <v>322</v>
      </c>
      <c r="C20" s="21">
        <v>7</v>
      </c>
      <c r="D20" s="367">
        <v>24.4</v>
      </c>
      <c r="E20" s="152">
        <f t="shared" ref="E20:E22" si="6">(D20*C20)*12</f>
        <v>2049.6</v>
      </c>
      <c r="F20" s="152">
        <f>E20</f>
        <v>2049.6</v>
      </c>
      <c r="G20" s="158">
        <v>1</v>
      </c>
      <c r="H20" s="153">
        <v>0</v>
      </c>
      <c r="I20" s="152">
        <f t="shared" ref="I20:I22" si="7">E20*H20</f>
        <v>0</v>
      </c>
      <c r="L20" s="151"/>
    </row>
    <row r="21" spans="2:12" x14ac:dyDescent="0.35">
      <c r="B21" s="1" t="s">
        <v>323</v>
      </c>
      <c r="C21" s="21">
        <v>2</v>
      </c>
      <c r="D21" s="21">
        <v>47.72</v>
      </c>
      <c r="E21" s="152">
        <f t="shared" si="6"/>
        <v>1145.28</v>
      </c>
      <c r="F21" s="152">
        <f t="shared" ref="F21:F22" si="8">E21</f>
        <v>1145.28</v>
      </c>
      <c r="G21" s="158">
        <v>1</v>
      </c>
      <c r="H21" s="153">
        <v>0</v>
      </c>
      <c r="I21" s="152">
        <f t="shared" si="7"/>
        <v>0</v>
      </c>
      <c r="L21" s="151"/>
    </row>
    <row r="22" spans="2:12" x14ac:dyDescent="0.35">
      <c r="B22" s="1" t="s">
        <v>328</v>
      </c>
      <c r="C22" s="21">
        <v>1</v>
      </c>
      <c r="D22" s="21">
        <v>82.22</v>
      </c>
      <c r="E22" s="152">
        <f t="shared" si="6"/>
        <v>986.64</v>
      </c>
      <c r="F22" s="152">
        <f t="shared" si="8"/>
        <v>986.64</v>
      </c>
      <c r="G22" s="158">
        <v>1</v>
      </c>
      <c r="H22" s="153">
        <v>0</v>
      </c>
      <c r="I22" s="152">
        <f t="shared" si="7"/>
        <v>0</v>
      </c>
      <c r="K22" s="157"/>
      <c r="L22" s="151"/>
    </row>
    <row r="23" spans="2:12" x14ac:dyDescent="0.35">
      <c r="I23" s="157"/>
      <c r="L23" s="151"/>
    </row>
    <row r="24" spans="2:12" x14ac:dyDescent="0.35">
      <c r="B24" s="249" t="s">
        <v>184</v>
      </c>
      <c r="C24" s="246"/>
      <c r="D24" s="246">
        <f>SUM(D20:D23)</f>
        <v>154.34</v>
      </c>
      <c r="I24" s="152">
        <f>SUM(I20:I23)</f>
        <v>0</v>
      </c>
      <c r="J24" s="163"/>
      <c r="K24" s="164"/>
      <c r="L24" s="151"/>
    </row>
    <row r="25" spans="2:12" x14ac:dyDescent="0.35">
      <c r="F25" s="156"/>
      <c r="H25" s="154"/>
      <c r="K25" s="165"/>
      <c r="L25" s="151"/>
    </row>
    <row r="26" spans="2:12" x14ac:dyDescent="0.35">
      <c r="F26" s="152" t="s">
        <v>135</v>
      </c>
      <c r="I26" s="152" t="s">
        <v>132</v>
      </c>
      <c r="K26" s="165"/>
      <c r="L26" s="151"/>
    </row>
    <row r="27" spans="2:12" x14ac:dyDescent="0.35">
      <c r="E27" s="236" t="s">
        <v>135</v>
      </c>
      <c r="F27" s="152" t="s">
        <v>133</v>
      </c>
      <c r="G27" s="158" t="s">
        <v>133</v>
      </c>
      <c r="H27" s="153" t="s">
        <v>134</v>
      </c>
      <c r="I27" s="152" t="s">
        <v>135</v>
      </c>
      <c r="K27" s="165"/>
      <c r="L27" s="151"/>
    </row>
    <row r="28" spans="2:12" x14ac:dyDescent="0.35">
      <c r="B28" s="274" t="s">
        <v>225</v>
      </c>
      <c r="C28" s="21" t="s">
        <v>178</v>
      </c>
      <c r="E28" s="152" t="s">
        <v>136</v>
      </c>
      <c r="F28" s="152" t="s">
        <v>137</v>
      </c>
      <c r="G28" s="158" t="s">
        <v>138</v>
      </c>
      <c r="H28" s="153" t="s">
        <v>138</v>
      </c>
      <c r="I28" s="152" t="s">
        <v>136</v>
      </c>
      <c r="K28" s="165"/>
      <c r="L28" s="151"/>
    </row>
    <row r="29" spans="2:12" x14ac:dyDescent="0.35">
      <c r="B29" s="1" t="s">
        <v>322</v>
      </c>
      <c r="C29" s="21">
        <v>8</v>
      </c>
      <c r="D29" s="21">
        <v>7.96</v>
      </c>
      <c r="E29" s="152">
        <f t="shared" ref="E29:E31" si="9">(D29*C29)*12</f>
        <v>764.16</v>
      </c>
      <c r="F29" s="152">
        <f t="shared" ref="F29:F31" si="10">E29</f>
        <v>764.16</v>
      </c>
      <c r="G29" s="158">
        <v>1</v>
      </c>
      <c r="H29" s="153">
        <v>0</v>
      </c>
      <c r="I29" s="152">
        <f t="shared" ref="I29:I31" si="11">E29*H29</f>
        <v>0</v>
      </c>
      <c r="K29" s="165"/>
      <c r="L29" s="151"/>
    </row>
    <row r="30" spans="2:12" x14ac:dyDescent="0.35">
      <c r="B30" s="1" t="s">
        <v>323</v>
      </c>
      <c r="C30" s="21">
        <v>3</v>
      </c>
      <c r="D30" s="21">
        <v>14.92</v>
      </c>
      <c r="E30" s="152">
        <f t="shared" si="9"/>
        <v>537.12</v>
      </c>
      <c r="F30" s="152">
        <f t="shared" si="10"/>
        <v>537.12</v>
      </c>
      <c r="G30" s="158">
        <v>1</v>
      </c>
      <c r="H30" s="153">
        <v>0</v>
      </c>
      <c r="I30" s="152">
        <f t="shared" si="11"/>
        <v>0</v>
      </c>
      <c r="K30" s="165"/>
      <c r="L30" s="151"/>
    </row>
    <row r="31" spans="2:12" x14ac:dyDescent="0.35">
      <c r="B31" s="1" t="s">
        <v>328</v>
      </c>
      <c r="C31" s="21">
        <v>1</v>
      </c>
      <c r="D31" s="21">
        <v>24.29</v>
      </c>
      <c r="E31" s="152">
        <f t="shared" si="9"/>
        <v>291.48</v>
      </c>
      <c r="F31" s="152">
        <f t="shared" si="10"/>
        <v>291.48</v>
      </c>
      <c r="G31" s="158">
        <v>1</v>
      </c>
      <c r="H31" s="153">
        <v>0</v>
      </c>
      <c r="I31" s="157">
        <f t="shared" si="11"/>
        <v>0</v>
      </c>
      <c r="K31" s="165"/>
      <c r="L31" s="151"/>
    </row>
    <row r="32" spans="2:12" x14ac:dyDescent="0.35">
      <c r="B32" s="249" t="s">
        <v>330</v>
      </c>
      <c r="C32" s="246"/>
      <c r="D32" s="246">
        <f>SUM(D29:D31)</f>
        <v>47.17</v>
      </c>
      <c r="I32" s="152">
        <f>SUM(I29:I31)</f>
        <v>0</v>
      </c>
      <c r="K32" s="165"/>
      <c r="L32" s="151"/>
    </row>
    <row r="33" spans="2:12" x14ac:dyDescent="0.35">
      <c r="B33" s="249"/>
      <c r="C33" s="246"/>
      <c r="D33" s="246"/>
      <c r="K33" s="165"/>
      <c r="L33" s="151"/>
    </row>
    <row r="34" spans="2:12" x14ac:dyDescent="0.35">
      <c r="F34" s="152" t="s">
        <v>135</v>
      </c>
      <c r="I34" s="152" t="s">
        <v>132</v>
      </c>
      <c r="K34" s="165"/>
      <c r="L34" s="151"/>
    </row>
    <row r="35" spans="2:12" x14ac:dyDescent="0.35">
      <c r="E35" s="236" t="s">
        <v>135</v>
      </c>
      <c r="F35" s="152" t="s">
        <v>133</v>
      </c>
      <c r="G35" s="158" t="s">
        <v>133</v>
      </c>
      <c r="H35" s="153" t="s">
        <v>134</v>
      </c>
      <c r="I35" s="152" t="s">
        <v>135</v>
      </c>
      <c r="K35" s="165"/>
      <c r="L35" s="151"/>
    </row>
    <row r="36" spans="2:12" x14ac:dyDescent="0.35">
      <c r="B36" s="274" t="s">
        <v>324</v>
      </c>
      <c r="C36" s="21" t="s">
        <v>178</v>
      </c>
      <c r="E36" s="152" t="s">
        <v>136</v>
      </c>
      <c r="F36" s="152" t="s">
        <v>137</v>
      </c>
      <c r="G36" s="158" t="s">
        <v>138</v>
      </c>
      <c r="H36" s="153" t="s">
        <v>138</v>
      </c>
      <c r="I36" s="152" t="s">
        <v>136</v>
      </c>
      <c r="K36" s="165"/>
      <c r="L36" s="151"/>
    </row>
    <row r="37" spans="2:12" x14ac:dyDescent="0.35">
      <c r="B37" s="1" t="s">
        <v>333</v>
      </c>
      <c r="C37" s="21">
        <v>12</v>
      </c>
      <c r="D37" s="21">
        <v>10.5</v>
      </c>
      <c r="E37" s="152">
        <f t="shared" ref="E37" si="12">(D37*C37)*12</f>
        <v>1512</v>
      </c>
      <c r="F37" s="152">
        <v>0</v>
      </c>
      <c r="G37" s="158">
        <v>0</v>
      </c>
      <c r="H37" s="153">
        <f t="shared" ref="H37:H38" si="13">1-G37</f>
        <v>1</v>
      </c>
      <c r="I37" s="152">
        <f t="shared" ref="I37" si="14">E37*H37</f>
        <v>1512</v>
      </c>
      <c r="K37" s="165"/>
      <c r="L37" s="151"/>
    </row>
    <row r="38" spans="2:12" x14ac:dyDescent="0.35">
      <c r="C38" s="21">
        <v>1</v>
      </c>
      <c r="D38" s="21">
        <v>5.75</v>
      </c>
      <c r="E38" s="152">
        <f t="shared" ref="E38" si="15">(D38*C38)*12</f>
        <v>69</v>
      </c>
      <c r="F38" s="152">
        <v>0</v>
      </c>
      <c r="G38" s="158">
        <v>0</v>
      </c>
      <c r="H38" s="153">
        <f t="shared" si="13"/>
        <v>1</v>
      </c>
      <c r="I38" s="157">
        <f t="shared" ref="I38" si="16">E38*H38</f>
        <v>69</v>
      </c>
      <c r="K38" s="165"/>
      <c r="L38" s="151"/>
    </row>
    <row r="39" spans="2:12" x14ac:dyDescent="0.35">
      <c r="B39" s="249" t="s">
        <v>331</v>
      </c>
      <c r="C39" s="246"/>
      <c r="D39" s="246"/>
      <c r="I39" s="152">
        <f>SUM(I37)</f>
        <v>1512</v>
      </c>
      <c r="K39" s="165"/>
      <c r="L39" s="151"/>
    </row>
    <row r="40" spans="2:12" x14ac:dyDescent="0.35">
      <c r="B40" s="249"/>
      <c r="C40" s="246"/>
      <c r="D40" s="246"/>
      <c r="K40" s="165"/>
      <c r="L40" s="151"/>
    </row>
    <row r="41" spans="2:12" x14ac:dyDescent="0.35">
      <c r="F41" s="152" t="s">
        <v>135</v>
      </c>
      <c r="I41" s="152" t="s">
        <v>132</v>
      </c>
      <c r="K41" s="165"/>
      <c r="L41" s="151"/>
    </row>
    <row r="42" spans="2:12" x14ac:dyDescent="0.35">
      <c r="E42" s="236" t="s">
        <v>135</v>
      </c>
      <c r="F42" s="152" t="s">
        <v>133</v>
      </c>
      <c r="G42" s="158" t="s">
        <v>133</v>
      </c>
      <c r="H42" s="153" t="s">
        <v>134</v>
      </c>
      <c r="I42" s="152" t="s">
        <v>135</v>
      </c>
      <c r="K42" s="165"/>
      <c r="L42" s="151"/>
    </row>
    <row r="43" spans="2:12" x14ac:dyDescent="0.35">
      <c r="B43" s="274" t="s">
        <v>325</v>
      </c>
      <c r="C43" s="21" t="s">
        <v>178</v>
      </c>
      <c r="E43" s="152" t="s">
        <v>136</v>
      </c>
      <c r="F43" s="152" t="s">
        <v>137</v>
      </c>
      <c r="G43" s="158" t="s">
        <v>138</v>
      </c>
      <c r="H43" s="153" t="s">
        <v>138</v>
      </c>
      <c r="I43" s="152" t="s">
        <v>136</v>
      </c>
      <c r="K43" s="165"/>
      <c r="L43" s="151"/>
    </row>
    <row r="44" spans="2:12" x14ac:dyDescent="0.35">
      <c r="B44" s="1" t="s">
        <v>326</v>
      </c>
      <c r="C44" s="21">
        <v>1</v>
      </c>
      <c r="D44" s="21">
        <f>23.87+34.36+22.82+20.93+22.7+13.95+25.45+31.64+13.95+15.29+42.43</f>
        <v>267.39</v>
      </c>
      <c r="E44" s="152">
        <f t="shared" ref="E44:E45" si="17">(D44*C44)*12</f>
        <v>3208.68</v>
      </c>
      <c r="F44" s="152">
        <v>0</v>
      </c>
      <c r="G44" s="158">
        <v>0</v>
      </c>
      <c r="H44" s="153">
        <f t="shared" ref="H44:H45" si="18">1-G44</f>
        <v>1</v>
      </c>
      <c r="I44" s="152">
        <f t="shared" ref="I44:I45" si="19">E44*H44</f>
        <v>3208.68</v>
      </c>
      <c r="K44" s="165"/>
      <c r="L44" s="151"/>
    </row>
    <row r="45" spans="2:12" x14ac:dyDescent="0.35">
      <c r="B45" s="1" t="s">
        <v>327</v>
      </c>
      <c r="C45" s="21">
        <v>1</v>
      </c>
      <c r="D45" s="21">
        <f>27.95+40.59+26.67+24.4+26.53+15.99+29.85+37.3+15.99+17.6+50.31</f>
        <v>313.18000000000006</v>
      </c>
      <c r="E45" s="152">
        <f t="shared" si="17"/>
        <v>3758.1600000000008</v>
      </c>
      <c r="F45" s="152">
        <v>0</v>
      </c>
      <c r="G45" s="158">
        <v>0</v>
      </c>
      <c r="H45" s="153">
        <f t="shared" si="18"/>
        <v>1</v>
      </c>
      <c r="I45" s="157">
        <f t="shared" si="19"/>
        <v>3758.1600000000008</v>
      </c>
      <c r="K45" s="165"/>
      <c r="L45" s="151"/>
    </row>
    <row r="46" spans="2:12" x14ac:dyDescent="0.35">
      <c r="B46" s="249" t="s">
        <v>332</v>
      </c>
      <c r="C46" s="246"/>
      <c r="D46" s="246">
        <f>SUM(D44:D45)</f>
        <v>580.57000000000005</v>
      </c>
      <c r="I46" s="152">
        <f>SUM(I44:I45)</f>
        <v>6966.84</v>
      </c>
      <c r="K46" s="165"/>
      <c r="L46" s="151"/>
    </row>
    <row r="47" spans="2:12" x14ac:dyDescent="0.35">
      <c r="L47" s="151"/>
    </row>
    <row r="48" spans="2:12" x14ac:dyDescent="0.35">
      <c r="B48" s="1" t="s">
        <v>165</v>
      </c>
      <c r="E48" s="1"/>
      <c r="L48" s="151"/>
    </row>
    <row r="49" spans="2:15" s="198" customFormat="1" x14ac:dyDescent="0.35">
      <c r="C49" s="247"/>
      <c r="D49" s="247"/>
      <c r="E49" s="199"/>
      <c r="F49" s="199"/>
      <c r="G49" s="200"/>
      <c r="H49" s="201"/>
      <c r="I49" s="199"/>
      <c r="J49" s="202"/>
      <c r="K49" s="199"/>
      <c r="L49" s="203"/>
    </row>
    <row r="50" spans="2:15" s="198" customFormat="1" x14ac:dyDescent="0.35">
      <c r="B50" s="1" t="s">
        <v>226</v>
      </c>
      <c r="C50" s="247"/>
      <c r="D50" s="247"/>
      <c r="E50" s="199">
        <f>I14+I24+I32+I39+I46</f>
        <v>165549.35999999999</v>
      </c>
      <c r="F50" s="199"/>
      <c r="G50" s="200"/>
      <c r="H50" s="201"/>
      <c r="I50" s="199"/>
      <c r="J50" s="202"/>
      <c r="K50" s="199"/>
      <c r="L50" s="203"/>
    </row>
    <row r="51" spans="2:15" x14ac:dyDescent="0.35">
      <c r="B51" s="1" t="s">
        <v>301</v>
      </c>
      <c r="C51" s="247"/>
      <c r="D51" s="247"/>
      <c r="E51" s="157">
        <v>139686.79</v>
      </c>
      <c r="G51" s="335" t="s">
        <v>302</v>
      </c>
      <c r="H51" s="160"/>
      <c r="K51" s="166"/>
      <c r="L51" s="44"/>
      <c r="N51" s="150"/>
      <c r="O51" s="150"/>
    </row>
    <row r="52" spans="2:15" x14ac:dyDescent="0.35">
      <c r="B52" s="198" t="s">
        <v>36</v>
      </c>
      <c r="C52" s="247"/>
      <c r="D52" s="247"/>
      <c r="E52" s="152">
        <f>E50-E51</f>
        <v>25862.569999999978</v>
      </c>
      <c r="G52" s="159"/>
      <c r="H52" s="161"/>
      <c r="K52" s="167"/>
      <c r="L52" s="147"/>
      <c r="N52" s="2"/>
    </row>
    <row r="53" spans="2:15" ht="16" x14ac:dyDescent="0.5">
      <c r="H53" s="162"/>
      <c r="K53" s="168"/>
      <c r="L53" s="148"/>
    </row>
    <row r="54" spans="2:15" x14ac:dyDescent="0.35">
      <c r="H54" s="161"/>
      <c r="K54" s="167"/>
      <c r="L54" s="147"/>
    </row>
    <row r="59" spans="2:15" x14ac:dyDescent="0.35">
      <c r="B59" s="158"/>
      <c r="C59" s="248"/>
      <c r="D59" s="248"/>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590D3-A7C3-4727-A9D4-F5C014E94ADB}">
  <sheetPr>
    <tabColor rgb="FF92D050"/>
    <pageSetUpPr fitToPage="1"/>
  </sheetPr>
  <dimension ref="A1:R59"/>
  <sheetViews>
    <sheetView showGridLines="0" topLeftCell="A17" zoomScale="120" zoomScaleNormal="120" workbookViewId="0">
      <selection activeCell="J52" sqref="J52"/>
    </sheetView>
  </sheetViews>
  <sheetFormatPr defaultRowHeight="15.5" x14ac:dyDescent="0.35"/>
  <cols>
    <col min="1" max="1" width="2" customWidth="1"/>
    <col min="2" max="2" width="1.84375" customWidth="1"/>
    <col min="3" max="3" width="1.765625" customWidth="1"/>
    <col min="4" max="4" width="28.61328125" style="1" customWidth="1"/>
    <col min="5" max="5" width="8.3046875" style="1" customWidth="1"/>
    <col min="6" max="6" width="10.69140625" style="176" customWidth="1"/>
    <col min="7" max="7" width="6.07421875" style="1" customWidth="1"/>
    <col min="8" max="8" width="9.921875" style="172" bestFit="1" customWidth="1"/>
    <col min="9" max="9" width="6.07421875" customWidth="1"/>
    <col min="10" max="10" width="9.921875" style="172" bestFit="1" customWidth="1"/>
    <col min="11" max="11" width="10.69140625" customWidth="1"/>
    <col min="12" max="12" width="1.84375" customWidth="1"/>
    <col min="13" max="13" width="2.4609375" customWidth="1"/>
    <col min="15" max="18" width="8.84375" style="1"/>
  </cols>
  <sheetData>
    <row r="1" spans="1:13" x14ac:dyDescent="0.35">
      <c r="A1" s="1"/>
      <c r="B1" s="1"/>
      <c r="C1" s="3"/>
      <c r="D1" s="3"/>
      <c r="E1" s="3"/>
      <c r="G1" s="127"/>
      <c r="H1" s="19"/>
      <c r="I1" s="127"/>
      <c r="J1" s="19"/>
      <c r="K1" s="3"/>
      <c r="L1" s="3"/>
      <c r="M1" s="3"/>
    </row>
    <row r="2" spans="1:13" x14ac:dyDescent="0.35">
      <c r="A2" s="1"/>
      <c r="B2" s="117"/>
      <c r="C2" s="119"/>
      <c r="D2" s="119"/>
      <c r="E2" s="119"/>
      <c r="F2" s="177"/>
      <c r="G2" s="128"/>
      <c r="H2" s="169"/>
      <c r="I2" s="128"/>
      <c r="J2" s="169"/>
      <c r="K2" s="119"/>
      <c r="L2" s="135"/>
      <c r="M2" s="138"/>
    </row>
    <row r="3" spans="1:13" ht="18.5" x14ac:dyDescent="0.45">
      <c r="A3" s="1"/>
      <c r="B3" s="47"/>
      <c r="C3" s="413" t="s">
        <v>26</v>
      </c>
      <c r="D3" s="413"/>
      <c r="E3" s="413"/>
      <c r="F3" s="413"/>
      <c r="G3" s="413"/>
      <c r="H3" s="413"/>
      <c r="I3" s="413"/>
      <c r="J3" s="413"/>
      <c r="K3" s="413"/>
      <c r="L3" s="136"/>
      <c r="M3" s="138"/>
    </row>
    <row r="4" spans="1:13" ht="18.5" x14ac:dyDescent="0.45">
      <c r="A4" s="1"/>
      <c r="B4" s="47"/>
      <c r="C4" s="414" t="s">
        <v>38</v>
      </c>
      <c r="D4" s="414"/>
      <c r="E4" s="414"/>
      <c r="F4" s="414"/>
      <c r="G4" s="414"/>
      <c r="H4" s="414"/>
      <c r="I4" s="414"/>
      <c r="J4" s="414"/>
      <c r="K4" s="414"/>
      <c r="L4" s="136"/>
      <c r="M4" s="138"/>
    </row>
    <row r="5" spans="1:13" x14ac:dyDescent="0.35">
      <c r="A5" s="1"/>
      <c r="B5" s="47"/>
      <c r="C5" s="415" t="str">
        <f>'Debt Service'!B5</f>
        <v>SOUTH EASTERN WATER ASSOCIATION, INC.</v>
      </c>
      <c r="D5" s="415"/>
      <c r="E5" s="415"/>
      <c r="F5" s="415"/>
      <c r="G5" s="415"/>
      <c r="H5" s="415"/>
      <c r="I5" s="415"/>
      <c r="J5" s="415"/>
      <c r="K5" s="415"/>
      <c r="L5" s="136"/>
      <c r="M5" s="138"/>
    </row>
    <row r="6" spans="1:13" x14ac:dyDescent="0.35">
      <c r="A6" s="1"/>
      <c r="B6" s="47"/>
      <c r="C6" s="3"/>
      <c r="D6" s="3"/>
      <c r="E6" s="3"/>
      <c r="G6" s="129"/>
      <c r="H6" s="19"/>
      <c r="I6" s="129"/>
      <c r="J6" s="19"/>
      <c r="K6" s="121" t="s">
        <v>39</v>
      </c>
      <c r="L6" s="136"/>
      <c r="M6" s="138"/>
    </row>
    <row r="7" spans="1:13" x14ac:dyDescent="0.35">
      <c r="A7" s="1"/>
      <c r="B7" s="47"/>
      <c r="C7" s="120"/>
      <c r="D7" s="120"/>
      <c r="E7" s="120" t="s">
        <v>40</v>
      </c>
      <c r="F7" s="178" t="s">
        <v>41</v>
      </c>
      <c r="G7" s="416" t="s">
        <v>114</v>
      </c>
      <c r="H7" s="416"/>
      <c r="I7" s="416" t="s">
        <v>31</v>
      </c>
      <c r="J7" s="416"/>
      <c r="K7" s="121" t="s">
        <v>42</v>
      </c>
      <c r="L7" s="136"/>
      <c r="M7" s="138"/>
    </row>
    <row r="8" spans="1:13" ht="17" x14ac:dyDescent="0.5">
      <c r="A8" s="1"/>
      <c r="B8" s="47"/>
      <c r="C8" s="121"/>
      <c r="D8" s="125" t="s">
        <v>95</v>
      </c>
      <c r="E8" s="121" t="s">
        <v>43</v>
      </c>
      <c r="F8" s="179" t="s">
        <v>113</v>
      </c>
      <c r="G8" s="24" t="s">
        <v>44</v>
      </c>
      <c r="H8" s="121" t="s">
        <v>45</v>
      </c>
      <c r="I8" s="24" t="s">
        <v>44</v>
      </c>
      <c r="J8" s="121" t="s">
        <v>45</v>
      </c>
      <c r="K8" s="121" t="s">
        <v>36</v>
      </c>
      <c r="L8" s="136"/>
      <c r="M8" s="138"/>
    </row>
    <row r="9" spans="1:13" x14ac:dyDescent="0.35">
      <c r="A9" s="1"/>
      <c r="B9" s="47"/>
      <c r="C9" s="122" t="s">
        <v>90</v>
      </c>
      <c r="D9" s="3"/>
      <c r="E9" s="126"/>
      <c r="G9" s="129"/>
      <c r="H9" s="171"/>
      <c r="I9" s="129"/>
      <c r="J9" s="171"/>
      <c r="K9" s="2"/>
      <c r="L9" s="136"/>
      <c r="M9" s="138"/>
    </row>
    <row r="10" spans="1:13" hidden="1" x14ac:dyDescent="0.35">
      <c r="A10" s="1"/>
      <c r="B10" s="47"/>
      <c r="C10" s="122"/>
      <c r="D10" s="3"/>
      <c r="E10" s="126"/>
      <c r="F10" s="181"/>
      <c r="G10" s="66"/>
      <c r="H10" s="145"/>
      <c r="I10" s="129"/>
      <c r="J10" s="171"/>
      <c r="K10" s="23"/>
      <c r="L10" s="136"/>
      <c r="M10" s="138"/>
    </row>
    <row r="11" spans="1:13" x14ac:dyDescent="0.35">
      <c r="A11" s="1"/>
      <c r="B11" s="47"/>
      <c r="C11" s="122"/>
      <c r="D11" s="3" t="s">
        <v>96</v>
      </c>
      <c r="E11" s="235" t="s">
        <v>177</v>
      </c>
      <c r="F11" s="181">
        <v>2967225</v>
      </c>
      <c r="G11" s="235" t="s">
        <v>177</v>
      </c>
      <c r="H11" s="145">
        <v>97698</v>
      </c>
      <c r="I11" s="129">
        <v>37.5</v>
      </c>
      <c r="J11" s="145">
        <f>F11/I11</f>
        <v>79126</v>
      </c>
      <c r="K11" s="23">
        <f>J11-H11</f>
        <v>-18572</v>
      </c>
      <c r="L11" s="136"/>
      <c r="M11" s="138"/>
    </row>
    <row r="12" spans="1:13" x14ac:dyDescent="0.35">
      <c r="A12" s="1"/>
      <c r="B12" s="47"/>
      <c r="C12" s="122"/>
      <c r="D12" s="3" t="s">
        <v>311</v>
      </c>
      <c r="E12" s="235" t="s">
        <v>177</v>
      </c>
      <c r="F12" s="340">
        <v>181707</v>
      </c>
      <c r="G12" s="235" t="s">
        <v>177</v>
      </c>
      <c r="H12" s="145">
        <v>36244</v>
      </c>
      <c r="I12" s="129">
        <v>10</v>
      </c>
      <c r="J12" s="145">
        <f>F12/I12</f>
        <v>18170.7</v>
      </c>
      <c r="K12" s="23">
        <f>J12-H12</f>
        <v>-18073.3</v>
      </c>
      <c r="L12" s="136"/>
      <c r="M12" s="138"/>
    </row>
    <row r="13" spans="1:13" x14ac:dyDescent="0.35">
      <c r="A13" s="1"/>
      <c r="B13" s="47"/>
      <c r="C13" s="3"/>
      <c r="D13" s="3" t="s">
        <v>97</v>
      </c>
      <c r="E13" s="235" t="s">
        <v>177</v>
      </c>
      <c r="F13" s="340">
        <v>26309</v>
      </c>
      <c r="G13" s="235" t="s">
        <v>177</v>
      </c>
      <c r="H13" s="145">
        <v>6577</v>
      </c>
      <c r="I13" s="129">
        <v>22.5</v>
      </c>
      <c r="J13" s="145">
        <f>F13/I13</f>
        <v>1169.2888888888888</v>
      </c>
      <c r="K13" s="23">
        <f t="shared" ref="K13:K15" si="0">J13-H13</f>
        <v>-5407.7111111111117</v>
      </c>
      <c r="L13" s="136"/>
      <c r="M13" s="138"/>
    </row>
    <row r="14" spans="1:13" x14ac:dyDescent="0.35">
      <c r="A14" s="1"/>
      <c r="B14" s="47"/>
      <c r="C14" s="3"/>
      <c r="D14" s="3" t="s">
        <v>98</v>
      </c>
      <c r="E14" s="235" t="s">
        <v>177</v>
      </c>
      <c r="F14" s="340">
        <v>780107</v>
      </c>
      <c r="G14" s="235" t="s">
        <v>177</v>
      </c>
      <c r="H14" s="145">
        <v>53184</v>
      </c>
      <c r="I14" s="129">
        <v>12.5</v>
      </c>
      <c r="J14" s="145">
        <f t="shared" ref="J14:J16" si="1">F14/I14</f>
        <v>62408.56</v>
      </c>
      <c r="K14" s="23">
        <f t="shared" si="0"/>
        <v>9224.5599999999977</v>
      </c>
      <c r="L14" s="136"/>
      <c r="M14" s="138"/>
    </row>
    <row r="15" spans="1:13" x14ac:dyDescent="0.35">
      <c r="A15" s="1"/>
      <c r="B15" s="47"/>
      <c r="C15" s="3"/>
      <c r="D15" s="3" t="s">
        <v>99</v>
      </c>
      <c r="E15" s="126" t="s">
        <v>177</v>
      </c>
      <c r="F15" s="340">
        <v>35107</v>
      </c>
      <c r="G15" s="235" t="s">
        <v>177</v>
      </c>
      <c r="H15" s="145">
        <v>9710</v>
      </c>
      <c r="I15" s="129">
        <v>17.5</v>
      </c>
      <c r="J15" s="145">
        <f t="shared" si="1"/>
        <v>2006.1142857142856</v>
      </c>
      <c r="K15" s="23">
        <f t="shared" si="0"/>
        <v>-7703.8857142857141</v>
      </c>
      <c r="L15" s="136"/>
      <c r="M15" s="138"/>
    </row>
    <row r="16" spans="1:13" hidden="1" x14ac:dyDescent="0.35">
      <c r="A16" s="1"/>
      <c r="B16" s="47"/>
      <c r="C16" s="3"/>
      <c r="D16" s="3" t="s">
        <v>100</v>
      </c>
      <c r="E16" s="126"/>
      <c r="F16" s="181"/>
      <c r="G16" s="66"/>
      <c r="H16" s="145"/>
      <c r="I16" s="129">
        <v>15</v>
      </c>
      <c r="J16" s="145">
        <f t="shared" si="1"/>
        <v>0</v>
      </c>
      <c r="K16" s="23"/>
      <c r="L16" s="136"/>
      <c r="M16" s="138"/>
    </row>
    <row r="17" spans="1:15" x14ac:dyDescent="0.35">
      <c r="A17" s="1"/>
      <c r="B17" s="47"/>
      <c r="C17" s="3"/>
      <c r="D17" s="3"/>
      <c r="E17" s="126"/>
      <c r="F17" s="181"/>
      <c r="G17" s="66"/>
      <c r="H17" s="145"/>
      <c r="I17" s="129"/>
      <c r="J17" s="145"/>
      <c r="K17" s="23"/>
      <c r="L17" s="136"/>
      <c r="M17" s="138"/>
    </row>
    <row r="18" spans="1:15" hidden="1" x14ac:dyDescent="0.35">
      <c r="A18" s="1"/>
      <c r="B18" s="47"/>
      <c r="C18" s="122" t="s">
        <v>141</v>
      </c>
      <c r="D18" s="3"/>
      <c r="E18" s="126"/>
      <c r="F18" s="181"/>
      <c r="G18" s="66"/>
      <c r="H18" s="145"/>
      <c r="I18" s="129"/>
      <c r="J18" s="145"/>
      <c r="K18" s="23"/>
      <c r="L18" s="136"/>
      <c r="M18" s="138"/>
    </row>
    <row r="19" spans="1:15" hidden="1" x14ac:dyDescent="0.35">
      <c r="A19" s="1"/>
      <c r="B19" s="47"/>
      <c r="C19" s="3"/>
      <c r="D19" s="3" t="s">
        <v>142</v>
      </c>
      <c r="E19" s="126"/>
      <c r="F19" s="181"/>
      <c r="G19" s="66"/>
      <c r="H19" s="145"/>
      <c r="I19" s="129">
        <v>62.5</v>
      </c>
      <c r="J19" s="145">
        <f t="shared" ref="J19:J20" si="2">F19/I19</f>
        <v>0</v>
      </c>
      <c r="K19" s="23"/>
      <c r="L19" s="136"/>
      <c r="M19" s="138"/>
    </row>
    <row r="20" spans="1:15" hidden="1" x14ac:dyDescent="0.35">
      <c r="A20" s="1"/>
      <c r="B20" s="47"/>
      <c r="C20" s="3"/>
      <c r="D20" s="3" t="s">
        <v>143</v>
      </c>
      <c r="E20" s="126"/>
      <c r="F20" s="181"/>
      <c r="G20" s="66"/>
      <c r="H20" s="145"/>
      <c r="I20" s="129">
        <v>62.5</v>
      </c>
      <c r="J20" s="145">
        <f t="shared" si="2"/>
        <v>0</v>
      </c>
      <c r="K20" s="23"/>
      <c r="L20" s="136"/>
      <c r="M20" s="138"/>
    </row>
    <row r="21" spans="1:15" hidden="1" x14ac:dyDescent="0.35">
      <c r="A21" s="1"/>
      <c r="B21" s="47"/>
      <c r="C21" s="121"/>
      <c r="D21" s="121"/>
      <c r="E21" s="121"/>
      <c r="F21" s="180"/>
      <c r="G21" s="24"/>
      <c r="H21" s="170"/>
      <c r="I21" s="24"/>
      <c r="J21" s="170"/>
      <c r="K21" s="121"/>
      <c r="L21" s="136"/>
      <c r="M21" s="138"/>
    </row>
    <row r="22" spans="1:15" x14ac:dyDescent="0.35">
      <c r="A22" s="1"/>
      <c r="B22" s="47"/>
      <c r="C22" s="122" t="s">
        <v>91</v>
      </c>
      <c r="D22" s="3"/>
      <c r="E22" s="126"/>
      <c r="G22" s="130"/>
      <c r="H22" s="171"/>
      <c r="I22" s="130"/>
      <c r="J22" s="171"/>
      <c r="K22" s="2"/>
      <c r="L22" s="136"/>
      <c r="M22" s="138"/>
    </row>
    <row r="23" spans="1:15" x14ac:dyDescent="0.35">
      <c r="A23" s="1"/>
      <c r="B23" s="47"/>
      <c r="C23" s="122"/>
      <c r="D23" s="3" t="s">
        <v>96</v>
      </c>
      <c r="E23" s="126" t="s">
        <v>177</v>
      </c>
      <c r="F23" s="181">
        <v>1403926</v>
      </c>
      <c r="G23" s="235" t="s">
        <v>177</v>
      </c>
      <c r="H23" s="145">
        <v>35524</v>
      </c>
      <c r="I23" s="129">
        <v>37.5</v>
      </c>
      <c r="J23" s="145">
        <f t="shared" ref="J23" si="3">F23/I23</f>
        <v>37438.026666666665</v>
      </c>
      <c r="K23" s="23">
        <f t="shared" ref="K23" si="4">J23-H23</f>
        <v>1914.0266666666648</v>
      </c>
      <c r="L23" s="136"/>
      <c r="M23" s="138"/>
    </row>
    <row r="24" spans="1:15" x14ac:dyDescent="0.35">
      <c r="A24" s="1"/>
      <c r="B24" s="47"/>
      <c r="C24" s="3"/>
      <c r="D24" s="3" t="s">
        <v>101</v>
      </c>
      <c r="E24" s="126" t="s">
        <v>177</v>
      </c>
      <c r="F24" s="176">
        <v>326909</v>
      </c>
      <c r="G24" s="235">
        <v>10</v>
      </c>
      <c r="H24" s="145">
        <v>32691</v>
      </c>
      <c r="I24" s="129">
        <v>10</v>
      </c>
      <c r="J24" s="171">
        <f>ROUND(F24/I24,0)</f>
        <v>32691</v>
      </c>
      <c r="K24" s="23">
        <f>J24-H24</f>
        <v>0</v>
      </c>
      <c r="L24" s="136"/>
      <c r="M24" s="138"/>
    </row>
    <row r="25" spans="1:15" x14ac:dyDescent="0.35">
      <c r="A25" s="1"/>
      <c r="B25" s="47"/>
      <c r="C25" s="3"/>
      <c r="D25" s="3" t="s">
        <v>102</v>
      </c>
      <c r="E25" s="126" t="s">
        <v>177</v>
      </c>
      <c r="F25" s="176">
        <v>33367</v>
      </c>
      <c r="G25" s="235" t="s">
        <v>177</v>
      </c>
      <c r="H25" s="145">
        <v>4693</v>
      </c>
      <c r="I25" s="129">
        <v>20</v>
      </c>
      <c r="J25" s="171">
        <f>F25/I25</f>
        <v>1668.35</v>
      </c>
      <c r="K25" s="23">
        <f>J25-H25</f>
        <v>-3024.65</v>
      </c>
      <c r="L25" s="136"/>
      <c r="M25" s="138"/>
    </row>
    <row r="26" spans="1:15" x14ac:dyDescent="0.35">
      <c r="A26" s="1"/>
      <c r="B26" s="47"/>
      <c r="C26" s="121"/>
      <c r="D26" s="121"/>
      <c r="E26" s="121"/>
      <c r="G26" s="130"/>
      <c r="H26" s="171"/>
      <c r="I26" s="130"/>
      <c r="J26" s="171"/>
      <c r="K26" s="2"/>
      <c r="L26" s="136"/>
      <c r="M26" s="138"/>
    </row>
    <row r="27" spans="1:15" x14ac:dyDescent="0.35">
      <c r="A27" s="1"/>
      <c r="B27" s="47"/>
      <c r="C27" s="122" t="s">
        <v>92</v>
      </c>
      <c r="D27" s="3"/>
      <c r="E27" s="126"/>
      <c r="G27" s="129"/>
      <c r="H27" s="171"/>
      <c r="I27" s="129"/>
      <c r="J27" s="171"/>
      <c r="K27" s="2"/>
      <c r="L27" s="136"/>
      <c r="M27" s="138"/>
    </row>
    <row r="28" spans="1:15" x14ac:dyDescent="0.35">
      <c r="A28" s="1"/>
      <c r="B28" s="47"/>
      <c r="C28" s="122"/>
      <c r="D28" s="3" t="s">
        <v>103</v>
      </c>
      <c r="E28" s="126" t="s">
        <v>177</v>
      </c>
      <c r="F28" s="181">
        <v>5550</v>
      </c>
      <c r="G28" s="235">
        <v>40</v>
      </c>
      <c r="H28" s="145">
        <v>139</v>
      </c>
      <c r="I28" s="129">
        <v>50</v>
      </c>
      <c r="J28" s="171">
        <f>F28/I28</f>
        <v>111</v>
      </c>
      <c r="K28" s="23">
        <f>J28-H28</f>
        <v>-28</v>
      </c>
      <c r="L28" s="136"/>
      <c r="M28" s="138"/>
    </row>
    <row r="29" spans="1:15" x14ac:dyDescent="0.35">
      <c r="A29" s="1"/>
      <c r="B29" s="47"/>
      <c r="C29" s="122"/>
      <c r="D29" s="3" t="s">
        <v>104</v>
      </c>
      <c r="E29" s="126" t="s">
        <v>177</v>
      </c>
      <c r="F29" s="181">
        <v>33042391</v>
      </c>
      <c r="G29" s="235" t="s">
        <v>177</v>
      </c>
      <c r="H29" s="145">
        <v>827084</v>
      </c>
      <c r="I29" s="129">
        <v>62.5</v>
      </c>
      <c r="J29" s="145">
        <f t="shared" ref="J29:J36" si="5">F29/I29</f>
        <v>528678.25600000005</v>
      </c>
      <c r="K29" s="23">
        <f t="shared" ref="K29:K36" si="6">J29-H29</f>
        <v>-298405.74399999995</v>
      </c>
      <c r="L29" s="136"/>
      <c r="M29" s="138"/>
    </row>
    <row r="30" spans="1:15" x14ac:dyDescent="0.35">
      <c r="A30" s="1"/>
      <c r="B30" s="47"/>
      <c r="C30" s="122"/>
      <c r="D30" s="3" t="s">
        <v>105</v>
      </c>
      <c r="E30" s="126" t="s">
        <v>177</v>
      </c>
      <c r="F30" s="181">
        <v>135083</v>
      </c>
      <c r="G30" s="235">
        <v>40</v>
      </c>
      <c r="H30" s="145">
        <v>3377</v>
      </c>
      <c r="I30" s="129">
        <v>45</v>
      </c>
      <c r="J30" s="145">
        <f t="shared" si="5"/>
        <v>3001.8444444444444</v>
      </c>
      <c r="K30" s="23">
        <f t="shared" si="6"/>
        <v>-375.15555555555557</v>
      </c>
      <c r="L30" s="136"/>
      <c r="M30" s="138"/>
    </row>
    <row r="31" spans="1:15" x14ac:dyDescent="0.35">
      <c r="A31" s="1"/>
      <c r="B31" s="47"/>
      <c r="C31" s="122"/>
      <c r="D31" s="3" t="s">
        <v>106</v>
      </c>
      <c r="E31" s="235" t="s">
        <v>177</v>
      </c>
      <c r="F31" s="181">
        <v>3333283</v>
      </c>
      <c r="G31" s="235">
        <v>40</v>
      </c>
      <c r="H31" s="145">
        <v>83209</v>
      </c>
      <c r="I31" s="311">
        <v>15</v>
      </c>
      <c r="J31" s="145">
        <f t="shared" si="5"/>
        <v>222218.86666666667</v>
      </c>
      <c r="K31" s="23">
        <f t="shared" si="6"/>
        <v>139009.86666666667</v>
      </c>
      <c r="L31" s="136"/>
      <c r="M31" s="138"/>
      <c r="O31" s="2"/>
    </row>
    <row r="32" spans="1:15" x14ac:dyDescent="0.35">
      <c r="A32" s="1"/>
      <c r="B32" s="47"/>
      <c r="C32" s="122"/>
      <c r="D32" s="3" t="s">
        <v>107</v>
      </c>
      <c r="E32" s="235" t="s">
        <v>177</v>
      </c>
      <c r="F32" s="181">
        <v>896</v>
      </c>
      <c r="G32" s="235">
        <v>30</v>
      </c>
      <c r="H32" s="145">
        <v>30</v>
      </c>
      <c r="I32" s="129">
        <v>20</v>
      </c>
      <c r="J32" s="145">
        <f t="shared" si="5"/>
        <v>44.8</v>
      </c>
      <c r="K32" s="23">
        <f t="shared" si="6"/>
        <v>14.799999999999997</v>
      </c>
      <c r="L32" s="136"/>
      <c r="M32" s="138"/>
    </row>
    <row r="33" spans="1:14" x14ac:dyDescent="0.35">
      <c r="A33" s="1"/>
      <c r="B33" s="47"/>
      <c r="C33" s="122"/>
      <c r="D33" s="3" t="s">
        <v>108</v>
      </c>
      <c r="E33" s="235" t="s">
        <v>177</v>
      </c>
      <c r="F33" s="181">
        <v>19363</v>
      </c>
      <c r="G33" s="235" t="s">
        <v>177</v>
      </c>
      <c r="H33" s="145">
        <v>1704</v>
      </c>
      <c r="I33" s="129">
        <v>37.5</v>
      </c>
      <c r="J33" s="145">
        <f t="shared" si="5"/>
        <v>516.34666666666669</v>
      </c>
      <c r="K33" s="23">
        <f t="shared" si="6"/>
        <v>-1187.6533333333332</v>
      </c>
      <c r="L33" s="136"/>
      <c r="M33" s="138"/>
    </row>
    <row r="34" spans="1:14" x14ac:dyDescent="0.35">
      <c r="A34" s="1"/>
      <c r="B34" s="47"/>
      <c r="C34" s="122"/>
      <c r="D34" s="3" t="s">
        <v>109</v>
      </c>
      <c r="E34" s="235" t="s">
        <v>177</v>
      </c>
      <c r="F34" s="181">
        <v>1086562</v>
      </c>
      <c r="G34" s="235" t="s">
        <v>177</v>
      </c>
      <c r="H34" s="145">
        <v>28739</v>
      </c>
      <c r="I34" s="129">
        <v>40</v>
      </c>
      <c r="J34" s="145">
        <f t="shared" si="5"/>
        <v>27164.05</v>
      </c>
      <c r="K34" s="23">
        <f t="shared" si="6"/>
        <v>-1574.9500000000007</v>
      </c>
      <c r="L34" s="136"/>
      <c r="M34" s="138"/>
    </row>
    <row r="35" spans="1:14" x14ac:dyDescent="0.35">
      <c r="A35" s="1"/>
      <c r="B35" s="47"/>
      <c r="C35" s="122"/>
      <c r="D35" s="3" t="s">
        <v>110</v>
      </c>
      <c r="E35" s="235" t="s">
        <v>177</v>
      </c>
      <c r="F35" s="181">
        <v>1477705</v>
      </c>
      <c r="G35" s="235">
        <v>40</v>
      </c>
      <c r="H35" s="145">
        <v>36943</v>
      </c>
      <c r="I35" s="129">
        <v>45</v>
      </c>
      <c r="J35" s="145">
        <f t="shared" si="5"/>
        <v>32837.888888888891</v>
      </c>
      <c r="K35" s="23">
        <f t="shared" si="6"/>
        <v>-4105.1111111111095</v>
      </c>
      <c r="L35" s="136"/>
      <c r="M35" s="138"/>
    </row>
    <row r="36" spans="1:14" x14ac:dyDescent="0.35">
      <c r="A36" s="1"/>
      <c r="B36" s="47"/>
      <c r="C36" s="122"/>
      <c r="D36" s="3" t="s">
        <v>111</v>
      </c>
      <c r="E36" s="235" t="s">
        <v>177</v>
      </c>
      <c r="F36" s="181">
        <v>321013</v>
      </c>
      <c r="G36" s="235" t="s">
        <v>177</v>
      </c>
      <c r="H36" s="145">
        <v>14542</v>
      </c>
      <c r="I36" s="129">
        <v>15</v>
      </c>
      <c r="J36" s="145">
        <f t="shared" si="5"/>
        <v>21400.866666666665</v>
      </c>
      <c r="K36" s="23">
        <f t="shared" si="6"/>
        <v>6858.866666666665</v>
      </c>
      <c r="L36" s="136"/>
      <c r="M36" s="138"/>
    </row>
    <row r="37" spans="1:14" x14ac:dyDescent="0.35">
      <c r="A37" s="1"/>
      <c r="B37" s="47"/>
      <c r="C37" s="122"/>
      <c r="E37" s="126"/>
      <c r="G37" s="130"/>
      <c r="H37" s="171"/>
      <c r="I37" s="130"/>
      <c r="J37" s="171"/>
      <c r="K37" s="23"/>
      <c r="L37" s="136"/>
      <c r="M37" s="138"/>
    </row>
    <row r="38" spans="1:14" x14ac:dyDescent="0.35">
      <c r="A38" s="1"/>
      <c r="B38" s="47"/>
      <c r="C38" s="122" t="s">
        <v>93</v>
      </c>
      <c r="E38" s="126"/>
      <c r="G38" s="129"/>
      <c r="H38" s="171"/>
      <c r="I38" s="134"/>
      <c r="J38" s="171"/>
      <c r="K38" s="2"/>
      <c r="L38" s="136"/>
      <c r="M38" s="138"/>
    </row>
    <row r="39" spans="1:14" x14ac:dyDescent="0.35">
      <c r="A39" s="1"/>
      <c r="B39" s="47"/>
      <c r="C39" s="3"/>
      <c r="D39" s="1" t="s">
        <v>112</v>
      </c>
      <c r="E39" s="126" t="s">
        <v>177</v>
      </c>
      <c r="F39" s="176">
        <v>573507</v>
      </c>
      <c r="G39" s="129"/>
      <c r="H39" s="171">
        <v>119447</v>
      </c>
      <c r="I39" s="134">
        <v>7</v>
      </c>
      <c r="J39" s="171">
        <f>F39/I39</f>
        <v>81929.571428571435</v>
      </c>
      <c r="K39" s="2">
        <f>J39-H39</f>
        <v>-37517.428571428565</v>
      </c>
      <c r="L39" s="136"/>
      <c r="M39" s="138"/>
    </row>
    <row r="40" spans="1:14" x14ac:dyDescent="0.35">
      <c r="A40" s="1"/>
      <c r="B40" s="47"/>
      <c r="C40" s="121"/>
      <c r="D40" s="121"/>
      <c r="E40" s="121"/>
      <c r="G40" s="130"/>
      <c r="H40" s="171"/>
      <c r="I40" s="130"/>
      <c r="J40" s="171"/>
      <c r="K40" s="2"/>
      <c r="L40" s="136"/>
      <c r="M40" s="138"/>
    </row>
    <row r="41" spans="1:14" hidden="1" x14ac:dyDescent="0.35">
      <c r="A41" s="1"/>
      <c r="B41" s="47"/>
      <c r="C41" s="122" t="s">
        <v>94</v>
      </c>
      <c r="D41" s="3"/>
      <c r="E41" s="126"/>
      <c r="G41" s="131"/>
      <c r="H41" s="171"/>
      <c r="I41" s="129"/>
      <c r="J41" s="171"/>
      <c r="K41" s="2"/>
      <c r="L41" s="136"/>
      <c r="M41" s="138"/>
    </row>
    <row r="42" spans="1:14" hidden="1" x14ac:dyDescent="0.35">
      <c r="A42" s="1"/>
      <c r="B42" s="47"/>
      <c r="C42" s="122"/>
      <c r="D42" s="1" t="s">
        <v>139</v>
      </c>
      <c r="E42" s="126"/>
      <c r="G42" s="129"/>
      <c r="H42" s="171"/>
      <c r="I42" s="134">
        <v>62.5</v>
      </c>
      <c r="J42" s="171">
        <f>F42/I42</f>
        <v>0</v>
      </c>
      <c r="K42" s="2"/>
      <c r="L42" s="136"/>
      <c r="M42" s="138"/>
    </row>
    <row r="43" spans="1:14" hidden="1" x14ac:dyDescent="0.35">
      <c r="A43" s="1"/>
      <c r="B43" s="47"/>
      <c r="C43" s="122"/>
      <c r="D43" s="1" t="s">
        <v>140</v>
      </c>
      <c r="E43" s="126" t="s">
        <v>177</v>
      </c>
      <c r="G43" s="129"/>
      <c r="H43" s="171"/>
      <c r="I43" s="134">
        <v>27.5</v>
      </c>
      <c r="J43" s="171">
        <f>F43/I43</f>
        <v>0</v>
      </c>
      <c r="K43" s="2">
        <f>J43-H43</f>
        <v>0</v>
      </c>
      <c r="L43" s="136"/>
      <c r="M43" s="138"/>
    </row>
    <row r="44" spans="1:14" hidden="1" x14ac:dyDescent="0.35">
      <c r="A44" s="1"/>
      <c r="B44" s="47"/>
      <c r="C44" s="3"/>
      <c r="D44" s="3"/>
      <c r="E44" s="3"/>
      <c r="G44" s="2"/>
      <c r="H44" s="145"/>
      <c r="I44" s="2"/>
      <c r="J44" s="175"/>
      <c r="K44" s="2"/>
      <c r="L44" s="136"/>
      <c r="M44" s="138"/>
    </row>
    <row r="45" spans="1:14" x14ac:dyDescent="0.35">
      <c r="A45" s="1"/>
      <c r="B45" s="47"/>
      <c r="C45" s="123" t="s">
        <v>339</v>
      </c>
      <c r="F45" s="173">
        <f>SUM(F10:F44)</f>
        <v>45750010</v>
      </c>
      <c r="G45" s="132"/>
      <c r="H45" s="173">
        <f>SUM(H10:H44)</f>
        <v>1391535</v>
      </c>
      <c r="I45" s="133"/>
      <c r="J45" s="173">
        <f>SUM(J10:J44)</f>
        <v>1152581.5306031748</v>
      </c>
      <c r="K45" s="133">
        <f>SUM(K10:K44)</f>
        <v>-238953.4693968253</v>
      </c>
      <c r="L45" s="136"/>
      <c r="M45" s="138"/>
      <c r="N45" s="21"/>
    </row>
    <row r="46" spans="1:14" x14ac:dyDescent="0.35">
      <c r="A46" s="1"/>
      <c r="B46" s="47"/>
      <c r="C46" s="123"/>
      <c r="F46" s="173"/>
      <c r="G46" s="132"/>
      <c r="H46" s="173"/>
      <c r="I46" s="133"/>
      <c r="J46" s="173"/>
      <c r="K46" s="133"/>
      <c r="L46" s="136"/>
      <c r="M46" s="138"/>
      <c r="N46" s="21"/>
    </row>
    <row r="47" spans="1:14" x14ac:dyDescent="0.35">
      <c r="A47" s="1"/>
      <c r="B47" s="47"/>
      <c r="C47" s="123"/>
      <c r="D47" s="1" t="s">
        <v>338</v>
      </c>
      <c r="F47" s="173"/>
      <c r="G47" s="132"/>
      <c r="H47" s="173">
        <v>1393391</v>
      </c>
      <c r="I47" s="133"/>
      <c r="J47" s="173">
        <f>J45</f>
        <v>1152581.5306031748</v>
      </c>
      <c r="K47" s="133">
        <f>J47-H47</f>
        <v>-240809.46939682518</v>
      </c>
      <c r="L47" s="136"/>
      <c r="M47" s="138"/>
      <c r="N47" s="21"/>
    </row>
    <row r="48" spans="1:14" x14ac:dyDescent="0.35">
      <c r="A48" s="1"/>
      <c r="B48" s="118"/>
      <c r="C48" s="124"/>
      <c r="D48" s="124"/>
      <c r="E48" s="124"/>
      <c r="F48" s="182"/>
      <c r="G48" s="124"/>
      <c r="H48" s="174"/>
      <c r="I48" s="124"/>
      <c r="J48" s="174"/>
      <c r="K48" s="124"/>
      <c r="L48" s="137"/>
      <c r="M48" s="139"/>
    </row>
    <row r="49" spans="1:15" x14ac:dyDescent="0.35">
      <c r="A49" s="1"/>
      <c r="B49" s="1"/>
      <c r="C49" s="3"/>
      <c r="D49" s="3"/>
      <c r="E49" s="3"/>
      <c r="G49" s="3"/>
      <c r="H49" s="175"/>
      <c r="I49" s="3"/>
      <c r="J49" s="175"/>
      <c r="K49" s="3"/>
      <c r="L49" s="3"/>
      <c r="M49" s="3"/>
    </row>
    <row r="50" spans="1:15" x14ac:dyDescent="0.35">
      <c r="D50" s="3" t="s">
        <v>337</v>
      </c>
      <c r="O50" s="392"/>
    </row>
    <row r="51" spans="1:15" x14ac:dyDescent="0.35">
      <c r="D51" s="3" t="s">
        <v>340</v>
      </c>
    </row>
    <row r="52" spans="1:15" x14ac:dyDescent="0.35">
      <c r="H52" s="370"/>
    </row>
    <row r="54" spans="1:15" ht="17" x14ac:dyDescent="0.5">
      <c r="F54" s="183"/>
    </row>
    <row r="55" spans="1:15" x14ac:dyDescent="0.35">
      <c r="G55" s="21"/>
    </row>
    <row r="58" spans="1:15" ht="17" x14ac:dyDescent="0.5">
      <c r="F58" s="183"/>
    </row>
    <row r="59" spans="1:15" x14ac:dyDescent="0.35">
      <c r="G59" s="21"/>
    </row>
  </sheetData>
  <mergeCells count="5">
    <mergeCell ref="C3:K3"/>
    <mergeCell ref="C4:K4"/>
    <mergeCell ref="C5:K5"/>
    <mergeCell ref="G7:H7"/>
    <mergeCell ref="I7:J7"/>
  </mergeCells>
  <pageMargins left="0.7" right="0.7" top="0.75" bottom="0.75" header="0.3" footer="0.3"/>
  <pageSetup scale="79" orientation="portrait" horizontalDpi="4294967293" verticalDpi="0" r:id="rId1"/>
  <ignoredErrors>
    <ignoredError sqref="J24"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630B1-5320-458A-B984-AF0BD6A9981A}">
  <sheetPr>
    <tabColor rgb="FF92D050"/>
    <pageSetUpPr fitToPage="1"/>
  </sheetPr>
  <dimension ref="B1:Q50"/>
  <sheetViews>
    <sheetView showGridLines="0" topLeftCell="B10" workbookViewId="0">
      <selection activeCell="C14" sqref="C14"/>
    </sheetView>
  </sheetViews>
  <sheetFormatPr defaultRowHeight="15.5" x14ac:dyDescent="0.35"/>
  <cols>
    <col min="1" max="1" width="1.765625" customWidth="1"/>
    <col min="2" max="2" width="20.4609375" bestFit="1" customWidth="1"/>
    <col min="3" max="12" width="7.765625" customWidth="1"/>
    <col min="13" max="13" width="10.69140625" customWidth="1"/>
    <col min="14" max="14" width="0.765625" customWidth="1"/>
    <col min="15" max="15" width="2.3046875" customWidth="1"/>
    <col min="16" max="16" width="9.69140625" customWidth="1"/>
    <col min="17" max="17" width="11.15234375" bestFit="1" customWidth="1"/>
  </cols>
  <sheetData>
    <row r="1" spans="2:17" x14ac:dyDescent="0.35">
      <c r="B1" s="18"/>
      <c r="C1" s="18"/>
      <c r="D1" s="18"/>
      <c r="E1" s="18"/>
      <c r="F1" s="18"/>
      <c r="G1" s="18"/>
      <c r="H1" s="18"/>
      <c r="I1" s="18"/>
      <c r="J1" s="18"/>
      <c r="K1" s="18"/>
      <c r="L1" s="18"/>
      <c r="M1" s="18"/>
      <c r="N1" s="18"/>
      <c r="O1" s="18"/>
      <c r="P1" s="18"/>
    </row>
    <row r="2" spans="2:17" x14ac:dyDescent="0.35">
      <c r="B2" s="75"/>
      <c r="C2" s="76"/>
      <c r="D2" s="76"/>
      <c r="E2" s="76"/>
      <c r="F2" s="76"/>
      <c r="G2" s="76"/>
      <c r="H2" s="76"/>
      <c r="I2" s="76"/>
      <c r="J2" s="76"/>
      <c r="K2" s="76"/>
      <c r="L2" s="76"/>
      <c r="M2" s="76"/>
      <c r="N2" s="77"/>
      <c r="O2" s="18"/>
      <c r="P2" s="18"/>
    </row>
    <row r="3" spans="2:17" ht="18.5" hidden="1" x14ac:dyDescent="0.45">
      <c r="B3" s="78" t="s">
        <v>83</v>
      </c>
      <c r="C3" s="79"/>
      <c r="D3" s="79"/>
      <c r="E3" s="79"/>
      <c r="F3" s="79"/>
      <c r="G3" s="79"/>
      <c r="H3" s="79"/>
      <c r="I3" s="79"/>
      <c r="J3" s="79"/>
      <c r="K3" s="79"/>
      <c r="L3" s="79"/>
      <c r="M3" s="79"/>
      <c r="N3" s="69"/>
      <c r="O3" s="18"/>
      <c r="P3" s="18"/>
    </row>
    <row r="4" spans="2:17" ht="18.5" x14ac:dyDescent="0.45">
      <c r="B4" s="80" t="s">
        <v>84</v>
      </c>
      <c r="C4" s="81"/>
      <c r="D4" s="81"/>
      <c r="E4" s="81"/>
      <c r="F4" s="81"/>
      <c r="G4" s="81"/>
      <c r="H4" s="81"/>
      <c r="I4" s="81"/>
      <c r="J4" s="81"/>
      <c r="K4" s="81"/>
      <c r="L4" s="81"/>
      <c r="M4" s="81"/>
      <c r="N4" s="69"/>
      <c r="O4" s="18"/>
      <c r="P4" s="18"/>
    </row>
    <row r="5" spans="2:17" x14ac:dyDescent="0.35">
      <c r="B5" s="82" t="s">
        <v>252</v>
      </c>
      <c r="C5" s="79"/>
      <c r="D5" s="79"/>
      <c r="E5" s="79"/>
      <c r="F5" s="79"/>
      <c r="G5" s="79"/>
      <c r="H5" s="79"/>
      <c r="I5" s="79"/>
      <c r="J5" s="79"/>
      <c r="K5" s="79"/>
      <c r="L5" s="79"/>
      <c r="M5" s="79"/>
      <c r="N5" s="69"/>
      <c r="O5" s="18"/>
      <c r="P5" s="409"/>
    </row>
    <row r="6" spans="2:17" x14ac:dyDescent="0.35">
      <c r="B6" s="83" t="s">
        <v>241</v>
      </c>
      <c r="C6" s="84"/>
      <c r="D6" s="84"/>
      <c r="E6" s="84"/>
      <c r="F6" s="84"/>
      <c r="G6" s="84"/>
      <c r="H6" s="84"/>
      <c r="I6" s="84"/>
      <c r="J6" s="84"/>
      <c r="K6" s="84"/>
      <c r="L6" s="84"/>
      <c r="M6" s="84"/>
      <c r="N6" s="69"/>
      <c r="O6" s="18"/>
      <c r="P6" s="18"/>
    </row>
    <row r="7" spans="2:17" x14ac:dyDescent="0.35">
      <c r="B7" s="85"/>
      <c r="C7" s="84"/>
      <c r="D7" s="84"/>
      <c r="E7" s="84"/>
      <c r="F7" s="84"/>
      <c r="G7" s="84"/>
      <c r="H7" s="84"/>
      <c r="I7" s="84"/>
      <c r="J7" s="84"/>
      <c r="K7" s="84"/>
      <c r="L7" s="84"/>
      <c r="M7" s="84"/>
      <c r="N7" s="69"/>
      <c r="O7" s="18"/>
      <c r="P7" s="18"/>
    </row>
    <row r="8" spans="2:17" x14ac:dyDescent="0.35">
      <c r="B8" s="86"/>
      <c r="C8" s="87"/>
      <c r="D8" s="88"/>
      <c r="E8" s="87"/>
      <c r="F8" s="89"/>
      <c r="G8" s="87"/>
      <c r="H8" s="89"/>
      <c r="I8" s="87"/>
      <c r="J8" s="89"/>
      <c r="K8" s="87"/>
      <c r="L8" s="89"/>
      <c r="M8" s="88"/>
      <c r="N8" s="77"/>
      <c r="O8" s="18"/>
      <c r="P8" s="18"/>
    </row>
    <row r="9" spans="2:17" ht="16" x14ac:dyDescent="0.35">
      <c r="B9" s="90"/>
      <c r="C9" s="417" t="s">
        <v>218</v>
      </c>
      <c r="D9" s="418"/>
      <c r="E9" s="417" t="s">
        <v>219</v>
      </c>
      <c r="F9" s="418"/>
      <c r="G9" s="417" t="s">
        <v>220</v>
      </c>
      <c r="H9" s="418"/>
      <c r="I9" s="417" t="s">
        <v>221</v>
      </c>
      <c r="J9" s="418"/>
      <c r="K9" s="417" t="s">
        <v>240</v>
      </c>
      <c r="L9" s="418"/>
      <c r="M9" s="18"/>
      <c r="N9" s="69"/>
      <c r="O9" s="18"/>
      <c r="P9" s="18"/>
    </row>
    <row r="10" spans="2:17" ht="16" x14ac:dyDescent="0.35">
      <c r="B10" s="90"/>
      <c r="C10" s="91"/>
      <c r="D10" s="92" t="s">
        <v>85</v>
      </c>
      <c r="E10" s="93"/>
      <c r="F10" s="92" t="s">
        <v>85</v>
      </c>
      <c r="G10" s="93"/>
      <c r="H10" s="92" t="s">
        <v>85</v>
      </c>
      <c r="I10" s="93"/>
      <c r="J10" s="92" t="s">
        <v>85</v>
      </c>
      <c r="K10" s="93"/>
      <c r="L10" s="92" t="s">
        <v>85</v>
      </c>
      <c r="M10" s="18"/>
      <c r="N10" s="69"/>
      <c r="O10" s="18"/>
      <c r="P10" s="18"/>
    </row>
    <row r="11" spans="2:17" ht="17" x14ac:dyDescent="0.5">
      <c r="B11" s="90"/>
      <c r="C11" s="91" t="s">
        <v>86</v>
      </c>
      <c r="D11" s="94" t="s">
        <v>87</v>
      </c>
      <c r="E11" s="91" t="s">
        <v>86</v>
      </c>
      <c r="F11" s="94" t="s">
        <v>87</v>
      </c>
      <c r="G11" s="91" t="s">
        <v>86</v>
      </c>
      <c r="H11" s="94" t="s">
        <v>87</v>
      </c>
      <c r="I11" s="91" t="s">
        <v>86</v>
      </c>
      <c r="J11" s="94" t="s">
        <v>87</v>
      </c>
      <c r="K11" s="91" t="s">
        <v>86</v>
      </c>
      <c r="L11" s="94" t="s">
        <v>87</v>
      </c>
      <c r="M11" s="95" t="s">
        <v>61</v>
      </c>
      <c r="N11" s="69"/>
      <c r="O11" s="18"/>
      <c r="P11" s="265" t="s">
        <v>222</v>
      </c>
      <c r="Q11" s="266"/>
    </row>
    <row r="12" spans="2:17" x14ac:dyDescent="0.35">
      <c r="B12" s="96" t="s">
        <v>285</v>
      </c>
      <c r="C12" s="97">
        <v>175000</v>
      </c>
      <c r="D12" s="99">
        <f>26926.25+23557.5+450</f>
        <v>50933.75</v>
      </c>
      <c r="E12" s="97">
        <v>180000</v>
      </c>
      <c r="F12" s="99">
        <f>23557.5+20092.5+450</f>
        <v>44100</v>
      </c>
      <c r="G12" s="97">
        <v>155000</v>
      </c>
      <c r="H12" s="99">
        <f>20092.5+17108.75+450</f>
        <v>37651.25</v>
      </c>
      <c r="I12" s="97">
        <v>160000</v>
      </c>
      <c r="J12" s="99">
        <f>17108.75+14028.75+450</f>
        <v>31587.5</v>
      </c>
      <c r="K12" s="141">
        <v>165000</v>
      </c>
      <c r="L12" s="330">
        <f>14028.75+10852.5+450</f>
        <v>25331.25</v>
      </c>
      <c r="M12" s="100">
        <f>SUM(C12:L12)</f>
        <v>1024603.75</v>
      </c>
      <c r="N12" s="69"/>
      <c r="O12" s="18"/>
      <c r="P12" s="18">
        <v>3140000</v>
      </c>
      <c r="Q12" s="331"/>
    </row>
    <row r="13" spans="2:17" x14ac:dyDescent="0.35">
      <c r="B13" s="96" t="s">
        <v>344</v>
      </c>
      <c r="C13" s="97">
        <f>13194.66+13310.11</f>
        <v>26504.77</v>
      </c>
      <c r="D13" s="99">
        <f>5178.04+5062.59+591.78+578.58</f>
        <v>11410.990000000002</v>
      </c>
      <c r="E13" s="97">
        <f>13426.58+13544.06</f>
        <v>26970.639999999999</v>
      </c>
      <c r="F13" s="99">
        <f>4946.12+4828.64+565.27+551.84</f>
        <v>10891.87</v>
      </c>
      <c r="G13" s="87">
        <f>13662.57+13782.12</f>
        <v>27444.690000000002</v>
      </c>
      <c r="H13" s="99">
        <f>4710.13+4590.58+538.3+524.64</f>
        <v>10363.649999999998</v>
      </c>
      <c r="I13" s="97">
        <f>13902.71+14024.36</f>
        <v>27927.07</v>
      </c>
      <c r="J13" s="99">
        <f>4469.99+4348.34+510.86+496.95</f>
        <v>9826.1400000000012</v>
      </c>
      <c r="K13" s="288">
        <f>14147.07+14270.86</f>
        <v>28417.93</v>
      </c>
      <c r="L13" s="289">
        <f>4225.63+4101.84+482.93+468.78</f>
        <v>9279.1800000000021</v>
      </c>
      <c r="M13" s="100">
        <f t="shared" ref="M13:M19" si="0">SUM(C13:L13)</f>
        <v>189036.93</v>
      </c>
      <c r="N13" s="69"/>
      <c r="O13" s="18"/>
      <c r="P13" s="18">
        <v>617823</v>
      </c>
      <c r="Q13" s="331"/>
    </row>
    <row r="14" spans="2:17" x14ac:dyDescent="0.35">
      <c r="B14" s="96" t="s">
        <v>286</v>
      </c>
      <c r="C14" s="97">
        <v>48324.14</v>
      </c>
      <c r="D14" s="98">
        <v>53411.86</v>
      </c>
      <c r="E14" s="97" t="s">
        <v>287</v>
      </c>
      <c r="F14" s="98">
        <v>41329.06</v>
      </c>
      <c r="G14" s="97">
        <v>52883.49</v>
      </c>
      <c r="H14" s="98">
        <v>48852.51</v>
      </c>
      <c r="I14" s="97">
        <v>55325.599999999999</v>
      </c>
      <c r="J14" s="99">
        <v>46410.400000000001</v>
      </c>
      <c r="K14" s="288">
        <v>57880.51</v>
      </c>
      <c r="L14" s="289">
        <v>48855.49</v>
      </c>
      <c r="M14" s="100">
        <f t="shared" si="0"/>
        <v>453273.06</v>
      </c>
      <c r="N14" s="69"/>
      <c r="O14" s="18"/>
      <c r="P14" s="409">
        <v>1519826.83</v>
      </c>
      <c r="Q14" s="331"/>
    </row>
    <row r="15" spans="2:17" x14ac:dyDescent="0.35">
      <c r="B15" s="96" t="s">
        <v>288</v>
      </c>
      <c r="C15" s="97">
        <v>65956.25</v>
      </c>
      <c r="D15" s="98">
        <v>84007.75</v>
      </c>
      <c r="E15" s="97">
        <v>68900.39</v>
      </c>
      <c r="F15" s="98">
        <v>81063.61</v>
      </c>
      <c r="G15" s="97">
        <v>71976</v>
      </c>
      <c r="H15" s="98">
        <v>77988</v>
      </c>
      <c r="I15" s="97">
        <v>75188.87</v>
      </c>
      <c r="J15" s="99">
        <v>74775.13</v>
      </c>
      <c r="K15" s="288">
        <v>78545.14</v>
      </c>
      <c r="L15" s="289">
        <v>71418.86</v>
      </c>
      <c r="M15" s="100">
        <f t="shared" si="0"/>
        <v>749820</v>
      </c>
      <c r="N15" s="69"/>
      <c r="O15" s="18"/>
      <c r="P15" s="409">
        <v>2385852.63</v>
      </c>
    </row>
    <row r="16" spans="2:17" x14ac:dyDescent="0.35">
      <c r="B16" s="96" t="s">
        <v>289</v>
      </c>
      <c r="C16" s="97">
        <v>91955.81</v>
      </c>
      <c r="D16" s="98">
        <v>68843.23</v>
      </c>
      <c r="E16" s="97">
        <v>93983.75</v>
      </c>
      <c r="F16" s="98">
        <v>66815.289999999994</v>
      </c>
      <c r="G16" s="97">
        <v>96440.19</v>
      </c>
      <c r="H16" s="98">
        <v>64358.85</v>
      </c>
      <c r="I16" s="97">
        <v>98766.06</v>
      </c>
      <c r="J16" s="99">
        <v>62032.98</v>
      </c>
      <c r="K16" s="288">
        <v>101148.05</v>
      </c>
      <c r="L16" s="289">
        <v>59650.99</v>
      </c>
      <c r="M16" s="100">
        <f t="shared" si="0"/>
        <v>803995.2</v>
      </c>
      <c r="N16" s="69"/>
      <c r="O16" s="18"/>
      <c r="P16" s="409">
        <v>3589402.68</v>
      </c>
    </row>
    <row r="17" spans="2:17" x14ac:dyDescent="0.35">
      <c r="B17" s="96" t="s">
        <v>290</v>
      </c>
      <c r="C17" s="97">
        <v>41758.300000000003</v>
      </c>
      <c r="D17" s="98">
        <v>36770.699999999997</v>
      </c>
      <c r="E17" s="97">
        <v>42541.27</v>
      </c>
      <c r="F17" s="98">
        <v>35987.730000000003</v>
      </c>
      <c r="G17" s="97">
        <v>43338.92</v>
      </c>
      <c r="H17" s="98">
        <v>35190.080000000002</v>
      </c>
      <c r="I17" s="97">
        <v>44151.53</v>
      </c>
      <c r="J17" s="99">
        <v>34377.47</v>
      </c>
      <c r="K17" s="288">
        <v>44979.37</v>
      </c>
      <c r="L17" s="289">
        <v>33549.629999999997</v>
      </c>
      <c r="M17" s="100">
        <f t="shared" si="0"/>
        <v>392645</v>
      </c>
      <c r="N17" s="69"/>
      <c r="O17" s="18"/>
      <c r="P17" s="409">
        <v>2196000</v>
      </c>
      <c r="Q17" s="331"/>
    </row>
    <row r="18" spans="2:17" x14ac:dyDescent="0.35">
      <c r="B18" s="96" t="s">
        <v>291</v>
      </c>
      <c r="C18" s="97">
        <v>9507.7999999999993</v>
      </c>
      <c r="D18" s="98">
        <v>8372.2000000000007</v>
      </c>
      <c r="E18" s="97">
        <v>9686.07</v>
      </c>
      <c r="F18" s="98">
        <v>8193.93</v>
      </c>
      <c r="G18" s="97">
        <v>9867.69</v>
      </c>
      <c r="H18" s="98">
        <v>8012.31</v>
      </c>
      <c r="I18" s="97">
        <v>10052.700000000001</v>
      </c>
      <c r="J18" s="99">
        <v>7827.3</v>
      </c>
      <c r="K18" s="288">
        <v>10241.19</v>
      </c>
      <c r="L18" s="289">
        <v>7638.81</v>
      </c>
      <c r="M18" s="100">
        <f t="shared" si="0"/>
        <v>89400</v>
      </c>
      <c r="N18" s="69"/>
      <c r="O18" s="18"/>
      <c r="P18" s="409">
        <v>500000</v>
      </c>
      <c r="Q18" s="331"/>
    </row>
    <row r="19" spans="2:17" x14ac:dyDescent="0.35">
      <c r="B19" s="96" t="s">
        <v>292</v>
      </c>
      <c r="C19" s="97">
        <f>739.81+740.91+811.78+743.22+767.5+745.46+769.68+747.11+748.82+772.94+751.09+775.13</f>
        <v>9113.4499999999989</v>
      </c>
      <c r="D19" s="98">
        <f>723.19+722.09+651.22+719.78+695.5+717.54+693.32+715.29+714.18+690.66+711.91+687.87</f>
        <v>8442.5499999999993</v>
      </c>
      <c r="E19" s="97">
        <f>755.29+786.41+803.05+758.72+782.53+761.01+784.75+763.3+764.43+788.06+766.73+790.29</f>
        <v>9304.57</v>
      </c>
      <c r="F19" s="98">
        <f>707.71+706.59+659.95+704.28+680.47+701.99+678.25+699.7+698.57+674.94+696.27+672.71</f>
        <v>8281.43</v>
      </c>
      <c r="G19" s="97">
        <f>767.14+768.28+836.54+770.66+794.11+772.99+796.36+775.32+776.48+799.74+778.82+802.01</f>
        <v>9438.4499999999989</v>
      </c>
      <c r="H19" s="98">
        <f>695.86+694.72+626.46+692.34+668.889+690.01+666.64+687.68+686.52+663.26+684.18+660.99</f>
        <v>8117.5490000000009</v>
      </c>
      <c r="I19" s="97">
        <f>781.17+782.33+849.25+784.75+807.76+787.12+810.06+789.49+790.67+813.46+793.05+815.8</f>
        <v>9604.91</v>
      </c>
      <c r="J19" s="99">
        <f>681.83+680.67+613.75+678.25+655.24+675.88+652.94+673.51+672.33+649.51+669.95+647.2</f>
        <v>7951.0599999999995</v>
      </c>
      <c r="K19" s="288">
        <f>795.44+796.63+862.18+799.09+821.66+801.5+823.99+803.92+805.11+827.49+807.54+829.84</f>
        <v>9774.39</v>
      </c>
      <c r="L19" s="289">
        <f>667.56+666.37+600.82+663.91+641.34+661.5+639.01+659.08+657.89+635.51+655.46+633.16</f>
        <v>7781.6100000000006</v>
      </c>
      <c r="M19" s="100">
        <f t="shared" si="0"/>
        <v>87809.968999999997</v>
      </c>
      <c r="N19" s="69"/>
      <c r="O19" s="18"/>
      <c r="P19" s="409">
        <v>504328.16</v>
      </c>
    </row>
    <row r="20" spans="2:17" x14ac:dyDescent="0.35">
      <c r="B20" s="96"/>
      <c r="C20" s="115"/>
      <c r="D20" s="116"/>
      <c r="E20" s="115"/>
      <c r="F20" s="116"/>
      <c r="G20" s="115"/>
      <c r="H20" s="116"/>
      <c r="I20" s="115"/>
      <c r="J20" s="315"/>
      <c r="K20" s="115"/>
      <c r="L20" s="316"/>
      <c r="M20" s="317"/>
      <c r="N20" s="69"/>
      <c r="O20" s="18"/>
      <c r="P20" s="18"/>
      <c r="Q20" s="332"/>
    </row>
    <row r="21" spans="2:17" hidden="1" x14ac:dyDescent="0.35">
      <c r="B21" s="96"/>
      <c r="C21" s="97"/>
      <c r="D21" s="99"/>
      <c r="E21" s="97"/>
      <c r="F21" s="98"/>
      <c r="G21" s="97"/>
      <c r="H21" s="98"/>
      <c r="I21" s="97"/>
      <c r="J21" s="98"/>
      <c r="K21" s="97"/>
      <c r="L21" s="99"/>
      <c r="M21" s="100"/>
      <c r="N21" s="69"/>
      <c r="O21" s="18"/>
      <c r="P21" s="18"/>
    </row>
    <row r="22" spans="2:17" hidden="1" x14ac:dyDescent="0.35">
      <c r="B22" s="285"/>
      <c r="C22" s="286"/>
      <c r="D22" s="287"/>
      <c r="E22" s="97"/>
      <c r="F22" s="66"/>
      <c r="G22" s="97"/>
      <c r="H22" s="66"/>
      <c r="I22" s="97"/>
      <c r="J22" s="66"/>
      <c r="K22" s="97"/>
      <c r="L22" s="99"/>
      <c r="M22" s="100"/>
      <c r="N22" s="69"/>
      <c r="O22" s="18"/>
      <c r="P22" s="18"/>
    </row>
    <row r="23" spans="2:17" x14ac:dyDescent="0.35">
      <c r="B23" s="70" t="s">
        <v>61</v>
      </c>
      <c r="C23" s="101">
        <f>SUM(C12:C22)</f>
        <v>468120.51999999996</v>
      </c>
      <c r="D23" s="101">
        <f t="shared" ref="D23:M23" si="1">SUM(D12:D22)</f>
        <v>322193.03000000003</v>
      </c>
      <c r="E23" s="101">
        <f t="shared" si="1"/>
        <v>431386.69000000006</v>
      </c>
      <c r="F23" s="101">
        <f t="shared" si="1"/>
        <v>296662.91999999993</v>
      </c>
      <c r="G23" s="101">
        <f t="shared" si="1"/>
        <v>466389.43</v>
      </c>
      <c r="H23" s="101">
        <f t="shared" si="1"/>
        <v>290534.19900000002</v>
      </c>
      <c r="I23" s="101">
        <f t="shared" si="1"/>
        <v>481016.74</v>
      </c>
      <c r="J23" s="101">
        <f t="shared" si="1"/>
        <v>274787.98000000004</v>
      </c>
      <c r="K23" s="101">
        <f t="shared" si="1"/>
        <v>495986.58</v>
      </c>
      <c r="L23" s="101">
        <f t="shared" si="1"/>
        <v>263505.82</v>
      </c>
      <c r="M23" s="101">
        <f t="shared" si="1"/>
        <v>3790583.9090000005</v>
      </c>
      <c r="N23" s="69"/>
      <c r="O23" s="18"/>
      <c r="P23" s="18"/>
      <c r="Q23" s="290"/>
    </row>
    <row r="24" spans="2:17" x14ac:dyDescent="0.35">
      <c r="B24" s="102"/>
      <c r="C24" s="103"/>
      <c r="D24" s="104"/>
      <c r="E24" s="103"/>
      <c r="F24" s="105"/>
      <c r="G24" s="103"/>
      <c r="H24" s="105"/>
      <c r="I24" s="103"/>
      <c r="J24" s="106"/>
      <c r="K24" s="103"/>
      <c r="L24" s="105"/>
      <c r="M24" s="104"/>
      <c r="N24" s="65"/>
      <c r="O24" s="18"/>
      <c r="P24" s="18"/>
    </row>
    <row r="25" spans="2:17" x14ac:dyDescent="0.35">
      <c r="B25" s="107"/>
      <c r="C25" s="108"/>
      <c r="D25" s="108"/>
      <c r="E25" s="108"/>
      <c r="F25" s="108"/>
      <c r="G25" s="108"/>
      <c r="H25" s="108"/>
      <c r="I25" s="108"/>
      <c r="J25" s="109"/>
      <c r="K25" s="109"/>
      <c r="L25" s="109"/>
      <c r="M25" s="108"/>
      <c r="N25" s="69"/>
      <c r="O25" s="18"/>
      <c r="P25" s="18"/>
    </row>
    <row r="26" spans="2:17" x14ac:dyDescent="0.35">
      <c r="B26" s="110"/>
      <c r="C26" s="111"/>
      <c r="D26" s="112"/>
      <c r="E26" s="111"/>
      <c r="F26" s="111"/>
      <c r="G26" s="111"/>
      <c r="H26" s="111"/>
      <c r="I26" s="112" t="s">
        <v>88</v>
      </c>
      <c r="J26" s="18"/>
      <c r="K26" s="113"/>
      <c r="L26" s="114"/>
      <c r="M26" s="111">
        <f>M23/5</f>
        <v>758116.78180000011</v>
      </c>
      <c r="N26" s="69"/>
      <c r="O26" s="18"/>
      <c r="P26" s="18"/>
    </row>
    <row r="27" spans="2:17" x14ac:dyDescent="0.35">
      <c r="B27" s="20"/>
      <c r="C27" s="112"/>
      <c r="D27" s="18"/>
      <c r="E27" s="112"/>
      <c r="F27" s="112"/>
      <c r="G27" s="112"/>
      <c r="H27" s="112"/>
      <c r="I27" s="112"/>
      <c r="J27" s="18"/>
      <c r="K27" s="23"/>
      <c r="L27" s="113"/>
      <c r="M27" s="29"/>
      <c r="N27" s="69"/>
      <c r="O27" s="18"/>
      <c r="P27" s="18"/>
    </row>
    <row r="28" spans="2:17" x14ac:dyDescent="0.35">
      <c r="B28" s="110"/>
      <c r="C28" s="112"/>
      <c r="D28" s="112"/>
      <c r="E28" s="112"/>
      <c r="F28" s="112"/>
      <c r="G28" s="112"/>
      <c r="H28" s="112"/>
      <c r="I28" s="112" t="s">
        <v>89</v>
      </c>
      <c r="J28" s="18"/>
      <c r="K28" s="113"/>
      <c r="L28" s="112"/>
      <c r="M28" s="111">
        <f>M26*0.2</f>
        <v>151623.35636000003</v>
      </c>
      <c r="N28" s="69"/>
      <c r="O28" s="18"/>
      <c r="P28" s="18">
        <f>M28+M26</f>
        <v>909740.13816000009</v>
      </c>
    </row>
    <row r="29" spans="2:17" x14ac:dyDescent="0.35">
      <c r="B29" s="110"/>
      <c r="C29" s="112"/>
      <c r="D29" s="112"/>
      <c r="E29" s="112"/>
      <c r="F29" s="112"/>
      <c r="G29" s="112"/>
      <c r="H29" s="112"/>
      <c r="I29" s="112"/>
      <c r="J29" s="18"/>
      <c r="K29" s="113"/>
      <c r="L29" s="112"/>
      <c r="M29" s="111"/>
      <c r="N29" s="69"/>
      <c r="O29" s="18"/>
      <c r="P29" s="18"/>
    </row>
    <row r="30" spans="2:17" x14ac:dyDescent="0.35">
      <c r="B30" s="110"/>
      <c r="C30" s="112"/>
      <c r="D30" s="112"/>
      <c r="E30" s="112"/>
      <c r="F30" s="112"/>
      <c r="G30" s="112"/>
      <c r="H30" s="112"/>
      <c r="I30" s="112" t="s">
        <v>250</v>
      </c>
      <c r="J30" s="18"/>
      <c r="K30" s="113"/>
      <c r="L30" s="112"/>
      <c r="M30" s="111">
        <f>(D23+F23+H23+J23+L23)/5</f>
        <v>289536.78980000003</v>
      </c>
      <c r="N30" s="69"/>
      <c r="O30" s="18"/>
      <c r="P30" s="18"/>
    </row>
    <row r="31" spans="2:17" x14ac:dyDescent="0.35">
      <c r="B31" s="115"/>
      <c r="C31" s="116"/>
      <c r="D31" s="116"/>
      <c r="E31" s="116"/>
      <c r="F31" s="116" t="s">
        <v>144</v>
      </c>
      <c r="G31" s="116"/>
      <c r="H31" s="116"/>
      <c r="I31" s="116"/>
      <c r="J31" s="116"/>
      <c r="K31" s="116"/>
      <c r="L31" s="116"/>
      <c r="M31" s="116"/>
      <c r="N31" s="65"/>
      <c r="O31" s="18"/>
      <c r="P31" s="18"/>
    </row>
    <row r="32" spans="2:17" x14ac:dyDescent="0.35">
      <c r="B32" s="1"/>
      <c r="C32" s="1"/>
      <c r="D32" s="1"/>
      <c r="E32" s="1"/>
      <c r="F32" s="1"/>
      <c r="G32" s="1"/>
      <c r="H32" s="1"/>
      <c r="I32" s="1"/>
      <c r="J32" s="1"/>
      <c r="K32" s="1"/>
      <c r="L32" s="1"/>
      <c r="M32" s="1"/>
    </row>
    <row r="33" spans="2:13" x14ac:dyDescent="0.35">
      <c r="B33" s="1"/>
      <c r="C33" s="1"/>
      <c r="D33" s="1"/>
      <c r="E33" s="1"/>
      <c r="F33" s="1"/>
      <c r="G33" s="1"/>
      <c r="H33" s="1"/>
      <c r="I33" s="1"/>
      <c r="J33" s="1"/>
      <c r="K33" s="1"/>
      <c r="L33" s="1"/>
      <c r="M33" s="1"/>
    </row>
    <row r="34" spans="2:13" x14ac:dyDescent="0.35">
      <c r="B34" s="1" t="s">
        <v>190</v>
      </c>
      <c r="C34" s="1"/>
      <c r="D34" s="2">
        <f>D23</f>
        <v>322193.03000000003</v>
      </c>
      <c r="E34" s="2"/>
      <c r="F34" s="2">
        <f t="shared" ref="F34:L34" si="2">F23</f>
        <v>296662.91999999993</v>
      </c>
      <c r="G34" s="2"/>
      <c r="H34" s="2">
        <f t="shared" si="2"/>
        <v>290534.19900000002</v>
      </c>
      <c r="I34" s="2"/>
      <c r="J34" s="2">
        <f t="shared" si="2"/>
        <v>274787.98000000004</v>
      </c>
      <c r="K34" s="2"/>
      <c r="L34" s="2">
        <f t="shared" si="2"/>
        <v>263505.82</v>
      </c>
      <c r="M34" s="2">
        <f>D34+F34+H34+J34+L34</f>
        <v>1447683.949</v>
      </c>
    </row>
    <row r="35" spans="2:13" x14ac:dyDescent="0.35">
      <c r="B35" s="1"/>
      <c r="C35" s="1"/>
      <c r="D35" s="1"/>
      <c r="E35" s="1"/>
      <c r="F35" s="1"/>
      <c r="G35" s="1"/>
      <c r="H35" s="1"/>
      <c r="I35" s="1"/>
      <c r="J35" s="1"/>
      <c r="K35" s="1"/>
      <c r="L35" s="1"/>
      <c r="M35" s="1"/>
    </row>
    <row r="36" spans="2:13" x14ac:dyDescent="0.35">
      <c r="B36" s="1" t="s">
        <v>231</v>
      </c>
      <c r="C36" s="1"/>
      <c r="D36" s="1"/>
      <c r="E36" s="1"/>
      <c r="F36" s="1"/>
      <c r="G36" s="1"/>
      <c r="H36" s="1"/>
      <c r="I36" s="1"/>
      <c r="J36" s="1"/>
      <c r="K36" s="1"/>
      <c r="L36" s="1"/>
      <c r="M36" s="2">
        <f>M34/5</f>
        <v>289536.78980000003</v>
      </c>
    </row>
    <row r="37" spans="2:13" x14ac:dyDescent="0.35">
      <c r="B37" s="1"/>
      <c r="C37" s="1"/>
      <c r="D37" s="1"/>
      <c r="E37" s="1"/>
      <c r="F37" s="1"/>
      <c r="G37" s="1"/>
      <c r="H37" s="1"/>
      <c r="I37" s="1"/>
      <c r="J37" s="1"/>
      <c r="K37" s="1"/>
      <c r="L37" s="1"/>
      <c r="M37" s="1"/>
    </row>
    <row r="38" spans="2:13" x14ac:dyDescent="0.35">
      <c r="B38" s="1"/>
      <c r="C38" s="1"/>
      <c r="D38" s="1"/>
      <c r="E38" s="1"/>
      <c r="F38" s="1"/>
      <c r="G38" s="1"/>
      <c r="H38" s="1"/>
      <c r="I38" s="1"/>
      <c r="J38" s="1"/>
      <c r="K38" s="1"/>
      <c r="L38" s="1"/>
      <c r="M38" s="1"/>
    </row>
    <row r="39" spans="2:13" x14ac:dyDescent="0.35">
      <c r="B39" s="1"/>
      <c r="C39" s="1"/>
      <c r="D39" s="1"/>
      <c r="E39" s="1"/>
      <c r="F39" s="1"/>
      <c r="G39" s="1"/>
      <c r="H39" s="1"/>
      <c r="I39" s="1"/>
      <c r="J39" s="1"/>
      <c r="K39" s="1"/>
      <c r="L39" s="1"/>
      <c r="M39" s="1"/>
    </row>
    <row r="40" spans="2:13" x14ac:dyDescent="0.35">
      <c r="B40" s="1"/>
      <c r="C40" s="1"/>
      <c r="D40" s="1"/>
      <c r="E40" s="1"/>
      <c r="F40" s="1"/>
      <c r="G40" s="1"/>
      <c r="H40" s="1"/>
      <c r="I40" s="1"/>
      <c r="J40" s="1"/>
      <c r="K40" s="1"/>
      <c r="L40" s="1"/>
      <c r="M40" s="1"/>
    </row>
    <row r="41" spans="2:13" x14ac:dyDescent="0.35">
      <c r="B41" s="1"/>
      <c r="C41" s="1"/>
      <c r="D41" s="1"/>
      <c r="E41" s="1"/>
      <c r="F41" s="1"/>
      <c r="G41" s="1"/>
      <c r="H41" s="1"/>
      <c r="I41" s="1"/>
      <c r="J41" s="1"/>
      <c r="K41" s="1"/>
      <c r="L41" s="1"/>
      <c r="M41" s="1"/>
    </row>
    <row r="42" spans="2:13" x14ac:dyDescent="0.35">
      <c r="B42" s="1"/>
      <c r="C42" s="1"/>
      <c r="D42" s="1"/>
      <c r="E42" s="1"/>
      <c r="F42" s="1"/>
      <c r="G42" s="1"/>
      <c r="H42" s="1"/>
      <c r="I42" s="1"/>
      <c r="J42" s="1"/>
      <c r="K42" s="1"/>
      <c r="L42" s="1"/>
      <c r="M42" s="1"/>
    </row>
    <row r="43" spans="2:13" x14ac:dyDescent="0.35">
      <c r="B43" s="1"/>
      <c r="C43" s="1"/>
      <c r="D43" s="1"/>
      <c r="E43" s="1"/>
      <c r="F43" s="1"/>
      <c r="G43" s="1"/>
      <c r="H43" s="1"/>
      <c r="I43" s="1"/>
      <c r="J43" s="1"/>
      <c r="K43" s="1"/>
      <c r="L43" s="1"/>
      <c r="M43" s="1"/>
    </row>
    <row r="44" spans="2:13" x14ac:dyDescent="0.35">
      <c r="B44" s="1"/>
      <c r="C44" s="1"/>
      <c r="D44" s="1"/>
      <c r="E44" s="1"/>
      <c r="F44" s="1"/>
      <c r="G44" s="1"/>
      <c r="H44" s="1"/>
      <c r="I44" s="1"/>
      <c r="J44" s="1"/>
      <c r="K44" s="1"/>
      <c r="L44" s="1"/>
      <c r="M44" s="1"/>
    </row>
    <row r="45" spans="2:13" x14ac:dyDescent="0.35">
      <c r="B45" s="1"/>
      <c r="C45" s="1"/>
      <c r="D45" s="1"/>
      <c r="E45" s="1"/>
      <c r="F45" s="1"/>
      <c r="G45" s="1"/>
      <c r="H45" s="1"/>
      <c r="I45" s="1"/>
      <c r="J45" s="1"/>
      <c r="K45" s="1"/>
      <c r="L45" s="1"/>
      <c r="M45" s="1"/>
    </row>
    <row r="46" spans="2:13" x14ac:dyDescent="0.35">
      <c r="B46" s="1"/>
      <c r="C46" s="1"/>
      <c r="D46" s="1"/>
      <c r="E46" s="1"/>
      <c r="F46" s="1"/>
      <c r="G46" s="1"/>
      <c r="H46" s="1"/>
      <c r="I46" s="1"/>
      <c r="J46" s="1"/>
      <c r="K46" s="1"/>
      <c r="L46" s="1"/>
      <c r="M46" s="1"/>
    </row>
    <row r="47" spans="2:13" x14ac:dyDescent="0.35">
      <c r="B47" s="1"/>
      <c r="C47" s="1"/>
      <c r="D47" s="1"/>
      <c r="E47" s="1"/>
      <c r="F47" s="1"/>
      <c r="G47" s="1"/>
      <c r="H47" s="1"/>
      <c r="I47" s="1"/>
      <c r="J47" s="1"/>
      <c r="K47" s="1"/>
      <c r="L47" s="1"/>
      <c r="M47" s="1"/>
    </row>
    <row r="48" spans="2:13" x14ac:dyDescent="0.35">
      <c r="B48" s="1"/>
      <c r="C48" s="1"/>
      <c r="D48" s="1"/>
      <c r="E48" s="1"/>
      <c r="F48" s="1"/>
      <c r="G48" s="1"/>
      <c r="H48" s="1"/>
      <c r="I48" s="1"/>
      <c r="J48" s="1"/>
      <c r="K48" s="1"/>
      <c r="L48" s="1"/>
      <c r="M48" s="1"/>
    </row>
    <row r="49" spans="2:13" x14ac:dyDescent="0.35">
      <c r="B49" s="1"/>
      <c r="C49" s="1"/>
      <c r="D49" s="1"/>
      <c r="E49" s="1"/>
      <c r="F49" s="1"/>
      <c r="G49" s="1"/>
      <c r="H49" s="1"/>
      <c r="I49" s="1"/>
      <c r="J49" s="1"/>
      <c r="K49" s="1"/>
      <c r="L49" s="1"/>
      <c r="M49" s="1"/>
    </row>
    <row r="50" spans="2:13" x14ac:dyDescent="0.35">
      <c r="B50" s="1"/>
      <c r="C50" s="1"/>
      <c r="D50" s="1"/>
      <c r="E50" s="1"/>
      <c r="F50" s="1"/>
      <c r="G50" s="1"/>
      <c r="H50" s="1"/>
      <c r="I50" s="1"/>
      <c r="J50" s="1"/>
      <c r="K50" s="1"/>
      <c r="L50" s="1"/>
      <c r="M50" s="1"/>
    </row>
  </sheetData>
  <mergeCells count="5">
    <mergeCell ref="C9:D9"/>
    <mergeCell ref="E9:F9"/>
    <mergeCell ref="G9:H9"/>
    <mergeCell ref="I9:J9"/>
    <mergeCell ref="K9:L9"/>
  </mergeCells>
  <printOptions horizontalCentered="1" verticalCentered="1"/>
  <pageMargins left="0.7" right="0.7" top="0.75" bottom="0.75" header="0.3" footer="0.3"/>
  <pageSetup scale="76" orientation="landscape"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52889-0321-45D3-A9A4-AE60C9D6113F}">
  <sheetPr>
    <tabColor rgb="FF92D050"/>
  </sheetPr>
  <dimension ref="A1:J58"/>
  <sheetViews>
    <sheetView showGridLines="0" topLeftCell="A20" workbookViewId="0">
      <selection activeCell="F40" sqref="F40"/>
    </sheetView>
  </sheetViews>
  <sheetFormatPr defaultColWidth="8.84375" defaultRowHeight="14" x14ac:dyDescent="0.3"/>
  <cols>
    <col min="1" max="1" width="27.07421875" style="141" customWidth="1"/>
    <col min="2" max="2" width="12.4609375" style="142" customWidth="1"/>
    <col min="3" max="3" width="12.3046875" style="142" customWidth="1"/>
    <col min="4" max="4" width="12.765625" style="141" bestFit="1" customWidth="1"/>
    <col min="5" max="5" width="12.4609375" style="141" bestFit="1" customWidth="1"/>
    <col min="6" max="6" width="13" style="141" bestFit="1" customWidth="1"/>
    <col min="7" max="8" width="8.84375" style="141"/>
    <col min="9" max="9" width="9.921875" style="141" bestFit="1" customWidth="1"/>
    <col min="10" max="16384" width="8.84375" style="141"/>
  </cols>
  <sheetData>
    <row r="1" spans="1:10" ht="35" customHeight="1" x14ac:dyDescent="0.35">
      <c r="A1" s="341" t="s">
        <v>115</v>
      </c>
      <c r="B1" s="419" t="s">
        <v>313</v>
      </c>
      <c r="C1" s="420"/>
      <c r="D1" s="331"/>
      <c r="E1" s="421" t="s">
        <v>385</v>
      </c>
      <c r="F1" s="421"/>
      <c r="G1" s="421"/>
      <c r="I1" s="396" t="s">
        <v>336</v>
      </c>
      <c r="J1" s="397" t="s">
        <v>246</v>
      </c>
    </row>
    <row r="2" spans="1:10" ht="15.5" x14ac:dyDescent="0.35">
      <c r="A2" s="331" t="s">
        <v>119</v>
      </c>
      <c r="B2" s="360"/>
      <c r="C2" s="361">
        <v>0</v>
      </c>
      <c r="D2" s="331"/>
      <c r="E2" s="331"/>
      <c r="F2" s="331"/>
      <c r="G2" s="331"/>
      <c r="I2" s="398" t="s">
        <v>248</v>
      </c>
      <c r="J2" s="399" t="s">
        <v>247</v>
      </c>
    </row>
    <row r="3" spans="1:10" ht="15.5" x14ac:dyDescent="0.35">
      <c r="A3" s="331" t="s">
        <v>120</v>
      </c>
      <c r="B3" s="360"/>
      <c r="C3" s="362">
        <v>604615000</v>
      </c>
      <c r="D3" s="331"/>
      <c r="E3" s="331"/>
      <c r="F3" s="343">
        <v>603615300</v>
      </c>
      <c r="G3" s="331"/>
      <c r="I3" s="398">
        <v>2021</v>
      </c>
      <c r="J3" s="400">
        <v>0.14036399999999999</v>
      </c>
    </row>
    <row r="4" spans="1:10" ht="15.5" x14ac:dyDescent="0.35">
      <c r="A4" s="331" t="s">
        <v>121</v>
      </c>
      <c r="B4" s="360"/>
      <c r="C4" s="361">
        <f>C2+C3</f>
        <v>604615000</v>
      </c>
      <c r="D4" s="331"/>
      <c r="E4" s="331"/>
      <c r="F4" s="342">
        <f>F2+F3</f>
        <v>603615300</v>
      </c>
      <c r="G4" s="331"/>
      <c r="I4" s="398">
        <v>2022</v>
      </c>
      <c r="J4" s="400">
        <v>0.14932899999999999</v>
      </c>
    </row>
    <row r="5" spans="1:10" ht="15.5" x14ac:dyDescent="0.35">
      <c r="A5" s="331" t="s">
        <v>253</v>
      </c>
      <c r="B5" s="360"/>
      <c r="C5" s="361"/>
      <c r="D5" s="331"/>
      <c r="E5" s="331"/>
      <c r="F5" s="342"/>
      <c r="G5" s="331"/>
      <c r="I5" s="398">
        <v>2023</v>
      </c>
      <c r="J5" s="400">
        <v>0.147787</v>
      </c>
    </row>
    <row r="6" spans="1:10" ht="15.5" x14ac:dyDescent="0.35">
      <c r="A6" s="331" t="s">
        <v>254</v>
      </c>
      <c r="B6" s="360"/>
      <c r="C6" s="361">
        <v>342806000</v>
      </c>
      <c r="D6" s="331"/>
      <c r="E6" s="331"/>
      <c r="F6" s="342">
        <v>312244223</v>
      </c>
      <c r="G6" s="331"/>
      <c r="I6" s="401">
        <v>2024</v>
      </c>
      <c r="J6" s="402">
        <v>0.17256199999999999</v>
      </c>
    </row>
    <row r="7" spans="1:10" ht="15.5" x14ac:dyDescent="0.35">
      <c r="A7" s="331" t="s">
        <v>255</v>
      </c>
      <c r="B7" s="360"/>
      <c r="C7" s="361">
        <v>13249000</v>
      </c>
      <c r="D7" s="331"/>
      <c r="E7" s="331"/>
      <c r="F7" s="342">
        <v>15505973</v>
      </c>
      <c r="G7" s="331"/>
      <c r="I7" s="308"/>
      <c r="J7" s="368"/>
    </row>
    <row r="8" spans="1:10" ht="15.5" x14ac:dyDescent="0.35">
      <c r="A8" s="331" t="s">
        <v>256</v>
      </c>
      <c r="B8" s="360"/>
      <c r="C8" s="361">
        <v>160000</v>
      </c>
      <c r="D8" s="331"/>
      <c r="E8" s="331"/>
      <c r="F8" s="342">
        <v>160166</v>
      </c>
      <c r="G8" s="331"/>
      <c r="I8" s="308"/>
    </row>
    <row r="9" spans="1:10" ht="15.5" x14ac:dyDescent="0.35">
      <c r="A9" s="331" t="s">
        <v>257</v>
      </c>
      <c r="B9" s="360"/>
      <c r="C9" s="362">
        <v>6064000</v>
      </c>
      <c r="D9" s="331"/>
      <c r="E9" s="331"/>
      <c r="F9" s="343">
        <v>6064363</v>
      </c>
      <c r="G9" s="331"/>
      <c r="I9" s="308"/>
    </row>
    <row r="10" spans="1:10" ht="15.5" x14ac:dyDescent="0.35">
      <c r="A10" s="344" t="s">
        <v>243</v>
      </c>
      <c r="B10" s="360"/>
      <c r="C10" s="361">
        <f>SUM(C6:C9)</f>
        <v>362279000</v>
      </c>
      <c r="D10" s="331"/>
      <c r="E10" s="331"/>
      <c r="F10" s="342">
        <f>SUM(F6:F9)</f>
        <v>333974725</v>
      </c>
      <c r="G10" s="331"/>
      <c r="I10" s="308"/>
    </row>
    <row r="11" spans="1:10" ht="15.5" x14ac:dyDescent="0.35">
      <c r="A11" s="331" t="s">
        <v>116</v>
      </c>
      <c r="B11" s="360"/>
      <c r="C11" s="361"/>
      <c r="D11" s="331"/>
      <c r="E11" s="331"/>
      <c r="F11" s="342"/>
      <c r="G11" s="331"/>
    </row>
    <row r="12" spans="1:10" ht="15.5" x14ac:dyDescent="0.35">
      <c r="A12" s="331" t="s">
        <v>124</v>
      </c>
      <c r="B12" s="360">
        <v>141489000</v>
      </c>
      <c r="C12" s="361"/>
      <c r="D12" s="331"/>
      <c r="E12" s="342">
        <v>141489010</v>
      </c>
      <c r="F12" s="342"/>
      <c r="G12" s="331"/>
    </row>
    <row r="13" spans="1:10" ht="15.5" x14ac:dyDescent="0.35">
      <c r="A13" s="331" t="s">
        <v>125</v>
      </c>
      <c r="B13" s="360">
        <v>234000</v>
      </c>
      <c r="C13" s="361"/>
      <c r="D13" s="331"/>
      <c r="E13" s="342">
        <v>234100</v>
      </c>
      <c r="F13" s="342"/>
      <c r="G13" s="331"/>
    </row>
    <row r="14" spans="1:10" ht="15.5" x14ac:dyDescent="0.35">
      <c r="A14" s="331" t="s">
        <v>126</v>
      </c>
      <c r="B14" s="360"/>
      <c r="C14" s="361"/>
      <c r="D14" s="331"/>
      <c r="E14" s="331"/>
      <c r="F14" s="343"/>
      <c r="G14" s="331"/>
    </row>
    <row r="15" spans="1:10" ht="15.5" x14ac:dyDescent="0.35">
      <c r="A15" s="331" t="s">
        <v>122</v>
      </c>
      <c r="B15" s="360"/>
      <c r="C15" s="361">
        <f>SUM(B12:B14)</f>
        <v>141723000</v>
      </c>
      <c r="D15" s="331"/>
      <c r="E15" s="331"/>
      <c r="F15" s="342">
        <f>SUM(E12:E14)</f>
        <v>141723110</v>
      </c>
      <c r="G15" s="331"/>
    </row>
    <row r="16" spans="1:10" ht="15.5" x14ac:dyDescent="0.35">
      <c r="A16" s="331"/>
      <c r="B16" s="360"/>
      <c r="C16" s="361"/>
      <c r="D16" s="331"/>
      <c r="E16" s="331"/>
      <c r="F16" s="342"/>
      <c r="G16" s="331"/>
    </row>
    <row r="17" spans="1:7" ht="15.5" x14ac:dyDescent="0.35">
      <c r="A17" s="331" t="s">
        <v>123</v>
      </c>
      <c r="B17" s="360"/>
      <c r="C17" s="361"/>
      <c r="D17" s="331"/>
      <c r="E17" s="331"/>
      <c r="F17" s="342"/>
      <c r="G17" s="331"/>
    </row>
    <row r="18" spans="1:7" ht="15.5" x14ac:dyDescent="0.35">
      <c r="A18" s="331" t="s">
        <v>149</v>
      </c>
      <c r="B18" s="360">
        <v>1750000</v>
      </c>
      <c r="C18" s="361"/>
      <c r="D18" s="331"/>
      <c r="E18" s="342">
        <v>1750000</v>
      </c>
      <c r="F18" s="342"/>
      <c r="G18" s="331"/>
    </row>
    <row r="19" spans="1:7" ht="15.5" x14ac:dyDescent="0.35">
      <c r="A19" s="331" t="s">
        <v>150</v>
      </c>
      <c r="B19" s="360">
        <v>47179000</v>
      </c>
      <c r="C19" s="361"/>
      <c r="D19" s="331"/>
      <c r="E19" s="342">
        <v>55797372</v>
      </c>
      <c r="F19" s="342"/>
      <c r="G19" s="331"/>
    </row>
    <row r="20" spans="1:7" ht="15.5" x14ac:dyDescent="0.35">
      <c r="A20" s="331" t="s">
        <v>127</v>
      </c>
      <c r="B20" s="360">
        <v>51684000</v>
      </c>
      <c r="C20" s="361"/>
      <c r="D20" s="331"/>
      <c r="E20" s="342">
        <v>70370093</v>
      </c>
      <c r="F20" s="342"/>
      <c r="G20" s="331"/>
    </row>
    <row r="21" spans="1:7" ht="15.5" x14ac:dyDescent="0.35">
      <c r="A21" s="331" t="s">
        <v>128</v>
      </c>
      <c r="B21" s="360"/>
      <c r="C21" s="361"/>
      <c r="D21" s="331"/>
      <c r="E21" s="342"/>
      <c r="F21" s="342"/>
      <c r="G21" s="331"/>
    </row>
    <row r="22" spans="1:7" ht="15.5" x14ac:dyDescent="0.35">
      <c r="A22" s="331" t="s">
        <v>129</v>
      </c>
      <c r="B22" s="360"/>
      <c r="C22" s="363">
        <f>SUM(B18:B21)</f>
        <v>100613000</v>
      </c>
      <c r="D22" s="331"/>
      <c r="E22" s="342"/>
      <c r="F22" s="345">
        <f>SUM(E18:E21)</f>
        <v>127917465</v>
      </c>
      <c r="G22" s="331"/>
    </row>
    <row r="23" spans="1:7" ht="15.5" x14ac:dyDescent="0.35">
      <c r="A23" s="331" t="s">
        <v>130</v>
      </c>
      <c r="B23" s="364"/>
      <c r="C23" s="362">
        <f>C10+C15+C22</f>
        <v>604615000</v>
      </c>
      <c r="D23" s="331"/>
      <c r="E23" s="342"/>
      <c r="F23" s="342">
        <f>F10+F15+F22</f>
        <v>603615300</v>
      </c>
      <c r="G23" s="331"/>
    </row>
    <row r="24" spans="1:7" ht="15.5" x14ac:dyDescent="0.35">
      <c r="A24" s="331"/>
      <c r="B24" s="342"/>
      <c r="C24" s="342"/>
      <c r="D24" s="331"/>
      <c r="E24" s="331"/>
      <c r="F24" s="331"/>
      <c r="G24" s="331"/>
    </row>
    <row r="25" spans="1:7" ht="15.5" x14ac:dyDescent="0.35">
      <c r="A25" s="331"/>
      <c r="B25" s="342"/>
      <c r="C25" s="342"/>
      <c r="D25" s="331"/>
      <c r="E25" s="331"/>
      <c r="F25" s="331"/>
      <c r="G25" s="331"/>
    </row>
    <row r="26" spans="1:7" ht="15.5" x14ac:dyDescent="0.35">
      <c r="A26" s="331"/>
      <c r="B26" s="346" t="s">
        <v>312</v>
      </c>
      <c r="C26" s="347">
        <f>C22/C4</f>
        <v>0.16640837557784707</v>
      </c>
      <c r="D26" s="348"/>
      <c r="E26" s="331"/>
      <c r="F26" s="393">
        <f>F22/F4</f>
        <v>0.21191885792159343</v>
      </c>
      <c r="G26" s="331" t="s">
        <v>387</v>
      </c>
    </row>
    <row r="27" spans="1:7" ht="15.5" x14ac:dyDescent="0.35">
      <c r="A27" s="331"/>
      <c r="B27" s="406" t="s">
        <v>386</v>
      </c>
      <c r="C27" s="342"/>
      <c r="D27" s="349"/>
      <c r="F27" s="394">
        <v>0.15</v>
      </c>
      <c r="G27" s="331" t="s">
        <v>117</v>
      </c>
    </row>
    <row r="28" spans="1:7" ht="15.5" x14ac:dyDescent="0.35">
      <c r="A28" s="331"/>
      <c r="B28" s="342"/>
      <c r="C28" s="342"/>
      <c r="D28" s="348"/>
      <c r="F28" s="395">
        <f>F26-F27</f>
        <v>6.1918857921593434E-2</v>
      </c>
      <c r="G28" s="331" t="s">
        <v>118</v>
      </c>
    </row>
    <row r="29" spans="1:7" ht="15.5" x14ac:dyDescent="0.35">
      <c r="A29" s="331"/>
      <c r="B29" s="342"/>
      <c r="C29" s="342"/>
      <c r="D29" s="331"/>
      <c r="E29" s="331"/>
      <c r="F29" s="331"/>
      <c r="G29" s="331"/>
    </row>
    <row r="30" spans="1:7" ht="15.5" x14ac:dyDescent="0.35">
      <c r="A30" s="331" t="s">
        <v>163</v>
      </c>
      <c r="B30" s="342"/>
      <c r="C30" s="342"/>
      <c r="D30" s="346" t="s">
        <v>36</v>
      </c>
      <c r="E30" s="331"/>
      <c r="F30" s="331"/>
      <c r="G30" s="331"/>
    </row>
    <row r="31" spans="1:7" ht="15.5" x14ac:dyDescent="0.35">
      <c r="A31" s="331" t="str">
        <f>SAO!C26</f>
        <v>Purchased Water</v>
      </c>
      <c r="B31" s="350">
        <f>SAO!D26</f>
        <v>1741470</v>
      </c>
      <c r="C31" s="351"/>
      <c r="D31" s="352">
        <f>SAO!D26*-F28</f>
        <v>-107829.83350471732</v>
      </c>
      <c r="E31" s="331"/>
      <c r="F31" s="365"/>
      <c r="G31" s="331"/>
    </row>
    <row r="32" spans="1:7" ht="15.5" x14ac:dyDescent="0.35">
      <c r="A32" s="331" t="str">
        <f>SAO!C27</f>
        <v>Purchased Power</v>
      </c>
      <c r="B32" s="350">
        <f>SAO!D27</f>
        <v>107780</v>
      </c>
      <c r="C32" s="351"/>
      <c r="D32" s="352">
        <f>-SAO!D27*$F$28</f>
        <v>-6673.6145067893403</v>
      </c>
      <c r="E32" s="331"/>
      <c r="F32" s="344"/>
      <c r="G32" s="331"/>
    </row>
    <row r="33" spans="1:8" ht="15.5" x14ac:dyDescent="0.35">
      <c r="A33" s="331" t="str">
        <f>SAO!C28</f>
        <v>Chemicals</v>
      </c>
      <c r="B33" s="353">
        <f>SAO!D28</f>
        <v>0</v>
      </c>
      <c r="C33" s="354"/>
      <c r="D33" s="355">
        <f>-SAO!D28*$F$28</f>
        <v>0</v>
      </c>
      <c r="E33" s="331"/>
      <c r="F33" s="331"/>
      <c r="G33" s="331"/>
    </row>
    <row r="34" spans="1:8" ht="15.5" x14ac:dyDescent="0.35">
      <c r="A34" s="331" t="s">
        <v>11</v>
      </c>
      <c r="B34" s="356">
        <f>SUM(B31:B33)</f>
        <v>1849250</v>
      </c>
      <c r="C34" s="354"/>
      <c r="D34" s="356">
        <f>SUM(D31:D33)</f>
        <v>-114503.44801150665</v>
      </c>
      <c r="E34" s="331"/>
      <c r="F34" s="331"/>
      <c r="G34" s="331"/>
    </row>
    <row r="35" spans="1:8" ht="15.5" x14ac:dyDescent="0.35">
      <c r="A35" s="331"/>
      <c r="B35" s="356"/>
      <c r="C35" s="354"/>
      <c r="D35" s="356"/>
      <c r="E35" s="331"/>
      <c r="F35" s="331"/>
      <c r="G35" s="331"/>
    </row>
    <row r="36" spans="1:8" ht="15.5" x14ac:dyDescent="0.35">
      <c r="A36" s="331"/>
      <c r="B36" s="357"/>
      <c r="C36" s="354"/>
      <c r="D36" s="352"/>
      <c r="E36" s="331"/>
      <c r="F36" s="331"/>
      <c r="G36" s="331"/>
    </row>
    <row r="37" spans="1:8" ht="15.5" x14ac:dyDescent="0.35">
      <c r="A37" s="331"/>
      <c r="B37" s="357"/>
      <c r="C37" s="354"/>
      <c r="D37" s="404"/>
      <c r="E37" s="331"/>
      <c r="F37" s="352"/>
      <c r="G37" s="331"/>
    </row>
    <row r="38" spans="1:8" ht="15.5" x14ac:dyDescent="0.35">
      <c r="A38" s="331"/>
      <c r="B38" s="357"/>
      <c r="C38" s="357"/>
      <c r="D38" s="405"/>
      <c r="E38" s="331"/>
      <c r="F38" s="331"/>
      <c r="G38" s="331"/>
    </row>
    <row r="39" spans="1:8" ht="15.5" x14ac:dyDescent="0.35">
      <c r="A39" s="331"/>
      <c r="B39" s="357"/>
      <c r="C39" s="354"/>
      <c r="D39" s="352"/>
      <c r="E39" s="331"/>
      <c r="F39" s="331"/>
      <c r="G39" s="331"/>
    </row>
    <row r="40" spans="1:8" ht="15.5" x14ac:dyDescent="0.35">
      <c r="A40" s="331"/>
      <c r="B40" s="342"/>
      <c r="C40" s="342"/>
      <c r="D40" s="331"/>
      <c r="E40" s="331"/>
      <c r="F40" s="331"/>
      <c r="G40" s="331"/>
      <c r="H40" s="250"/>
    </row>
    <row r="41" spans="1:8" ht="15.5" x14ac:dyDescent="0.35">
      <c r="A41" s="331"/>
      <c r="B41" s="358"/>
      <c r="C41" s="358"/>
      <c r="D41" s="331"/>
      <c r="E41" s="331"/>
      <c r="F41" s="331"/>
      <c r="G41" s="331"/>
      <c r="H41" s="250"/>
    </row>
    <row r="42" spans="1:8" ht="15.5" x14ac:dyDescent="0.35">
      <c r="A42" s="331"/>
      <c r="B42" s="358"/>
      <c r="C42" s="359"/>
      <c r="D42" s="352"/>
      <c r="E42" s="331"/>
      <c r="F42" s="331"/>
      <c r="G42" s="331"/>
      <c r="H42" s="250"/>
    </row>
    <row r="43" spans="1:8" ht="15.5" x14ac:dyDescent="0.35">
      <c r="A43" s="331"/>
      <c r="B43" s="358"/>
      <c r="C43" s="358"/>
      <c r="D43" s="456"/>
      <c r="E43" s="331"/>
      <c r="F43" s="331"/>
      <c r="G43" s="331"/>
      <c r="H43" s="250"/>
    </row>
    <row r="44" spans="1:8" ht="15.5" x14ac:dyDescent="0.35">
      <c r="A44" s="331"/>
      <c r="B44" s="358"/>
      <c r="C44" s="358"/>
      <c r="D44" s="456"/>
      <c r="E44" s="331"/>
      <c r="F44" s="331"/>
      <c r="G44" s="331"/>
      <c r="H44" s="250"/>
    </row>
    <row r="45" spans="1:8" ht="15.5" x14ac:dyDescent="0.35">
      <c r="A45" s="331"/>
      <c r="B45" s="358"/>
      <c r="C45" s="358"/>
      <c r="D45" s="457"/>
      <c r="E45" s="331"/>
      <c r="F45" s="331"/>
      <c r="G45" s="331"/>
      <c r="H45" s="250"/>
    </row>
    <row r="46" spans="1:8" ht="15.5" x14ac:dyDescent="0.35">
      <c r="A46" s="331"/>
      <c r="B46" s="358"/>
      <c r="C46" s="358"/>
      <c r="D46" s="457"/>
      <c r="E46" s="331"/>
      <c r="F46" s="331"/>
      <c r="G46" s="331"/>
      <c r="H46" s="250"/>
    </row>
    <row r="47" spans="1:8" ht="15.5" x14ac:dyDescent="0.35">
      <c r="A47" s="331"/>
      <c r="B47" s="358"/>
      <c r="C47" s="359"/>
      <c r="D47" s="456"/>
      <c r="E47" s="331"/>
      <c r="F47" s="331"/>
      <c r="G47" s="331"/>
      <c r="H47" s="250"/>
    </row>
    <row r="48" spans="1:8" ht="15.5" x14ac:dyDescent="0.35">
      <c r="A48" s="331"/>
      <c r="B48" s="342"/>
      <c r="C48" s="342"/>
      <c r="D48" s="331"/>
      <c r="E48" s="331"/>
      <c r="F48" s="331"/>
      <c r="G48" s="331"/>
      <c r="H48" s="250"/>
    </row>
    <row r="49" spans="1:8" ht="14.5" x14ac:dyDescent="0.35">
      <c r="A49" s="250"/>
      <c r="B49" s="260"/>
      <c r="C49" s="260"/>
      <c r="D49" s="250"/>
      <c r="E49" s="250"/>
      <c r="F49" s="250"/>
      <c r="G49" s="250"/>
      <c r="H49" s="250"/>
    </row>
    <row r="50" spans="1:8" ht="14.5" x14ac:dyDescent="0.35">
      <c r="A50" s="250"/>
      <c r="B50" s="260"/>
      <c r="C50" s="260"/>
      <c r="D50" s="250"/>
      <c r="E50" s="250"/>
      <c r="F50" s="250"/>
      <c r="G50" s="250"/>
      <c r="H50" s="250"/>
    </row>
    <row r="51" spans="1:8" ht="14.5" x14ac:dyDescent="0.35">
      <c r="A51" s="250"/>
      <c r="B51" s="260"/>
      <c r="C51" s="260"/>
      <c r="D51" s="250"/>
      <c r="E51" s="250"/>
      <c r="F51" s="250"/>
      <c r="G51" s="250"/>
      <c r="H51" s="250"/>
    </row>
    <row r="52" spans="1:8" ht="14.5" x14ac:dyDescent="0.35">
      <c r="A52" s="250"/>
      <c r="B52" s="260"/>
      <c r="C52" s="260"/>
      <c r="D52" s="250"/>
      <c r="E52" s="250"/>
      <c r="F52" s="250"/>
      <c r="G52" s="250"/>
      <c r="H52" s="250"/>
    </row>
    <row r="53" spans="1:8" ht="14.5" x14ac:dyDescent="0.35">
      <c r="A53" s="250"/>
      <c r="B53" s="260"/>
      <c r="C53" s="260"/>
      <c r="D53" s="250"/>
      <c r="E53" s="250"/>
      <c r="F53" s="250"/>
      <c r="G53" s="250"/>
      <c r="H53" s="250"/>
    </row>
    <row r="54" spans="1:8" ht="14.5" x14ac:dyDescent="0.35">
      <c r="A54" s="250"/>
      <c r="B54" s="260"/>
      <c r="C54" s="260"/>
      <c r="D54" s="250"/>
      <c r="E54" s="250"/>
      <c r="F54" s="250"/>
      <c r="G54" s="250"/>
      <c r="H54" s="250"/>
    </row>
    <row r="55" spans="1:8" ht="14.5" x14ac:dyDescent="0.35">
      <c r="A55" s="250"/>
      <c r="B55" s="260"/>
      <c r="C55" s="260"/>
      <c r="D55" s="250"/>
      <c r="E55" s="250"/>
      <c r="F55" s="250"/>
      <c r="G55" s="250"/>
      <c r="H55" s="250"/>
    </row>
    <row r="56" spans="1:8" ht="14.5" x14ac:dyDescent="0.35">
      <c r="A56" s="250"/>
      <c r="B56" s="260"/>
      <c r="C56" s="260"/>
      <c r="D56" s="250"/>
      <c r="E56" s="250"/>
      <c r="F56" s="250"/>
      <c r="G56" s="250"/>
      <c r="H56" s="250"/>
    </row>
    <row r="57" spans="1:8" ht="14.5" x14ac:dyDescent="0.35">
      <c r="A57" s="250"/>
      <c r="B57" s="260"/>
      <c r="C57" s="260"/>
      <c r="D57" s="250"/>
      <c r="E57" s="250"/>
      <c r="F57" s="250"/>
      <c r="G57" s="250"/>
      <c r="H57" s="250"/>
    </row>
    <row r="58" spans="1:8" ht="14.5" x14ac:dyDescent="0.35">
      <c r="A58" s="250"/>
      <c r="B58" s="260"/>
      <c r="C58" s="260"/>
      <c r="D58" s="250"/>
      <c r="E58" s="250"/>
      <c r="F58" s="250"/>
      <c r="G58" s="250"/>
      <c r="H58" s="250"/>
    </row>
  </sheetData>
  <mergeCells count="2">
    <mergeCell ref="B1:C1"/>
    <mergeCell ref="E1:G1"/>
  </mergeCells>
  <pageMargins left="0.7" right="0.7" top="0.75" bottom="0.75" header="0.3" footer="0.3"/>
  <pageSetup orientation="portrait" horizontalDpi="4294967293"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GI45"/>
  <sheetViews>
    <sheetView showGridLines="0" topLeftCell="A23" zoomScale="98" zoomScaleNormal="98" workbookViewId="0">
      <selection activeCell="O16" sqref="O16"/>
    </sheetView>
  </sheetViews>
  <sheetFormatPr defaultColWidth="8.84375" defaultRowHeight="14.5" x14ac:dyDescent="0.35"/>
  <cols>
    <col min="1" max="1" width="3.07421875" style="25" customWidth="1"/>
    <col min="2" max="2" width="11" style="25" customWidth="1"/>
    <col min="3" max="3" width="13.07421875" style="25" customWidth="1"/>
    <col min="4" max="4" width="8.69140625" style="25" bestFit="1" customWidth="1"/>
    <col min="5" max="5" width="11.23046875" style="25" customWidth="1"/>
    <col min="6" max="6" width="9" style="25" customWidth="1"/>
    <col min="7" max="7" width="11.07421875" style="25" customWidth="1"/>
    <col min="8" max="8" width="9" style="25" customWidth="1"/>
    <col min="9" max="9" width="6.765625" style="197" customWidth="1"/>
    <col min="10" max="10" width="2.765625" style="25" customWidth="1"/>
    <col min="11" max="11" width="2.53515625" style="25" customWidth="1"/>
    <col min="12" max="12" width="9.69140625" style="184" customWidth="1"/>
    <col min="13" max="191" width="9.69140625" style="25" customWidth="1"/>
    <col min="192" max="16384" width="8.84375" style="17"/>
  </cols>
  <sheetData>
    <row r="1" spans="2:14" ht="15" thickBot="1" x14ac:dyDescent="0.4"/>
    <row r="2" spans="2:14" ht="21" x14ac:dyDescent="0.5">
      <c r="B2" s="424"/>
      <c r="C2" s="425"/>
      <c r="D2" s="425"/>
      <c r="E2" s="425"/>
      <c r="F2" s="425"/>
      <c r="G2" s="425"/>
      <c r="H2" s="425"/>
      <c r="I2" s="425"/>
      <c r="J2" s="426"/>
    </row>
    <row r="3" spans="2:14" ht="25.5" hidden="1" customHeight="1" x14ac:dyDescent="0.45">
      <c r="B3" s="436" t="s">
        <v>384</v>
      </c>
      <c r="C3" s="437"/>
      <c r="D3" s="437"/>
      <c r="E3" s="437"/>
      <c r="F3" s="437"/>
      <c r="G3" s="437"/>
      <c r="H3" s="437"/>
      <c r="I3" s="437"/>
      <c r="J3" s="438"/>
    </row>
    <row r="4" spans="2:14" ht="17.5" hidden="1" customHeight="1" x14ac:dyDescent="0.45">
      <c r="B4" s="257"/>
      <c r="C4" s="258"/>
      <c r="D4" s="258"/>
      <c r="E4" s="258"/>
      <c r="F4" s="258"/>
      <c r="G4" s="258"/>
      <c r="H4" s="258"/>
      <c r="I4" s="258"/>
      <c r="J4" s="259"/>
    </row>
    <row r="5" spans="2:14" ht="18.5" hidden="1" x14ac:dyDescent="0.45">
      <c r="B5" s="436"/>
      <c r="C5" s="437"/>
      <c r="D5" s="437"/>
      <c r="E5" s="437"/>
      <c r="F5" s="437"/>
      <c r="G5" s="437"/>
      <c r="H5" s="437"/>
      <c r="I5" s="437"/>
      <c r="J5" s="438"/>
    </row>
    <row r="6" spans="2:14" hidden="1" x14ac:dyDescent="0.35">
      <c r="B6" s="213"/>
      <c r="J6" s="214"/>
    </row>
    <row r="7" spans="2:14" ht="21" x14ac:dyDescent="0.5">
      <c r="B7" s="427" t="s">
        <v>46</v>
      </c>
      <c r="C7" s="428"/>
      <c r="D7" s="428"/>
      <c r="E7" s="428"/>
      <c r="F7" s="428"/>
      <c r="G7" s="428"/>
      <c r="H7" s="428"/>
      <c r="I7" s="428"/>
      <c r="J7" s="429"/>
    </row>
    <row r="8" spans="2:14" ht="14" customHeight="1" x14ac:dyDescent="0.35">
      <c r="B8" s="430" t="str">
        <f>ExBA!A1</f>
        <v>SOUTH EASTERN WATER ASSOCIATION, INC.</v>
      </c>
      <c r="C8" s="431"/>
      <c r="D8" s="431"/>
      <c r="E8" s="431"/>
      <c r="F8" s="431"/>
      <c r="G8" s="431"/>
      <c r="H8" s="431"/>
      <c r="I8" s="431"/>
      <c r="J8" s="432"/>
    </row>
    <row r="9" spans="2:14" ht="18" hidden="1" customHeight="1" x14ac:dyDescent="0.35">
      <c r="B9" s="255"/>
      <c r="C9" s="32"/>
      <c r="D9" s="32"/>
      <c r="E9" s="32"/>
      <c r="F9" s="32"/>
      <c r="G9" s="32"/>
      <c r="H9" s="32"/>
      <c r="I9" s="32"/>
      <c r="J9" s="256"/>
    </row>
    <row r="10" spans="2:14" ht="18" hidden="1" customHeight="1" x14ac:dyDescent="0.35">
      <c r="B10" s="439"/>
      <c r="C10" s="440"/>
      <c r="D10" s="440"/>
      <c r="E10" s="440"/>
      <c r="F10" s="440"/>
      <c r="G10" s="440"/>
      <c r="H10" s="440"/>
      <c r="I10" s="440"/>
      <c r="J10" s="441"/>
    </row>
    <row r="11" spans="2:14" ht="22.5" customHeight="1" x14ac:dyDescent="0.5">
      <c r="B11" s="433" t="s">
        <v>166</v>
      </c>
      <c r="C11" s="434"/>
      <c r="D11" s="442" t="s">
        <v>389</v>
      </c>
      <c r="E11" s="442"/>
      <c r="F11" s="435" t="s">
        <v>10</v>
      </c>
      <c r="G11" s="443"/>
      <c r="H11" s="435" t="s">
        <v>57</v>
      </c>
      <c r="I11" s="435"/>
      <c r="J11" s="215"/>
    </row>
    <row r="12" spans="2:14" ht="16" x14ac:dyDescent="0.5">
      <c r="B12" s="216"/>
      <c r="C12" s="312" t="s">
        <v>264</v>
      </c>
      <c r="D12" s="26"/>
      <c r="E12" s="26"/>
      <c r="F12" s="27"/>
      <c r="G12" s="26"/>
      <c r="H12" s="26"/>
      <c r="J12" s="217"/>
      <c r="M12" s="185"/>
      <c r="N12" s="185"/>
    </row>
    <row r="13" spans="2:14" x14ac:dyDescent="0.35">
      <c r="B13" s="229" t="s">
        <v>156</v>
      </c>
      <c r="C13" s="230" t="s">
        <v>176</v>
      </c>
      <c r="D13" s="231">
        <v>28.53</v>
      </c>
      <c r="E13" s="231" t="s">
        <v>167</v>
      </c>
      <c r="F13" s="232">
        <f>ROUND(D13*(1+'Revenue Requirement'!$G$28),2)</f>
        <v>31.35</v>
      </c>
      <c r="G13" s="231" t="s">
        <v>167</v>
      </c>
      <c r="H13" s="231">
        <f t="shared" ref="H13:H14" si="0">F13-D13</f>
        <v>2.8200000000000003</v>
      </c>
      <c r="I13" s="248">
        <f t="shared" ref="I13:I14" si="1">H13/D13</f>
        <v>9.8843322818086235E-2</v>
      </c>
      <c r="J13" s="233"/>
      <c r="M13" s="185"/>
      <c r="N13" s="185"/>
    </row>
    <row r="14" spans="2:14" x14ac:dyDescent="0.35">
      <c r="B14" s="229" t="s">
        <v>168</v>
      </c>
      <c r="C14" s="230" t="s">
        <v>176</v>
      </c>
      <c r="D14" s="234">
        <v>1.244E-2</v>
      </c>
      <c r="E14" s="231" t="s">
        <v>244</v>
      </c>
      <c r="F14" s="293">
        <f>ROUND(D14*(1+'Revenue Requirement'!$G$28),5)</f>
        <v>1.367E-2</v>
      </c>
      <c r="G14" s="231" t="s">
        <v>244</v>
      </c>
      <c r="H14" s="234">
        <f t="shared" si="0"/>
        <v>1.2300000000000002E-3</v>
      </c>
      <c r="I14" s="248">
        <f t="shared" si="1"/>
        <v>9.8874598070739561E-2</v>
      </c>
      <c r="J14" s="233"/>
      <c r="M14" s="185"/>
      <c r="N14" s="185"/>
    </row>
    <row r="15" spans="2:14" x14ac:dyDescent="0.35">
      <c r="B15" s="229"/>
      <c r="C15" s="230"/>
      <c r="D15" s="231"/>
      <c r="E15" s="231"/>
      <c r="F15" s="232"/>
      <c r="G15" s="231"/>
      <c r="H15" s="231"/>
      <c r="I15" s="248"/>
      <c r="J15" s="233"/>
      <c r="M15" s="185"/>
      <c r="N15" s="185"/>
    </row>
    <row r="16" spans="2:14" ht="16" x14ac:dyDescent="0.5">
      <c r="B16" s="229"/>
      <c r="C16" s="313" t="s">
        <v>265</v>
      </c>
      <c r="D16" s="231"/>
      <c r="E16" s="231"/>
      <c r="F16" s="232"/>
      <c r="G16" s="231"/>
      <c r="H16" s="231"/>
      <c r="I16" s="248"/>
      <c r="J16" s="233"/>
      <c r="M16" s="185"/>
      <c r="N16" s="185"/>
    </row>
    <row r="17" spans="2:14" x14ac:dyDescent="0.35">
      <c r="B17" s="229" t="s">
        <v>156</v>
      </c>
      <c r="C17" s="230" t="s">
        <v>271</v>
      </c>
      <c r="D17" s="231">
        <v>65.86</v>
      </c>
      <c r="E17" s="231" t="s">
        <v>167</v>
      </c>
      <c r="F17" s="232">
        <f>ROUND(D17*(1+'Revenue Requirement'!$G$28),2)</f>
        <v>72.38</v>
      </c>
      <c r="G17" s="231" t="s">
        <v>167</v>
      </c>
      <c r="H17" s="231">
        <f t="shared" ref="H17:H18" si="2">F17-D17</f>
        <v>6.519999999999996</v>
      </c>
      <c r="I17" s="248">
        <f t="shared" ref="I17:I18" si="3">H17/D17</f>
        <v>9.8997874278773101E-2</v>
      </c>
      <c r="J17" s="233"/>
      <c r="L17" s="26"/>
      <c r="M17" s="185">
        <f>D17+(20*(D18*1000))</f>
        <v>314.65999999999997</v>
      </c>
      <c r="N17" s="185"/>
    </row>
    <row r="18" spans="2:14" x14ac:dyDescent="0.35">
      <c r="B18" s="229" t="s">
        <v>168</v>
      </c>
      <c r="C18" s="230" t="s">
        <v>271</v>
      </c>
      <c r="D18" s="234">
        <v>1.244E-2</v>
      </c>
      <c r="E18" s="231" t="s">
        <v>244</v>
      </c>
      <c r="F18" s="296">
        <f>ROUND(D18*(1+'Revenue Requirement'!$G$28),5)</f>
        <v>1.367E-2</v>
      </c>
      <c r="G18" s="231" t="s">
        <v>244</v>
      </c>
      <c r="H18" s="234">
        <f t="shared" si="2"/>
        <v>1.2300000000000002E-3</v>
      </c>
      <c r="I18" s="248">
        <f t="shared" si="3"/>
        <v>9.8874598070739561E-2</v>
      </c>
      <c r="J18" s="233"/>
      <c r="M18" s="185"/>
      <c r="N18" s="185"/>
    </row>
    <row r="19" spans="2:14" x14ac:dyDescent="0.35">
      <c r="B19" s="229"/>
      <c r="C19" s="230"/>
      <c r="D19" s="234"/>
      <c r="E19" s="231"/>
      <c r="F19" s="296"/>
      <c r="G19" s="231"/>
      <c r="H19" s="234"/>
      <c r="I19" s="248"/>
      <c r="J19" s="233"/>
      <c r="M19" s="185"/>
      <c r="N19" s="185"/>
    </row>
    <row r="20" spans="2:14" ht="16" x14ac:dyDescent="0.5">
      <c r="B20" s="216"/>
      <c r="C20" s="325" t="s">
        <v>266</v>
      </c>
      <c r="D20" s="26"/>
      <c r="E20" s="26"/>
      <c r="F20" s="27"/>
      <c r="G20" s="26"/>
      <c r="H20" s="26"/>
      <c r="J20" s="233"/>
      <c r="M20" s="185"/>
      <c r="N20" s="185"/>
    </row>
    <row r="21" spans="2:14" x14ac:dyDescent="0.35">
      <c r="B21" s="229" t="s">
        <v>156</v>
      </c>
      <c r="C21" s="230" t="s">
        <v>272</v>
      </c>
      <c r="D21" s="231">
        <v>128.06</v>
      </c>
      <c r="E21" s="231" t="s">
        <v>167</v>
      </c>
      <c r="F21" s="232">
        <f>ROUND(D21*(1+'Revenue Requirement'!$G$28),2)</f>
        <v>140.74</v>
      </c>
      <c r="G21" s="231" t="s">
        <v>167</v>
      </c>
      <c r="H21" s="231">
        <f t="shared" ref="H21:H22" si="4">F21-D21</f>
        <v>12.680000000000007</v>
      </c>
      <c r="I21" s="248">
        <f t="shared" ref="I21:I22" si="5">H21/D21</f>
        <v>9.9016086209589307E-2</v>
      </c>
      <c r="J21" s="233"/>
      <c r="M21" s="185"/>
      <c r="N21" s="185"/>
    </row>
    <row r="22" spans="2:14" x14ac:dyDescent="0.35">
      <c r="B22" s="229" t="s">
        <v>168</v>
      </c>
      <c r="C22" s="230" t="s">
        <v>272</v>
      </c>
      <c r="D22" s="234">
        <v>1.244E-2</v>
      </c>
      <c r="E22" s="231" t="s">
        <v>244</v>
      </c>
      <c r="F22" s="293">
        <f>ROUND(D22*(1+'Revenue Requirement'!$G$28),5)</f>
        <v>1.367E-2</v>
      </c>
      <c r="G22" s="231" t="s">
        <v>244</v>
      </c>
      <c r="H22" s="234">
        <f t="shared" si="4"/>
        <v>1.2300000000000002E-3</v>
      </c>
      <c r="I22" s="248">
        <f t="shared" si="5"/>
        <v>9.8874598070739561E-2</v>
      </c>
      <c r="J22" s="233"/>
      <c r="M22" s="185"/>
      <c r="N22" s="185"/>
    </row>
    <row r="23" spans="2:14" x14ac:dyDescent="0.35">
      <c r="B23" s="229"/>
      <c r="C23" s="230"/>
      <c r="D23" s="231"/>
      <c r="E23" s="231"/>
      <c r="F23" s="232"/>
      <c r="G23" s="231"/>
      <c r="H23" s="231"/>
      <c r="I23" s="248"/>
      <c r="J23" s="233"/>
      <c r="M23" s="185"/>
      <c r="N23" s="185"/>
    </row>
    <row r="24" spans="2:14" ht="16" x14ac:dyDescent="0.5">
      <c r="B24" s="229"/>
      <c r="C24" s="313" t="s">
        <v>267</v>
      </c>
      <c r="D24" s="231"/>
      <c r="E24" s="231"/>
      <c r="F24" s="232"/>
      <c r="G24" s="231"/>
      <c r="H24" s="231"/>
      <c r="I24" s="248"/>
      <c r="J24" s="233"/>
      <c r="M24" s="185"/>
      <c r="N24" s="185"/>
    </row>
    <row r="25" spans="2:14" x14ac:dyDescent="0.35">
      <c r="B25" s="229" t="s">
        <v>156</v>
      </c>
      <c r="C25" s="230" t="s">
        <v>273</v>
      </c>
      <c r="D25" s="231">
        <v>252.5</v>
      </c>
      <c r="E25" s="231" t="s">
        <v>167</v>
      </c>
      <c r="F25" s="232">
        <f>ROUND(D25*(1+'Revenue Requirement'!$G$28),2)</f>
        <v>277.5</v>
      </c>
      <c r="G25" s="231" t="s">
        <v>167</v>
      </c>
      <c r="H25" s="231">
        <f t="shared" ref="H25:H26" si="6">F25-D25</f>
        <v>25</v>
      </c>
      <c r="I25" s="248">
        <f t="shared" ref="I25:I26" si="7">H25/D25</f>
        <v>9.9009900990099015E-2</v>
      </c>
      <c r="J25" s="233"/>
      <c r="M25" s="185"/>
      <c r="N25" s="185"/>
    </row>
    <row r="26" spans="2:14" x14ac:dyDescent="0.35">
      <c r="B26" s="229" t="s">
        <v>168</v>
      </c>
      <c r="C26" s="230" t="s">
        <v>273</v>
      </c>
      <c r="D26" s="234">
        <v>1.244E-2</v>
      </c>
      <c r="E26" s="231" t="s">
        <v>244</v>
      </c>
      <c r="F26" s="296">
        <f>ROUND(D26*(1+'Revenue Requirement'!$G$28),5)</f>
        <v>1.367E-2</v>
      </c>
      <c r="G26" s="231" t="s">
        <v>244</v>
      </c>
      <c r="H26" s="234">
        <f t="shared" si="6"/>
        <v>1.2300000000000002E-3</v>
      </c>
      <c r="I26" s="248">
        <f t="shared" si="7"/>
        <v>9.8874598070739561E-2</v>
      </c>
      <c r="J26" s="233"/>
      <c r="M26" s="185"/>
      <c r="N26" s="185"/>
    </row>
    <row r="27" spans="2:14" x14ac:dyDescent="0.35">
      <c r="B27" s="229"/>
      <c r="C27" s="230"/>
      <c r="D27" s="234"/>
      <c r="E27" s="231"/>
      <c r="F27" s="296"/>
      <c r="G27" s="231"/>
      <c r="H27" s="234"/>
      <c r="I27" s="248"/>
      <c r="J27" s="233"/>
      <c r="M27" s="185"/>
      <c r="N27" s="185"/>
    </row>
    <row r="28" spans="2:14" ht="16" x14ac:dyDescent="0.5">
      <c r="B28" s="216"/>
      <c r="C28" s="312" t="s">
        <v>268</v>
      </c>
      <c r="D28" s="26"/>
      <c r="E28" s="26"/>
      <c r="F28" s="27"/>
      <c r="G28" s="26"/>
      <c r="H28" s="26"/>
      <c r="J28" s="233"/>
      <c r="M28" s="185"/>
      <c r="N28" s="185"/>
    </row>
    <row r="29" spans="2:14" x14ac:dyDescent="0.35">
      <c r="B29" s="229" t="s">
        <v>156</v>
      </c>
      <c r="C29" s="230" t="s">
        <v>274</v>
      </c>
      <c r="D29" s="231">
        <v>376.93</v>
      </c>
      <c r="E29" s="231" t="s">
        <v>167</v>
      </c>
      <c r="F29" s="232">
        <f>ROUND(D29*(1+'Revenue Requirement'!$G$28),2)</f>
        <v>414.24</v>
      </c>
      <c r="G29" s="231" t="s">
        <v>167</v>
      </c>
      <c r="H29" s="231">
        <f t="shared" ref="H29:H30" si="8">F29-D29</f>
        <v>37.31</v>
      </c>
      <c r="I29" s="248">
        <f t="shared" ref="I29:I30" si="9">H29/D29</f>
        <v>9.8983896214151171E-2</v>
      </c>
      <c r="J29" s="233"/>
      <c r="M29" s="185"/>
      <c r="N29" s="185"/>
    </row>
    <row r="30" spans="2:14" x14ac:dyDescent="0.35">
      <c r="B30" s="229" t="s">
        <v>168</v>
      </c>
      <c r="C30" s="230" t="s">
        <v>274</v>
      </c>
      <c r="D30" s="234">
        <v>1.244E-2</v>
      </c>
      <c r="E30" s="231" t="s">
        <v>244</v>
      </c>
      <c r="F30" s="293">
        <f>ROUND(D30*(1+'Revenue Requirement'!$G$28),5)</f>
        <v>1.367E-2</v>
      </c>
      <c r="G30" s="231" t="s">
        <v>244</v>
      </c>
      <c r="H30" s="234">
        <f t="shared" si="8"/>
        <v>1.2300000000000002E-3</v>
      </c>
      <c r="I30" s="248">
        <f t="shared" si="9"/>
        <v>9.8874598070739561E-2</v>
      </c>
      <c r="J30" s="233"/>
      <c r="M30" s="185"/>
      <c r="N30" s="185"/>
    </row>
    <row r="31" spans="2:14" x14ac:dyDescent="0.35">
      <c r="B31" s="229"/>
      <c r="C31" s="230"/>
      <c r="D31" s="231"/>
      <c r="E31" s="231"/>
      <c r="F31" s="232"/>
      <c r="G31" s="231"/>
      <c r="H31" s="231"/>
      <c r="I31" s="248"/>
      <c r="J31" s="233"/>
      <c r="M31" s="185"/>
      <c r="N31" s="185"/>
    </row>
    <row r="32" spans="2:14" ht="16" x14ac:dyDescent="0.5">
      <c r="B32" s="229"/>
      <c r="C32" s="313" t="s">
        <v>269</v>
      </c>
      <c r="D32" s="231"/>
      <c r="E32" s="231"/>
      <c r="F32" s="232"/>
      <c r="G32" s="231"/>
      <c r="H32" s="231"/>
      <c r="I32" s="248"/>
      <c r="J32" s="233"/>
      <c r="M32" s="185"/>
      <c r="N32" s="185"/>
    </row>
    <row r="33" spans="2:15" x14ac:dyDescent="0.35">
      <c r="B33" s="229" t="s">
        <v>156</v>
      </c>
      <c r="C33" s="230" t="s">
        <v>275</v>
      </c>
      <c r="D33" s="231">
        <v>625.79</v>
      </c>
      <c r="E33" s="231" t="s">
        <v>167</v>
      </c>
      <c r="F33" s="232">
        <f>ROUND(D33*(1+'Revenue Requirement'!$G$28),2)</f>
        <v>687.74</v>
      </c>
      <c r="G33" s="231" t="s">
        <v>167</v>
      </c>
      <c r="H33" s="231">
        <f t="shared" ref="H33:H34" si="10">F33-D33</f>
        <v>61.950000000000045</v>
      </c>
      <c r="I33" s="248">
        <f t="shared" ref="I33:I34" si="11">H33/D33</f>
        <v>9.8994870483708669E-2</v>
      </c>
      <c r="J33" s="233"/>
      <c r="M33" s="185"/>
      <c r="N33" s="185"/>
    </row>
    <row r="34" spans="2:15" x14ac:dyDescent="0.35">
      <c r="B34" s="229" t="s">
        <v>168</v>
      </c>
      <c r="C34" s="230" t="s">
        <v>275</v>
      </c>
      <c r="D34" s="234">
        <v>1.244E-2</v>
      </c>
      <c r="E34" s="231" t="s">
        <v>244</v>
      </c>
      <c r="F34" s="296">
        <f>ROUND(D34*(1+'Revenue Requirement'!$G$28),5)</f>
        <v>1.367E-2</v>
      </c>
      <c r="G34" s="231" t="s">
        <v>244</v>
      </c>
      <c r="H34" s="234">
        <f t="shared" si="10"/>
        <v>1.2300000000000002E-3</v>
      </c>
      <c r="I34" s="248">
        <f t="shared" si="11"/>
        <v>9.8874598070739561E-2</v>
      </c>
      <c r="J34" s="233"/>
      <c r="M34" s="185"/>
      <c r="N34" s="185"/>
    </row>
    <row r="35" spans="2:15" x14ac:dyDescent="0.35">
      <c r="B35" s="229"/>
      <c r="C35" s="230"/>
      <c r="D35" s="234"/>
      <c r="E35" s="231"/>
      <c r="F35" s="296"/>
      <c r="G35" s="231"/>
      <c r="H35" s="234"/>
      <c r="I35" s="248"/>
      <c r="J35" s="233"/>
      <c r="M35" s="185"/>
      <c r="N35" s="185"/>
    </row>
    <row r="36" spans="2:15" ht="16" x14ac:dyDescent="0.5">
      <c r="B36" s="229"/>
      <c r="C36" s="313" t="s">
        <v>270</v>
      </c>
      <c r="D36" s="231"/>
      <c r="E36" s="231"/>
      <c r="F36" s="232"/>
      <c r="G36" s="231"/>
      <c r="H36" s="231"/>
      <c r="I36" s="248"/>
      <c r="J36" s="233"/>
      <c r="M36" s="185"/>
      <c r="N36" s="185"/>
    </row>
    <row r="37" spans="2:15" x14ac:dyDescent="0.35">
      <c r="B37" s="229" t="s">
        <v>156</v>
      </c>
      <c r="C37" s="230" t="s">
        <v>276</v>
      </c>
      <c r="D37" s="231">
        <v>1247.94</v>
      </c>
      <c r="E37" s="231" t="s">
        <v>167</v>
      </c>
      <c r="F37" s="232">
        <f>ROUND(D37*(1+'Revenue Requirement'!$G$28),2)</f>
        <v>1371.48</v>
      </c>
      <c r="G37" s="231" t="s">
        <v>167</v>
      </c>
      <c r="H37" s="231">
        <f t="shared" ref="H37:H38" si="12">F37-D37</f>
        <v>123.53999999999996</v>
      </c>
      <c r="I37" s="248">
        <f t="shared" ref="I37:I38" si="13">H37/D37</f>
        <v>9.8995143997307536E-2</v>
      </c>
      <c r="J37" s="233"/>
      <c r="M37" s="185"/>
      <c r="N37" s="185"/>
    </row>
    <row r="38" spans="2:15" x14ac:dyDescent="0.35">
      <c r="B38" s="229" t="s">
        <v>168</v>
      </c>
      <c r="C38" s="230" t="s">
        <v>276</v>
      </c>
      <c r="D38" s="234">
        <v>1.244E-2</v>
      </c>
      <c r="E38" s="231" t="s">
        <v>244</v>
      </c>
      <c r="F38" s="296">
        <f>ROUND(D38*(1+'Revenue Requirement'!$G$28),5)</f>
        <v>1.367E-2</v>
      </c>
      <c r="G38" s="231" t="s">
        <v>244</v>
      </c>
      <c r="H38" s="234">
        <f t="shared" si="12"/>
        <v>1.2300000000000002E-3</v>
      </c>
      <c r="I38" s="248">
        <f t="shared" si="13"/>
        <v>9.8874598070739561E-2</v>
      </c>
      <c r="J38" s="233"/>
      <c r="M38" s="296"/>
      <c r="N38" s="185"/>
    </row>
    <row r="39" spans="2:15" x14ac:dyDescent="0.35">
      <c r="B39" s="229"/>
      <c r="C39" s="230"/>
      <c r="D39" s="234"/>
      <c r="E39" s="231"/>
      <c r="F39" s="296"/>
      <c r="G39" s="231"/>
      <c r="H39" s="234"/>
      <c r="I39" s="248"/>
      <c r="J39" s="233"/>
      <c r="M39" s="296"/>
      <c r="N39" s="185"/>
    </row>
    <row r="40" spans="2:15" ht="15.5" customHeight="1" x14ac:dyDescent="0.35">
      <c r="B40" s="422" t="s">
        <v>174</v>
      </c>
      <c r="C40" s="423"/>
      <c r="D40" s="423"/>
      <c r="E40" s="423"/>
      <c r="F40" s="293"/>
      <c r="G40" s="231"/>
      <c r="H40" s="231"/>
      <c r="I40" s="248"/>
      <c r="J40" s="233"/>
      <c r="M40" s="296"/>
      <c r="N40" s="185"/>
    </row>
    <row r="41" spans="2:15" ht="16" x14ac:dyDescent="0.5">
      <c r="B41" s="229"/>
      <c r="C41" s="230" t="s">
        <v>175</v>
      </c>
      <c r="D41" s="234">
        <v>4.4400000000000004E-3</v>
      </c>
      <c r="E41" s="231" t="s">
        <v>244</v>
      </c>
      <c r="F41" s="296">
        <f>ROUND(D41*(1+'Revenue Requirement'!$G$28),5)</f>
        <v>4.8799999999999998E-3</v>
      </c>
      <c r="G41" s="231" t="s">
        <v>244</v>
      </c>
      <c r="H41" s="234">
        <f t="shared" ref="H41" si="14">F41-D41</f>
        <v>4.3999999999999942E-4</v>
      </c>
      <c r="I41" s="248">
        <f t="shared" ref="I41" si="15">H41/D41</f>
        <v>9.9099099099098961E-2</v>
      </c>
      <c r="J41" s="233"/>
      <c r="L41" s="26"/>
      <c r="M41" s="185"/>
      <c r="N41" s="185"/>
      <c r="O41" s="239"/>
    </row>
    <row r="42" spans="2:15" ht="16.5" thickBot="1" x14ac:dyDescent="0.55000000000000004">
      <c r="B42" s="218"/>
      <c r="C42" s="219"/>
      <c r="D42" s="219"/>
      <c r="E42" s="219"/>
      <c r="F42" s="219"/>
      <c r="G42" s="219"/>
      <c r="H42" s="219"/>
      <c r="I42" s="220"/>
      <c r="J42" s="221"/>
      <c r="L42" s="26"/>
      <c r="M42" s="185"/>
      <c r="N42" s="185"/>
      <c r="O42" s="239"/>
    </row>
    <row r="43" spans="2:15" ht="16" x14ac:dyDescent="0.5">
      <c r="L43" s="26"/>
      <c r="M43" s="185"/>
      <c r="N43" s="185"/>
      <c r="O43" s="239"/>
    </row>
    <row r="44" spans="2:15" ht="16" x14ac:dyDescent="0.5">
      <c r="L44" s="26"/>
      <c r="M44" s="185"/>
      <c r="N44" s="185"/>
      <c r="O44" s="239"/>
    </row>
    <row r="45" spans="2:15" ht="16" x14ac:dyDescent="0.5">
      <c r="L45" s="26"/>
      <c r="M45" s="185"/>
      <c r="N45" s="185"/>
      <c r="O45" s="239"/>
    </row>
  </sheetData>
  <mergeCells count="11">
    <mergeCell ref="B40:E40"/>
    <mergeCell ref="B2:J2"/>
    <mergeCell ref="B7:J7"/>
    <mergeCell ref="B8:J8"/>
    <mergeCell ref="B11:C11"/>
    <mergeCell ref="H11:I11"/>
    <mergeCell ref="B5:J5"/>
    <mergeCell ref="B10:J10"/>
    <mergeCell ref="B3:J3"/>
    <mergeCell ref="D11:E11"/>
    <mergeCell ref="F11:G11"/>
  </mergeCells>
  <printOptions horizontalCentered="1"/>
  <pageMargins left="0.55000000000000004" right="0.55000000000000004" top="1.6" bottom="0.5" header="0" footer="0"/>
  <pageSetup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B2:R58"/>
  <sheetViews>
    <sheetView showGridLines="0" workbookViewId="0">
      <selection activeCell="M8" sqref="M8:R17"/>
    </sheetView>
  </sheetViews>
  <sheetFormatPr defaultColWidth="8.84375" defaultRowHeight="14.5" x14ac:dyDescent="0.35"/>
  <cols>
    <col min="1" max="1" width="2.61328125" style="7" customWidth="1"/>
    <col min="2" max="2" width="1.765625" style="7" customWidth="1"/>
    <col min="3" max="4" width="9.765625" style="7" customWidth="1"/>
    <col min="5" max="6" width="9.765625" style="205" customWidth="1"/>
    <col min="7" max="8" width="9.765625" style="7" customWidth="1"/>
    <col min="9" max="9" width="1.765625" style="7" customWidth="1"/>
    <col min="10" max="10" width="2.4609375" style="7" customWidth="1"/>
    <col min="11" max="12" width="8.84375" style="7"/>
    <col min="13" max="13" width="10.4609375" style="7" customWidth="1"/>
    <col min="14" max="14" width="10.07421875" style="7" customWidth="1"/>
    <col min="15" max="16384" width="8.84375" style="7"/>
  </cols>
  <sheetData>
    <row r="2" spans="2:18" x14ac:dyDescent="0.35">
      <c r="B2" s="8"/>
      <c r="C2" s="9"/>
      <c r="D2" s="9"/>
      <c r="E2" s="206"/>
      <c r="F2" s="206"/>
      <c r="G2" s="9"/>
      <c r="H2" s="9"/>
      <c r="I2" s="10"/>
    </row>
    <row r="3" spans="2:18" ht="18.5" x14ac:dyDescent="0.45">
      <c r="B3" s="11"/>
      <c r="C3" s="447" t="s">
        <v>383</v>
      </c>
      <c r="D3" s="447"/>
      <c r="E3" s="447"/>
      <c r="F3" s="447"/>
      <c r="G3" s="447"/>
      <c r="H3" s="447"/>
      <c r="I3" s="448"/>
    </row>
    <row r="4" spans="2:18" ht="18.5" x14ac:dyDescent="0.45">
      <c r="B4" s="11"/>
      <c r="C4" s="444" t="s">
        <v>147</v>
      </c>
      <c r="D4" s="444"/>
      <c r="E4" s="444"/>
      <c r="F4" s="444"/>
      <c r="G4" s="444"/>
      <c r="H4" s="444"/>
      <c r="I4" s="445"/>
    </row>
    <row r="5" spans="2:18" ht="15.5" x14ac:dyDescent="0.35">
      <c r="B5" s="11"/>
      <c r="C5" s="415" t="s">
        <v>252</v>
      </c>
      <c r="D5" s="415"/>
      <c r="E5" s="415"/>
      <c r="F5" s="415"/>
      <c r="G5" s="415"/>
      <c r="H5" s="415"/>
      <c r="I5" s="446"/>
    </row>
    <row r="6" spans="2:18" x14ac:dyDescent="0.35">
      <c r="B6" s="13"/>
      <c r="C6" s="5"/>
      <c r="D6" s="5"/>
      <c r="E6" s="207"/>
      <c r="F6" s="207"/>
      <c r="G6" s="5"/>
      <c r="H6" s="5"/>
      <c r="I6" s="14"/>
    </row>
    <row r="7" spans="2:18" ht="6" customHeight="1" x14ac:dyDescent="0.35">
      <c r="B7" s="11"/>
      <c r="C7" s="6"/>
      <c r="D7" s="12"/>
      <c r="E7" s="208"/>
      <c r="F7" s="33"/>
      <c r="G7" s="33"/>
      <c r="H7" s="33"/>
      <c r="I7" s="34"/>
      <c r="J7" s="32"/>
      <c r="K7" s="32"/>
    </row>
    <row r="8" spans="2:18" ht="16" x14ac:dyDescent="0.5">
      <c r="B8" s="11"/>
      <c r="C8" s="16" t="s">
        <v>12</v>
      </c>
      <c r="D8" s="31" t="s">
        <v>56</v>
      </c>
      <c r="E8" s="209" t="s">
        <v>22</v>
      </c>
      <c r="F8" s="211" t="s">
        <v>10</v>
      </c>
      <c r="G8" s="16"/>
      <c r="H8" s="16"/>
      <c r="I8" s="31"/>
      <c r="M8" s="16" t="s">
        <v>12</v>
      </c>
      <c r="N8" s="31" t="s">
        <v>56</v>
      </c>
      <c r="O8" s="377" t="s">
        <v>22</v>
      </c>
      <c r="P8" s="211" t="s">
        <v>10</v>
      </c>
      <c r="Q8" s="16"/>
      <c r="R8" s="16"/>
    </row>
    <row r="9" spans="2:18" ht="16" x14ac:dyDescent="0.5">
      <c r="B9" s="11"/>
      <c r="C9" s="16" t="s">
        <v>62</v>
      </c>
      <c r="D9" s="31" t="s">
        <v>59</v>
      </c>
      <c r="E9" s="209" t="s">
        <v>180</v>
      </c>
      <c r="F9" s="211" t="s">
        <v>180</v>
      </c>
      <c r="G9" s="16" t="s">
        <v>23</v>
      </c>
      <c r="H9" s="16" t="s">
        <v>58</v>
      </c>
      <c r="I9" s="31"/>
      <c r="M9" s="16" t="s">
        <v>391</v>
      </c>
      <c r="N9" s="31" t="s">
        <v>59</v>
      </c>
      <c r="O9" s="377" t="s">
        <v>390</v>
      </c>
      <c r="P9" s="211" t="s">
        <v>390</v>
      </c>
      <c r="Q9" s="16" t="s">
        <v>23</v>
      </c>
      <c r="R9" s="16" t="s">
        <v>58</v>
      </c>
    </row>
    <row r="10" spans="2:18" x14ac:dyDescent="0.35">
      <c r="B10" s="11"/>
      <c r="C10" s="17">
        <v>0</v>
      </c>
      <c r="D10" s="35" t="s">
        <v>60</v>
      </c>
      <c r="E10" s="210">
        <f>Rates!D13</f>
        <v>28.53</v>
      </c>
      <c r="F10" s="149">
        <f>Rates!F13</f>
        <v>31.35</v>
      </c>
      <c r="G10" s="45">
        <f>F10-E10</f>
        <v>2.8200000000000003</v>
      </c>
      <c r="H10" s="67">
        <f>G10/E10</f>
        <v>9.8843322818086235E-2</v>
      </c>
      <c r="I10" s="38"/>
      <c r="M10" s="39">
        <v>4000</v>
      </c>
      <c r="N10" s="40" t="s">
        <v>60</v>
      </c>
      <c r="O10" s="378">
        <f>Rates!$D$13+((Bills!M10-2000)*Rates!$D$14)</f>
        <v>53.41</v>
      </c>
      <c r="P10" s="41">
        <f>Rates!$F$13+(Bills!M10-2000)*Rates!$F$14</f>
        <v>58.69</v>
      </c>
      <c r="Q10" s="41">
        <f t="shared" ref="Q10:Q11" si="0">P10-O10</f>
        <v>5.2800000000000011</v>
      </c>
      <c r="R10" s="374">
        <f t="shared" ref="R10:R11" si="1">Q10/O10</f>
        <v>9.8857891780565463E-2</v>
      </c>
    </row>
    <row r="11" spans="2:18" x14ac:dyDescent="0.35">
      <c r="B11" s="11"/>
      <c r="C11" s="6">
        <v>2000</v>
      </c>
      <c r="D11" s="35" t="s">
        <v>60</v>
      </c>
      <c r="E11" s="210">
        <f>Rates!$D$13</f>
        <v>28.53</v>
      </c>
      <c r="F11" s="210">
        <f>Rates!$F$13</f>
        <v>31.35</v>
      </c>
      <c r="G11" s="17">
        <f t="shared" ref="G11:G18" si="2">F11-E11</f>
        <v>2.8200000000000003</v>
      </c>
      <c r="H11" s="67">
        <f t="shared" ref="H11:H25" si="3">G11/E11</f>
        <v>9.8843322818086235E-2</v>
      </c>
      <c r="I11" s="38"/>
      <c r="M11" s="6">
        <v>25000</v>
      </c>
      <c r="N11" s="36" t="s">
        <v>24</v>
      </c>
      <c r="O11" s="379">
        <f>Rates!$D$13+(Bills!M11-2000)*Rates!$D$14</f>
        <v>314.64999999999998</v>
      </c>
      <c r="P11" s="149">
        <f>Rates!$F$13+(Bills!M11-2000)*Rates!$F$14</f>
        <v>345.76000000000005</v>
      </c>
      <c r="Q11" s="17">
        <f t="shared" si="0"/>
        <v>31.11000000000007</v>
      </c>
      <c r="R11" s="375">
        <f t="shared" si="1"/>
        <v>9.8871762275544492E-2</v>
      </c>
    </row>
    <row r="12" spans="2:18" x14ac:dyDescent="0.35">
      <c r="B12" s="11"/>
      <c r="C12" s="39">
        <v>4000</v>
      </c>
      <c r="D12" s="40" t="s">
        <v>60</v>
      </c>
      <c r="E12" s="212">
        <f>Rates!$D$13+((Bills!C12-2000)*Rates!$D$14)</f>
        <v>53.41</v>
      </c>
      <c r="F12" s="212">
        <f>Rates!$F$13+(Bills!C12-2000)*Rates!$F$14</f>
        <v>58.69</v>
      </c>
      <c r="G12" s="41">
        <f t="shared" si="2"/>
        <v>5.2800000000000011</v>
      </c>
      <c r="H12" s="68">
        <f t="shared" si="3"/>
        <v>9.8857891780565463E-2</v>
      </c>
      <c r="I12" s="42"/>
      <c r="K12" s="15"/>
      <c r="M12" s="7">
        <v>10000</v>
      </c>
      <c r="N12" s="376" t="s">
        <v>360</v>
      </c>
      <c r="O12" s="380">
        <f>Rates!D21</f>
        <v>128.06</v>
      </c>
      <c r="P12" s="7">
        <f>Rates!F21</f>
        <v>140.74</v>
      </c>
      <c r="Q12" s="17">
        <f t="shared" ref="Q12:Q18" si="4">P12-O12</f>
        <v>12.680000000000007</v>
      </c>
      <c r="R12" s="375">
        <f t="shared" ref="R12:R17" si="5">Q12/O12</f>
        <v>9.9016086209589307E-2</v>
      </c>
    </row>
    <row r="13" spans="2:18" x14ac:dyDescent="0.35">
      <c r="B13" s="11"/>
      <c r="C13" s="6">
        <v>6000</v>
      </c>
      <c r="D13" s="35" t="s">
        <v>60</v>
      </c>
      <c r="E13" s="210">
        <f>Rates!$D$13+(Bills!C13-2000)*Rates!$D$14</f>
        <v>78.289999999999992</v>
      </c>
      <c r="F13" s="210">
        <f>Rates!$F$13+(Bills!C13-2000)*Rates!$F$14</f>
        <v>86.03</v>
      </c>
      <c r="G13" s="17">
        <f t="shared" si="2"/>
        <v>7.7400000000000091</v>
      </c>
      <c r="H13" s="67">
        <f t="shared" si="3"/>
        <v>9.8863200919657807E-2</v>
      </c>
      <c r="I13" s="38"/>
      <c r="M13" s="7">
        <v>25000</v>
      </c>
      <c r="N13" s="36" t="s">
        <v>25</v>
      </c>
      <c r="O13" s="379">
        <f>Rates!$D$13+(Bills!M13-2000)*Rates!$D$14</f>
        <v>314.64999999999998</v>
      </c>
      <c r="P13" s="149">
        <f>Rates!$F$13+(Bills!M13-2000)*Rates!$F$14</f>
        <v>345.76000000000005</v>
      </c>
      <c r="Q13" s="17">
        <f t="shared" si="4"/>
        <v>31.11000000000007</v>
      </c>
      <c r="R13" s="375">
        <f t="shared" si="5"/>
        <v>9.8871762275544492E-2</v>
      </c>
    </row>
    <row r="14" spans="2:18" x14ac:dyDescent="0.35">
      <c r="B14" s="11"/>
      <c r="C14" s="6">
        <v>8000</v>
      </c>
      <c r="D14" s="35" t="s">
        <v>60</v>
      </c>
      <c r="E14" s="210">
        <f>Rates!$D$13+(Bills!C14-2000)*Rates!$D$14</f>
        <v>103.17</v>
      </c>
      <c r="F14" s="210">
        <f>Rates!$F$13+(Bills!C14-2000)*Rates!$F$14</f>
        <v>113.37</v>
      </c>
      <c r="G14" s="17">
        <f t="shared" si="2"/>
        <v>10.200000000000003</v>
      </c>
      <c r="H14" s="67">
        <f t="shared" si="3"/>
        <v>9.8865949403896508E-2</v>
      </c>
      <c r="I14" s="38"/>
      <c r="M14" s="7">
        <v>30000</v>
      </c>
      <c r="N14" s="376" t="s">
        <v>361</v>
      </c>
      <c r="O14" s="380">
        <f>Rates!D29</f>
        <v>376.93</v>
      </c>
      <c r="P14" s="15">
        <f>Rates!F29</f>
        <v>414.24</v>
      </c>
      <c r="Q14" s="17">
        <f t="shared" si="4"/>
        <v>37.31</v>
      </c>
      <c r="R14" s="375">
        <f t="shared" si="5"/>
        <v>9.8983896214151171E-2</v>
      </c>
    </row>
    <row r="15" spans="2:18" x14ac:dyDescent="0.35">
      <c r="B15" s="11"/>
      <c r="C15" s="6">
        <v>10000</v>
      </c>
      <c r="D15" s="35" t="s">
        <v>60</v>
      </c>
      <c r="E15" s="210">
        <f>Rates!$D$13+(Bills!C15-2000)*Rates!$D$14</f>
        <v>128.05000000000001</v>
      </c>
      <c r="F15" s="210">
        <f>Rates!$F$13+(Bills!C15-2000)*Rates!$F$14</f>
        <v>140.71</v>
      </c>
      <c r="G15" s="17">
        <f t="shared" si="2"/>
        <v>12.659999999999997</v>
      </c>
      <c r="H15" s="67">
        <f t="shared" si="3"/>
        <v>9.8867629832096807E-2</v>
      </c>
      <c r="I15" s="38"/>
      <c r="M15" s="7">
        <v>50000</v>
      </c>
      <c r="N15" s="376" t="s">
        <v>362</v>
      </c>
      <c r="O15" s="380">
        <f>Rates!D33</f>
        <v>625.79</v>
      </c>
      <c r="P15" s="15">
        <f>Rates!F33</f>
        <v>687.74</v>
      </c>
      <c r="Q15" s="17">
        <f t="shared" si="4"/>
        <v>61.950000000000045</v>
      </c>
      <c r="R15" s="375">
        <f t="shared" si="5"/>
        <v>9.8994870483708669E-2</v>
      </c>
    </row>
    <row r="16" spans="2:18" x14ac:dyDescent="0.35">
      <c r="B16" s="11"/>
      <c r="C16" s="6">
        <v>15000</v>
      </c>
      <c r="D16" s="35" t="s">
        <v>60</v>
      </c>
      <c r="E16" s="210">
        <f>Rates!$D$13+(Bills!C16-2000)*Rates!$D$14</f>
        <v>190.25</v>
      </c>
      <c r="F16" s="210">
        <f>Rates!$F$13+(Bills!C16-2000)*Rates!$F$14</f>
        <v>209.06</v>
      </c>
      <c r="G16" s="17">
        <f t="shared" si="2"/>
        <v>18.810000000000002</v>
      </c>
      <c r="H16" s="67">
        <f t="shared" si="3"/>
        <v>9.886990801576874E-2</v>
      </c>
      <c r="I16" s="38"/>
      <c r="M16" s="7">
        <v>100000</v>
      </c>
      <c r="N16" s="376" t="s">
        <v>363</v>
      </c>
      <c r="O16" s="380">
        <f>Rates!D37</f>
        <v>1247.94</v>
      </c>
      <c r="P16" s="15">
        <f>Rates!F37</f>
        <v>1371.48</v>
      </c>
      <c r="Q16" s="17">
        <f t="shared" si="4"/>
        <v>123.53999999999996</v>
      </c>
      <c r="R16" s="375">
        <f t="shared" si="5"/>
        <v>9.8995143997307536E-2</v>
      </c>
    </row>
    <row r="17" spans="2:18" x14ac:dyDescent="0.35">
      <c r="B17" s="11"/>
      <c r="C17" s="6">
        <v>20000</v>
      </c>
      <c r="D17" s="35" t="s">
        <v>60</v>
      </c>
      <c r="E17" s="210">
        <f>Rates!$D$13+(Bills!C17-2000)*Rates!$D$14</f>
        <v>252.45</v>
      </c>
      <c r="F17" s="210">
        <f>Rates!$F$13+(Bills!C17-2000)*Rates!$F$14</f>
        <v>277.41000000000003</v>
      </c>
      <c r="G17" s="17">
        <f t="shared" si="2"/>
        <v>24.960000000000036</v>
      </c>
      <c r="H17" s="67">
        <f t="shared" si="3"/>
        <v>9.8871063576946083E-2</v>
      </c>
      <c r="I17" s="38"/>
      <c r="M17" s="7" t="s">
        <v>364</v>
      </c>
      <c r="N17" s="376"/>
      <c r="O17" s="381">
        <f>Rates!D41</f>
        <v>4.4400000000000004E-3</v>
      </c>
      <c r="P17" s="372">
        <f>Rates!F41</f>
        <v>4.8799999999999998E-3</v>
      </c>
      <c r="Q17" s="373">
        <f t="shared" si="4"/>
        <v>4.3999999999999942E-4</v>
      </c>
      <c r="R17" s="375">
        <f t="shared" si="5"/>
        <v>9.9099099099098961E-2</v>
      </c>
    </row>
    <row r="18" spans="2:18" x14ac:dyDescent="0.35">
      <c r="B18" s="11"/>
      <c r="C18" s="6">
        <v>25000</v>
      </c>
      <c r="D18" s="36" t="s">
        <v>24</v>
      </c>
      <c r="E18" s="210">
        <f>Rates!$D$13+(Bills!C18-2000)*Rates!$D$14</f>
        <v>314.64999999999998</v>
      </c>
      <c r="F18" s="210">
        <f>Rates!$F$13+(Bills!C18-2000)*Rates!$F$14</f>
        <v>345.76000000000005</v>
      </c>
      <c r="G18" s="17">
        <f t="shared" si="2"/>
        <v>31.11000000000007</v>
      </c>
      <c r="H18" s="67">
        <f t="shared" si="3"/>
        <v>9.8871762275544492E-2</v>
      </c>
      <c r="I18" s="38"/>
      <c r="N18" s="58"/>
      <c r="Q18" s="17">
        <f t="shared" si="4"/>
        <v>0</v>
      </c>
      <c r="R18" s="67"/>
    </row>
    <row r="19" spans="2:18" x14ac:dyDescent="0.35">
      <c r="B19" s="11"/>
      <c r="C19" s="6">
        <v>30000</v>
      </c>
      <c r="D19" s="36" t="s">
        <v>24</v>
      </c>
      <c r="E19" s="210">
        <f>Rates!$D$13+(Bills!C19-2000)*Rates!$D$14</f>
        <v>376.85</v>
      </c>
      <c r="F19" s="210">
        <f>Rates!$F$13+(Bills!C19-2000)*Rates!$F$14</f>
        <v>414.11</v>
      </c>
      <c r="G19" s="17">
        <f t="shared" ref="G19:G25" si="6">F19-E19</f>
        <v>37.259999999999991</v>
      </c>
      <c r="H19" s="67">
        <f t="shared" si="3"/>
        <v>9.8872230330370139E-2</v>
      </c>
      <c r="I19" s="38"/>
      <c r="N19" s="58"/>
      <c r="O19" s="6"/>
    </row>
    <row r="20" spans="2:18" x14ac:dyDescent="0.35">
      <c r="B20" s="11"/>
      <c r="C20" s="6">
        <v>40000</v>
      </c>
      <c r="D20" s="36" t="s">
        <v>24</v>
      </c>
      <c r="E20" s="210">
        <f>Rates!$D$13+(Bills!C20-2000)*Rates!$D$14</f>
        <v>501.25</v>
      </c>
      <c r="F20" s="210">
        <f>Rates!$F$13+(Bills!C20-2000)*Rates!$F$14</f>
        <v>550.81000000000006</v>
      </c>
      <c r="G20" s="17">
        <f t="shared" si="6"/>
        <v>49.560000000000059</v>
      </c>
      <c r="H20" s="67">
        <f t="shared" si="3"/>
        <v>9.8872817955112338E-2</v>
      </c>
      <c r="I20" s="38"/>
      <c r="N20" s="58"/>
    </row>
    <row r="21" spans="2:18" x14ac:dyDescent="0.35">
      <c r="B21" s="11"/>
      <c r="C21" s="6">
        <v>50000</v>
      </c>
      <c r="D21" s="36" t="s">
        <v>24</v>
      </c>
      <c r="E21" s="210">
        <f>Rates!$D$13+(Bills!C21-2000)*Rates!$D$14</f>
        <v>625.65</v>
      </c>
      <c r="F21" s="210">
        <f>Rates!$F$13+(Bills!C21-2000)*Rates!$F$14</f>
        <v>687.51</v>
      </c>
      <c r="G21" s="17">
        <f t="shared" si="6"/>
        <v>61.860000000000014</v>
      </c>
      <c r="H21" s="67">
        <f t="shared" si="3"/>
        <v>9.8873171901222759E-2</v>
      </c>
      <c r="I21" s="38"/>
    </row>
    <row r="22" spans="2:18" x14ac:dyDescent="0.35">
      <c r="B22" s="11"/>
      <c r="C22" s="6">
        <v>75000</v>
      </c>
      <c r="D22" s="36" t="s">
        <v>25</v>
      </c>
      <c r="E22" s="210">
        <f>Rates!$D$13+(Bills!C22-2000)*Rates!$D$14</f>
        <v>936.65</v>
      </c>
      <c r="F22" s="210">
        <f>Rates!$F$13+(Bills!C22-2000)*Rates!$F$14</f>
        <v>1029.26</v>
      </c>
      <c r="G22" s="17">
        <f t="shared" si="6"/>
        <v>92.610000000000014</v>
      </c>
      <c r="H22" s="67">
        <f t="shared" si="3"/>
        <v>9.8873645438530958E-2</v>
      </c>
      <c r="I22" s="38"/>
    </row>
    <row r="23" spans="2:18" x14ac:dyDescent="0.35">
      <c r="B23" s="11"/>
      <c r="C23" s="6">
        <v>100000</v>
      </c>
      <c r="D23" s="36" t="s">
        <v>25</v>
      </c>
      <c r="E23" s="210">
        <f>Rates!$D$13+(Bills!C23-2000)*Rates!$D$14</f>
        <v>1247.6499999999999</v>
      </c>
      <c r="F23" s="210">
        <f>Rates!$F$13+(Bills!C23-2000)*Rates!$F$14</f>
        <v>1371.01</v>
      </c>
      <c r="G23" s="17">
        <f t="shared" si="6"/>
        <v>123.36000000000013</v>
      </c>
      <c r="H23" s="67">
        <f t="shared" si="3"/>
        <v>9.8873882899851828E-2</v>
      </c>
      <c r="I23" s="38"/>
    </row>
    <row r="24" spans="2:18" x14ac:dyDescent="0.35">
      <c r="B24" s="11"/>
      <c r="C24" s="6">
        <v>200000</v>
      </c>
      <c r="D24" s="36" t="s">
        <v>25</v>
      </c>
      <c r="E24" s="210">
        <f>Rates!$D$13+(Bills!C24-2000)*Rates!$D$14</f>
        <v>2491.65</v>
      </c>
      <c r="F24" s="210">
        <f>Rates!$F$13+(Bills!C24-2000)*Rates!$F$14</f>
        <v>2738.0099999999998</v>
      </c>
      <c r="G24" s="17">
        <f t="shared" si="6"/>
        <v>246.35999999999967</v>
      </c>
      <c r="H24" s="67">
        <f t="shared" si="3"/>
        <v>9.8874239961471183E-2</v>
      </c>
      <c r="I24" s="38"/>
    </row>
    <row r="25" spans="2:18" x14ac:dyDescent="0.35">
      <c r="B25" s="11"/>
      <c r="C25" s="6">
        <v>500000</v>
      </c>
      <c r="D25" s="36" t="s">
        <v>25</v>
      </c>
      <c r="E25" s="210">
        <f>Rates!$D$13+(Bills!C25-2000)*Rates!$D$14</f>
        <v>6223.65</v>
      </c>
      <c r="F25" s="210">
        <f>Rates!$F$13+(Bills!C25-2000)*Rates!$F$14</f>
        <v>6839.01</v>
      </c>
      <c r="G25" s="17">
        <f t="shared" si="6"/>
        <v>615.36000000000058</v>
      </c>
      <c r="H25" s="67">
        <f t="shared" si="3"/>
        <v>9.8874454701019604E-2</v>
      </c>
      <c r="I25" s="38"/>
    </row>
    <row r="26" spans="2:18" ht="6" customHeight="1" x14ac:dyDescent="0.35">
      <c r="B26" s="13"/>
      <c r="C26" s="5"/>
      <c r="D26" s="4"/>
      <c r="E26" s="186"/>
      <c r="F26" s="204"/>
      <c r="G26" s="37"/>
      <c r="H26" s="5"/>
      <c r="I26" s="14"/>
    </row>
    <row r="28" spans="2:18" x14ac:dyDescent="0.35">
      <c r="D28" s="46" t="s">
        <v>63</v>
      </c>
    </row>
    <row r="31" spans="2:18" x14ac:dyDescent="0.35">
      <c r="B31" s="278"/>
      <c r="C31" s="278"/>
      <c r="D31" s="278"/>
      <c r="E31" s="278"/>
      <c r="F31" s="278"/>
      <c r="G31" s="278"/>
      <c r="H31" s="278"/>
      <c r="I31" s="278"/>
      <c r="J31" s="278"/>
    </row>
    <row r="32" spans="2:18" ht="18.5" x14ac:dyDescent="0.45">
      <c r="B32" s="278"/>
      <c r="C32" s="449"/>
      <c r="D32" s="449"/>
      <c r="E32" s="449"/>
      <c r="F32" s="449"/>
      <c r="G32" s="449"/>
      <c r="H32" s="449"/>
      <c r="I32" s="449"/>
      <c r="J32" s="278"/>
    </row>
    <row r="33" spans="2:10" ht="18.5" x14ac:dyDescent="0.45">
      <c r="B33" s="278"/>
      <c r="C33" s="444"/>
      <c r="D33" s="444"/>
      <c r="E33" s="444"/>
      <c r="F33" s="444"/>
      <c r="G33" s="444"/>
      <c r="H33" s="444"/>
      <c r="I33" s="444"/>
      <c r="J33" s="278"/>
    </row>
    <row r="34" spans="2:10" ht="15.5" x14ac:dyDescent="0.35">
      <c r="B34" s="278"/>
      <c r="C34" s="415"/>
      <c r="D34" s="415"/>
      <c r="E34" s="415"/>
      <c r="F34" s="415"/>
      <c r="G34" s="415"/>
      <c r="H34" s="415"/>
      <c r="I34" s="415"/>
      <c r="J34" s="278"/>
    </row>
    <row r="35" spans="2:10" x14ac:dyDescent="0.35">
      <c r="B35" s="278"/>
      <c r="C35" s="278"/>
      <c r="D35" s="278"/>
      <c r="E35" s="278"/>
      <c r="F35" s="278"/>
      <c r="G35" s="278"/>
      <c r="H35" s="278"/>
      <c r="I35" s="278"/>
      <c r="J35" s="278"/>
    </row>
    <row r="36" spans="2:10" ht="18.5" x14ac:dyDescent="0.35">
      <c r="B36" s="278"/>
      <c r="C36" s="278"/>
      <c r="D36" s="278"/>
      <c r="E36" s="33"/>
      <c r="F36" s="33"/>
      <c r="G36" s="33"/>
      <c r="H36" s="33"/>
      <c r="I36" s="33"/>
      <c r="J36" s="32"/>
    </row>
    <row r="37" spans="2:10" ht="16" x14ac:dyDescent="0.5">
      <c r="B37" s="278"/>
      <c r="C37" s="211"/>
      <c r="D37" s="211"/>
      <c r="E37" s="211"/>
      <c r="F37" s="211"/>
      <c r="G37" s="211"/>
      <c r="H37" s="211"/>
      <c r="I37" s="211"/>
      <c r="J37" s="278"/>
    </row>
    <row r="38" spans="2:10" ht="16" x14ac:dyDescent="0.5">
      <c r="B38" s="278"/>
      <c r="C38" s="211"/>
      <c r="D38" s="211"/>
      <c r="E38" s="211"/>
      <c r="F38" s="211"/>
      <c r="G38" s="211"/>
      <c r="H38" s="211"/>
      <c r="I38" s="211"/>
      <c r="J38" s="278"/>
    </row>
    <row r="39" spans="2:10" x14ac:dyDescent="0.35">
      <c r="B39" s="278"/>
      <c r="C39" s="149"/>
      <c r="D39" s="385"/>
      <c r="E39" s="149"/>
      <c r="F39" s="149"/>
      <c r="G39" s="384"/>
      <c r="H39" s="314"/>
      <c r="I39" s="150"/>
      <c r="J39" s="278"/>
    </row>
    <row r="40" spans="2:10" x14ac:dyDescent="0.35">
      <c r="B40" s="278"/>
      <c r="C40" s="278"/>
      <c r="D40" s="385"/>
      <c r="E40" s="149"/>
      <c r="F40" s="149"/>
      <c r="G40" s="149"/>
      <c r="H40" s="314"/>
      <c r="I40" s="150"/>
      <c r="J40" s="278"/>
    </row>
    <row r="41" spans="2:10" x14ac:dyDescent="0.35">
      <c r="B41" s="278"/>
      <c r="C41" s="278"/>
      <c r="D41" s="385"/>
      <c r="E41" s="149"/>
      <c r="F41" s="149"/>
      <c r="G41" s="149"/>
      <c r="H41" s="314"/>
      <c r="I41" s="150"/>
      <c r="J41" s="278"/>
    </row>
    <row r="42" spans="2:10" x14ac:dyDescent="0.35">
      <c r="B42" s="278"/>
      <c r="C42" s="278"/>
      <c r="D42" s="385"/>
      <c r="E42" s="149"/>
      <c r="F42" s="149"/>
      <c r="G42" s="149"/>
      <c r="H42" s="314"/>
      <c r="I42" s="150"/>
      <c r="J42" s="278"/>
    </row>
    <row r="43" spans="2:10" x14ac:dyDescent="0.35">
      <c r="B43" s="278"/>
      <c r="C43" s="278"/>
      <c r="D43" s="385"/>
      <c r="E43" s="149"/>
      <c r="F43" s="149"/>
      <c r="G43" s="149"/>
      <c r="H43" s="314"/>
      <c r="I43" s="150"/>
      <c r="J43" s="278"/>
    </row>
    <row r="44" spans="2:10" x14ac:dyDescent="0.35">
      <c r="B44" s="278"/>
      <c r="C44" s="278"/>
      <c r="D44" s="385"/>
      <c r="E44" s="149"/>
      <c r="F44" s="149"/>
      <c r="G44" s="149"/>
      <c r="H44" s="314"/>
      <c r="I44" s="150"/>
      <c r="J44" s="278"/>
    </row>
    <row r="45" spans="2:10" x14ac:dyDescent="0.35">
      <c r="B45" s="278"/>
      <c r="C45" s="278"/>
      <c r="D45" s="385"/>
      <c r="E45" s="149"/>
      <c r="F45" s="149"/>
      <c r="G45" s="149"/>
      <c r="H45" s="314"/>
      <c r="I45" s="150"/>
      <c r="J45" s="278"/>
    </row>
    <row r="46" spans="2:10" x14ac:dyDescent="0.35">
      <c r="B46" s="278"/>
      <c r="C46" s="278"/>
      <c r="D46" s="385"/>
      <c r="E46" s="149"/>
      <c r="F46" s="149"/>
      <c r="G46" s="149"/>
      <c r="H46" s="314"/>
      <c r="I46" s="150"/>
      <c r="J46" s="278"/>
    </row>
    <row r="47" spans="2:10" x14ac:dyDescent="0.35">
      <c r="B47" s="278"/>
      <c r="C47" s="278"/>
      <c r="D47" s="21"/>
      <c r="E47" s="149"/>
      <c r="F47" s="149"/>
      <c r="G47" s="149"/>
      <c r="H47" s="314"/>
      <c r="I47" s="150"/>
      <c r="J47" s="278"/>
    </row>
    <row r="48" spans="2:10" x14ac:dyDescent="0.35">
      <c r="B48" s="278"/>
      <c r="C48" s="278"/>
      <c r="D48" s="21"/>
      <c r="E48" s="149"/>
      <c r="F48" s="149"/>
      <c r="G48" s="149"/>
      <c r="H48" s="314"/>
      <c r="I48" s="150"/>
      <c r="J48" s="278"/>
    </row>
    <row r="49" spans="2:10" x14ac:dyDescent="0.35">
      <c r="B49" s="278"/>
      <c r="C49" s="278"/>
      <c r="D49" s="21"/>
      <c r="E49" s="149"/>
      <c r="F49" s="149"/>
      <c r="G49" s="149"/>
      <c r="H49" s="314"/>
      <c r="I49" s="150"/>
      <c r="J49" s="278"/>
    </row>
    <row r="50" spans="2:10" x14ac:dyDescent="0.35">
      <c r="B50" s="278"/>
      <c r="C50" s="278"/>
      <c r="D50" s="21"/>
      <c r="E50" s="149"/>
      <c r="F50" s="149"/>
      <c r="G50" s="149"/>
      <c r="H50" s="314"/>
      <c r="I50" s="150"/>
      <c r="J50" s="278"/>
    </row>
    <row r="51" spans="2:10" x14ac:dyDescent="0.35">
      <c r="B51" s="278"/>
      <c r="C51" s="278"/>
      <c r="D51" s="21"/>
      <c r="E51" s="149"/>
      <c r="F51" s="149"/>
      <c r="G51" s="149"/>
      <c r="H51" s="314"/>
      <c r="I51" s="150"/>
      <c r="J51" s="278"/>
    </row>
    <row r="52" spans="2:10" x14ac:dyDescent="0.35">
      <c r="B52" s="278"/>
      <c r="C52" s="278"/>
      <c r="D52" s="21"/>
      <c r="E52" s="149"/>
      <c r="F52" s="149"/>
      <c r="G52" s="149"/>
      <c r="H52" s="314"/>
      <c r="I52" s="150"/>
      <c r="J52" s="278"/>
    </row>
    <row r="53" spans="2:10" x14ac:dyDescent="0.35">
      <c r="B53" s="278"/>
      <c r="C53" s="278"/>
      <c r="D53" s="21"/>
      <c r="E53" s="149"/>
      <c r="F53" s="149"/>
      <c r="G53" s="149"/>
      <c r="H53" s="314"/>
      <c r="I53" s="150"/>
      <c r="J53" s="278"/>
    </row>
    <row r="54" spans="2:10" x14ac:dyDescent="0.35">
      <c r="B54" s="278"/>
      <c r="C54" s="278"/>
      <c r="D54" s="21"/>
      <c r="E54" s="149"/>
      <c r="F54" s="149"/>
      <c r="G54" s="149"/>
      <c r="H54" s="314"/>
      <c r="I54" s="150"/>
      <c r="J54" s="278"/>
    </row>
    <row r="55" spans="2:10" ht="15.5" x14ac:dyDescent="0.35">
      <c r="B55" s="278"/>
      <c r="C55" s="278"/>
      <c r="D55"/>
      <c r="E55" s="149"/>
      <c r="F55" s="149"/>
      <c r="G55" s="149"/>
      <c r="H55" s="278"/>
      <c r="I55" s="278"/>
      <c r="J55" s="278"/>
    </row>
    <row r="56" spans="2:10" x14ac:dyDescent="0.35">
      <c r="B56" s="278"/>
      <c r="C56" s="278"/>
      <c r="D56" s="278"/>
      <c r="E56" s="278"/>
      <c r="F56" s="278"/>
      <c r="G56" s="278"/>
      <c r="H56" s="278"/>
      <c r="I56" s="278"/>
      <c r="J56" s="278"/>
    </row>
    <row r="57" spans="2:10" x14ac:dyDescent="0.35">
      <c r="B57" s="278"/>
      <c r="C57" s="278"/>
      <c r="D57" s="386"/>
      <c r="E57" s="278"/>
      <c r="F57" s="278"/>
      <c r="G57" s="278"/>
      <c r="H57" s="278"/>
      <c r="I57" s="278"/>
      <c r="J57" s="278"/>
    </row>
    <row r="58" spans="2:10" x14ac:dyDescent="0.35">
      <c r="B58" s="278"/>
      <c r="C58" s="278"/>
      <c r="D58" s="278"/>
      <c r="E58" s="278"/>
      <c r="F58" s="278"/>
      <c r="G58" s="278"/>
      <c r="H58" s="278"/>
      <c r="I58" s="278"/>
      <c r="J58" s="278"/>
    </row>
  </sheetData>
  <mergeCells count="6">
    <mergeCell ref="C34:I34"/>
    <mergeCell ref="C4:I4"/>
    <mergeCell ref="C5:I5"/>
    <mergeCell ref="C3:I3"/>
    <mergeCell ref="C32:I32"/>
    <mergeCell ref="C33:I33"/>
  </mergeCells>
  <printOptions horizontalCentered="1"/>
  <pageMargins left="0.7" right="0.7" top="1.1000000000000001"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EF004-73BD-4C2A-85DA-B682B48EA656}">
  <sheetPr>
    <tabColor rgb="FF92D050"/>
    <pageSetUpPr fitToPage="1"/>
  </sheetPr>
  <dimension ref="A1:T140"/>
  <sheetViews>
    <sheetView topLeftCell="B3" zoomScale="120" zoomScaleNormal="120" workbookViewId="0">
      <selection activeCell="J24" sqref="J24"/>
    </sheetView>
  </sheetViews>
  <sheetFormatPr defaultColWidth="8.84375" defaultRowHeight="14.5" x14ac:dyDescent="0.35"/>
  <cols>
    <col min="1" max="1" width="8.84375" style="222"/>
    <col min="2" max="2" width="13.765625" style="140" customWidth="1"/>
    <col min="3" max="3" width="11.07421875" style="140" bestFit="1" customWidth="1"/>
    <col min="4" max="4" width="11.4609375" style="140" bestFit="1" customWidth="1"/>
    <col min="5" max="5" width="11.3828125" style="140" customWidth="1"/>
    <col min="6" max="13" width="11.4609375" style="140" bestFit="1" customWidth="1"/>
    <col min="14" max="14" width="9.921875" style="140" customWidth="1"/>
    <col min="15" max="15" width="13.53515625" style="140" customWidth="1"/>
    <col min="16" max="16" width="10.84375" style="140" customWidth="1"/>
    <col min="17" max="16384" width="8.84375" style="140"/>
  </cols>
  <sheetData>
    <row r="1" spans="1:16" ht="15.5" customHeight="1" x14ac:dyDescent="0.35">
      <c r="A1" s="450" t="s">
        <v>252</v>
      </c>
      <c r="B1" s="450"/>
      <c r="C1" s="450"/>
      <c r="D1" s="450"/>
      <c r="E1" s="450"/>
      <c r="F1" s="450"/>
      <c r="G1" s="450"/>
      <c r="H1" s="450"/>
    </row>
    <row r="2" spans="1:16" ht="15.5" customHeight="1" x14ac:dyDescent="0.35">
      <c r="A2" s="21"/>
      <c r="B2" s="1"/>
      <c r="C2" s="1"/>
      <c r="D2" s="318" t="s">
        <v>263</v>
      </c>
      <c r="E2" s="318"/>
      <c r="F2" s="318"/>
      <c r="G2" s="318"/>
      <c r="H2" s="318"/>
      <c r="I2" s="1"/>
      <c r="J2" s="1"/>
      <c r="K2" s="1"/>
    </row>
    <row r="3" spans="1:16" x14ac:dyDescent="0.35">
      <c r="A3" s="21"/>
      <c r="B3" s="1"/>
      <c r="C3" s="1"/>
      <c r="D3" s="451" t="s">
        <v>151</v>
      </c>
      <c r="E3" s="451"/>
      <c r="F3" s="188"/>
      <c r="G3" s="188"/>
      <c r="H3" s="53"/>
      <c r="I3" s="1"/>
      <c r="J3" s="1"/>
      <c r="K3" s="1"/>
      <c r="O3" s="140" t="s">
        <v>393</v>
      </c>
    </row>
    <row r="4" spans="1:16" x14ac:dyDescent="0.35">
      <c r="A4" s="21"/>
      <c r="B4" s="1"/>
      <c r="C4" s="1"/>
      <c r="D4" s="453" t="s">
        <v>152</v>
      </c>
      <c r="E4" s="453"/>
      <c r="F4" s="187" t="s">
        <v>153</v>
      </c>
      <c r="G4" s="187" t="s">
        <v>154</v>
      </c>
      <c r="H4" s="190" t="s">
        <v>155</v>
      </c>
      <c r="I4" s="1"/>
      <c r="J4" s="1"/>
      <c r="K4" s="1"/>
      <c r="O4" s="140" t="s">
        <v>215</v>
      </c>
      <c r="P4" s="267"/>
    </row>
    <row r="5" spans="1:16" x14ac:dyDescent="0.35">
      <c r="A5" s="21"/>
      <c r="B5" s="1"/>
      <c r="C5" s="1"/>
      <c r="D5" s="454" t="s">
        <v>378</v>
      </c>
      <c r="E5" s="454"/>
      <c r="F5" s="189">
        <f>D24+D37+D50+D63+D76+D89+D102+D102+D105</f>
        <v>97098</v>
      </c>
      <c r="G5" s="189">
        <f>E24+E37+E50+E63+E76+E89+E102+E102+E105</f>
        <v>333814559</v>
      </c>
      <c r="H5" s="193">
        <f>G24+G37+G50+G63+G76+I10589+G102+G105</f>
        <v>5056320.4239200009</v>
      </c>
      <c r="I5" s="1"/>
      <c r="J5" s="1"/>
      <c r="K5" s="1"/>
      <c r="O5" s="140" t="s">
        <v>217</v>
      </c>
      <c r="P5" s="267">
        <v>455.41</v>
      </c>
    </row>
    <row r="6" spans="1:16" x14ac:dyDescent="0.35">
      <c r="A6" s="21"/>
      <c r="B6" s="1"/>
      <c r="C6" s="1"/>
      <c r="D6" s="451" t="s">
        <v>162</v>
      </c>
      <c r="E6" s="451"/>
      <c r="F6" s="188"/>
      <c r="G6" s="188"/>
      <c r="H6" s="228">
        <f>P7</f>
        <v>-64754.719999999994</v>
      </c>
      <c r="I6" s="1"/>
      <c r="J6" s="1"/>
      <c r="K6" s="1"/>
      <c r="O6" s="140" t="s">
        <v>216</v>
      </c>
      <c r="P6" s="270">
        <v>-65210.13</v>
      </c>
    </row>
    <row r="7" spans="1:16" x14ac:dyDescent="0.35">
      <c r="A7" s="21"/>
      <c r="B7" s="1"/>
      <c r="C7" s="1"/>
      <c r="D7" s="451" t="s">
        <v>379</v>
      </c>
      <c r="E7" s="451"/>
      <c r="F7" s="188"/>
      <c r="G7" s="188"/>
      <c r="H7" s="194">
        <f>H5+H6</f>
        <v>4991565.7039200012</v>
      </c>
      <c r="I7" s="1"/>
      <c r="J7" s="1"/>
      <c r="K7" s="1"/>
      <c r="P7" s="267">
        <f>SUM(P4:P6)</f>
        <v>-64754.719999999994</v>
      </c>
    </row>
    <row r="8" spans="1:16" x14ac:dyDescent="0.35">
      <c r="A8" s="21"/>
      <c r="B8" s="1"/>
      <c r="C8" s="1"/>
      <c r="D8" s="451" t="s">
        <v>278</v>
      </c>
      <c r="E8" s="451"/>
      <c r="F8" s="188"/>
      <c r="G8" s="188"/>
      <c r="H8" s="252">
        <f>-SAO!D6-SAO!D7</f>
        <v>-5181248</v>
      </c>
      <c r="I8" s="1"/>
      <c r="J8" s="1"/>
      <c r="K8" s="1"/>
    </row>
    <row r="9" spans="1:16" hidden="1" x14ac:dyDescent="0.35">
      <c r="A9" s="21"/>
      <c r="B9" s="1"/>
      <c r="C9" s="1"/>
      <c r="D9" s="188"/>
      <c r="E9" s="146"/>
      <c r="F9" s="188"/>
      <c r="G9" s="188"/>
      <c r="H9" s="275">
        <f>-SAO!E6</f>
        <v>0</v>
      </c>
      <c r="I9" s="1"/>
      <c r="J9" s="1"/>
      <c r="K9" s="1"/>
      <c r="O9" s="140" t="s">
        <v>282</v>
      </c>
      <c r="P9" s="267">
        <v>90264.35</v>
      </c>
    </row>
    <row r="10" spans="1:16" hidden="1" x14ac:dyDescent="0.35">
      <c r="A10" s="21"/>
      <c r="B10" s="1"/>
      <c r="C10" s="1"/>
      <c r="D10" s="188"/>
      <c r="E10" s="146"/>
      <c r="F10" s="188"/>
      <c r="G10" s="188"/>
      <c r="H10" s="228">
        <v>0</v>
      </c>
      <c r="I10" s="1"/>
      <c r="J10" s="1"/>
      <c r="K10" s="1"/>
      <c r="O10" s="140" t="s">
        <v>283</v>
      </c>
      <c r="P10" s="140">
        <v>-538.76</v>
      </c>
    </row>
    <row r="11" spans="1:16" x14ac:dyDescent="0.35">
      <c r="A11" s="21"/>
      <c r="B11" s="1"/>
      <c r="C11" s="1"/>
      <c r="D11" s="451" t="s">
        <v>57</v>
      </c>
      <c r="E11" s="451"/>
      <c r="F11" s="188"/>
      <c r="G11" s="188"/>
      <c r="H11" s="194">
        <f>H7+H8+H9+H10</f>
        <v>-189682.29607999884</v>
      </c>
      <c r="I11" s="1" t="s">
        <v>164</v>
      </c>
      <c r="J11" s="1"/>
      <c r="K11" s="1"/>
      <c r="L11" s="196"/>
    </row>
    <row r="12" spans="1:16" x14ac:dyDescent="0.35">
      <c r="A12" s="21"/>
      <c r="B12" s="1"/>
      <c r="C12" s="1"/>
      <c r="D12" s="452"/>
      <c r="E12" s="452"/>
      <c r="F12" s="1"/>
      <c r="G12" s="1"/>
      <c r="H12" s="7"/>
      <c r="I12" s="1"/>
      <c r="J12" s="1"/>
      <c r="K12" s="1"/>
    </row>
    <row r="13" spans="1:16" x14ac:dyDescent="0.35">
      <c r="A13" s="223" t="s">
        <v>171</v>
      </c>
      <c r="B13" s="1"/>
      <c r="C13" s="1"/>
      <c r="D13" s="1"/>
      <c r="E13" s="1"/>
      <c r="F13" s="1"/>
      <c r="G13" s="1"/>
      <c r="H13" s="7"/>
      <c r="I13" s="1"/>
      <c r="J13" s="1"/>
      <c r="K13" s="1"/>
    </row>
    <row r="14" spans="1:16" ht="16" x14ac:dyDescent="0.5">
      <c r="A14" s="21"/>
      <c r="B14" s="325" t="s">
        <v>264</v>
      </c>
      <c r="C14" s="188"/>
      <c r="D14" s="188"/>
      <c r="E14" s="188"/>
      <c r="F14" s="244" t="s">
        <v>156</v>
      </c>
      <c r="G14" s="244" t="s">
        <v>170</v>
      </c>
      <c r="H14" s="188" t="s">
        <v>11</v>
      </c>
    </row>
    <row r="15" spans="1:16" x14ac:dyDescent="0.35">
      <c r="A15" s="21"/>
      <c r="B15" s="188"/>
      <c r="C15" s="187" t="s">
        <v>158</v>
      </c>
      <c r="D15" s="187" t="s">
        <v>159</v>
      </c>
      <c r="E15" s="242" t="s">
        <v>12</v>
      </c>
      <c r="F15" s="242" t="s">
        <v>169</v>
      </c>
      <c r="G15" s="242" t="s">
        <v>169</v>
      </c>
      <c r="H15" s="187"/>
    </row>
    <row r="16" spans="1:16" x14ac:dyDescent="0.35">
      <c r="A16" s="21"/>
      <c r="B16" s="188" t="s">
        <v>156</v>
      </c>
      <c r="C16" s="73">
        <v>2000</v>
      </c>
      <c r="D16" s="189">
        <f>38939+120+666+511</f>
        <v>40236</v>
      </c>
      <c r="E16" s="189">
        <f>33032733+63150+337471+227675</f>
        <v>33661029</v>
      </c>
      <c r="F16" s="189">
        <f>E16</f>
        <v>33661029</v>
      </c>
      <c r="G16" s="189">
        <v>0</v>
      </c>
      <c r="H16" s="189">
        <f>SUM(F16:G16)</f>
        <v>33661029</v>
      </c>
    </row>
    <row r="17" spans="1:20" x14ac:dyDescent="0.35">
      <c r="A17" s="21"/>
      <c r="B17" s="188" t="s">
        <v>157</v>
      </c>
      <c r="C17" s="73">
        <v>2000</v>
      </c>
      <c r="D17" s="195">
        <f>24+56147+12+114+407</f>
        <v>56704</v>
      </c>
      <c r="E17" s="195">
        <f>1369574+282285221+69847+567223+8415159</f>
        <v>292707024</v>
      </c>
      <c r="F17" s="195">
        <f>C17*D17</f>
        <v>113408000</v>
      </c>
      <c r="G17" s="195">
        <f>E17-F17</f>
        <v>179299024</v>
      </c>
      <c r="H17" s="195">
        <f>SUM(F17:G17)</f>
        <v>292707024</v>
      </c>
    </row>
    <row r="18" spans="1:20" x14ac:dyDescent="0.35">
      <c r="A18" s="21"/>
      <c r="B18" s="188"/>
      <c r="C18" s="73"/>
      <c r="D18" s="189">
        <f>SUM(D16:D17)</f>
        <v>96940</v>
      </c>
      <c r="E18" s="189">
        <f>SUM(E16:E17)</f>
        <v>326368053</v>
      </c>
      <c r="F18" s="189">
        <f>SUM(F16:F17)</f>
        <v>147069029</v>
      </c>
      <c r="G18" s="189">
        <f>SUM(G16:G17)</f>
        <v>179299024</v>
      </c>
      <c r="H18" s="189">
        <f>SUM(H16:H17)</f>
        <v>326368053</v>
      </c>
    </row>
    <row r="19" spans="1:20" x14ac:dyDescent="0.35">
      <c r="A19" s="21"/>
      <c r="B19" s="1"/>
      <c r="C19" s="1"/>
      <c r="D19" s="1"/>
      <c r="E19" s="1"/>
      <c r="F19" s="1"/>
      <c r="G19" s="1"/>
      <c r="H19" s="7"/>
      <c r="I19" s="1"/>
      <c r="J19" s="1"/>
      <c r="K19" s="1"/>
    </row>
    <row r="20" spans="1:20" x14ac:dyDescent="0.35">
      <c r="A20" s="223" t="s">
        <v>160</v>
      </c>
      <c r="B20" s="1"/>
      <c r="C20" s="1"/>
      <c r="D20" s="1"/>
      <c r="E20" s="1"/>
      <c r="F20" s="292" t="s">
        <v>281</v>
      </c>
      <c r="G20" s="1"/>
      <c r="H20" s="7"/>
      <c r="I20" s="1"/>
      <c r="J20" s="1"/>
      <c r="K20" s="1"/>
    </row>
    <row r="21" spans="1:20" x14ac:dyDescent="0.35">
      <c r="A21" s="21"/>
      <c r="B21" s="1"/>
      <c r="C21" s="225" t="s">
        <v>158</v>
      </c>
      <c r="D21" s="225" t="s">
        <v>159</v>
      </c>
      <c r="E21" s="243" t="s">
        <v>12</v>
      </c>
      <c r="F21" s="225" t="s">
        <v>161</v>
      </c>
      <c r="G21" s="245" t="s">
        <v>155</v>
      </c>
      <c r="H21" s="7"/>
      <c r="I21" s="1"/>
      <c r="J21" s="1"/>
      <c r="K21" s="1"/>
    </row>
    <row r="22" spans="1:20" x14ac:dyDescent="0.35">
      <c r="A22" s="21"/>
      <c r="B22" s="188" t="s">
        <v>156</v>
      </c>
      <c r="C22" s="73">
        <v>2000</v>
      </c>
      <c r="D22" s="2">
        <f>D18</f>
        <v>96940</v>
      </c>
      <c r="E22" s="2">
        <f>F18</f>
        <v>147069029</v>
      </c>
      <c r="F22" s="191">
        <f>Rates!D13</f>
        <v>28.53</v>
      </c>
      <c r="G22" s="192">
        <f>D22*F22</f>
        <v>2765698.2</v>
      </c>
      <c r="H22" s="7"/>
      <c r="I22" s="151"/>
      <c r="J22" s="1"/>
      <c r="K22" s="1"/>
    </row>
    <row r="23" spans="1:20" x14ac:dyDescent="0.35">
      <c r="A23" s="21"/>
      <c r="B23" s="188" t="s">
        <v>157</v>
      </c>
      <c r="C23" s="73">
        <v>2000</v>
      </c>
      <c r="D23" s="28"/>
      <c r="E23" s="28">
        <f>G18</f>
        <v>179299024</v>
      </c>
      <c r="F23" s="227">
        <f>Rates!D14</f>
        <v>1.244E-2</v>
      </c>
      <c r="G23" s="226">
        <f>E23*F23</f>
        <v>2230479.8585600001</v>
      </c>
      <c r="H23" s="7"/>
      <c r="I23" s="151"/>
      <c r="J23" s="1"/>
      <c r="K23" s="1"/>
    </row>
    <row r="24" spans="1:20" x14ac:dyDescent="0.35">
      <c r="A24" s="21"/>
      <c r="B24" s="188"/>
      <c r="C24" s="73"/>
      <c r="D24" s="189">
        <f>SUM(D22:D23)</f>
        <v>96940</v>
      </c>
      <c r="E24" s="189">
        <f>SUM(E22:E23)</f>
        <v>326368053</v>
      </c>
      <c r="F24" s="189"/>
      <c r="G24" s="240">
        <f>SUM(G22:G23)</f>
        <v>4996178.0585600007</v>
      </c>
      <c r="H24" s="7"/>
      <c r="I24" s="151"/>
      <c r="J24" s="1"/>
      <c r="K24" s="1"/>
    </row>
    <row r="25" spans="1:20" x14ac:dyDescent="0.35">
      <c r="A25" s="21"/>
      <c r="B25" s="188"/>
      <c r="C25" s="73"/>
      <c r="D25" s="2"/>
      <c r="E25" s="2"/>
      <c r="F25" s="224"/>
      <c r="G25" s="192"/>
      <c r="H25" s="7"/>
      <c r="I25" s="151"/>
      <c r="J25" s="1"/>
      <c r="K25" s="1"/>
    </row>
    <row r="26" spans="1:20" x14ac:dyDescent="0.35">
      <c r="A26" s="223" t="s">
        <v>171</v>
      </c>
      <c r="B26" s="1"/>
      <c r="C26" s="1"/>
      <c r="D26" s="1"/>
      <c r="E26" s="1"/>
      <c r="F26" s="1"/>
      <c r="G26" s="1"/>
      <c r="H26" s="7"/>
      <c r="I26" s="1"/>
      <c r="J26" s="1"/>
      <c r="K26" s="1"/>
    </row>
    <row r="27" spans="1:20" ht="16" x14ac:dyDescent="0.5">
      <c r="A27" s="21"/>
      <c r="B27" s="326" t="s">
        <v>265</v>
      </c>
      <c r="C27" s="188"/>
      <c r="D27" s="188"/>
      <c r="E27" s="188"/>
      <c r="F27" s="244" t="s">
        <v>156</v>
      </c>
      <c r="G27" s="244" t="s">
        <v>170</v>
      </c>
      <c r="H27" s="188" t="s">
        <v>11</v>
      </c>
      <c r="J27" s="1"/>
      <c r="K27" s="1"/>
    </row>
    <row r="28" spans="1:20" x14ac:dyDescent="0.35">
      <c r="A28" s="21"/>
      <c r="B28" s="188"/>
      <c r="C28" s="187" t="s">
        <v>158</v>
      </c>
      <c r="D28" s="187" t="s">
        <v>159</v>
      </c>
      <c r="E28" s="242" t="s">
        <v>12</v>
      </c>
      <c r="F28" s="242" t="s">
        <v>169</v>
      </c>
      <c r="G28" s="242" t="s">
        <v>169</v>
      </c>
      <c r="H28" s="187"/>
      <c r="J28" s="1"/>
      <c r="K28" s="1"/>
      <c r="T28" s="264"/>
    </row>
    <row r="29" spans="1:20" x14ac:dyDescent="0.35">
      <c r="A29" s="21"/>
      <c r="B29" s="188" t="s">
        <v>156</v>
      </c>
      <c r="C29" s="73">
        <v>5000</v>
      </c>
      <c r="D29" s="189">
        <f>24+32</f>
        <v>56</v>
      </c>
      <c r="E29" s="189">
        <f>26964+29626</f>
        <v>56590</v>
      </c>
      <c r="F29" s="189">
        <f>E29</f>
        <v>56590</v>
      </c>
      <c r="G29" s="189">
        <v>0</v>
      </c>
      <c r="H29" s="189">
        <f>SUM(F29:G29)</f>
        <v>56590</v>
      </c>
      <c r="J29" s="1"/>
      <c r="K29" s="1"/>
    </row>
    <row r="30" spans="1:20" x14ac:dyDescent="0.35">
      <c r="A30" s="21"/>
      <c r="B30" s="188" t="s">
        <v>157</v>
      </c>
      <c r="C30" s="73">
        <v>5000</v>
      </c>
      <c r="D30" s="195">
        <f>26+4</f>
        <v>30</v>
      </c>
      <c r="E30" s="195">
        <f>559065+27611</f>
        <v>586676</v>
      </c>
      <c r="F30" s="195">
        <f>C30*D30</f>
        <v>150000</v>
      </c>
      <c r="G30" s="195">
        <f>E30-F30</f>
        <v>436676</v>
      </c>
      <c r="H30" s="195">
        <f>SUM(F30:G30)</f>
        <v>586676</v>
      </c>
      <c r="J30" s="320"/>
      <c r="K30" s="320"/>
      <c r="L30" s="320"/>
      <c r="M30" s="320"/>
      <c r="N30" s="320"/>
      <c r="O30" s="320"/>
    </row>
    <row r="31" spans="1:20" x14ac:dyDescent="0.35">
      <c r="A31" s="21"/>
      <c r="B31" s="188"/>
      <c r="C31" s="73"/>
      <c r="D31" s="189">
        <f>SUM(D29:D30)</f>
        <v>86</v>
      </c>
      <c r="E31" s="189">
        <f>SUM(E29:E30)</f>
        <v>643266</v>
      </c>
      <c r="F31" s="189">
        <f>SUM(F29:F30)</f>
        <v>206590</v>
      </c>
      <c r="G31" s="189">
        <f>SUM(G29:G30)</f>
        <v>436676</v>
      </c>
      <c r="H31" s="189">
        <f>SUM(H29:H30)</f>
        <v>643266</v>
      </c>
      <c r="J31" s="6"/>
      <c r="K31" s="6"/>
      <c r="L31" s="321"/>
      <c r="M31" s="321"/>
      <c r="N31" s="321"/>
      <c r="O31" s="321"/>
      <c r="P31" s="268"/>
    </row>
    <row r="32" spans="1:20" x14ac:dyDescent="0.35">
      <c r="A32" s="21"/>
      <c r="B32" s="1"/>
      <c r="C32" s="1"/>
      <c r="D32" s="1"/>
      <c r="E32" s="1"/>
      <c r="F32" s="1"/>
      <c r="G32" s="1"/>
      <c r="H32" s="7"/>
      <c r="I32" s="1"/>
      <c r="J32" s="321"/>
      <c r="K32" s="321"/>
      <c r="L32" s="321"/>
      <c r="M32" s="321"/>
      <c r="N32" s="321"/>
      <c r="O32" s="321"/>
      <c r="P32" s="268"/>
    </row>
    <row r="33" spans="1:16" x14ac:dyDescent="0.35">
      <c r="A33" s="223" t="s">
        <v>160</v>
      </c>
      <c r="B33" s="1"/>
      <c r="C33" s="1"/>
      <c r="D33" s="1"/>
      <c r="E33" s="1"/>
      <c r="F33" s="292"/>
      <c r="G33" s="1"/>
      <c r="H33" s="7"/>
      <c r="I33" s="1"/>
      <c r="J33" s="321"/>
      <c r="K33" s="321"/>
      <c r="L33" s="321"/>
      <c r="M33" s="321"/>
      <c r="N33" s="321"/>
      <c r="O33" s="321"/>
      <c r="P33" s="268"/>
    </row>
    <row r="34" spans="1:16" x14ac:dyDescent="0.35">
      <c r="A34" s="21"/>
      <c r="B34" s="1"/>
      <c r="C34" s="225" t="s">
        <v>158</v>
      </c>
      <c r="D34" s="225" t="s">
        <v>159</v>
      </c>
      <c r="E34" s="243" t="s">
        <v>12</v>
      </c>
      <c r="F34" s="225" t="s">
        <v>161</v>
      </c>
      <c r="G34" s="245" t="s">
        <v>155</v>
      </c>
      <c r="H34" s="7"/>
      <c r="I34" s="1"/>
      <c r="J34" s="321"/>
      <c r="K34" s="321"/>
      <c r="L34" s="321"/>
      <c r="M34" s="321"/>
      <c r="N34" s="321"/>
      <c r="O34" s="321"/>
      <c r="P34" s="268"/>
    </row>
    <row r="35" spans="1:16" x14ac:dyDescent="0.35">
      <c r="A35" s="21"/>
      <c r="B35" s="188" t="s">
        <v>156</v>
      </c>
      <c r="C35" s="73">
        <v>5000</v>
      </c>
      <c r="D35" s="2">
        <f>D31</f>
        <v>86</v>
      </c>
      <c r="E35" s="2">
        <f>F31</f>
        <v>206590</v>
      </c>
      <c r="F35" s="191">
        <f>Rates!D17</f>
        <v>65.86</v>
      </c>
      <c r="G35" s="192">
        <f>D35*F35</f>
        <v>5663.96</v>
      </c>
      <c r="H35" s="7"/>
      <c r="I35" s="151"/>
      <c r="J35" s="322"/>
      <c r="K35" s="322"/>
      <c r="L35" s="322"/>
      <c r="M35" s="322"/>
      <c r="N35" s="322"/>
      <c r="O35" s="322"/>
      <c r="P35" s="268"/>
    </row>
    <row r="36" spans="1:16" x14ac:dyDescent="0.35">
      <c r="A36" s="21"/>
      <c r="B36" s="188" t="s">
        <v>157</v>
      </c>
      <c r="C36" s="73">
        <v>5000</v>
      </c>
      <c r="D36" s="28"/>
      <c r="E36" s="28">
        <f>G31</f>
        <v>436676</v>
      </c>
      <c r="F36" s="224">
        <f>Rates!D18</f>
        <v>1.244E-2</v>
      </c>
      <c r="G36" s="226">
        <f>E36*F36</f>
        <v>5432.2494399999996</v>
      </c>
      <c r="H36" s="7"/>
      <c r="I36" s="151"/>
      <c r="J36" s="6"/>
      <c r="K36" s="6"/>
      <c r="L36" s="321"/>
      <c r="M36" s="321"/>
      <c r="N36" s="321"/>
      <c r="O36" s="321"/>
      <c r="P36" s="268"/>
    </row>
    <row r="37" spans="1:16" x14ac:dyDescent="0.35">
      <c r="A37" s="21"/>
      <c r="B37" s="188"/>
      <c r="C37" s="73"/>
      <c r="D37" s="189">
        <f>SUM(D35:D36)</f>
        <v>86</v>
      </c>
      <c r="E37" s="189">
        <f>SUM(E35:E36)</f>
        <v>643266</v>
      </c>
      <c r="F37" s="189"/>
      <c r="G37" s="240">
        <f>SUM(G35:G36)</f>
        <v>11096.209439999999</v>
      </c>
      <c r="H37" s="7"/>
      <c r="I37" s="151"/>
      <c r="J37" s="321"/>
      <c r="K37" s="321"/>
      <c r="L37" s="321"/>
      <c r="M37" s="321"/>
      <c r="N37" s="321"/>
      <c r="O37" s="321"/>
      <c r="P37" s="268"/>
    </row>
    <row r="38" spans="1:16" x14ac:dyDescent="0.35">
      <c r="D38" s="268"/>
      <c r="E38" s="268"/>
      <c r="F38" s="268"/>
      <c r="G38" s="268"/>
      <c r="H38" s="268"/>
      <c r="I38" s="268"/>
      <c r="J38" s="268"/>
      <c r="K38" s="268"/>
      <c r="L38" s="268"/>
      <c r="M38" s="268"/>
      <c r="N38" s="268"/>
      <c r="O38" s="268"/>
      <c r="P38" s="268"/>
    </row>
    <row r="39" spans="1:16" x14ac:dyDescent="0.35">
      <c r="A39" s="223" t="s">
        <v>171</v>
      </c>
      <c r="B39" s="1"/>
      <c r="C39" s="1"/>
      <c r="D39" s="1"/>
      <c r="E39" s="1"/>
      <c r="F39" s="1"/>
      <c r="G39" s="1"/>
      <c r="H39" s="7"/>
      <c r="I39" s="268"/>
      <c r="J39" s="268"/>
      <c r="K39" s="268"/>
      <c r="L39" s="268"/>
      <c r="M39" s="268"/>
      <c r="N39" s="268"/>
      <c r="O39" s="268"/>
      <c r="P39" s="268"/>
    </row>
    <row r="40" spans="1:16" ht="16" x14ac:dyDescent="0.5">
      <c r="A40" s="21"/>
      <c r="B40" s="325" t="s">
        <v>266</v>
      </c>
      <c r="C40" s="188"/>
      <c r="D40" s="188"/>
      <c r="E40" s="188"/>
      <c r="F40" s="244" t="s">
        <v>156</v>
      </c>
      <c r="G40" s="244" t="s">
        <v>170</v>
      </c>
      <c r="H40" s="188" t="s">
        <v>11</v>
      </c>
      <c r="I40" s="334" t="s">
        <v>299</v>
      </c>
      <c r="J40" s="268"/>
      <c r="K40" s="268"/>
      <c r="L40" s="268"/>
      <c r="M40" s="268"/>
      <c r="N40" s="268"/>
      <c r="O40" s="268"/>
      <c r="P40" s="268"/>
    </row>
    <row r="41" spans="1:16" x14ac:dyDescent="0.35">
      <c r="A41" s="21"/>
      <c r="B41" s="188"/>
      <c r="C41" s="187" t="s">
        <v>158</v>
      </c>
      <c r="D41" s="187" t="s">
        <v>159</v>
      </c>
      <c r="E41" s="242" t="s">
        <v>12</v>
      </c>
      <c r="F41" s="242" t="s">
        <v>169</v>
      </c>
      <c r="G41" s="242" t="s">
        <v>169</v>
      </c>
      <c r="H41" s="187"/>
      <c r="I41" s="268"/>
      <c r="J41" s="268"/>
      <c r="K41" s="268"/>
      <c r="L41" s="268"/>
      <c r="M41" s="268"/>
      <c r="N41" s="268"/>
      <c r="O41" s="268"/>
      <c r="P41" s="268"/>
    </row>
    <row r="42" spans="1:16" x14ac:dyDescent="0.35">
      <c r="A42" s="21"/>
      <c r="B42" s="188" t="s">
        <v>156</v>
      </c>
      <c r="C42" s="73">
        <v>10000</v>
      </c>
      <c r="D42" s="189">
        <f>P62</f>
        <v>0</v>
      </c>
      <c r="E42" s="189">
        <f>P57</f>
        <v>0</v>
      </c>
      <c r="F42" s="189">
        <f>E42</f>
        <v>0</v>
      </c>
      <c r="G42" s="189">
        <v>0</v>
      </c>
      <c r="H42" s="189">
        <f>SUM(F42:G42)</f>
        <v>0</v>
      </c>
      <c r="I42" s="268"/>
      <c r="J42" s="268"/>
      <c r="K42" s="268"/>
      <c r="L42" s="268"/>
      <c r="M42" s="268"/>
      <c r="N42" s="268"/>
      <c r="O42" s="268"/>
      <c r="P42" s="268"/>
    </row>
    <row r="43" spans="1:16" x14ac:dyDescent="0.35">
      <c r="A43" s="21"/>
      <c r="B43" s="188" t="s">
        <v>157</v>
      </c>
      <c r="C43" s="73">
        <v>10000</v>
      </c>
      <c r="D43" s="195">
        <f>P63</f>
        <v>0</v>
      </c>
      <c r="E43" s="195">
        <f>P58</f>
        <v>0</v>
      </c>
      <c r="F43" s="195">
        <f>C43*D43</f>
        <v>0</v>
      </c>
      <c r="G43" s="195">
        <f>E43-F43</f>
        <v>0</v>
      </c>
      <c r="H43" s="195">
        <f>SUM(F43:G43)</f>
        <v>0</v>
      </c>
      <c r="I43" s="268"/>
      <c r="J43" s="268"/>
      <c r="K43" s="268"/>
      <c r="L43" s="268"/>
      <c r="M43" s="268"/>
      <c r="N43" s="268"/>
      <c r="O43" s="268"/>
      <c r="P43" s="268"/>
    </row>
    <row r="44" spans="1:16" x14ac:dyDescent="0.35">
      <c r="A44" s="21"/>
      <c r="B44" s="188"/>
      <c r="C44" s="73"/>
      <c r="D44" s="189">
        <f>SUM(D42:D43)</f>
        <v>0</v>
      </c>
      <c r="E44" s="189">
        <f>SUM(E42:E43)</f>
        <v>0</v>
      </c>
      <c r="F44" s="189">
        <f>SUM(F42:F43)</f>
        <v>0</v>
      </c>
      <c r="G44" s="189">
        <f>SUM(G42:G43)</f>
        <v>0</v>
      </c>
      <c r="H44" s="189">
        <f>SUM(H42:H43)</f>
        <v>0</v>
      </c>
      <c r="I44" s="268"/>
      <c r="J44" s="268"/>
      <c r="K44" s="268"/>
      <c r="L44" s="268"/>
      <c r="M44" s="268"/>
      <c r="N44" s="268"/>
      <c r="O44" s="268"/>
      <c r="P44" s="268"/>
    </row>
    <row r="45" spans="1:16" x14ac:dyDescent="0.35">
      <c r="A45" s="21"/>
      <c r="B45" s="1"/>
      <c r="C45" s="1"/>
      <c r="D45" s="1"/>
      <c r="E45" s="1"/>
      <c r="F45" s="1"/>
      <c r="G45" s="1"/>
      <c r="H45" s="7"/>
      <c r="I45" s="268"/>
      <c r="J45" s="268"/>
      <c r="K45" s="268"/>
      <c r="L45" s="268"/>
      <c r="M45" s="268"/>
      <c r="N45" s="268"/>
      <c r="O45" s="268"/>
      <c r="P45" s="268"/>
    </row>
    <row r="46" spans="1:16" x14ac:dyDescent="0.35">
      <c r="A46" s="223" t="s">
        <v>160</v>
      </c>
      <c r="B46" s="1"/>
      <c r="C46" s="1"/>
      <c r="D46" s="1"/>
      <c r="E46" s="1"/>
      <c r="F46" s="292"/>
      <c r="G46" s="1"/>
      <c r="H46" s="7"/>
      <c r="I46" s="268"/>
      <c r="J46" s="268"/>
      <c r="K46" s="268"/>
      <c r="L46" s="268"/>
      <c r="M46" s="268"/>
      <c r="N46" s="268"/>
      <c r="O46" s="268"/>
      <c r="P46" s="268"/>
    </row>
    <row r="47" spans="1:16" x14ac:dyDescent="0.35">
      <c r="A47" s="21"/>
      <c r="B47" s="1"/>
      <c r="C47" s="225" t="s">
        <v>158</v>
      </c>
      <c r="D47" s="225" t="s">
        <v>159</v>
      </c>
      <c r="E47" s="243" t="s">
        <v>12</v>
      </c>
      <c r="F47" s="225" t="s">
        <v>161</v>
      </c>
      <c r="G47" s="245" t="s">
        <v>155</v>
      </c>
      <c r="H47" s="7"/>
      <c r="I47" s="268"/>
      <c r="J47" s="268"/>
      <c r="K47" s="268"/>
      <c r="L47" s="268"/>
      <c r="M47" s="268"/>
      <c r="N47" s="268"/>
      <c r="O47" s="268"/>
      <c r="P47" s="268"/>
    </row>
    <row r="48" spans="1:16" x14ac:dyDescent="0.35">
      <c r="A48" s="21"/>
      <c r="B48" s="188" t="s">
        <v>156</v>
      </c>
      <c r="C48" s="73">
        <f>C42</f>
        <v>10000</v>
      </c>
      <c r="D48" s="2">
        <f>D44</f>
        <v>0</v>
      </c>
      <c r="E48" s="2">
        <f>F44</f>
        <v>0</v>
      </c>
      <c r="F48" s="191">
        <f>Rates!D21</f>
        <v>128.06</v>
      </c>
      <c r="G48" s="192">
        <f>D48*F48</f>
        <v>0</v>
      </c>
      <c r="H48" s="7"/>
      <c r="I48" s="268"/>
      <c r="J48" s="268"/>
      <c r="K48" s="268"/>
      <c r="L48" s="268"/>
      <c r="M48" s="268"/>
      <c r="N48" s="268"/>
      <c r="O48" s="268"/>
      <c r="P48" s="268"/>
    </row>
    <row r="49" spans="1:16" x14ac:dyDescent="0.35">
      <c r="A49" s="21"/>
      <c r="B49" s="188" t="s">
        <v>157</v>
      </c>
      <c r="C49" s="73">
        <f>C43</f>
        <v>10000</v>
      </c>
      <c r="D49" s="28"/>
      <c r="E49" s="28">
        <f>G44</f>
        <v>0</v>
      </c>
      <c r="F49" s="329">
        <f>Rates!D22</f>
        <v>1.244E-2</v>
      </c>
      <c r="G49" s="226">
        <f>E49*F49</f>
        <v>0</v>
      </c>
      <c r="H49" s="7"/>
      <c r="I49" s="268"/>
      <c r="J49" s="268"/>
      <c r="K49" s="268"/>
      <c r="L49" s="268"/>
      <c r="M49" s="268"/>
      <c r="N49" s="268"/>
      <c r="O49" s="268"/>
      <c r="P49" s="268"/>
    </row>
    <row r="50" spans="1:16" x14ac:dyDescent="0.35">
      <c r="A50" s="21"/>
      <c r="B50" s="188"/>
      <c r="C50" s="73"/>
      <c r="D50" s="189">
        <f>SUM(D48:D49)</f>
        <v>0</v>
      </c>
      <c r="E50" s="189">
        <f>SUM(E48:E49)</f>
        <v>0</v>
      </c>
      <c r="F50" s="189"/>
      <c r="G50" s="240">
        <f>SUM(G48:G49)</f>
        <v>0</v>
      </c>
      <c r="H50" s="7"/>
      <c r="I50" s="268"/>
      <c r="J50" s="268"/>
      <c r="K50" s="268"/>
      <c r="L50" s="268"/>
      <c r="M50" s="268"/>
      <c r="N50" s="268"/>
      <c r="O50" s="268"/>
      <c r="P50" s="268"/>
    </row>
    <row r="51" spans="1:16" x14ac:dyDescent="0.35">
      <c r="A51" s="21"/>
      <c r="B51" s="188"/>
      <c r="C51" s="73"/>
      <c r="D51" s="2"/>
      <c r="E51" s="2"/>
      <c r="F51" s="224"/>
      <c r="G51" s="192"/>
      <c r="H51" s="7"/>
      <c r="I51" s="268"/>
      <c r="J51" s="268"/>
      <c r="K51" s="268"/>
      <c r="L51" s="268"/>
      <c r="M51" s="268"/>
      <c r="N51" s="268"/>
      <c r="O51" s="268"/>
      <c r="P51" s="268"/>
    </row>
    <row r="52" spans="1:16" x14ac:dyDescent="0.35">
      <c r="A52" s="223" t="s">
        <v>171</v>
      </c>
      <c r="B52" s="1"/>
      <c r="C52" s="1"/>
      <c r="D52" s="1"/>
      <c r="E52" s="1"/>
      <c r="F52" s="1"/>
      <c r="G52" s="1"/>
      <c r="H52" s="7"/>
      <c r="I52" s="268"/>
      <c r="J52" s="268"/>
      <c r="K52" s="268"/>
      <c r="L52" s="268"/>
      <c r="M52" s="268"/>
      <c r="N52" s="268"/>
      <c r="O52" s="268"/>
      <c r="P52" s="268"/>
    </row>
    <row r="53" spans="1:16" ht="16" x14ac:dyDescent="0.5">
      <c r="A53" s="21"/>
      <c r="B53" s="313" t="s">
        <v>267</v>
      </c>
      <c r="C53" s="188"/>
      <c r="D53" s="188"/>
      <c r="E53" s="188"/>
      <c r="F53" s="244" t="s">
        <v>156</v>
      </c>
      <c r="G53" s="244" t="s">
        <v>170</v>
      </c>
      <c r="H53" s="188" t="s">
        <v>11</v>
      </c>
      <c r="I53" s="268"/>
      <c r="J53" s="268"/>
      <c r="K53" s="268"/>
      <c r="L53" s="268"/>
      <c r="M53" s="268"/>
      <c r="N53" s="268"/>
      <c r="O53" s="268"/>
      <c r="P53" s="268"/>
    </row>
    <row r="54" spans="1:16" x14ac:dyDescent="0.35">
      <c r="A54" s="21"/>
      <c r="B54" s="188"/>
      <c r="C54" s="187" t="s">
        <v>158</v>
      </c>
      <c r="D54" s="187" t="s">
        <v>159</v>
      </c>
      <c r="E54" s="242" t="s">
        <v>12</v>
      </c>
      <c r="F54" s="242" t="s">
        <v>169</v>
      </c>
      <c r="G54" s="242" t="s">
        <v>169</v>
      </c>
      <c r="H54" s="187"/>
      <c r="I54" s="268"/>
      <c r="J54" s="268"/>
      <c r="K54" s="268"/>
      <c r="L54" s="268"/>
      <c r="M54" s="268"/>
      <c r="N54" s="268"/>
      <c r="O54" s="268"/>
      <c r="P54" s="268"/>
    </row>
    <row r="55" spans="1:16" x14ac:dyDescent="0.35">
      <c r="A55" s="21"/>
      <c r="B55" s="188" t="s">
        <v>156</v>
      </c>
      <c r="C55" s="73">
        <v>20000</v>
      </c>
      <c r="D55" s="189">
        <f>20+13</f>
        <v>33</v>
      </c>
      <c r="E55" s="189">
        <f>124366+87006</f>
        <v>211372</v>
      </c>
      <c r="F55" s="189">
        <f>E55</f>
        <v>211372</v>
      </c>
      <c r="G55" s="189">
        <v>0</v>
      </c>
      <c r="H55" s="189">
        <f>SUM(F55:G55)</f>
        <v>211372</v>
      </c>
      <c r="I55" s="268"/>
      <c r="J55" s="268"/>
      <c r="K55" s="268"/>
      <c r="L55" s="268"/>
      <c r="M55" s="268"/>
      <c r="N55" s="268"/>
      <c r="O55" s="268"/>
      <c r="P55" s="268"/>
    </row>
    <row r="56" spans="1:16" x14ac:dyDescent="0.35">
      <c r="A56" s="21"/>
      <c r="B56" s="188" t="s">
        <v>157</v>
      </c>
      <c r="C56" s="73">
        <v>20000</v>
      </c>
      <c r="D56" s="195">
        <f>4+14</f>
        <v>18</v>
      </c>
      <c r="E56" s="195">
        <f>91867+954299</f>
        <v>1046166</v>
      </c>
      <c r="F56" s="195">
        <f>C56*D56</f>
        <v>360000</v>
      </c>
      <c r="G56" s="195">
        <f>E56-F56</f>
        <v>686166</v>
      </c>
      <c r="H56" s="195">
        <f>SUM(F56:G56)</f>
        <v>1046166</v>
      </c>
      <c r="I56" s="268"/>
      <c r="J56" s="268"/>
      <c r="K56" s="268"/>
      <c r="L56" s="268"/>
      <c r="M56" s="268"/>
      <c r="N56" s="268"/>
      <c r="O56" s="268"/>
      <c r="P56" s="268"/>
    </row>
    <row r="57" spans="1:16" x14ac:dyDescent="0.35">
      <c r="A57" s="21"/>
      <c r="B57" s="188"/>
      <c r="C57" s="73"/>
      <c r="D57" s="189">
        <f>SUM(D55:D56)</f>
        <v>51</v>
      </c>
      <c r="E57" s="189">
        <f>SUM(E55:E56)</f>
        <v>1257538</v>
      </c>
      <c r="F57" s="189">
        <f>SUM(F55:F56)</f>
        <v>571372</v>
      </c>
      <c r="G57" s="189">
        <f>SUM(G55:G56)</f>
        <v>686166</v>
      </c>
      <c r="H57" s="189">
        <f>SUM(H55:H56)</f>
        <v>1257538</v>
      </c>
      <c r="I57" s="268"/>
      <c r="J57" s="268"/>
      <c r="K57" s="268"/>
      <c r="L57" s="268"/>
      <c r="M57" s="268"/>
      <c r="N57" s="268"/>
      <c r="O57" s="268"/>
      <c r="P57" s="268"/>
    </row>
    <row r="58" spans="1:16" x14ac:dyDescent="0.35">
      <c r="A58" s="21"/>
      <c r="B58" s="1"/>
      <c r="C58" s="1"/>
      <c r="D58" s="1"/>
      <c r="E58" s="1"/>
      <c r="F58" s="1"/>
      <c r="G58" s="1"/>
      <c r="H58" s="7"/>
      <c r="I58" s="268"/>
      <c r="J58" s="268"/>
      <c r="K58" s="268"/>
      <c r="L58" s="268"/>
      <c r="M58" s="268"/>
      <c r="N58" s="268"/>
      <c r="O58" s="268"/>
      <c r="P58" s="268"/>
    </row>
    <row r="59" spans="1:16" x14ac:dyDescent="0.35">
      <c r="A59" s="223" t="s">
        <v>160</v>
      </c>
      <c r="B59" s="1"/>
      <c r="C59" s="1"/>
      <c r="D59" s="1"/>
      <c r="E59" s="1"/>
      <c r="F59" s="292"/>
      <c r="G59" s="1"/>
      <c r="H59" s="7"/>
      <c r="I59" s="268"/>
      <c r="J59" s="268"/>
      <c r="K59" s="268"/>
      <c r="L59" s="268"/>
      <c r="M59" s="268"/>
      <c r="N59" s="268"/>
      <c r="O59" s="268"/>
      <c r="P59" s="268"/>
    </row>
    <row r="60" spans="1:16" x14ac:dyDescent="0.35">
      <c r="A60" s="21"/>
      <c r="B60" s="1"/>
      <c r="C60" s="225" t="s">
        <v>158</v>
      </c>
      <c r="D60" s="225" t="s">
        <v>159</v>
      </c>
      <c r="E60" s="243" t="s">
        <v>12</v>
      </c>
      <c r="F60" s="225" t="s">
        <v>161</v>
      </c>
      <c r="G60" s="245" t="s">
        <v>155</v>
      </c>
      <c r="H60" s="7"/>
      <c r="I60" s="268"/>
      <c r="J60" s="268"/>
      <c r="K60" s="268"/>
      <c r="L60" s="268"/>
      <c r="M60" s="268"/>
      <c r="N60" s="268"/>
      <c r="O60" s="268"/>
      <c r="P60" s="268"/>
    </row>
    <row r="61" spans="1:16" x14ac:dyDescent="0.35">
      <c r="A61" s="21"/>
      <c r="B61" s="188" t="s">
        <v>156</v>
      </c>
      <c r="C61" s="73">
        <f>C55</f>
        <v>20000</v>
      </c>
      <c r="D61" s="2">
        <f>D57</f>
        <v>51</v>
      </c>
      <c r="E61" s="2">
        <f>F57</f>
        <v>571372</v>
      </c>
      <c r="F61" s="191">
        <f>Rates!D25</f>
        <v>252.5</v>
      </c>
      <c r="G61" s="192">
        <f>D61*F61</f>
        <v>12877.5</v>
      </c>
      <c r="H61" s="7"/>
      <c r="I61" s="268"/>
      <c r="J61" s="268"/>
      <c r="K61" s="268"/>
      <c r="L61" s="268"/>
      <c r="M61" s="268"/>
      <c r="N61" s="268"/>
      <c r="O61" s="268"/>
      <c r="P61" s="268"/>
    </row>
    <row r="62" spans="1:16" x14ac:dyDescent="0.35">
      <c r="A62" s="21"/>
      <c r="B62" s="188" t="s">
        <v>157</v>
      </c>
      <c r="C62" s="73">
        <f>C56</f>
        <v>20000</v>
      </c>
      <c r="D62" s="28"/>
      <c r="E62" s="28">
        <f>G57</f>
        <v>686166</v>
      </c>
      <c r="F62" s="329">
        <f>Rates!D26</f>
        <v>1.244E-2</v>
      </c>
      <c r="G62" s="226">
        <f>E62*F62</f>
        <v>8535.9050399999996</v>
      </c>
      <c r="H62" s="7"/>
      <c r="I62" s="268"/>
      <c r="J62" s="268"/>
      <c r="K62" s="268"/>
      <c r="L62" s="268"/>
      <c r="M62" s="268"/>
      <c r="N62" s="268"/>
      <c r="O62" s="268"/>
      <c r="P62" s="268"/>
    </row>
    <row r="63" spans="1:16" x14ac:dyDescent="0.35">
      <c r="A63" s="21"/>
      <c r="B63" s="188"/>
      <c r="C63" s="73"/>
      <c r="D63" s="189">
        <f>SUM(D61:D62)</f>
        <v>51</v>
      </c>
      <c r="E63" s="189">
        <f>SUM(E61:E62)</f>
        <v>1257538</v>
      </c>
      <c r="F63" s="189"/>
      <c r="G63" s="240">
        <f>SUM(G61:G62)</f>
        <v>21413.405039999998</v>
      </c>
      <c r="H63" s="7"/>
      <c r="I63" s="268"/>
      <c r="J63" s="268"/>
      <c r="K63" s="268"/>
      <c r="L63" s="268"/>
      <c r="M63" s="268"/>
      <c r="N63" s="268"/>
      <c r="O63" s="268"/>
      <c r="P63" s="268"/>
    </row>
    <row r="64" spans="1:16" x14ac:dyDescent="0.35">
      <c r="D64" s="268"/>
      <c r="E64" s="268"/>
      <c r="F64" s="268"/>
      <c r="G64" s="268"/>
      <c r="H64" s="268"/>
      <c r="I64" s="268"/>
      <c r="J64" s="268"/>
      <c r="K64" s="268"/>
      <c r="L64" s="268"/>
      <c r="M64" s="268"/>
      <c r="N64" s="268"/>
      <c r="O64" s="268"/>
      <c r="P64" s="268"/>
    </row>
    <row r="65" spans="1:16" x14ac:dyDescent="0.35">
      <c r="A65" s="223" t="s">
        <v>171</v>
      </c>
      <c r="B65" s="1"/>
      <c r="C65" s="1"/>
      <c r="D65" s="1"/>
      <c r="E65" s="1"/>
      <c r="F65" s="1"/>
      <c r="G65" s="1"/>
      <c r="H65" s="7"/>
      <c r="I65" s="268"/>
      <c r="J65" s="268"/>
      <c r="K65" s="268"/>
      <c r="L65" s="268"/>
      <c r="M65" s="268"/>
      <c r="N65" s="268"/>
      <c r="O65" s="268"/>
      <c r="P65" s="268"/>
    </row>
    <row r="66" spans="1:16" ht="16" x14ac:dyDescent="0.5">
      <c r="A66" s="21"/>
      <c r="B66" s="312" t="s">
        <v>268</v>
      </c>
      <c r="C66" s="188"/>
      <c r="D66" s="188"/>
      <c r="E66" s="188"/>
      <c r="F66" s="244" t="s">
        <v>156</v>
      </c>
      <c r="G66" s="244" t="s">
        <v>170</v>
      </c>
      <c r="H66" s="188" t="s">
        <v>11</v>
      </c>
      <c r="I66" s="268"/>
      <c r="J66" s="268"/>
      <c r="K66" s="268"/>
      <c r="L66" s="268"/>
      <c r="M66" s="268"/>
      <c r="N66" s="268"/>
      <c r="O66" s="268"/>
      <c r="P66" s="268"/>
    </row>
    <row r="67" spans="1:16" x14ac:dyDescent="0.35">
      <c r="A67" s="21"/>
      <c r="B67" s="188"/>
      <c r="C67" s="187" t="s">
        <v>158</v>
      </c>
      <c r="D67" s="187" t="s">
        <v>159</v>
      </c>
      <c r="E67" s="242" t="s">
        <v>12</v>
      </c>
      <c r="F67" s="242" t="s">
        <v>169</v>
      </c>
      <c r="G67" s="242" t="s">
        <v>169</v>
      </c>
      <c r="H67" s="187"/>
      <c r="I67" s="268"/>
      <c r="J67" s="268"/>
      <c r="K67" s="268"/>
      <c r="L67" s="268"/>
      <c r="M67" s="268"/>
      <c r="N67" s="268"/>
      <c r="O67" s="268"/>
      <c r="P67" s="268"/>
    </row>
    <row r="68" spans="1:16" x14ac:dyDescent="0.35">
      <c r="A68" s="21"/>
      <c r="B68" s="188" t="s">
        <v>156</v>
      </c>
      <c r="C68" s="73">
        <v>30000</v>
      </c>
      <c r="D68" s="189">
        <f>4</f>
        <v>4</v>
      </c>
      <c r="E68" s="189">
        <f>75800</f>
        <v>75800</v>
      </c>
      <c r="F68" s="189">
        <f>E68</f>
        <v>75800</v>
      </c>
      <c r="G68" s="189">
        <v>0</v>
      </c>
      <c r="H68" s="189">
        <f>SUM(F68:G68)</f>
        <v>75800</v>
      </c>
      <c r="I68" s="268"/>
      <c r="J68" s="268"/>
      <c r="K68" s="268"/>
      <c r="L68" s="268"/>
      <c r="M68" s="268"/>
      <c r="N68" s="268"/>
      <c r="O68" s="268"/>
      <c r="P68" s="268"/>
    </row>
    <row r="69" spans="1:16" x14ac:dyDescent="0.35">
      <c r="A69" s="21"/>
      <c r="B69" s="188" t="s">
        <v>157</v>
      </c>
      <c r="C69" s="73">
        <v>30000</v>
      </c>
      <c r="D69" s="195">
        <f>5</f>
        <v>5</v>
      </c>
      <c r="E69" s="195">
        <f>227502</f>
        <v>227502</v>
      </c>
      <c r="F69" s="195">
        <f>C69*D69</f>
        <v>150000</v>
      </c>
      <c r="G69" s="195">
        <f>E69-F69</f>
        <v>77502</v>
      </c>
      <c r="H69" s="195">
        <f>SUM(F69:G69)</f>
        <v>227502</v>
      </c>
      <c r="I69" s="268"/>
      <c r="J69" s="268"/>
      <c r="K69" s="268"/>
      <c r="L69" s="268"/>
      <c r="M69" s="268"/>
      <c r="N69" s="268"/>
      <c r="O69" s="268"/>
      <c r="P69" s="268"/>
    </row>
    <row r="70" spans="1:16" x14ac:dyDescent="0.35">
      <c r="A70" s="21"/>
      <c r="B70" s="188"/>
      <c r="C70" s="73"/>
      <c r="D70" s="189">
        <f>SUM(D68:D69)</f>
        <v>9</v>
      </c>
      <c r="E70" s="189">
        <f>SUM(E68:E69)</f>
        <v>303302</v>
      </c>
      <c r="F70" s="189">
        <f>SUM(F68:F69)</f>
        <v>225800</v>
      </c>
      <c r="G70" s="189">
        <f>SUM(G68:G69)</f>
        <v>77502</v>
      </c>
      <c r="H70" s="189">
        <f>SUM(H68:H69)</f>
        <v>303302</v>
      </c>
      <c r="I70" s="268"/>
      <c r="J70" s="268"/>
      <c r="K70" s="268"/>
      <c r="L70" s="268"/>
      <c r="M70" s="268"/>
      <c r="N70" s="268"/>
      <c r="O70" s="268"/>
      <c r="P70" s="268"/>
    </row>
    <row r="71" spans="1:16" x14ac:dyDescent="0.35">
      <c r="A71" s="21"/>
      <c r="B71" s="1"/>
      <c r="C71" s="1"/>
      <c r="D71" s="1"/>
      <c r="E71" s="1"/>
      <c r="F71" s="1"/>
      <c r="G71" s="1"/>
      <c r="H71" s="7"/>
      <c r="I71" s="268"/>
      <c r="J71" s="268"/>
      <c r="K71" s="268"/>
      <c r="L71" s="268"/>
      <c r="M71" s="268"/>
      <c r="N71" s="268"/>
      <c r="O71" s="268"/>
      <c r="P71" s="268"/>
    </row>
    <row r="72" spans="1:16" x14ac:dyDescent="0.35">
      <c r="A72" s="223" t="s">
        <v>160</v>
      </c>
      <c r="B72" s="1"/>
      <c r="C72" s="1"/>
      <c r="D72" s="1"/>
      <c r="E72" s="1"/>
      <c r="F72" s="292"/>
      <c r="G72" s="1"/>
      <c r="H72" s="7"/>
      <c r="I72" s="268"/>
      <c r="J72" s="268"/>
      <c r="K72" s="268"/>
      <c r="L72" s="268"/>
      <c r="M72" s="268"/>
      <c r="N72" s="268"/>
      <c r="O72" s="268"/>
      <c r="P72" s="268"/>
    </row>
    <row r="73" spans="1:16" x14ac:dyDescent="0.35">
      <c r="A73" s="21"/>
      <c r="B73" s="1"/>
      <c r="C73" s="225" t="s">
        <v>158</v>
      </c>
      <c r="D73" s="225" t="s">
        <v>159</v>
      </c>
      <c r="E73" s="243" t="s">
        <v>12</v>
      </c>
      <c r="F73" s="225" t="s">
        <v>161</v>
      </c>
      <c r="G73" s="245" t="s">
        <v>155</v>
      </c>
      <c r="H73" s="7"/>
      <c r="I73" s="268"/>
      <c r="J73" s="268"/>
      <c r="K73" s="268"/>
      <c r="L73" s="268"/>
      <c r="M73" s="268"/>
      <c r="N73" s="268"/>
      <c r="O73" s="268"/>
      <c r="P73" s="268"/>
    </row>
    <row r="74" spans="1:16" x14ac:dyDescent="0.35">
      <c r="A74" s="21"/>
      <c r="B74" s="188" t="s">
        <v>156</v>
      </c>
      <c r="C74" s="73">
        <f>C68</f>
        <v>30000</v>
      </c>
      <c r="D74" s="2">
        <f>D70</f>
        <v>9</v>
      </c>
      <c r="E74" s="2">
        <f>F70</f>
        <v>225800</v>
      </c>
      <c r="F74" s="191">
        <f>Rates!D29</f>
        <v>376.93</v>
      </c>
      <c r="G74" s="192">
        <f>D74*F74</f>
        <v>3392.37</v>
      </c>
      <c r="H74" s="7"/>
      <c r="I74" s="268"/>
      <c r="J74" s="268"/>
      <c r="K74" s="268"/>
      <c r="L74" s="268"/>
      <c r="M74" s="268"/>
      <c r="N74" s="268"/>
      <c r="O74" s="268"/>
      <c r="P74" s="268"/>
    </row>
    <row r="75" spans="1:16" x14ac:dyDescent="0.35">
      <c r="A75" s="21"/>
      <c r="B75" s="188" t="s">
        <v>157</v>
      </c>
      <c r="C75" s="73">
        <f>C69</f>
        <v>30000</v>
      </c>
      <c r="D75" s="28"/>
      <c r="E75" s="28">
        <f>G70</f>
        <v>77502</v>
      </c>
      <c r="F75" s="329">
        <f>Rates!D30</f>
        <v>1.244E-2</v>
      </c>
      <c r="G75" s="226">
        <f>E75*F75</f>
        <v>964.12487999999996</v>
      </c>
      <c r="H75" s="7"/>
      <c r="I75" s="268"/>
      <c r="J75" s="268"/>
      <c r="K75" s="268"/>
      <c r="L75" s="268"/>
      <c r="M75" s="268"/>
      <c r="N75" s="268"/>
      <c r="O75" s="268"/>
      <c r="P75" s="268"/>
    </row>
    <row r="76" spans="1:16" x14ac:dyDescent="0.35">
      <c r="A76" s="21"/>
      <c r="B76" s="188"/>
      <c r="C76" s="73"/>
      <c r="D76" s="189">
        <f>SUM(D74:D75)</f>
        <v>9</v>
      </c>
      <c r="E76" s="189">
        <f>SUM(E74:E75)</f>
        <v>303302</v>
      </c>
      <c r="F76" s="189"/>
      <c r="G76" s="240">
        <f>SUM(G74:G75)</f>
        <v>4356.4948800000002</v>
      </c>
      <c r="H76" s="7"/>
      <c r="I76" s="268"/>
      <c r="J76" s="268"/>
      <c r="K76" s="268"/>
      <c r="L76" s="268"/>
      <c r="M76" s="268"/>
      <c r="N76" s="268"/>
      <c r="O76" s="268"/>
      <c r="P76" s="268"/>
    </row>
    <row r="77" spans="1:16" x14ac:dyDescent="0.35">
      <c r="A77" s="21"/>
      <c r="B77" s="188"/>
      <c r="C77" s="73"/>
      <c r="D77" s="2"/>
      <c r="E77" s="2"/>
      <c r="F77" s="224"/>
      <c r="G77" s="192"/>
      <c r="H77" s="7"/>
      <c r="I77" s="268"/>
      <c r="J77" s="268"/>
      <c r="K77" s="268"/>
      <c r="L77" s="268"/>
      <c r="M77" s="268"/>
      <c r="N77" s="268"/>
      <c r="O77" s="268"/>
      <c r="P77" s="268"/>
    </row>
    <row r="78" spans="1:16" x14ac:dyDescent="0.35">
      <c r="A78" s="223" t="s">
        <v>171</v>
      </c>
      <c r="B78" s="1"/>
      <c r="C78" s="1"/>
      <c r="D78" s="1"/>
      <c r="E78" s="1"/>
      <c r="F78" s="1"/>
      <c r="G78" s="1"/>
      <c r="H78" s="7"/>
      <c r="I78" s="268"/>
      <c r="J78" s="268"/>
      <c r="K78" s="268"/>
      <c r="L78" s="268"/>
      <c r="M78" s="268"/>
      <c r="N78" s="268"/>
      <c r="O78" s="268"/>
      <c r="P78" s="268"/>
    </row>
    <row r="79" spans="1:16" ht="16" x14ac:dyDescent="0.5">
      <c r="A79" s="21"/>
      <c r="B79" s="313" t="s">
        <v>269</v>
      </c>
      <c r="C79" s="188"/>
      <c r="D79" s="188"/>
      <c r="E79" s="188"/>
      <c r="F79" s="244" t="s">
        <v>156</v>
      </c>
      <c r="G79" s="244" t="s">
        <v>170</v>
      </c>
      <c r="H79" s="188" t="s">
        <v>11</v>
      </c>
      <c r="I79" s="334" t="s">
        <v>299</v>
      </c>
      <c r="J79" s="268"/>
      <c r="K79" s="268"/>
      <c r="L79" s="268"/>
      <c r="M79" s="268"/>
      <c r="N79" s="268"/>
      <c r="O79" s="268"/>
      <c r="P79" s="268"/>
    </row>
    <row r="80" spans="1:16" x14ac:dyDescent="0.35">
      <c r="A80" s="21"/>
      <c r="B80" s="188"/>
      <c r="C80" s="187" t="s">
        <v>158</v>
      </c>
      <c r="D80" s="187" t="s">
        <v>159</v>
      </c>
      <c r="E80" s="242" t="s">
        <v>12</v>
      </c>
      <c r="F80" s="242" t="s">
        <v>169</v>
      </c>
      <c r="G80" s="242" t="s">
        <v>169</v>
      </c>
      <c r="H80" s="187"/>
      <c r="I80" s="268"/>
      <c r="J80" s="268"/>
      <c r="K80" s="268"/>
      <c r="L80" s="268"/>
      <c r="M80" s="268"/>
      <c r="N80" s="268"/>
      <c r="O80" s="268"/>
      <c r="P80" s="268"/>
    </row>
    <row r="81" spans="1:16" x14ac:dyDescent="0.35">
      <c r="A81" s="21"/>
      <c r="B81" s="188" t="s">
        <v>156</v>
      </c>
      <c r="C81" s="73">
        <v>50000</v>
      </c>
      <c r="D81" s="189">
        <f>P162</f>
        <v>0</v>
      </c>
      <c r="E81" s="189">
        <f>P157</f>
        <v>0</v>
      </c>
      <c r="F81" s="189">
        <f>E81</f>
        <v>0</v>
      </c>
      <c r="G81" s="189">
        <v>0</v>
      </c>
      <c r="H81" s="189">
        <f>SUM(F81:G81)</f>
        <v>0</v>
      </c>
      <c r="I81" s="268"/>
      <c r="J81" s="268"/>
      <c r="K81" s="268"/>
      <c r="L81" s="268"/>
      <c r="M81" s="268"/>
      <c r="N81" s="268"/>
      <c r="O81" s="268"/>
      <c r="P81" s="268"/>
    </row>
    <row r="82" spans="1:16" x14ac:dyDescent="0.35">
      <c r="A82" s="21"/>
      <c r="B82" s="188" t="s">
        <v>157</v>
      </c>
      <c r="C82" s="73">
        <v>50000</v>
      </c>
      <c r="D82" s="195">
        <f>P163</f>
        <v>0</v>
      </c>
      <c r="E82" s="195">
        <f>P158</f>
        <v>0</v>
      </c>
      <c r="F82" s="195">
        <f>C82*D82</f>
        <v>0</v>
      </c>
      <c r="G82" s="195">
        <f>E82-F82</f>
        <v>0</v>
      </c>
      <c r="H82" s="195">
        <f>SUM(F82:G82)</f>
        <v>0</v>
      </c>
      <c r="I82" s="268"/>
      <c r="J82" s="268"/>
      <c r="K82" s="268"/>
      <c r="L82" s="268"/>
      <c r="M82" s="268"/>
      <c r="N82" s="268"/>
      <c r="O82" s="268"/>
      <c r="P82" s="268"/>
    </row>
    <row r="83" spans="1:16" x14ac:dyDescent="0.35">
      <c r="A83" s="21"/>
      <c r="B83" s="188"/>
      <c r="C83" s="73"/>
      <c r="D83" s="189">
        <f>SUM(D81:D82)</f>
        <v>0</v>
      </c>
      <c r="E83" s="189">
        <f>SUM(E81:E82)</f>
        <v>0</v>
      </c>
      <c r="F83" s="189">
        <f>SUM(F81:F82)</f>
        <v>0</v>
      </c>
      <c r="G83" s="189">
        <f>SUM(G81:G82)</f>
        <v>0</v>
      </c>
      <c r="H83" s="189">
        <f>SUM(H81:H82)</f>
        <v>0</v>
      </c>
      <c r="I83" s="268"/>
      <c r="J83" s="268"/>
      <c r="K83" s="268"/>
      <c r="L83" s="268"/>
      <c r="M83" s="268"/>
      <c r="N83" s="268"/>
      <c r="O83" s="268"/>
      <c r="P83" s="268"/>
    </row>
    <row r="84" spans="1:16" x14ac:dyDescent="0.35">
      <c r="A84" s="21"/>
      <c r="B84" s="1"/>
      <c r="C84" s="1"/>
      <c r="D84" s="1"/>
      <c r="E84" s="1"/>
      <c r="F84" s="1"/>
      <c r="G84" s="1"/>
      <c r="H84" s="7"/>
      <c r="I84" s="268"/>
      <c r="J84" s="268"/>
      <c r="K84" s="268"/>
      <c r="L84" s="268"/>
      <c r="M84" s="268"/>
      <c r="N84" s="268"/>
      <c r="O84" s="268"/>
      <c r="P84" s="268"/>
    </row>
    <row r="85" spans="1:16" x14ac:dyDescent="0.35">
      <c r="A85" s="223" t="s">
        <v>160</v>
      </c>
      <c r="B85" s="1"/>
      <c r="C85" s="1"/>
      <c r="D85" s="1"/>
      <c r="E85" s="1"/>
      <c r="F85" s="292"/>
      <c r="G85" s="1"/>
      <c r="H85" s="7"/>
      <c r="I85" s="268"/>
      <c r="J85" s="268"/>
      <c r="K85" s="268"/>
      <c r="L85" s="268"/>
      <c r="M85" s="268"/>
      <c r="N85" s="268"/>
      <c r="O85" s="268"/>
      <c r="P85" s="268"/>
    </row>
    <row r="86" spans="1:16" x14ac:dyDescent="0.35">
      <c r="A86" s="21"/>
      <c r="B86" s="1"/>
      <c r="C86" s="225" t="s">
        <v>158</v>
      </c>
      <c r="D86" s="225" t="s">
        <v>159</v>
      </c>
      <c r="E86" s="243" t="s">
        <v>12</v>
      </c>
      <c r="F86" s="225" t="s">
        <v>161</v>
      </c>
      <c r="G86" s="245" t="s">
        <v>155</v>
      </c>
      <c r="H86" s="7"/>
      <c r="I86" s="268"/>
      <c r="J86" s="268"/>
      <c r="K86" s="268"/>
      <c r="L86" s="268"/>
      <c r="M86" s="268"/>
      <c r="N86" s="268"/>
      <c r="O86" s="268"/>
      <c r="P86" s="268"/>
    </row>
    <row r="87" spans="1:16" x14ac:dyDescent="0.35">
      <c r="A87" s="21"/>
      <c r="B87" s="188" t="s">
        <v>156</v>
      </c>
      <c r="C87" s="73">
        <f>C81</f>
        <v>50000</v>
      </c>
      <c r="D87" s="2">
        <f>D83</f>
        <v>0</v>
      </c>
      <c r="E87" s="2">
        <f>F83</f>
        <v>0</v>
      </c>
      <c r="F87" s="191">
        <f>Rates!D33</f>
        <v>625.79</v>
      </c>
      <c r="G87" s="192">
        <f>D87*F87</f>
        <v>0</v>
      </c>
      <c r="H87" s="7"/>
      <c r="I87" s="268"/>
      <c r="J87" s="268"/>
      <c r="K87" s="268"/>
      <c r="L87" s="268"/>
      <c r="M87" s="268"/>
      <c r="N87" s="268"/>
      <c r="O87" s="268"/>
      <c r="P87" s="268"/>
    </row>
    <row r="88" spans="1:16" x14ac:dyDescent="0.35">
      <c r="A88" s="21"/>
      <c r="B88" s="188" t="s">
        <v>157</v>
      </c>
      <c r="C88" s="73">
        <f>C82</f>
        <v>50000</v>
      </c>
      <c r="D88" s="28"/>
      <c r="E88" s="28">
        <f>G83</f>
        <v>0</v>
      </c>
      <c r="F88" s="329">
        <f>Rates!D34</f>
        <v>1.244E-2</v>
      </c>
      <c r="G88" s="226">
        <f>E88*F88</f>
        <v>0</v>
      </c>
      <c r="H88" s="7"/>
      <c r="I88" s="268"/>
      <c r="J88" s="268"/>
      <c r="K88" s="268"/>
      <c r="L88" s="268"/>
      <c r="M88" s="268"/>
      <c r="N88" s="268"/>
      <c r="O88" s="268"/>
      <c r="P88" s="268"/>
    </row>
    <row r="89" spans="1:16" x14ac:dyDescent="0.35">
      <c r="A89" s="21"/>
      <c r="B89" s="188"/>
      <c r="C89" s="73"/>
      <c r="D89" s="189">
        <f>SUM(D87:D88)</f>
        <v>0</v>
      </c>
      <c r="E89" s="189">
        <f>SUM(E87:E88)</f>
        <v>0</v>
      </c>
      <c r="F89" s="189"/>
      <c r="G89" s="240">
        <f>SUM(G87:G88)</f>
        <v>0</v>
      </c>
      <c r="H89" s="7"/>
      <c r="I89" s="268"/>
      <c r="J89" s="268"/>
      <c r="K89" s="268"/>
      <c r="L89" s="268"/>
      <c r="M89" s="268"/>
      <c r="N89" s="268"/>
      <c r="O89" s="268"/>
      <c r="P89" s="268"/>
    </row>
    <row r="90" spans="1:16" x14ac:dyDescent="0.35">
      <c r="D90" s="268"/>
      <c r="E90" s="268"/>
      <c r="F90" s="268"/>
      <c r="G90" s="268"/>
      <c r="H90" s="268"/>
      <c r="I90" s="268"/>
      <c r="J90" s="268"/>
      <c r="K90" s="268"/>
      <c r="L90" s="268"/>
      <c r="M90" s="268"/>
      <c r="N90" s="268"/>
      <c r="O90" s="268"/>
      <c r="P90" s="268"/>
    </row>
    <row r="91" spans="1:16" x14ac:dyDescent="0.35">
      <c r="A91" s="223" t="s">
        <v>171</v>
      </c>
      <c r="B91" s="1"/>
      <c r="C91" s="1"/>
      <c r="D91" s="1"/>
      <c r="E91" s="1"/>
      <c r="F91" s="1"/>
      <c r="G91" s="1"/>
      <c r="H91" s="7"/>
      <c r="I91" s="268"/>
      <c r="J91" s="268"/>
      <c r="K91" s="268"/>
      <c r="L91" s="268"/>
      <c r="M91" s="268"/>
      <c r="N91" s="268"/>
      <c r="O91" s="268"/>
      <c r="P91" s="268"/>
    </row>
    <row r="92" spans="1:16" ht="16" x14ac:dyDescent="0.5">
      <c r="A92" s="21"/>
      <c r="B92" s="313" t="s">
        <v>270</v>
      </c>
      <c r="C92" s="188"/>
      <c r="D92" s="188"/>
      <c r="E92" s="188"/>
      <c r="F92" s="244" t="s">
        <v>156</v>
      </c>
      <c r="G92" s="244" t="s">
        <v>170</v>
      </c>
      <c r="H92" s="188" t="s">
        <v>11</v>
      </c>
      <c r="I92" s="334" t="s">
        <v>299</v>
      </c>
      <c r="J92" s="268"/>
      <c r="K92" s="268"/>
      <c r="L92" s="268"/>
      <c r="M92" s="268"/>
      <c r="N92" s="268"/>
      <c r="O92" s="268"/>
      <c r="P92" s="268"/>
    </row>
    <row r="93" spans="1:16" x14ac:dyDescent="0.35">
      <c r="A93" s="21"/>
      <c r="B93" s="188"/>
      <c r="C93" s="187" t="s">
        <v>158</v>
      </c>
      <c r="D93" s="187" t="s">
        <v>159</v>
      </c>
      <c r="E93" s="242" t="s">
        <v>12</v>
      </c>
      <c r="F93" s="242" t="s">
        <v>169</v>
      </c>
      <c r="G93" s="242" t="s">
        <v>169</v>
      </c>
      <c r="H93" s="187"/>
      <c r="I93" s="268"/>
      <c r="J93" s="268"/>
      <c r="K93" s="268"/>
      <c r="L93" s="268"/>
      <c r="M93" s="268"/>
      <c r="N93" s="268"/>
      <c r="O93" s="268"/>
      <c r="P93" s="268"/>
    </row>
    <row r="94" spans="1:16" x14ac:dyDescent="0.35">
      <c r="A94" s="21"/>
      <c r="B94" s="188" t="s">
        <v>156</v>
      </c>
      <c r="C94" s="73">
        <v>100000</v>
      </c>
      <c r="D94" s="189">
        <f>P175</f>
        <v>0</v>
      </c>
      <c r="E94" s="189">
        <f>P170</f>
        <v>0</v>
      </c>
      <c r="F94" s="189">
        <f>E94</f>
        <v>0</v>
      </c>
      <c r="G94" s="189">
        <v>0</v>
      </c>
      <c r="H94" s="189">
        <f>SUM(F94:G94)</f>
        <v>0</v>
      </c>
      <c r="I94" s="268"/>
      <c r="J94" s="268"/>
      <c r="K94" s="268"/>
      <c r="L94" s="268"/>
      <c r="M94" s="268"/>
      <c r="N94" s="268"/>
      <c r="O94" s="268"/>
      <c r="P94" s="268"/>
    </row>
    <row r="95" spans="1:16" x14ac:dyDescent="0.35">
      <c r="A95" s="21"/>
      <c r="B95" s="188" t="s">
        <v>157</v>
      </c>
      <c r="C95" s="73">
        <v>100000</v>
      </c>
      <c r="D95" s="195">
        <f>P176</f>
        <v>0</v>
      </c>
      <c r="E95" s="195">
        <f>P171</f>
        <v>0</v>
      </c>
      <c r="F95" s="195">
        <f>C95*D95</f>
        <v>0</v>
      </c>
      <c r="G95" s="195">
        <f>E95-F95</f>
        <v>0</v>
      </c>
      <c r="H95" s="195">
        <f>SUM(F95:G95)</f>
        <v>0</v>
      </c>
      <c r="I95" s="268"/>
      <c r="J95" s="268"/>
      <c r="K95" s="268"/>
      <c r="L95" s="268"/>
      <c r="M95" s="268"/>
      <c r="N95" s="268"/>
      <c r="O95" s="268"/>
      <c r="P95" s="268"/>
    </row>
    <row r="96" spans="1:16" x14ac:dyDescent="0.35">
      <c r="A96" s="21"/>
      <c r="B96" s="188"/>
      <c r="C96" s="73"/>
      <c r="D96" s="189">
        <f>SUM(D94:D95)</f>
        <v>0</v>
      </c>
      <c r="E96" s="189">
        <f>SUM(E94:E95)</f>
        <v>0</v>
      </c>
      <c r="F96" s="189">
        <f>SUM(F94:F95)</f>
        <v>0</v>
      </c>
      <c r="G96" s="189">
        <f>SUM(G94:G95)</f>
        <v>0</v>
      </c>
      <c r="H96" s="189">
        <f>SUM(H94:H95)</f>
        <v>0</v>
      </c>
      <c r="I96" s="268"/>
      <c r="J96" s="268"/>
      <c r="K96" s="268"/>
      <c r="L96" s="268"/>
      <c r="M96" s="268"/>
      <c r="N96" s="268"/>
      <c r="O96" s="268"/>
      <c r="P96" s="268"/>
    </row>
    <row r="97" spans="1:16" x14ac:dyDescent="0.35">
      <c r="A97" s="21"/>
      <c r="B97" s="1"/>
      <c r="C97" s="1"/>
      <c r="D97" s="1"/>
      <c r="E97" s="1"/>
      <c r="F97" s="1"/>
      <c r="G97" s="1"/>
      <c r="H97" s="7"/>
      <c r="I97" s="268"/>
      <c r="J97" s="268"/>
      <c r="K97" s="268"/>
      <c r="L97" s="268"/>
      <c r="M97" s="268"/>
      <c r="N97" s="268"/>
      <c r="O97" s="268"/>
      <c r="P97" s="268"/>
    </row>
    <row r="98" spans="1:16" x14ac:dyDescent="0.35">
      <c r="A98" s="223" t="s">
        <v>160</v>
      </c>
      <c r="B98" s="1"/>
      <c r="C98" s="1"/>
      <c r="D98" s="1"/>
      <c r="E98" s="1"/>
      <c r="F98" s="292"/>
      <c r="G98" s="1"/>
      <c r="H98" s="7"/>
      <c r="I98" s="268"/>
      <c r="J98" s="268"/>
      <c r="K98" s="268"/>
      <c r="L98" s="268"/>
      <c r="M98" s="268"/>
      <c r="N98" s="268"/>
      <c r="O98" s="268"/>
      <c r="P98" s="268"/>
    </row>
    <row r="99" spans="1:16" x14ac:dyDescent="0.35">
      <c r="A99" s="21"/>
      <c r="B99" s="1"/>
      <c r="C99" s="294" t="s">
        <v>158</v>
      </c>
      <c r="D99" s="294" t="s">
        <v>159</v>
      </c>
      <c r="E99" s="295" t="s">
        <v>12</v>
      </c>
      <c r="F99" s="294" t="s">
        <v>161</v>
      </c>
      <c r="G99" s="295" t="s">
        <v>155</v>
      </c>
      <c r="H99" s="7"/>
      <c r="I99" s="268"/>
      <c r="J99" s="268"/>
      <c r="K99" s="268"/>
      <c r="L99" s="268"/>
      <c r="M99" s="268"/>
      <c r="N99" s="268"/>
      <c r="O99" s="268"/>
      <c r="P99" s="268"/>
    </row>
    <row r="100" spans="1:16" x14ac:dyDescent="0.35">
      <c r="A100" s="21"/>
      <c r="B100" s="188" t="s">
        <v>156</v>
      </c>
      <c r="C100" s="73">
        <f>C94</f>
        <v>100000</v>
      </c>
      <c r="D100" s="2">
        <f>D96</f>
        <v>0</v>
      </c>
      <c r="E100" s="2">
        <f>F96</f>
        <v>0</v>
      </c>
      <c r="F100" s="191">
        <f>Rates!D37</f>
        <v>1247.94</v>
      </c>
      <c r="G100" s="192">
        <f>D100*F100</f>
        <v>0</v>
      </c>
      <c r="H100" s="7"/>
    </row>
    <row r="101" spans="1:16" x14ac:dyDescent="0.35">
      <c r="A101" s="21"/>
      <c r="B101" s="188" t="s">
        <v>157</v>
      </c>
      <c r="C101" s="73">
        <f>C95</f>
        <v>100000</v>
      </c>
      <c r="D101" s="28"/>
      <c r="E101" s="28">
        <f>G96</f>
        <v>0</v>
      </c>
      <c r="F101" s="329">
        <f>Rates!D38</f>
        <v>1.244E-2</v>
      </c>
      <c r="G101" s="226">
        <f>E101*F101</f>
        <v>0</v>
      </c>
      <c r="H101" s="7"/>
    </row>
    <row r="102" spans="1:16" x14ac:dyDescent="0.35">
      <c r="A102" s="21"/>
      <c r="B102" s="188"/>
      <c r="C102" s="73"/>
      <c r="D102" s="189">
        <f>SUM(D100:D101)</f>
        <v>0</v>
      </c>
      <c r="E102" s="189">
        <f>SUM(E100:E101)</f>
        <v>0</v>
      </c>
      <c r="F102" s="189"/>
      <c r="G102" s="240">
        <f>SUM(G100:G101)</f>
        <v>0</v>
      </c>
      <c r="H102" s="7"/>
      <c r="I102" s="320"/>
      <c r="J102" s="320"/>
      <c r="K102" s="320"/>
      <c r="L102" s="320"/>
      <c r="M102" s="320"/>
      <c r="N102" s="320"/>
      <c r="O102" s="320"/>
    </row>
    <row r="103" spans="1:16" x14ac:dyDescent="0.35">
      <c r="B103" s="188"/>
      <c r="C103" s="73"/>
      <c r="D103" s="2"/>
      <c r="E103" s="2"/>
      <c r="F103" s="2"/>
      <c r="G103" s="2"/>
      <c r="H103" s="2"/>
      <c r="I103" s="2"/>
      <c r="J103" s="1"/>
      <c r="K103" s="1"/>
      <c r="P103" s="263"/>
    </row>
    <row r="104" spans="1:16" x14ac:dyDescent="0.35">
      <c r="B104" s="188"/>
      <c r="C104" s="73"/>
      <c r="D104" s="294" t="s">
        <v>159</v>
      </c>
      <c r="E104" s="295" t="s">
        <v>12</v>
      </c>
      <c r="F104" s="294" t="s">
        <v>161</v>
      </c>
      <c r="G104" s="295" t="s">
        <v>155</v>
      </c>
      <c r="H104" s="263"/>
      <c r="I104" s="263"/>
      <c r="P104" s="263"/>
    </row>
    <row r="105" spans="1:16" x14ac:dyDescent="0.35">
      <c r="C105" s="140" t="s">
        <v>277</v>
      </c>
      <c r="D105" s="263">
        <v>12</v>
      </c>
      <c r="E105" s="263">
        <v>5242400</v>
      </c>
      <c r="F105" s="327">
        <f>Rates!D41</f>
        <v>4.4400000000000004E-3</v>
      </c>
      <c r="G105" s="226">
        <f>E105*F105</f>
        <v>23276.256000000001</v>
      </c>
      <c r="H105" s="263"/>
      <c r="I105" s="263"/>
      <c r="J105" s="263"/>
      <c r="K105" s="263"/>
      <c r="L105" s="263"/>
      <c r="M105" s="263"/>
      <c r="N105" s="263"/>
      <c r="O105" s="263"/>
    </row>
    <row r="111" spans="1:16" x14ac:dyDescent="0.35">
      <c r="C111" s="269"/>
      <c r="D111" s="269"/>
      <c r="E111" s="269"/>
    </row>
    <row r="112" spans="1:16" x14ac:dyDescent="0.35">
      <c r="C112" s="407"/>
      <c r="D112" s="321"/>
      <c r="E112" s="321"/>
      <c r="F112" s="407"/>
    </row>
    <row r="113" spans="3:6" x14ac:dyDescent="0.35">
      <c r="C113" s="407"/>
      <c r="D113" s="321"/>
      <c r="E113" s="321"/>
      <c r="F113" s="407"/>
    </row>
    <row r="114" spans="3:6" x14ac:dyDescent="0.35">
      <c r="C114" s="407"/>
      <c r="D114" s="321"/>
      <c r="E114" s="321"/>
      <c r="F114" s="407"/>
    </row>
    <row r="115" spans="3:6" x14ac:dyDescent="0.35">
      <c r="C115" s="407"/>
      <c r="D115" s="321"/>
      <c r="E115" s="321"/>
      <c r="F115" s="407"/>
    </row>
    <row r="116" spans="3:6" x14ac:dyDescent="0.35">
      <c r="C116" s="407"/>
      <c r="D116" s="321"/>
      <c r="E116" s="321"/>
      <c r="F116" s="407"/>
    </row>
    <row r="117" spans="3:6" x14ac:dyDescent="0.35">
      <c r="C117" s="407"/>
      <c r="D117" s="321"/>
      <c r="E117" s="321"/>
      <c r="F117" s="407"/>
    </row>
    <row r="118" spans="3:6" x14ac:dyDescent="0.35">
      <c r="C118" s="407"/>
      <c r="D118" s="321"/>
      <c r="E118" s="321"/>
      <c r="F118" s="407"/>
    </row>
    <row r="119" spans="3:6" x14ac:dyDescent="0.35">
      <c r="C119" s="407"/>
      <c r="D119" s="321"/>
      <c r="E119" s="321"/>
      <c r="F119" s="407"/>
    </row>
    <row r="120" spans="3:6" x14ac:dyDescent="0.35">
      <c r="C120" s="407"/>
      <c r="D120" s="321"/>
      <c r="E120" s="321"/>
      <c r="F120" s="407"/>
    </row>
    <row r="121" spans="3:6" x14ac:dyDescent="0.35">
      <c r="C121" s="407"/>
      <c r="D121" s="321"/>
      <c r="E121" s="321"/>
      <c r="F121" s="407"/>
    </row>
    <row r="122" spans="3:6" x14ac:dyDescent="0.35">
      <c r="C122" s="407"/>
      <c r="D122" s="321"/>
      <c r="E122" s="321"/>
      <c r="F122" s="407"/>
    </row>
    <row r="123" spans="3:6" x14ac:dyDescent="0.35">
      <c r="C123" s="407"/>
      <c r="D123" s="321"/>
      <c r="E123" s="321"/>
      <c r="F123" s="407"/>
    </row>
    <row r="124" spans="3:6" x14ac:dyDescent="0.35">
      <c r="C124" s="271"/>
      <c r="D124" s="263"/>
      <c r="E124" s="263"/>
    </row>
    <row r="127" spans="3:6" x14ac:dyDescent="0.35">
      <c r="C127" s="269"/>
      <c r="D127" s="269"/>
      <c r="E127" s="269"/>
    </row>
    <row r="128" spans="3:6" x14ac:dyDescent="0.35">
      <c r="C128" s="323"/>
      <c r="D128" s="324"/>
      <c r="E128" s="324"/>
    </row>
    <row r="129" spans="3:5" x14ac:dyDescent="0.35">
      <c r="C129" s="323"/>
      <c r="D129" s="324"/>
      <c r="E129" s="324"/>
    </row>
    <row r="130" spans="3:5" x14ac:dyDescent="0.35">
      <c r="C130" s="323"/>
      <c r="D130" s="324"/>
      <c r="E130" s="324"/>
    </row>
    <row r="131" spans="3:5" x14ac:dyDescent="0.35">
      <c r="C131" s="323"/>
      <c r="D131" s="324"/>
      <c r="E131" s="324"/>
    </row>
    <row r="132" spans="3:5" x14ac:dyDescent="0.35">
      <c r="C132" s="323"/>
      <c r="D132" s="324"/>
      <c r="E132" s="324"/>
    </row>
    <row r="133" spans="3:5" x14ac:dyDescent="0.35">
      <c r="C133" s="323"/>
      <c r="D133" s="324"/>
      <c r="E133" s="324"/>
    </row>
    <row r="134" spans="3:5" x14ac:dyDescent="0.35">
      <c r="C134" s="323"/>
      <c r="D134" s="324"/>
      <c r="E134" s="324"/>
    </row>
    <row r="135" spans="3:5" x14ac:dyDescent="0.35">
      <c r="C135" s="323"/>
      <c r="D135" s="324"/>
      <c r="E135" s="324"/>
    </row>
    <row r="136" spans="3:5" x14ac:dyDescent="0.35">
      <c r="C136" s="323"/>
      <c r="D136" s="324"/>
      <c r="E136" s="324"/>
    </row>
    <row r="137" spans="3:5" x14ac:dyDescent="0.35">
      <c r="C137" s="323"/>
      <c r="D137" s="324"/>
      <c r="E137" s="324"/>
    </row>
    <row r="138" spans="3:5" x14ac:dyDescent="0.35">
      <c r="C138" s="323"/>
      <c r="D138" s="324"/>
      <c r="E138" s="324"/>
    </row>
    <row r="139" spans="3:5" x14ac:dyDescent="0.35">
      <c r="C139" s="323"/>
      <c r="D139" s="324"/>
      <c r="E139" s="324"/>
    </row>
    <row r="140" spans="3:5" x14ac:dyDescent="0.35">
      <c r="C140" s="271"/>
      <c r="D140" s="263"/>
      <c r="E140" s="263"/>
    </row>
  </sheetData>
  <mergeCells count="9">
    <mergeCell ref="A1:H1"/>
    <mergeCell ref="D11:E11"/>
    <mergeCell ref="D12:E12"/>
    <mergeCell ref="D3:E3"/>
    <mergeCell ref="D4:E4"/>
    <mergeCell ref="D5:E5"/>
    <mergeCell ref="D6:E6"/>
    <mergeCell ref="D7:E7"/>
    <mergeCell ref="D8:E8"/>
  </mergeCells>
  <phoneticPr fontId="28" type="noConversion"/>
  <printOptions horizontalCentered="1" verticalCentered="1"/>
  <pageMargins left="0.45" right="0.45" top="0.5" bottom="0.5" header="0.3" footer="0.3"/>
  <pageSetup orientation="landscape" horizontalDpi="4294967293"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F18BF-4A83-4775-ADB8-7B643F5ED3F2}">
  <sheetPr>
    <tabColor rgb="FF92D050"/>
  </sheetPr>
  <dimension ref="A1:Q107"/>
  <sheetViews>
    <sheetView topLeftCell="E1" workbookViewId="0">
      <selection activeCell="L4" sqref="L4"/>
    </sheetView>
  </sheetViews>
  <sheetFormatPr defaultRowHeight="15.5" x14ac:dyDescent="0.35"/>
  <cols>
    <col min="5" max="8" width="10.15234375" bestFit="1" customWidth="1"/>
    <col min="9" max="9" width="11.3828125" customWidth="1"/>
    <col min="10" max="10" width="13.4609375" customWidth="1"/>
    <col min="15" max="15" width="15" customWidth="1"/>
  </cols>
  <sheetData>
    <row r="1" spans="1:17" x14ac:dyDescent="0.35">
      <c r="A1" s="450" t="s">
        <v>252</v>
      </c>
      <c r="B1" s="450"/>
      <c r="C1" s="450"/>
      <c r="D1" s="450"/>
      <c r="E1" s="450"/>
      <c r="F1" s="450"/>
      <c r="G1" s="450"/>
      <c r="H1" s="450"/>
      <c r="I1" s="269"/>
      <c r="J1" s="140"/>
      <c r="K1" s="140"/>
      <c r="L1" s="140"/>
      <c r="M1" s="140"/>
      <c r="N1" s="140"/>
      <c r="O1" s="140"/>
      <c r="P1" s="140"/>
      <c r="Q1" s="140"/>
    </row>
    <row r="2" spans="1:17" x14ac:dyDescent="0.35">
      <c r="A2" s="455" t="s">
        <v>365</v>
      </c>
      <c r="B2" s="455"/>
      <c r="C2" s="455"/>
      <c r="D2" s="455"/>
      <c r="E2" s="455"/>
      <c r="F2" s="455"/>
      <c r="G2" s="455"/>
      <c r="H2" s="455"/>
      <c r="I2" s="403"/>
      <c r="J2" s="1"/>
      <c r="K2" s="1"/>
      <c r="L2" s="140"/>
      <c r="M2" s="140"/>
      <c r="N2" s="140"/>
      <c r="O2" s="140"/>
      <c r="P2" s="140"/>
      <c r="Q2" s="140"/>
    </row>
    <row r="3" spans="1:17" x14ac:dyDescent="0.35">
      <c r="A3" s="21"/>
      <c r="B3" s="1"/>
      <c r="C3" s="1"/>
      <c r="D3" s="451" t="s">
        <v>151</v>
      </c>
      <c r="E3" s="451"/>
      <c r="F3" s="188"/>
      <c r="G3" s="188"/>
      <c r="H3" s="53"/>
      <c r="I3" s="1"/>
      <c r="J3" s="1"/>
      <c r="K3" s="1"/>
      <c r="L3" s="140"/>
      <c r="M3" s="140"/>
      <c r="N3" s="140"/>
      <c r="O3" s="140" t="s">
        <v>394</v>
      </c>
      <c r="P3" s="140"/>
      <c r="Q3" s="140"/>
    </row>
    <row r="4" spans="1:17" x14ac:dyDescent="0.35">
      <c r="A4" s="21"/>
      <c r="B4" s="1"/>
      <c r="C4" s="1"/>
      <c r="D4" s="453" t="s">
        <v>152</v>
      </c>
      <c r="E4" s="453"/>
      <c r="F4" s="187" t="s">
        <v>153</v>
      </c>
      <c r="G4" s="187" t="s">
        <v>154</v>
      </c>
      <c r="H4" s="190" t="s">
        <v>155</v>
      </c>
      <c r="I4" s="1"/>
      <c r="J4" s="1"/>
      <c r="K4" s="1"/>
      <c r="L4" s="140"/>
      <c r="M4" s="140"/>
      <c r="N4" s="140"/>
      <c r="O4" s="140" t="s">
        <v>215</v>
      </c>
      <c r="P4" s="267"/>
      <c r="Q4" s="140"/>
    </row>
    <row r="5" spans="1:17" x14ac:dyDescent="0.35">
      <c r="A5" s="21"/>
      <c r="B5" s="1"/>
      <c r="C5" s="1"/>
      <c r="D5" s="454" t="s">
        <v>378</v>
      </c>
      <c r="E5" s="454"/>
      <c r="F5" s="189">
        <f>D24+D37+D50+D63+D76+D89+D102+D102+D105</f>
        <v>97098</v>
      </c>
      <c r="G5" s="189">
        <f>E24+E37+E50+E63+E76+E89+E102+E102+E105</f>
        <v>333814559</v>
      </c>
      <c r="H5" s="193">
        <f>G24+G37+G50+G63+G76+I10589+G102+G105</f>
        <v>5556183.6125600003</v>
      </c>
      <c r="I5" s="1"/>
      <c r="J5" s="1"/>
      <c r="K5" s="1"/>
      <c r="L5" s="140"/>
      <c r="M5" s="140"/>
      <c r="N5" s="140"/>
      <c r="O5" s="140" t="s">
        <v>217</v>
      </c>
      <c r="P5" s="267">
        <v>455.41</v>
      </c>
      <c r="Q5" s="140"/>
    </row>
    <row r="6" spans="1:17" x14ac:dyDescent="0.35">
      <c r="A6" s="21"/>
      <c r="B6" s="1"/>
      <c r="C6" s="1"/>
      <c r="D6" s="451" t="s">
        <v>162</v>
      </c>
      <c r="E6" s="451"/>
      <c r="F6" s="188"/>
      <c r="G6" s="188"/>
      <c r="H6" s="228">
        <f>P7</f>
        <v>-64754.719999999994</v>
      </c>
      <c r="I6" s="1"/>
      <c r="J6" s="1"/>
      <c r="K6" s="1"/>
      <c r="L6" s="140"/>
      <c r="M6" s="140"/>
      <c r="N6" s="140"/>
      <c r="O6" s="140" t="s">
        <v>216</v>
      </c>
      <c r="P6" s="270">
        <v>-65210.13</v>
      </c>
      <c r="Q6" s="140"/>
    </row>
    <row r="7" spans="1:17" x14ac:dyDescent="0.35">
      <c r="A7" s="21"/>
      <c r="B7" s="1"/>
      <c r="C7" s="1"/>
      <c r="D7" s="451" t="s">
        <v>366</v>
      </c>
      <c r="E7" s="451"/>
      <c r="F7" s="188"/>
      <c r="G7" s="188"/>
      <c r="H7" s="194">
        <f>H5+H6</f>
        <v>5491428.8925600005</v>
      </c>
      <c r="I7" s="1"/>
      <c r="J7" s="1"/>
      <c r="K7" s="1"/>
      <c r="L7" s="140"/>
      <c r="M7" s="140"/>
      <c r="N7" s="140"/>
      <c r="O7" s="140"/>
      <c r="P7" s="267">
        <f>SUM(P4:P6)</f>
        <v>-64754.719999999994</v>
      </c>
      <c r="Q7" s="140"/>
    </row>
    <row r="8" spans="1:17" x14ac:dyDescent="0.35">
      <c r="A8" s="21"/>
      <c r="B8" s="1"/>
      <c r="C8" s="1"/>
      <c r="D8" s="408"/>
      <c r="E8" s="408"/>
      <c r="F8" s="188"/>
      <c r="G8" s="22" t="s">
        <v>367</v>
      </c>
      <c r="H8" s="383">
        <f>SAO!G63</f>
        <v>5485711.2180859875</v>
      </c>
      <c r="I8" s="1"/>
      <c r="J8" s="1"/>
      <c r="K8" s="1"/>
      <c r="L8" s="140"/>
      <c r="M8" s="140"/>
      <c r="N8" s="140"/>
      <c r="O8" s="140"/>
      <c r="P8" s="140"/>
      <c r="Q8" s="140"/>
    </row>
    <row r="9" spans="1:17" x14ac:dyDescent="0.35">
      <c r="A9" s="21"/>
      <c r="B9" s="1"/>
      <c r="C9" s="1"/>
      <c r="D9" s="188"/>
      <c r="E9" s="251"/>
      <c r="F9" s="188"/>
      <c r="G9" s="22" t="s">
        <v>57</v>
      </c>
      <c r="H9" s="275">
        <f>H7-H8</f>
        <v>5717.674474013038</v>
      </c>
      <c r="I9" s="1"/>
      <c r="J9" s="1"/>
      <c r="K9" s="1"/>
      <c r="L9" s="140"/>
      <c r="M9" s="140"/>
      <c r="N9" s="140"/>
      <c r="O9" s="140"/>
      <c r="P9" s="267"/>
      <c r="Q9" s="140"/>
    </row>
    <row r="10" spans="1:17" x14ac:dyDescent="0.35">
      <c r="A10" s="21"/>
      <c r="B10" s="1"/>
      <c r="C10" s="1"/>
      <c r="D10" s="188"/>
      <c r="E10" s="251"/>
      <c r="F10" s="188"/>
      <c r="G10" s="188"/>
      <c r="H10" s="382"/>
      <c r="I10" s="1"/>
      <c r="J10" s="1"/>
      <c r="K10" s="1"/>
      <c r="L10" s="140"/>
      <c r="M10" s="140"/>
      <c r="N10" s="140"/>
      <c r="O10" s="140"/>
      <c r="P10" s="140"/>
      <c r="Q10" s="140"/>
    </row>
    <row r="11" spans="1:17" x14ac:dyDescent="0.35">
      <c r="A11" s="21"/>
      <c r="B11" s="1"/>
      <c r="C11" s="1"/>
      <c r="D11" s="451"/>
      <c r="E11" s="451"/>
      <c r="F11" s="188"/>
      <c r="G11" s="188"/>
      <c r="H11" s="252"/>
      <c r="I11" s="1"/>
      <c r="J11" s="1"/>
      <c r="K11" s="1"/>
      <c r="L11" s="196"/>
      <c r="M11" s="140"/>
      <c r="N11" s="140"/>
      <c r="O11" s="140"/>
      <c r="P11" s="140"/>
      <c r="Q11" s="140"/>
    </row>
    <row r="12" spans="1:17" x14ac:dyDescent="0.35">
      <c r="A12" s="21"/>
      <c r="B12" s="1"/>
      <c r="C12" s="1"/>
      <c r="D12" s="452"/>
      <c r="E12" s="452"/>
      <c r="F12" s="1"/>
      <c r="G12" s="1"/>
      <c r="H12" s="7"/>
      <c r="I12" s="1"/>
      <c r="J12" s="1"/>
      <c r="K12" s="1"/>
      <c r="L12" s="140"/>
      <c r="M12" s="140"/>
      <c r="N12" s="140"/>
      <c r="O12" s="140"/>
      <c r="P12" s="140"/>
      <c r="Q12" s="140"/>
    </row>
    <row r="13" spans="1:17" x14ac:dyDescent="0.35">
      <c r="A13" s="223" t="s">
        <v>171</v>
      </c>
      <c r="B13" s="1"/>
      <c r="C13" s="1"/>
      <c r="D13" s="1"/>
      <c r="E13" s="1"/>
      <c r="F13" s="1"/>
      <c r="G13" s="1"/>
      <c r="H13" s="7"/>
      <c r="I13" s="1"/>
      <c r="J13" s="1"/>
      <c r="K13" s="1"/>
      <c r="L13" s="140"/>
      <c r="M13" s="140"/>
      <c r="N13" s="140"/>
      <c r="O13" s="140"/>
      <c r="P13" s="140"/>
      <c r="Q13" s="140"/>
    </row>
    <row r="14" spans="1:17" ht="17" x14ac:dyDescent="0.5">
      <c r="A14" s="21"/>
      <c r="B14" s="325" t="s">
        <v>264</v>
      </c>
      <c r="C14" s="188"/>
      <c r="D14" s="188"/>
      <c r="E14" s="188"/>
      <c r="F14" s="244" t="s">
        <v>156</v>
      </c>
      <c r="G14" s="244" t="s">
        <v>170</v>
      </c>
      <c r="H14" s="188" t="s">
        <v>11</v>
      </c>
      <c r="I14" s="140"/>
      <c r="J14" s="140"/>
      <c r="K14" s="140"/>
      <c r="L14" s="140"/>
      <c r="M14" s="140"/>
      <c r="N14" s="140"/>
      <c r="O14" s="140"/>
      <c r="P14" s="140"/>
      <c r="Q14" s="140"/>
    </row>
    <row r="15" spans="1:17" x14ac:dyDescent="0.35">
      <c r="A15" s="21"/>
      <c r="B15" s="188"/>
      <c r="C15" s="187" t="s">
        <v>158</v>
      </c>
      <c r="D15" s="187" t="s">
        <v>159</v>
      </c>
      <c r="E15" s="242" t="s">
        <v>12</v>
      </c>
      <c r="F15" s="242" t="s">
        <v>169</v>
      </c>
      <c r="G15" s="242" t="s">
        <v>169</v>
      </c>
      <c r="H15" s="187"/>
      <c r="I15" s="140"/>
      <c r="J15" s="140"/>
      <c r="K15" s="140"/>
      <c r="L15" s="140"/>
      <c r="M15" s="140"/>
      <c r="N15" s="140"/>
      <c r="O15" s="140"/>
      <c r="P15" s="140"/>
      <c r="Q15" s="140"/>
    </row>
    <row r="16" spans="1:17" x14ac:dyDescent="0.35">
      <c r="A16" s="21"/>
      <c r="B16" s="188" t="s">
        <v>156</v>
      </c>
      <c r="C16" s="73">
        <v>2000</v>
      </c>
      <c r="D16" s="189">
        <f>38939+120+666+511</f>
        <v>40236</v>
      </c>
      <c r="E16" s="189">
        <f>33032733+63150+337471+227675</f>
        <v>33661029</v>
      </c>
      <c r="F16" s="189">
        <f>E16</f>
        <v>33661029</v>
      </c>
      <c r="G16" s="189">
        <v>0</v>
      </c>
      <c r="H16" s="189">
        <f>SUM(F16:G16)</f>
        <v>33661029</v>
      </c>
      <c r="I16" s="140"/>
      <c r="J16" s="140"/>
      <c r="K16" s="140"/>
      <c r="L16" s="140"/>
      <c r="M16" s="140"/>
      <c r="N16" s="140"/>
      <c r="O16" s="140"/>
      <c r="P16" s="140"/>
      <c r="Q16" s="140"/>
    </row>
    <row r="17" spans="1:17" x14ac:dyDescent="0.35">
      <c r="A17" s="21"/>
      <c r="B17" s="188" t="s">
        <v>157</v>
      </c>
      <c r="C17" s="73">
        <v>2000</v>
      </c>
      <c r="D17" s="195">
        <f>24+56147+12+114+407</f>
        <v>56704</v>
      </c>
      <c r="E17" s="195">
        <f>1369574+282285221+69847+567223+8415159</f>
        <v>292707024</v>
      </c>
      <c r="F17" s="195">
        <f>C17*D17</f>
        <v>113408000</v>
      </c>
      <c r="G17" s="195">
        <f>E17-F17</f>
        <v>179299024</v>
      </c>
      <c r="H17" s="195">
        <f>SUM(F17:G17)</f>
        <v>292707024</v>
      </c>
      <c r="I17" s="140"/>
      <c r="J17" s="140"/>
      <c r="K17" s="140"/>
      <c r="L17" s="140"/>
      <c r="M17" s="140"/>
      <c r="N17" s="140"/>
      <c r="O17" s="140"/>
      <c r="P17" s="140"/>
      <c r="Q17" s="140"/>
    </row>
    <row r="18" spans="1:17" x14ac:dyDescent="0.35">
      <c r="A18" s="21"/>
      <c r="B18" s="188"/>
      <c r="C18" s="73"/>
      <c r="D18" s="189">
        <f>SUM(D16:D17)</f>
        <v>96940</v>
      </c>
      <c r="E18" s="189">
        <f>SUM(E16:E17)</f>
        <v>326368053</v>
      </c>
      <c r="F18" s="189">
        <f>SUM(F16:F17)</f>
        <v>147069029</v>
      </c>
      <c r="G18" s="189">
        <f>SUM(G16:G17)</f>
        <v>179299024</v>
      </c>
      <c r="H18" s="189">
        <f>SUM(H16:H17)</f>
        <v>326368053</v>
      </c>
      <c r="I18" s="140"/>
      <c r="J18" s="140"/>
      <c r="K18" s="140"/>
      <c r="L18" s="140"/>
      <c r="M18" s="140"/>
      <c r="N18" s="140"/>
      <c r="O18" s="140"/>
      <c r="P18" s="140"/>
      <c r="Q18" s="140"/>
    </row>
    <row r="19" spans="1:17" x14ac:dyDescent="0.35">
      <c r="A19" s="21"/>
      <c r="B19" s="1"/>
      <c r="C19" s="1"/>
      <c r="D19" s="1"/>
      <c r="E19" s="1"/>
      <c r="F19" s="1"/>
      <c r="G19" s="1"/>
      <c r="H19" s="7"/>
      <c r="I19" s="1"/>
      <c r="J19" s="1"/>
      <c r="K19" s="1"/>
      <c r="L19" s="140"/>
      <c r="M19" s="140"/>
      <c r="N19" s="140"/>
      <c r="O19" s="140"/>
      <c r="P19" s="140"/>
      <c r="Q19" s="140"/>
    </row>
    <row r="20" spans="1:17" x14ac:dyDescent="0.35">
      <c r="A20" s="223" t="s">
        <v>160</v>
      </c>
      <c r="B20" s="1"/>
      <c r="C20" s="1"/>
      <c r="D20" s="1"/>
      <c r="E20" s="1"/>
      <c r="F20" s="292"/>
      <c r="G20" s="1"/>
      <c r="H20" s="7"/>
      <c r="I20" s="1"/>
      <c r="J20" s="1"/>
      <c r="K20" s="1"/>
      <c r="L20" s="140"/>
      <c r="M20" s="140"/>
      <c r="N20" s="140"/>
      <c r="O20" s="140"/>
      <c r="P20" s="140"/>
      <c r="Q20" s="140"/>
    </row>
    <row r="21" spans="1:17" x14ac:dyDescent="0.35">
      <c r="A21" s="21"/>
      <c r="B21" s="1"/>
      <c r="C21" s="225" t="s">
        <v>158</v>
      </c>
      <c r="D21" s="225" t="s">
        <v>159</v>
      </c>
      <c r="E21" s="243" t="s">
        <v>12</v>
      </c>
      <c r="F21" s="225" t="s">
        <v>161</v>
      </c>
      <c r="G21" s="245" t="s">
        <v>155</v>
      </c>
      <c r="H21" s="7"/>
      <c r="I21" s="1"/>
      <c r="J21" s="1"/>
      <c r="K21" s="1"/>
      <c r="L21" s="140"/>
      <c r="M21" s="140"/>
      <c r="N21" s="140"/>
      <c r="O21" s="140"/>
      <c r="P21" s="140"/>
      <c r="Q21" s="140"/>
    </row>
    <row r="22" spans="1:17" x14ac:dyDescent="0.35">
      <c r="A22" s="21"/>
      <c r="B22" s="188" t="s">
        <v>156</v>
      </c>
      <c r="C22" s="73">
        <v>2000</v>
      </c>
      <c r="D22" s="2">
        <f>D18</f>
        <v>96940</v>
      </c>
      <c r="E22" s="2">
        <f>F18</f>
        <v>147069029</v>
      </c>
      <c r="F22" s="191">
        <f>Rates!F13</f>
        <v>31.35</v>
      </c>
      <c r="G22" s="192">
        <f>D22*F22</f>
        <v>3039069</v>
      </c>
      <c r="H22" s="7"/>
      <c r="I22" s="151"/>
      <c r="J22" s="1"/>
      <c r="K22" s="1"/>
      <c r="L22" s="140"/>
      <c r="M22" s="140"/>
      <c r="N22" s="140"/>
      <c r="O22" s="140"/>
      <c r="P22" s="140"/>
      <c r="Q22" s="140"/>
    </row>
    <row r="23" spans="1:17" x14ac:dyDescent="0.35">
      <c r="A23" s="21"/>
      <c r="B23" s="188" t="s">
        <v>157</v>
      </c>
      <c r="C23" s="73">
        <v>2000</v>
      </c>
      <c r="D23" s="28"/>
      <c r="E23" s="28">
        <f>G18</f>
        <v>179299024</v>
      </c>
      <c r="F23" s="227">
        <f>Rates!F14</f>
        <v>1.367E-2</v>
      </c>
      <c r="G23" s="226">
        <f>E23*F23</f>
        <v>2451017.65808</v>
      </c>
      <c r="H23" s="7"/>
      <c r="I23" s="151"/>
      <c r="J23" s="1"/>
      <c r="K23" s="1"/>
      <c r="L23" s="140"/>
      <c r="M23" s="140"/>
      <c r="N23" s="140"/>
      <c r="O23" s="140"/>
      <c r="P23" s="140"/>
      <c r="Q23" s="140"/>
    </row>
    <row r="24" spans="1:17" x14ac:dyDescent="0.35">
      <c r="A24" s="21"/>
      <c r="B24" s="188"/>
      <c r="C24" s="73"/>
      <c r="D24" s="189">
        <f>SUM(D22:D23)</f>
        <v>96940</v>
      </c>
      <c r="E24" s="189">
        <f>SUM(E22:E23)</f>
        <v>326368053</v>
      </c>
      <c r="F24" s="189"/>
      <c r="G24" s="240">
        <f>SUM(G22:G23)</f>
        <v>5490086.6580800004</v>
      </c>
      <c r="H24" s="7"/>
      <c r="I24" s="151"/>
      <c r="J24" s="1"/>
      <c r="K24" s="1"/>
      <c r="L24" s="140"/>
      <c r="M24" s="140"/>
      <c r="N24" s="140"/>
      <c r="O24" s="140"/>
      <c r="P24" s="140"/>
      <c r="Q24" s="140"/>
    </row>
    <row r="25" spans="1:17" x14ac:dyDescent="0.35">
      <c r="A25" s="21"/>
      <c r="B25" s="188"/>
      <c r="C25" s="73"/>
      <c r="D25" s="2"/>
      <c r="E25" s="2"/>
      <c r="F25" s="224"/>
      <c r="G25" s="192"/>
      <c r="H25" s="7"/>
      <c r="I25" s="151"/>
      <c r="J25" s="1"/>
      <c r="K25" s="1"/>
      <c r="L25" s="140"/>
      <c r="M25" s="140"/>
      <c r="N25" s="140"/>
      <c r="O25" s="140"/>
      <c r="P25" s="140"/>
      <c r="Q25" s="140"/>
    </row>
    <row r="26" spans="1:17" x14ac:dyDescent="0.35">
      <c r="A26" s="223" t="s">
        <v>171</v>
      </c>
      <c r="B26" s="1"/>
      <c r="C26" s="1"/>
      <c r="D26" s="1"/>
      <c r="E26" s="1"/>
      <c r="F26" s="1"/>
      <c r="G26" s="1"/>
      <c r="H26" s="7"/>
      <c r="I26" s="1"/>
      <c r="J26" s="1"/>
      <c r="K26" s="1"/>
      <c r="L26" s="140"/>
      <c r="M26" s="140"/>
      <c r="N26" s="140"/>
      <c r="O26" s="140"/>
      <c r="P26" s="140"/>
      <c r="Q26" s="140"/>
    </row>
    <row r="27" spans="1:17" ht="17" x14ac:dyDescent="0.5">
      <c r="A27" s="21"/>
      <c r="B27" s="326" t="s">
        <v>265</v>
      </c>
      <c r="C27" s="188"/>
      <c r="D27" s="188"/>
      <c r="E27" s="188"/>
      <c r="F27" s="244" t="s">
        <v>156</v>
      </c>
      <c r="G27" s="244" t="s">
        <v>170</v>
      </c>
      <c r="H27" s="188" t="s">
        <v>11</v>
      </c>
      <c r="I27" s="140"/>
      <c r="J27" s="1"/>
      <c r="K27" s="1"/>
      <c r="L27" s="140"/>
      <c r="M27" s="140"/>
      <c r="N27" s="140"/>
      <c r="O27" s="140"/>
      <c r="P27" s="140"/>
      <c r="Q27" s="140"/>
    </row>
    <row r="28" spans="1:17" x14ac:dyDescent="0.35">
      <c r="A28" s="21"/>
      <c r="B28" s="188"/>
      <c r="C28" s="187" t="s">
        <v>158</v>
      </c>
      <c r="D28" s="187" t="s">
        <v>159</v>
      </c>
      <c r="E28" s="242" t="s">
        <v>12</v>
      </c>
      <c r="F28" s="242" t="s">
        <v>169</v>
      </c>
      <c r="G28" s="242" t="s">
        <v>169</v>
      </c>
      <c r="H28" s="187"/>
      <c r="I28" s="140"/>
      <c r="J28" s="1"/>
      <c r="K28" s="1"/>
      <c r="L28" s="140"/>
      <c r="M28" s="140"/>
      <c r="N28" s="140"/>
      <c r="O28" s="140"/>
      <c r="P28" s="140"/>
      <c r="Q28" s="140"/>
    </row>
    <row r="29" spans="1:17" x14ac:dyDescent="0.35">
      <c r="A29" s="21"/>
      <c r="B29" s="188" t="s">
        <v>156</v>
      </c>
      <c r="C29" s="73">
        <v>5000</v>
      </c>
      <c r="D29" s="189">
        <f>24+32</f>
        <v>56</v>
      </c>
      <c r="E29" s="189">
        <f>26964+29626</f>
        <v>56590</v>
      </c>
      <c r="F29" s="189">
        <f>E29</f>
        <v>56590</v>
      </c>
      <c r="G29" s="189">
        <v>0</v>
      </c>
      <c r="H29" s="189">
        <f>SUM(F29:G29)</f>
        <v>56590</v>
      </c>
      <c r="I29" s="140"/>
      <c r="J29" s="1"/>
      <c r="K29" s="1"/>
      <c r="L29" s="140"/>
      <c r="M29" s="140"/>
      <c r="N29" s="140"/>
      <c r="O29" s="140"/>
      <c r="P29" s="140"/>
      <c r="Q29" s="140"/>
    </row>
    <row r="30" spans="1:17" x14ac:dyDescent="0.35">
      <c r="A30" s="21"/>
      <c r="B30" s="188" t="s">
        <v>157</v>
      </c>
      <c r="C30" s="73">
        <v>5000</v>
      </c>
      <c r="D30" s="195">
        <f>26+4</f>
        <v>30</v>
      </c>
      <c r="E30" s="195">
        <f>559065+27611</f>
        <v>586676</v>
      </c>
      <c r="F30" s="195">
        <f>C30*D30</f>
        <v>150000</v>
      </c>
      <c r="G30" s="195">
        <f>E30-F30</f>
        <v>436676</v>
      </c>
      <c r="H30" s="195">
        <f>SUM(F30:G30)</f>
        <v>586676</v>
      </c>
      <c r="I30" s="140"/>
      <c r="J30" s="320"/>
      <c r="K30" s="320"/>
      <c r="L30" s="320"/>
      <c r="M30" s="320"/>
      <c r="N30" s="320"/>
      <c r="O30" s="320"/>
      <c r="P30" s="140"/>
      <c r="Q30" s="140"/>
    </row>
    <row r="31" spans="1:17" x14ac:dyDescent="0.35">
      <c r="A31" s="21"/>
      <c r="B31" s="188"/>
      <c r="C31" s="73"/>
      <c r="D31" s="189">
        <f>SUM(D29:D30)</f>
        <v>86</v>
      </c>
      <c r="E31" s="189">
        <f>SUM(E29:E30)</f>
        <v>643266</v>
      </c>
      <c r="F31" s="189">
        <f>SUM(F29:F30)</f>
        <v>206590</v>
      </c>
      <c r="G31" s="189">
        <f>SUM(G29:G30)</f>
        <v>436676</v>
      </c>
      <c r="H31" s="189">
        <f>SUM(H29:H30)</f>
        <v>643266</v>
      </c>
      <c r="I31" s="140"/>
      <c r="J31" s="6"/>
      <c r="K31" s="6"/>
      <c r="L31" s="321"/>
      <c r="M31" s="321"/>
      <c r="N31" s="321"/>
      <c r="O31" s="321"/>
      <c r="P31" s="268"/>
      <c r="Q31" s="140"/>
    </row>
    <row r="32" spans="1:17" x14ac:dyDescent="0.35">
      <c r="A32" s="21"/>
      <c r="B32" s="1"/>
      <c r="C32" s="1"/>
      <c r="D32" s="1"/>
      <c r="E32" s="1"/>
      <c r="F32" s="1"/>
      <c r="G32" s="1"/>
      <c r="H32" s="7"/>
      <c r="I32" s="1"/>
      <c r="J32" s="321"/>
      <c r="K32" s="321"/>
      <c r="L32" s="321"/>
      <c r="M32" s="321"/>
      <c r="N32" s="321"/>
      <c r="O32" s="321"/>
      <c r="P32" s="268"/>
      <c r="Q32" s="140"/>
    </row>
    <row r="33" spans="1:17" x14ac:dyDescent="0.35">
      <c r="A33" s="223" t="s">
        <v>160</v>
      </c>
      <c r="B33" s="1"/>
      <c r="C33" s="1"/>
      <c r="D33" s="1"/>
      <c r="E33" s="1"/>
      <c r="F33" s="292"/>
      <c r="G33" s="1"/>
      <c r="H33" s="7"/>
      <c r="I33" s="1"/>
      <c r="J33" s="321"/>
      <c r="K33" s="321"/>
      <c r="L33" s="321"/>
      <c r="M33" s="321"/>
      <c r="N33" s="321"/>
      <c r="O33" s="321"/>
      <c r="P33" s="268"/>
      <c r="Q33" s="140"/>
    </row>
    <row r="34" spans="1:17" x14ac:dyDescent="0.35">
      <c r="A34" s="21"/>
      <c r="B34" s="1"/>
      <c r="C34" s="225" t="s">
        <v>158</v>
      </c>
      <c r="D34" s="225" t="s">
        <v>159</v>
      </c>
      <c r="E34" s="243" t="s">
        <v>12</v>
      </c>
      <c r="F34" s="225" t="s">
        <v>161</v>
      </c>
      <c r="G34" s="245" t="s">
        <v>155</v>
      </c>
      <c r="H34" s="7"/>
      <c r="I34" s="1"/>
      <c r="J34" s="321"/>
      <c r="K34" s="321"/>
      <c r="L34" s="321"/>
      <c r="M34" s="321"/>
      <c r="N34" s="321"/>
      <c r="O34" s="321"/>
      <c r="P34" s="268"/>
      <c r="Q34" s="140"/>
    </row>
    <row r="35" spans="1:17" x14ac:dyDescent="0.35">
      <c r="A35" s="21"/>
      <c r="B35" s="188" t="s">
        <v>156</v>
      </c>
      <c r="C35" s="73">
        <v>5000</v>
      </c>
      <c r="D35" s="2">
        <f>D31</f>
        <v>86</v>
      </c>
      <c r="E35" s="2">
        <f>F31</f>
        <v>206590</v>
      </c>
      <c r="F35" s="191">
        <f>Rates!F17</f>
        <v>72.38</v>
      </c>
      <c r="G35" s="192">
        <f>D35*F35</f>
        <v>6224.6799999999994</v>
      </c>
      <c r="H35" s="7"/>
      <c r="I35" s="151"/>
      <c r="J35" s="322"/>
      <c r="K35" s="322"/>
      <c r="L35" s="322"/>
      <c r="M35" s="322"/>
      <c r="N35" s="322"/>
      <c r="O35" s="322"/>
      <c r="P35" s="268"/>
      <c r="Q35" s="140"/>
    </row>
    <row r="36" spans="1:17" x14ac:dyDescent="0.35">
      <c r="A36" s="21"/>
      <c r="B36" s="188" t="s">
        <v>157</v>
      </c>
      <c r="C36" s="73">
        <v>5000</v>
      </c>
      <c r="D36" s="28"/>
      <c r="E36" s="28">
        <f>G31</f>
        <v>436676</v>
      </c>
      <c r="F36" s="224">
        <f>Rates!F18</f>
        <v>1.367E-2</v>
      </c>
      <c r="G36" s="226">
        <f>E36*F36</f>
        <v>5969.3609200000001</v>
      </c>
      <c r="H36" s="7"/>
      <c r="I36" s="151"/>
      <c r="J36" s="6"/>
      <c r="K36" s="6"/>
      <c r="L36" s="321"/>
      <c r="M36" s="321"/>
      <c r="N36" s="321"/>
      <c r="O36" s="321"/>
      <c r="P36" s="268"/>
      <c r="Q36" s="140"/>
    </row>
    <row r="37" spans="1:17" x14ac:dyDescent="0.35">
      <c r="A37" s="21"/>
      <c r="B37" s="188"/>
      <c r="C37" s="73"/>
      <c r="D37" s="189">
        <f>SUM(D35:D36)</f>
        <v>86</v>
      </c>
      <c r="E37" s="189">
        <f>SUM(E35:E36)</f>
        <v>643266</v>
      </c>
      <c r="F37" s="189"/>
      <c r="G37" s="240">
        <f>SUM(G35:G36)</f>
        <v>12194.040919999999</v>
      </c>
      <c r="H37" s="7"/>
      <c r="I37" s="151"/>
      <c r="J37" s="321"/>
      <c r="K37" s="321"/>
      <c r="L37" s="321"/>
      <c r="M37" s="321"/>
      <c r="N37" s="321"/>
      <c r="O37" s="321"/>
      <c r="P37" s="268"/>
      <c r="Q37" s="140"/>
    </row>
    <row r="38" spans="1:17" x14ac:dyDescent="0.35">
      <c r="A38" s="222"/>
      <c r="B38" s="140"/>
      <c r="C38" s="140"/>
      <c r="D38" s="268"/>
      <c r="E38" s="268"/>
      <c r="F38" s="268"/>
      <c r="G38" s="268"/>
      <c r="H38" s="268"/>
      <c r="I38" s="268"/>
      <c r="J38" s="268"/>
      <c r="K38" s="268"/>
      <c r="L38" s="268"/>
      <c r="M38" s="268"/>
      <c r="N38" s="268"/>
      <c r="O38" s="268"/>
      <c r="P38" s="268"/>
      <c r="Q38" s="140"/>
    </row>
    <row r="39" spans="1:17" x14ac:dyDescent="0.35">
      <c r="A39" s="223" t="s">
        <v>171</v>
      </c>
      <c r="B39" s="1"/>
      <c r="C39" s="1"/>
      <c r="D39" s="1"/>
      <c r="E39" s="1"/>
      <c r="F39" s="1"/>
      <c r="G39" s="1"/>
      <c r="H39" s="7"/>
      <c r="I39" s="268"/>
      <c r="J39" s="268"/>
      <c r="K39" s="268"/>
      <c r="L39" s="268"/>
      <c r="M39" s="268"/>
      <c r="N39" s="268"/>
      <c r="O39" s="268"/>
      <c r="P39" s="268"/>
      <c r="Q39" s="140"/>
    </row>
    <row r="40" spans="1:17" ht="17" x14ac:dyDescent="0.5">
      <c r="A40" s="21"/>
      <c r="B40" s="325" t="s">
        <v>266</v>
      </c>
      <c r="C40" s="188"/>
      <c r="D40" s="188"/>
      <c r="E40" s="188"/>
      <c r="F40" s="244" t="s">
        <v>156</v>
      </c>
      <c r="G40" s="244" t="s">
        <v>170</v>
      </c>
      <c r="H40" s="188" t="s">
        <v>11</v>
      </c>
      <c r="I40" s="334" t="s">
        <v>299</v>
      </c>
      <c r="J40" s="268"/>
      <c r="K40" s="268"/>
      <c r="L40" s="268"/>
      <c r="M40" s="268"/>
      <c r="N40" s="268"/>
      <c r="O40" s="268"/>
      <c r="P40" s="268"/>
      <c r="Q40" s="140"/>
    </row>
    <row r="41" spans="1:17" x14ac:dyDescent="0.35">
      <c r="A41" s="21"/>
      <c r="B41" s="188"/>
      <c r="C41" s="187" t="s">
        <v>158</v>
      </c>
      <c r="D41" s="187" t="s">
        <v>159</v>
      </c>
      <c r="E41" s="242" t="s">
        <v>12</v>
      </c>
      <c r="F41" s="242" t="s">
        <v>169</v>
      </c>
      <c r="G41" s="242" t="s">
        <v>169</v>
      </c>
      <c r="H41" s="187"/>
      <c r="I41" s="268"/>
      <c r="J41" s="268"/>
      <c r="K41" s="268"/>
      <c r="L41" s="268"/>
      <c r="M41" s="268"/>
      <c r="N41" s="268"/>
      <c r="O41" s="268"/>
      <c r="P41" s="268"/>
      <c r="Q41" s="140"/>
    </row>
    <row r="42" spans="1:17" x14ac:dyDescent="0.35">
      <c r="A42" s="21"/>
      <c r="B42" s="188" t="s">
        <v>156</v>
      </c>
      <c r="C42" s="73">
        <v>10000</v>
      </c>
      <c r="D42" s="189">
        <f>P62</f>
        <v>0</v>
      </c>
      <c r="E42" s="189">
        <f>P57</f>
        <v>0</v>
      </c>
      <c r="F42" s="189">
        <f>E42</f>
        <v>0</v>
      </c>
      <c r="G42" s="189">
        <v>0</v>
      </c>
      <c r="H42" s="189">
        <f>SUM(F42:G42)</f>
        <v>0</v>
      </c>
      <c r="I42" s="268"/>
      <c r="J42" s="268"/>
      <c r="K42" s="268"/>
      <c r="L42" s="268"/>
      <c r="M42" s="268"/>
      <c r="N42" s="268"/>
      <c r="O42" s="268"/>
      <c r="P42" s="268"/>
      <c r="Q42" s="140"/>
    </row>
    <row r="43" spans="1:17" x14ac:dyDescent="0.35">
      <c r="A43" s="21"/>
      <c r="B43" s="188" t="s">
        <v>157</v>
      </c>
      <c r="C43" s="73">
        <v>10000</v>
      </c>
      <c r="D43" s="195">
        <f>P63</f>
        <v>0</v>
      </c>
      <c r="E43" s="195">
        <f>P58</f>
        <v>0</v>
      </c>
      <c r="F43" s="195">
        <f>C43*D43</f>
        <v>0</v>
      </c>
      <c r="G43" s="195">
        <f>E43-F43</f>
        <v>0</v>
      </c>
      <c r="H43" s="195">
        <f>SUM(F43:G43)</f>
        <v>0</v>
      </c>
      <c r="I43" s="268"/>
      <c r="J43" s="268"/>
      <c r="K43" s="268"/>
      <c r="L43" s="268"/>
      <c r="M43" s="268"/>
      <c r="N43" s="268"/>
      <c r="O43" s="268"/>
      <c r="P43" s="268"/>
      <c r="Q43" s="140"/>
    </row>
    <row r="44" spans="1:17" x14ac:dyDescent="0.35">
      <c r="A44" s="21"/>
      <c r="B44" s="188"/>
      <c r="C44" s="73"/>
      <c r="D44" s="189">
        <f>SUM(D42:D43)</f>
        <v>0</v>
      </c>
      <c r="E44" s="189">
        <f>SUM(E42:E43)</f>
        <v>0</v>
      </c>
      <c r="F44" s="189">
        <f>SUM(F42:F43)</f>
        <v>0</v>
      </c>
      <c r="G44" s="189">
        <f>SUM(G42:G43)</f>
        <v>0</v>
      </c>
      <c r="H44" s="189">
        <f>SUM(H42:H43)</f>
        <v>0</v>
      </c>
      <c r="I44" s="268"/>
      <c r="J44" s="268"/>
      <c r="K44" s="268"/>
      <c r="L44" s="268"/>
      <c r="M44" s="268"/>
      <c r="N44" s="268"/>
      <c r="O44" s="268"/>
      <c r="P44" s="268"/>
      <c r="Q44" s="140"/>
    </row>
    <row r="45" spans="1:17" x14ac:dyDescent="0.35">
      <c r="A45" s="21"/>
      <c r="B45" s="1"/>
      <c r="C45" s="1"/>
      <c r="D45" s="1"/>
      <c r="E45" s="1"/>
      <c r="F45" s="1"/>
      <c r="G45" s="1"/>
      <c r="H45" s="7"/>
      <c r="I45" s="268"/>
      <c r="J45" s="268"/>
      <c r="K45" s="268"/>
      <c r="L45" s="268"/>
      <c r="M45" s="268"/>
      <c r="N45" s="268"/>
      <c r="O45" s="268"/>
      <c r="P45" s="268"/>
      <c r="Q45" s="140"/>
    </row>
    <row r="46" spans="1:17" x14ac:dyDescent="0.35">
      <c r="A46" s="223" t="s">
        <v>160</v>
      </c>
      <c r="B46" s="1"/>
      <c r="C46" s="1"/>
      <c r="D46" s="1"/>
      <c r="E46" s="1"/>
      <c r="F46" s="292"/>
      <c r="G46" s="1"/>
      <c r="H46" s="7"/>
      <c r="I46" s="268"/>
      <c r="J46" s="268"/>
      <c r="K46" s="268"/>
      <c r="L46" s="268"/>
      <c r="M46" s="268"/>
      <c r="N46" s="268"/>
      <c r="O46" s="268"/>
      <c r="P46" s="268"/>
      <c r="Q46" s="140"/>
    </row>
    <row r="47" spans="1:17" x14ac:dyDescent="0.35">
      <c r="A47" s="21"/>
      <c r="B47" s="1"/>
      <c r="C47" s="225" t="s">
        <v>158</v>
      </c>
      <c r="D47" s="225" t="s">
        <v>159</v>
      </c>
      <c r="E47" s="243" t="s">
        <v>12</v>
      </c>
      <c r="F47" s="225" t="s">
        <v>161</v>
      </c>
      <c r="G47" s="245" t="s">
        <v>155</v>
      </c>
      <c r="H47" s="7"/>
      <c r="I47" s="268"/>
      <c r="J47" s="268"/>
      <c r="K47" s="268"/>
      <c r="L47" s="268"/>
      <c r="M47" s="268"/>
      <c r="N47" s="268"/>
      <c r="O47" s="268"/>
      <c r="P47" s="268"/>
      <c r="Q47" s="140"/>
    </row>
    <row r="48" spans="1:17" x14ac:dyDescent="0.35">
      <c r="A48" s="21"/>
      <c r="B48" s="188" t="s">
        <v>156</v>
      </c>
      <c r="C48" s="73">
        <f>C42</f>
        <v>10000</v>
      </c>
      <c r="D48" s="2">
        <f>D44</f>
        <v>0</v>
      </c>
      <c r="E48" s="2">
        <f>F44</f>
        <v>0</v>
      </c>
      <c r="F48" s="191">
        <f>Rates!F21</f>
        <v>140.74</v>
      </c>
      <c r="G48" s="192">
        <f>D48*F48</f>
        <v>0</v>
      </c>
      <c r="H48" s="7"/>
      <c r="I48" s="268"/>
      <c r="J48" s="268"/>
      <c r="K48" s="268"/>
      <c r="L48" s="268"/>
      <c r="M48" s="268"/>
      <c r="N48" s="268"/>
      <c r="O48" s="268"/>
      <c r="P48" s="268"/>
      <c r="Q48" s="140"/>
    </row>
    <row r="49" spans="1:17" x14ac:dyDescent="0.35">
      <c r="A49" s="21"/>
      <c r="B49" s="188" t="s">
        <v>157</v>
      </c>
      <c r="C49" s="73">
        <f>C43</f>
        <v>10000</v>
      </c>
      <c r="D49" s="28"/>
      <c r="E49" s="28">
        <f>G44</f>
        <v>0</v>
      </c>
      <c r="F49" s="329">
        <f>Rates!F22</f>
        <v>1.367E-2</v>
      </c>
      <c r="G49" s="226">
        <f>E49*F49</f>
        <v>0</v>
      </c>
      <c r="H49" s="7"/>
      <c r="I49" s="268"/>
      <c r="J49" s="268"/>
      <c r="K49" s="268"/>
      <c r="L49" s="268"/>
      <c r="M49" s="268"/>
      <c r="N49" s="268"/>
      <c r="O49" s="268"/>
      <c r="P49" s="268"/>
      <c r="Q49" s="140"/>
    </row>
    <row r="50" spans="1:17" x14ac:dyDescent="0.35">
      <c r="A50" s="21"/>
      <c r="B50" s="188"/>
      <c r="C50" s="73"/>
      <c r="D50" s="189">
        <f>SUM(D48:D49)</f>
        <v>0</v>
      </c>
      <c r="E50" s="189">
        <f>SUM(E48:E49)</f>
        <v>0</v>
      </c>
      <c r="F50" s="189"/>
      <c r="G50" s="240">
        <f>SUM(G48:G49)</f>
        <v>0</v>
      </c>
      <c r="H50" s="7"/>
      <c r="I50" s="268"/>
      <c r="J50" s="268"/>
      <c r="K50" s="268"/>
      <c r="L50" s="268"/>
      <c r="M50" s="268"/>
      <c r="N50" s="268"/>
      <c r="O50" s="268"/>
      <c r="P50" s="268"/>
      <c r="Q50" s="140"/>
    </row>
    <row r="51" spans="1:17" x14ac:dyDescent="0.35">
      <c r="A51" s="21"/>
      <c r="B51" s="188"/>
      <c r="C51" s="73"/>
      <c r="D51" s="2"/>
      <c r="E51" s="2"/>
      <c r="F51" s="224"/>
      <c r="G51" s="192"/>
      <c r="H51" s="7"/>
      <c r="I51" s="268"/>
      <c r="J51" s="268"/>
      <c r="K51" s="268"/>
      <c r="L51" s="268"/>
      <c r="M51" s="268"/>
      <c r="N51" s="268"/>
      <c r="O51" s="268"/>
      <c r="P51" s="268"/>
      <c r="Q51" s="140"/>
    </row>
    <row r="52" spans="1:17" x14ac:dyDescent="0.35">
      <c r="A52" s="223" t="s">
        <v>171</v>
      </c>
      <c r="B52" s="1"/>
      <c r="C52" s="1"/>
      <c r="D52" s="1"/>
      <c r="E52" s="1"/>
      <c r="F52" s="1"/>
      <c r="G52" s="1"/>
      <c r="H52" s="7"/>
      <c r="I52" s="268"/>
      <c r="J52" s="268"/>
      <c r="K52" s="268"/>
      <c r="L52" s="268"/>
      <c r="M52" s="268"/>
      <c r="N52" s="268"/>
      <c r="O52" s="268"/>
      <c r="P52" s="268"/>
      <c r="Q52" s="140"/>
    </row>
    <row r="53" spans="1:17" ht="17" x14ac:dyDescent="0.5">
      <c r="A53" s="21"/>
      <c r="B53" s="313" t="s">
        <v>267</v>
      </c>
      <c r="C53" s="188"/>
      <c r="D53" s="188"/>
      <c r="E53" s="188"/>
      <c r="F53" s="244" t="s">
        <v>156</v>
      </c>
      <c r="G53" s="244" t="s">
        <v>170</v>
      </c>
      <c r="H53" s="188" t="s">
        <v>11</v>
      </c>
      <c r="I53" s="268"/>
      <c r="J53" s="268"/>
      <c r="K53" s="268"/>
      <c r="L53" s="268"/>
      <c r="M53" s="268"/>
      <c r="N53" s="268"/>
      <c r="O53" s="268"/>
      <c r="P53" s="268"/>
      <c r="Q53" s="140"/>
    </row>
    <row r="54" spans="1:17" x14ac:dyDescent="0.35">
      <c r="A54" s="21"/>
      <c r="B54" s="188"/>
      <c r="C54" s="187" t="s">
        <v>158</v>
      </c>
      <c r="D54" s="187" t="s">
        <v>159</v>
      </c>
      <c r="E54" s="242" t="s">
        <v>12</v>
      </c>
      <c r="F54" s="242" t="s">
        <v>169</v>
      </c>
      <c r="G54" s="242" t="s">
        <v>169</v>
      </c>
      <c r="H54" s="187"/>
      <c r="I54" s="268"/>
      <c r="J54" s="268"/>
      <c r="K54" s="268"/>
      <c r="L54" s="268"/>
      <c r="M54" s="268"/>
      <c r="N54" s="268"/>
      <c r="O54" s="268"/>
      <c r="P54" s="268"/>
      <c r="Q54" s="140"/>
    </row>
    <row r="55" spans="1:17" x14ac:dyDescent="0.35">
      <c r="A55" s="21"/>
      <c r="B55" s="188" t="s">
        <v>156</v>
      </c>
      <c r="C55" s="73">
        <v>20000</v>
      </c>
      <c r="D55" s="189">
        <f>20+13</f>
        <v>33</v>
      </c>
      <c r="E55" s="189">
        <f>124366+87006</f>
        <v>211372</v>
      </c>
      <c r="F55" s="189">
        <f>E55</f>
        <v>211372</v>
      </c>
      <c r="G55" s="189">
        <v>0</v>
      </c>
      <c r="H55" s="189">
        <f>SUM(F55:G55)</f>
        <v>211372</v>
      </c>
      <c r="I55" s="268"/>
      <c r="J55" s="268"/>
      <c r="K55" s="268"/>
      <c r="L55" s="268"/>
      <c r="M55" s="268"/>
      <c r="N55" s="268"/>
      <c r="O55" s="268"/>
      <c r="P55" s="268"/>
      <c r="Q55" s="140"/>
    </row>
    <row r="56" spans="1:17" x14ac:dyDescent="0.35">
      <c r="A56" s="21"/>
      <c r="B56" s="188" t="s">
        <v>157</v>
      </c>
      <c r="C56" s="73">
        <v>20000</v>
      </c>
      <c r="D56" s="195">
        <f>4+14</f>
        <v>18</v>
      </c>
      <c r="E56" s="195">
        <f>91867+954299</f>
        <v>1046166</v>
      </c>
      <c r="F56" s="195">
        <f>C56*D56</f>
        <v>360000</v>
      </c>
      <c r="G56" s="195">
        <f>E56-F56</f>
        <v>686166</v>
      </c>
      <c r="H56" s="195">
        <f>SUM(F56:G56)</f>
        <v>1046166</v>
      </c>
      <c r="I56" s="268"/>
      <c r="J56" s="268"/>
      <c r="K56" s="268"/>
      <c r="L56" s="268"/>
      <c r="M56" s="268"/>
      <c r="N56" s="268"/>
      <c r="O56" s="268"/>
      <c r="P56" s="268"/>
      <c r="Q56" s="140"/>
    </row>
    <row r="57" spans="1:17" x14ac:dyDescent="0.35">
      <c r="A57" s="21"/>
      <c r="B57" s="188"/>
      <c r="C57" s="73"/>
      <c r="D57" s="189">
        <f>SUM(D55:D56)</f>
        <v>51</v>
      </c>
      <c r="E57" s="189">
        <f>SUM(E55:E56)</f>
        <v>1257538</v>
      </c>
      <c r="F57" s="189">
        <f>SUM(F55:F56)</f>
        <v>571372</v>
      </c>
      <c r="G57" s="189">
        <f>SUM(G55:G56)</f>
        <v>686166</v>
      </c>
      <c r="H57" s="189">
        <f>SUM(H55:H56)</f>
        <v>1257538</v>
      </c>
      <c r="I57" s="268"/>
      <c r="J57" s="268"/>
      <c r="K57" s="268"/>
      <c r="L57" s="268"/>
      <c r="M57" s="268"/>
      <c r="N57" s="268"/>
      <c r="O57" s="268"/>
      <c r="P57" s="268"/>
      <c r="Q57" s="140"/>
    </row>
    <row r="58" spans="1:17" x14ac:dyDescent="0.35">
      <c r="A58" s="21"/>
      <c r="B58" s="1"/>
      <c r="C58" s="1"/>
      <c r="D58" s="1"/>
      <c r="E58" s="1"/>
      <c r="F58" s="1"/>
      <c r="G58" s="1"/>
      <c r="H58" s="7"/>
      <c r="I58" s="268"/>
      <c r="J58" s="268"/>
      <c r="K58" s="268"/>
      <c r="L58" s="268"/>
      <c r="M58" s="268"/>
      <c r="N58" s="268"/>
      <c r="O58" s="268"/>
      <c r="P58" s="268"/>
      <c r="Q58" s="140"/>
    </row>
    <row r="59" spans="1:17" x14ac:dyDescent="0.35">
      <c r="A59" s="223" t="s">
        <v>160</v>
      </c>
      <c r="B59" s="1"/>
      <c r="C59" s="1"/>
      <c r="D59" s="1"/>
      <c r="E59" s="1"/>
      <c r="F59" s="292"/>
      <c r="G59" s="1"/>
      <c r="H59" s="7"/>
      <c r="I59" s="268"/>
      <c r="J59" s="268"/>
      <c r="K59" s="268"/>
      <c r="L59" s="268"/>
      <c r="M59" s="268"/>
      <c r="N59" s="268"/>
      <c r="O59" s="268"/>
      <c r="P59" s="268"/>
      <c r="Q59" s="140"/>
    </row>
    <row r="60" spans="1:17" x14ac:dyDescent="0.35">
      <c r="A60" s="21"/>
      <c r="B60" s="1"/>
      <c r="C60" s="225" t="s">
        <v>158</v>
      </c>
      <c r="D60" s="225" t="s">
        <v>159</v>
      </c>
      <c r="E60" s="243" t="s">
        <v>12</v>
      </c>
      <c r="F60" s="225" t="s">
        <v>161</v>
      </c>
      <c r="G60" s="245" t="s">
        <v>155</v>
      </c>
      <c r="H60" s="7"/>
      <c r="I60" s="268"/>
      <c r="J60" s="268"/>
      <c r="K60" s="268"/>
      <c r="L60" s="268"/>
      <c r="M60" s="268"/>
      <c r="N60" s="268"/>
      <c r="O60" s="268"/>
      <c r="P60" s="268"/>
      <c r="Q60" s="140"/>
    </row>
    <row r="61" spans="1:17" x14ac:dyDescent="0.35">
      <c r="A61" s="21"/>
      <c r="B61" s="188" t="s">
        <v>156</v>
      </c>
      <c r="C61" s="73">
        <f>C55</f>
        <v>20000</v>
      </c>
      <c r="D61" s="2">
        <f>D57</f>
        <v>51</v>
      </c>
      <c r="E61" s="2">
        <f>F57</f>
        <v>571372</v>
      </c>
      <c r="F61" s="191">
        <f>Rates!F25</f>
        <v>277.5</v>
      </c>
      <c r="G61" s="192">
        <f>D61*F61</f>
        <v>14152.5</v>
      </c>
      <c r="H61" s="7"/>
      <c r="I61" s="268"/>
      <c r="J61" s="268"/>
      <c r="K61" s="268"/>
      <c r="L61" s="268"/>
      <c r="M61" s="268"/>
      <c r="N61" s="268"/>
      <c r="O61" s="268"/>
      <c r="P61" s="268"/>
      <c r="Q61" s="140"/>
    </row>
    <row r="62" spans="1:17" x14ac:dyDescent="0.35">
      <c r="A62" s="21"/>
      <c r="B62" s="188" t="s">
        <v>157</v>
      </c>
      <c r="C62" s="73">
        <f>C56</f>
        <v>20000</v>
      </c>
      <c r="D62" s="28"/>
      <c r="E62" s="28">
        <f>G57</f>
        <v>686166</v>
      </c>
      <c r="F62" s="329">
        <f>Rates!F26</f>
        <v>1.367E-2</v>
      </c>
      <c r="G62" s="226">
        <f>E62*F62</f>
        <v>9379.8892199999991</v>
      </c>
      <c r="H62" s="7"/>
      <c r="I62" s="268"/>
      <c r="J62" s="268"/>
      <c r="K62" s="268"/>
      <c r="L62" s="268"/>
      <c r="M62" s="268"/>
      <c r="N62" s="268"/>
      <c r="O62" s="268"/>
      <c r="P62" s="268"/>
      <c r="Q62" s="140"/>
    </row>
    <row r="63" spans="1:17" x14ac:dyDescent="0.35">
      <c r="A63" s="21"/>
      <c r="B63" s="188"/>
      <c r="C63" s="73"/>
      <c r="D63" s="189">
        <f>SUM(D61:D62)</f>
        <v>51</v>
      </c>
      <c r="E63" s="189">
        <f>SUM(E61:E62)</f>
        <v>1257538</v>
      </c>
      <c r="F63" s="189"/>
      <c r="G63" s="240">
        <f>SUM(G61:G62)</f>
        <v>23532.389219999997</v>
      </c>
      <c r="H63" s="7"/>
      <c r="I63" s="268"/>
      <c r="J63" s="268"/>
      <c r="K63" s="268"/>
      <c r="L63" s="268"/>
      <c r="M63" s="268"/>
      <c r="N63" s="268"/>
      <c r="O63" s="268"/>
      <c r="P63" s="268"/>
      <c r="Q63" s="140"/>
    </row>
    <row r="64" spans="1:17" x14ac:dyDescent="0.35">
      <c r="A64" s="222"/>
      <c r="B64" s="140"/>
      <c r="C64" s="140"/>
      <c r="D64" s="268"/>
      <c r="E64" s="268"/>
      <c r="F64" s="268"/>
      <c r="G64" s="268"/>
      <c r="H64" s="268"/>
      <c r="I64" s="268"/>
      <c r="J64" s="268"/>
      <c r="K64" s="268"/>
      <c r="L64" s="268"/>
      <c r="M64" s="268"/>
      <c r="N64" s="268"/>
      <c r="O64" s="268"/>
      <c r="P64" s="268"/>
      <c r="Q64" s="140"/>
    </row>
    <row r="65" spans="1:17" x14ac:dyDescent="0.35">
      <c r="A65" s="223" t="s">
        <v>171</v>
      </c>
      <c r="B65" s="1"/>
      <c r="C65" s="1"/>
      <c r="D65" s="1"/>
      <c r="E65" s="1"/>
      <c r="F65" s="1"/>
      <c r="G65" s="1"/>
      <c r="H65" s="7"/>
      <c r="I65" s="268"/>
      <c r="J65" s="268"/>
      <c r="K65" s="268"/>
      <c r="L65" s="268"/>
      <c r="M65" s="268"/>
      <c r="N65" s="268"/>
      <c r="O65" s="268"/>
      <c r="P65" s="268"/>
      <c r="Q65" s="140"/>
    </row>
    <row r="66" spans="1:17" ht="17" x14ac:dyDescent="0.5">
      <c r="A66" s="21"/>
      <c r="B66" s="312" t="s">
        <v>268</v>
      </c>
      <c r="C66" s="188"/>
      <c r="D66" s="188"/>
      <c r="E66" s="188"/>
      <c r="F66" s="244" t="s">
        <v>156</v>
      </c>
      <c r="G66" s="244" t="s">
        <v>170</v>
      </c>
      <c r="H66" s="188" t="s">
        <v>11</v>
      </c>
      <c r="I66" s="268"/>
      <c r="J66" s="268"/>
      <c r="K66" s="268"/>
      <c r="L66" s="268"/>
      <c r="M66" s="268"/>
      <c r="N66" s="268"/>
      <c r="O66" s="268"/>
      <c r="P66" s="268"/>
      <c r="Q66" s="140"/>
    </row>
    <row r="67" spans="1:17" x14ac:dyDescent="0.35">
      <c r="A67" s="21"/>
      <c r="B67" s="188"/>
      <c r="C67" s="187" t="s">
        <v>158</v>
      </c>
      <c r="D67" s="187" t="s">
        <v>159</v>
      </c>
      <c r="E67" s="242" t="s">
        <v>12</v>
      </c>
      <c r="F67" s="242" t="s">
        <v>169</v>
      </c>
      <c r="G67" s="242" t="s">
        <v>169</v>
      </c>
      <c r="H67" s="187"/>
      <c r="I67" s="268"/>
      <c r="J67" s="268"/>
      <c r="K67" s="268"/>
      <c r="L67" s="268"/>
      <c r="M67" s="268"/>
      <c r="N67" s="268"/>
      <c r="O67" s="268"/>
      <c r="P67" s="268"/>
      <c r="Q67" s="140"/>
    </row>
    <row r="68" spans="1:17" x14ac:dyDescent="0.35">
      <c r="A68" s="21"/>
      <c r="B68" s="188" t="s">
        <v>156</v>
      </c>
      <c r="C68" s="73">
        <v>30000</v>
      </c>
      <c r="D68" s="189">
        <f>4</f>
        <v>4</v>
      </c>
      <c r="E68" s="189">
        <f>75800</f>
        <v>75800</v>
      </c>
      <c r="F68" s="189">
        <f>E68</f>
        <v>75800</v>
      </c>
      <c r="G68" s="189">
        <v>0</v>
      </c>
      <c r="H68" s="189">
        <f>SUM(F68:G68)</f>
        <v>75800</v>
      </c>
      <c r="I68" s="268"/>
      <c r="J68" s="268"/>
      <c r="K68" s="268"/>
      <c r="L68" s="268"/>
      <c r="M68" s="268"/>
      <c r="N68" s="268"/>
      <c r="O68" s="268"/>
      <c r="P68" s="268"/>
      <c r="Q68" s="140"/>
    </row>
    <row r="69" spans="1:17" x14ac:dyDescent="0.35">
      <c r="A69" s="21"/>
      <c r="B69" s="188" t="s">
        <v>157</v>
      </c>
      <c r="C69" s="73">
        <v>30000</v>
      </c>
      <c r="D69" s="195">
        <f>5</f>
        <v>5</v>
      </c>
      <c r="E69" s="195">
        <f>227502</f>
        <v>227502</v>
      </c>
      <c r="F69" s="195">
        <f>C69*D69</f>
        <v>150000</v>
      </c>
      <c r="G69" s="195">
        <f>E69-F69</f>
        <v>77502</v>
      </c>
      <c r="H69" s="195">
        <f>SUM(F69:G69)</f>
        <v>227502</v>
      </c>
      <c r="I69" s="268"/>
      <c r="J69" s="268"/>
      <c r="K69" s="268"/>
      <c r="L69" s="268"/>
      <c r="M69" s="268"/>
      <c r="N69" s="268"/>
      <c r="O69" s="268"/>
      <c r="P69" s="268"/>
      <c r="Q69" s="140"/>
    </row>
    <row r="70" spans="1:17" x14ac:dyDescent="0.35">
      <c r="A70" s="21"/>
      <c r="B70" s="188"/>
      <c r="C70" s="73"/>
      <c r="D70" s="189">
        <f>SUM(D68:D69)</f>
        <v>9</v>
      </c>
      <c r="E70" s="189">
        <f>SUM(E68:E69)</f>
        <v>303302</v>
      </c>
      <c r="F70" s="189">
        <f>SUM(F68:F69)</f>
        <v>225800</v>
      </c>
      <c r="G70" s="189">
        <f>SUM(G68:G69)</f>
        <v>77502</v>
      </c>
      <c r="H70" s="189">
        <f>SUM(H68:H69)</f>
        <v>303302</v>
      </c>
      <c r="I70" s="268"/>
      <c r="J70" s="268"/>
      <c r="K70" s="268"/>
      <c r="L70" s="268"/>
      <c r="M70" s="268"/>
      <c r="N70" s="268"/>
      <c r="O70" s="268"/>
      <c r="P70" s="268"/>
      <c r="Q70" s="140"/>
    </row>
    <row r="71" spans="1:17" x14ac:dyDescent="0.35">
      <c r="A71" s="21"/>
      <c r="B71" s="1"/>
      <c r="C71" s="1"/>
      <c r="D71" s="1"/>
      <c r="E71" s="1"/>
      <c r="F71" s="1"/>
      <c r="G71" s="1"/>
      <c r="H71" s="7"/>
      <c r="I71" s="268"/>
      <c r="J71" s="268"/>
      <c r="K71" s="268"/>
      <c r="L71" s="268"/>
      <c r="M71" s="268"/>
      <c r="N71" s="268"/>
      <c r="O71" s="268"/>
      <c r="P71" s="268"/>
      <c r="Q71" s="140"/>
    </row>
    <row r="72" spans="1:17" x14ac:dyDescent="0.35">
      <c r="A72" s="223" t="s">
        <v>160</v>
      </c>
      <c r="B72" s="1"/>
      <c r="C72" s="1"/>
      <c r="D72" s="1"/>
      <c r="E72" s="1"/>
      <c r="F72" s="292"/>
      <c r="G72" s="1"/>
      <c r="H72" s="7"/>
      <c r="I72" s="268"/>
      <c r="J72" s="268"/>
      <c r="K72" s="268"/>
      <c r="L72" s="268"/>
      <c r="M72" s="268"/>
      <c r="N72" s="268"/>
      <c r="O72" s="268"/>
      <c r="P72" s="268"/>
      <c r="Q72" s="140"/>
    </row>
    <row r="73" spans="1:17" x14ac:dyDescent="0.35">
      <c r="A73" s="21"/>
      <c r="B73" s="1"/>
      <c r="C73" s="225" t="s">
        <v>158</v>
      </c>
      <c r="D73" s="225" t="s">
        <v>159</v>
      </c>
      <c r="E73" s="243" t="s">
        <v>12</v>
      </c>
      <c r="F73" s="225" t="s">
        <v>161</v>
      </c>
      <c r="G73" s="245" t="s">
        <v>155</v>
      </c>
      <c r="H73" s="7"/>
      <c r="I73" s="268"/>
      <c r="J73" s="268"/>
      <c r="K73" s="268"/>
      <c r="L73" s="268"/>
      <c r="M73" s="268"/>
      <c r="N73" s="268"/>
      <c r="O73" s="268"/>
      <c r="P73" s="268"/>
      <c r="Q73" s="140"/>
    </row>
    <row r="74" spans="1:17" x14ac:dyDescent="0.35">
      <c r="A74" s="21"/>
      <c r="B74" s="188" t="s">
        <v>156</v>
      </c>
      <c r="C74" s="73">
        <f>C68</f>
        <v>30000</v>
      </c>
      <c r="D74" s="2">
        <f>D70</f>
        <v>9</v>
      </c>
      <c r="E74" s="2">
        <f>F70</f>
        <v>225800</v>
      </c>
      <c r="F74" s="191">
        <f>Rates!F29</f>
        <v>414.24</v>
      </c>
      <c r="G74" s="192">
        <f>D74*F74</f>
        <v>3728.16</v>
      </c>
      <c r="H74" s="7"/>
      <c r="I74" s="268"/>
      <c r="J74" s="268"/>
      <c r="K74" s="268"/>
      <c r="L74" s="268"/>
      <c r="M74" s="268"/>
      <c r="N74" s="268"/>
      <c r="O74" s="268"/>
      <c r="P74" s="268"/>
      <c r="Q74" s="140"/>
    </row>
    <row r="75" spans="1:17" x14ac:dyDescent="0.35">
      <c r="A75" s="21"/>
      <c r="B75" s="188" t="s">
        <v>157</v>
      </c>
      <c r="C75" s="73">
        <f>C69</f>
        <v>30000</v>
      </c>
      <c r="D75" s="28"/>
      <c r="E75" s="28">
        <f>G70</f>
        <v>77502</v>
      </c>
      <c r="F75" s="329">
        <f>Rates!F30</f>
        <v>1.367E-2</v>
      </c>
      <c r="G75" s="226">
        <f>E75*F75</f>
        <v>1059.45234</v>
      </c>
      <c r="H75" s="7"/>
      <c r="I75" s="268"/>
      <c r="J75" s="268"/>
      <c r="K75" s="268"/>
      <c r="L75" s="268"/>
      <c r="M75" s="268"/>
      <c r="N75" s="268"/>
      <c r="O75" s="268"/>
      <c r="P75" s="268"/>
      <c r="Q75" s="140"/>
    </row>
    <row r="76" spans="1:17" x14ac:dyDescent="0.35">
      <c r="A76" s="21"/>
      <c r="B76" s="188"/>
      <c r="C76" s="73"/>
      <c r="D76" s="189">
        <f>SUM(D74:D75)</f>
        <v>9</v>
      </c>
      <c r="E76" s="189">
        <f>SUM(E74:E75)</f>
        <v>303302</v>
      </c>
      <c r="F76" s="189"/>
      <c r="G76" s="240">
        <f>SUM(G74:G75)</f>
        <v>4787.6123399999997</v>
      </c>
      <c r="H76" s="7"/>
      <c r="I76" s="268"/>
      <c r="J76" s="268"/>
      <c r="K76" s="268"/>
      <c r="L76" s="268"/>
      <c r="M76" s="268"/>
      <c r="N76" s="268"/>
      <c r="O76" s="268"/>
      <c r="P76" s="268"/>
      <c r="Q76" s="140"/>
    </row>
    <row r="77" spans="1:17" x14ac:dyDescent="0.35">
      <c r="A77" s="21"/>
      <c r="B77" s="188"/>
      <c r="C77" s="73"/>
      <c r="D77" s="2"/>
      <c r="E77" s="2"/>
      <c r="F77" s="224"/>
      <c r="G77" s="192"/>
      <c r="H77" s="7"/>
      <c r="I77" s="268"/>
      <c r="J77" s="268"/>
      <c r="K77" s="268"/>
      <c r="L77" s="268"/>
      <c r="M77" s="268"/>
      <c r="N77" s="268"/>
      <c r="O77" s="268"/>
      <c r="P77" s="268"/>
      <c r="Q77" s="140"/>
    </row>
    <row r="78" spans="1:17" x14ac:dyDescent="0.35">
      <c r="A78" s="223" t="s">
        <v>171</v>
      </c>
      <c r="B78" s="1"/>
      <c r="C78" s="1"/>
      <c r="D78" s="1"/>
      <c r="E78" s="1"/>
      <c r="F78" s="1"/>
      <c r="G78" s="1"/>
      <c r="H78" s="7"/>
      <c r="I78" s="268"/>
      <c r="J78" s="268"/>
      <c r="K78" s="268"/>
      <c r="L78" s="268"/>
      <c r="M78" s="268"/>
      <c r="N78" s="268"/>
      <c r="O78" s="268"/>
      <c r="P78" s="268"/>
      <c r="Q78" s="140"/>
    </row>
    <row r="79" spans="1:17" ht="17" x14ac:dyDescent="0.5">
      <c r="A79" s="21"/>
      <c r="B79" s="313" t="s">
        <v>269</v>
      </c>
      <c r="C79" s="188"/>
      <c r="D79" s="188"/>
      <c r="E79" s="188"/>
      <c r="F79" s="244" t="s">
        <v>156</v>
      </c>
      <c r="G79" s="244" t="s">
        <v>170</v>
      </c>
      <c r="H79" s="188" t="s">
        <v>11</v>
      </c>
      <c r="I79" s="334" t="s">
        <v>299</v>
      </c>
      <c r="J79" s="268"/>
      <c r="K79" s="268"/>
      <c r="L79" s="268"/>
      <c r="M79" s="268"/>
      <c r="N79" s="268"/>
      <c r="O79" s="268"/>
      <c r="P79" s="268"/>
      <c r="Q79" s="140"/>
    </row>
    <row r="80" spans="1:17" x14ac:dyDescent="0.35">
      <c r="A80" s="21"/>
      <c r="B80" s="188"/>
      <c r="C80" s="187" t="s">
        <v>158</v>
      </c>
      <c r="D80" s="187" t="s">
        <v>159</v>
      </c>
      <c r="E80" s="242" t="s">
        <v>12</v>
      </c>
      <c r="F80" s="242" t="s">
        <v>169</v>
      </c>
      <c r="G80" s="242" t="s">
        <v>169</v>
      </c>
      <c r="H80" s="187"/>
      <c r="I80" s="268"/>
      <c r="J80" s="268"/>
      <c r="K80" s="268"/>
      <c r="L80" s="268"/>
      <c r="M80" s="268"/>
      <c r="N80" s="268"/>
      <c r="O80" s="268"/>
      <c r="P80" s="268"/>
      <c r="Q80" s="140"/>
    </row>
    <row r="81" spans="1:17" x14ac:dyDescent="0.35">
      <c r="A81" s="21"/>
      <c r="B81" s="188" t="s">
        <v>156</v>
      </c>
      <c r="C81" s="73">
        <v>50000</v>
      </c>
      <c r="D81" s="189">
        <f>P162</f>
        <v>0</v>
      </c>
      <c r="E81" s="189">
        <f>P157</f>
        <v>0</v>
      </c>
      <c r="F81" s="189">
        <f>E81</f>
        <v>0</v>
      </c>
      <c r="G81" s="189">
        <v>0</v>
      </c>
      <c r="H81" s="189">
        <f>SUM(F81:G81)</f>
        <v>0</v>
      </c>
      <c r="I81" s="268"/>
      <c r="J81" s="268"/>
      <c r="K81" s="268"/>
      <c r="L81" s="268"/>
      <c r="M81" s="268"/>
      <c r="N81" s="268"/>
      <c r="O81" s="268"/>
      <c r="P81" s="268"/>
      <c r="Q81" s="140"/>
    </row>
    <row r="82" spans="1:17" x14ac:dyDescent="0.35">
      <c r="A82" s="21"/>
      <c r="B82" s="188" t="s">
        <v>157</v>
      </c>
      <c r="C82" s="73">
        <v>50000</v>
      </c>
      <c r="D82" s="195">
        <f>P163</f>
        <v>0</v>
      </c>
      <c r="E82" s="195">
        <f>P158</f>
        <v>0</v>
      </c>
      <c r="F82" s="195">
        <f>C82*D82</f>
        <v>0</v>
      </c>
      <c r="G82" s="195">
        <f>E82-F82</f>
        <v>0</v>
      </c>
      <c r="H82" s="195">
        <f>SUM(F82:G82)</f>
        <v>0</v>
      </c>
      <c r="I82" s="268"/>
      <c r="J82" s="268"/>
      <c r="K82" s="268"/>
      <c r="L82" s="268"/>
      <c r="M82" s="268"/>
      <c r="N82" s="268"/>
      <c r="O82" s="268"/>
      <c r="P82" s="268"/>
      <c r="Q82" s="140"/>
    </row>
    <row r="83" spans="1:17" x14ac:dyDescent="0.35">
      <c r="A83" s="21"/>
      <c r="B83" s="188"/>
      <c r="C83" s="73"/>
      <c r="D83" s="189">
        <f>SUM(D81:D82)</f>
        <v>0</v>
      </c>
      <c r="E83" s="189">
        <f>SUM(E81:E82)</f>
        <v>0</v>
      </c>
      <c r="F83" s="189">
        <f>SUM(F81:F82)</f>
        <v>0</v>
      </c>
      <c r="G83" s="189">
        <f>SUM(G81:G82)</f>
        <v>0</v>
      </c>
      <c r="H83" s="189">
        <f>SUM(H81:H82)</f>
        <v>0</v>
      </c>
      <c r="I83" s="268"/>
      <c r="J83" s="268"/>
      <c r="K83" s="268"/>
      <c r="L83" s="268"/>
      <c r="M83" s="268"/>
      <c r="N83" s="268"/>
      <c r="O83" s="268"/>
      <c r="P83" s="268"/>
      <c r="Q83" s="140"/>
    </row>
    <row r="84" spans="1:17" x14ac:dyDescent="0.35">
      <c r="A84" s="21"/>
      <c r="B84" s="1"/>
      <c r="C84" s="1"/>
      <c r="D84" s="1"/>
      <c r="E84" s="1"/>
      <c r="F84" s="1"/>
      <c r="G84" s="1"/>
      <c r="H84" s="7"/>
      <c r="I84" s="268"/>
      <c r="J84" s="268"/>
      <c r="K84" s="268"/>
      <c r="L84" s="268"/>
      <c r="M84" s="268"/>
      <c r="N84" s="268"/>
      <c r="O84" s="268"/>
      <c r="P84" s="268"/>
      <c r="Q84" s="140"/>
    </row>
    <row r="85" spans="1:17" x14ac:dyDescent="0.35">
      <c r="A85" s="223" t="s">
        <v>160</v>
      </c>
      <c r="B85" s="1"/>
      <c r="C85" s="1"/>
      <c r="D85" s="1"/>
      <c r="E85" s="1"/>
      <c r="F85" s="292"/>
      <c r="G85" s="1"/>
      <c r="H85" s="7"/>
      <c r="I85" s="268"/>
      <c r="J85" s="268"/>
      <c r="K85" s="268"/>
      <c r="L85" s="268"/>
      <c r="M85" s="268"/>
      <c r="N85" s="268"/>
      <c r="O85" s="268"/>
      <c r="P85" s="268"/>
      <c r="Q85" s="140"/>
    </row>
    <row r="86" spans="1:17" x14ac:dyDescent="0.35">
      <c r="A86" s="21"/>
      <c r="B86" s="1"/>
      <c r="C86" s="225" t="s">
        <v>158</v>
      </c>
      <c r="D86" s="225" t="s">
        <v>159</v>
      </c>
      <c r="E86" s="243" t="s">
        <v>12</v>
      </c>
      <c r="F86" s="225" t="s">
        <v>161</v>
      </c>
      <c r="G86" s="245" t="s">
        <v>155</v>
      </c>
      <c r="H86" s="7"/>
      <c r="I86" s="268"/>
      <c r="J86" s="268"/>
      <c r="K86" s="268"/>
      <c r="L86" s="268"/>
      <c r="M86" s="268"/>
      <c r="N86" s="268"/>
      <c r="O86" s="268"/>
      <c r="P86" s="268"/>
      <c r="Q86" s="140"/>
    </row>
    <row r="87" spans="1:17" x14ac:dyDescent="0.35">
      <c r="A87" s="21"/>
      <c r="B87" s="188" t="s">
        <v>156</v>
      </c>
      <c r="C87" s="73">
        <f>C81</f>
        <v>50000</v>
      </c>
      <c r="D87" s="2">
        <f>D83</f>
        <v>0</v>
      </c>
      <c r="E87" s="2">
        <f>F83</f>
        <v>0</v>
      </c>
      <c r="F87" s="191">
        <f>Rates!F33</f>
        <v>687.74</v>
      </c>
      <c r="G87" s="192">
        <f>D87*F87</f>
        <v>0</v>
      </c>
      <c r="H87" s="7"/>
      <c r="I87" s="268"/>
      <c r="J87" s="268"/>
      <c r="K87" s="268"/>
      <c r="L87" s="268"/>
      <c r="M87" s="268"/>
      <c r="N87" s="268"/>
      <c r="O87" s="268"/>
      <c r="P87" s="268"/>
      <c r="Q87" s="140"/>
    </row>
    <row r="88" spans="1:17" x14ac:dyDescent="0.35">
      <c r="A88" s="21"/>
      <c r="B88" s="188" t="s">
        <v>157</v>
      </c>
      <c r="C88" s="73">
        <f>C82</f>
        <v>50000</v>
      </c>
      <c r="D88" s="28"/>
      <c r="E88" s="28">
        <f>G83</f>
        <v>0</v>
      </c>
      <c r="F88" s="329">
        <f>Rates!F34</f>
        <v>1.367E-2</v>
      </c>
      <c r="G88" s="226">
        <f>E88*F88</f>
        <v>0</v>
      </c>
      <c r="H88" s="7"/>
      <c r="I88" s="268"/>
      <c r="J88" s="268"/>
      <c r="K88" s="268"/>
      <c r="L88" s="268"/>
      <c r="M88" s="268"/>
      <c r="N88" s="268"/>
      <c r="O88" s="268"/>
      <c r="P88" s="268"/>
      <c r="Q88" s="140"/>
    </row>
    <row r="89" spans="1:17" x14ac:dyDescent="0.35">
      <c r="A89" s="21"/>
      <c r="B89" s="188"/>
      <c r="C89" s="73"/>
      <c r="D89" s="189">
        <f>SUM(D87:D88)</f>
        <v>0</v>
      </c>
      <c r="E89" s="189">
        <f>SUM(E87:E88)</f>
        <v>0</v>
      </c>
      <c r="F89" s="189"/>
      <c r="G89" s="240">
        <f>SUM(G87:G88)</f>
        <v>0</v>
      </c>
      <c r="H89" s="7"/>
      <c r="I89" s="268"/>
      <c r="J89" s="268"/>
      <c r="K89" s="268"/>
      <c r="L89" s="268"/>
      <c r="M89" s="268"/>
      <c r="N89" s="268"/>
      <c r="O89" s="268"/>
      <c r="P89" s="268"/>
      <c r="Q89" s="140"/>
    </row>
    <row r="90" spans="1:17" x14ac:dyDescent="0.35">
      <c r="A90" s="222"/>
      <c r="B90" s="140"/>
      <c r="C90" s="140"/>
      <c r="D90" s="268"/>
      <c r="E90" s="268"/>
      <c r="F90" s="268"/>
      <c r="G90" s="268"/>
      <c r="H90" s="268"/>
      <c r="I90" s="268"/>
      <c r="J90" s="268"/>
      <c r="K90" s="268"/>
      <c r="L90" s="268"/>
      <c r="M90" s="268"/>
      <c r="N90" s="268"/>
      <c r="O90" s="268"/>
      <c r="P90" s="268"/>
      <c r="Q90" s="140"/>
    </row>
    <row r="91" spans="1:17" x14ac:dyDescent="0.35">
      <c r="A91" s="223" t="s">
        <v>171</v>
      </c>
      <c r="B91" s="1"/>
      <c r="C91" s="1"/>
      <c r="D91" s="1"/>
      <c r="E91" s="1"/>
      <c r="F91" s="1"/>
      <c r="G91" s="1"/>
      <c r="H91" s="7"/>
      <c r="I91" s="268"/>
      <c r="J91" s="268"/>
      <c r="K91" s="268"/>
      <c r="L91" s="268"/>
      <c r="M91" s="268"/>
      <c r="N91" s="268"/>
      <c r="O91" s="268"/>
      <c r="P91" s="268"/>
      <c r="Q91" s="140"/>
    </row>
    <row r="92" spans="1:17" ht="17" x14ac:dyDescent="0.5">
      <c r="A92" s="21"/>
      <c r="B92" s="313" t="s">
        <v>270</v>
      </c>
      <c r="C92" s="188"/>
      <c r="D92" s="188"/>
      <c r="E92" s="188"/>
      <c r="F92" s="244" t="s">
        <v>156</v>
      </c>
      <c r="G92" s="244" t="s">
        <v>170</v>
      </c>
      <c r="H92" s="188" t="s">
        <v>11</v>
      </c>
      <c r="I92" s="334" t="s">
        <v>299</v>
      </c>
      <c r="J92" s="268"/>
      <c r="K92" s="268"/>
      <c r="L92" s="268"/>
      <c r="M92" s="268"/>
      <c r="N92" s="268"/>
      <c r="O92" s="268"/>
      <c r="P92" s="268"/>
      <c r="Q92" s="140"/>
    </row>
    <row r="93" spans="1:17" x14ac:dyDescent="0.35">
      <c r="A93" s="21"/>
      <c r="B93" s="188"/>
      <c r="C93" s="187" t="s">
        <v>158</v>
      </c>
      <c r="D93" s="187" t="s">
        <v>159</v>
      </c>
      <c r="E93" s="242" t="s">
        <v>12</v>
      </c>
      <c r="F93" s="242" t="s">
        <v>169</v>
      </c>
      <c r="G93" s="242" t="s">
        <v>169</v>
      </c>
      <c r="H93" s="187"/>
      <c r="I93" s="268"/>
      <c r="J93" s="268"/>
      <c r="K93" s="268"/>
      <c r="L93" s="268"/>
      <c r="M93" s="268"/>
      <c r="N93" s="268"/>
      <c r="O93" s="268"/>
      <c r="P93" s="268"/>
      <c r="Q93" s="140"/>
    </row>
    <row r="94" spans="1:17" x14ac:dyDescent="0.35">
      <c r="A94" s="21"/>
      <c r="B94" s="188" t="s">
        <v>156</v>
      </c>
      <c r="C94" s="73">
        <v>100000</v>
      </c>
      <c r="D94" s="189">
        <f>P175</f>
        <v>0</v>
      </c>
      <c r="E94" s="189">
        <f>P170</f>
        <v>0</v>
      </c>
      <c r="F94" s="189">
        <f>E94</f>
        <v>0</v>
      </c>
      <c r="G94" s="189">
        <v>0</v>
      </c>
      <c r="H94" s="189">
        <f>SUM(F94:G94)</f>
        <v>0</v>
      </c>
      <c r="I94" s="268"/>
      <c r="J94" s="268"/>
      <c r="K94" s="268"/>
      <c r="L94" s="268"/>
      <c r="M94" s="268"/>
      <c r="N94" s="268"/>
      <c r="O94" s="268"/>
      <c r="P94" s="268"/>
      <c r="Q94" s="140"/>
    </row>
    <row r="95" spans="1:17" x14ac:dyDescent="0.35">
      <c r="A95" s="21"/>
      <c r="B95" s="188" t="s">
        <v>157</v>
      </c>
      <c r="C95" s="73">
        <v>100000</v>
      </c>
      <c r="D95" s="195">
        <f>P176</f>
        <v>0</v>
      </c>
      <c r="E95" s="195">
        <f>P171</f>
        <v>0</v>
      </c>
      <c r="F95" s="195">
        <f>C95*D95</f>
        <v>0</v>
      </c>
      <c r="G95" s="195">
        <f>E95-F95</f>
        <v>0</v>
      </c>
      <c r="H95" s="195">
        <f>SUM(F95:G95)</f>
        <v>0</v>
      </c>
      <c r="I95" s="268"/>
      <c r="J95" s="268"/>
      <c r="K95" s="268"/>
      <c r="L95" s="268"/>
      <c r="M95" s="268"/>
      <c r="N95" s="268"/>
      <c r="O95" s="268"/>
      <c r="P95" s="268"/>
      <c r="Q95" s="140"/>
    </row>
    <row r="96" spans="1:17" x14ac:dyDescent="0.35">
      <c r="A96" s="21"/>
      <c r="B96" s="188"/>
      <c r="C96" s="73"/>
      <c r="D96" s="189">
        <f>SUM(D94:D95)</f>
        <v>0</v>
      </c>
      <c r="E96" s="189">
        <f>SUM(E94:E95)</f>
        <v>0</v>
      </c>
      <c r="F96" s="189">
        <f>SUM(F94:F95)</f>
        <v>0</v>
      </c>
      <c r="G96" s="189">
        <f>SUM(G94:G95)</f>
        <v>0</v>
      </c>
      <c r="H96" s="189">
        <f>SUM(H94:H95)</f>
        <v>0</v>
      </c>
      <c r="I96" s="268"/>
      <c r="J96" s="268"/>
      <c r="K96" s="268"/>
      <c r="L96" s="268"/>
      <c r="M96" s="268"/>
      <c r="N96" s="268"/>
      <c r="O96" s="268"/>
      <c r="P96" s="268"/>
      <c r="Q96" s="140"/>
    </row>
    <row r="97" spans="1:17" x14ac:dyDescent="0.35">
      <c r="A97" s="21"/>
      <c r="B97" s="1"/>
      <c r="C97" s="1"/>
      <c r="D97" s="1"/>
      <c r="E97" s="1"/>
      <c r="F97" s="1"/>
      <c r="G97" s="1"/>
      <c r="H97" s="7"/>
      <c r="I97" s="268"/>
      <c r="J97" s="268"/>
      <c r="K97" s="268"/>
      <c r="L97" s="268"/>
      <c r="M97" s="268"/>
      <c r="N97" s="268"/>
      <c r="O97" s="268"/>
      <c r="P97" s="268"/>
      <c r="Q97" s="140"/>
    </row>
    <row r="98" spans="1:17" x14ac:dyDescent="0.35">
      <c r="A98" s="223" t="s">
        <v>160</v>
      </c>
      <c r="B98" s="1"/>
      <c r="C98" s="1"/>
      <c r="D98" s="1"/>
      <c r="E98" s="1"/>
      <c r="F98" s="292"/>
      <c r="G98" s="1"/>
      <c r="H98" s="7"/>
      <c r="I98" s="268"/>
      <c r="J98" s="268"/>
      <c r="K98" s="268"/>
      <c r="L98" s="268"/>
      <c r="M98" s="268"/>
      <c r="N98" s="268"/>
      <c r="O98" s="268"/>
      <c r="P98" s="268"/>
      <c r="Q98" s="140"/>
    </row>
    <row r="99" spans="1:17" x14ac:dyDescent="0.35">
      <c r="A99" s="21"/>
      <c r="B99" s="1"/>
      <c r="C99" s="294" t="s">
        <v>158</v>
      </c>
      <c r="D99" s="294" t="s">
        <v>159</v>
      </c>
      <c r="E99" s="295" t="s">
        <v>12</v>
      </c>
      <c r="F99" s="294" t="s">
        <v>161</v>
      </c>
      <c r="G99" s="295" t="s">
        <v>155</v>
      </c>
      <c r="H99" s="7"/>
      <c r="I99" s="268"/>
      <c r="J99" s="268"/>
      <c r="K99" s="268"/>
      <c r="L99" s="268"/>
      <c r="M99" s="268"/>
      <c r="N99" s="268"/>
      <c r="O99" s="268"/>
      <c r="P99" s="268"/>
      <c r="Q99" s="140"/>
    </row>
    <row r="100" spans="1:17" x14ac:dyDescent="0.35">
      <c r="A100" s="21"/>
      <c r="B100" s="188" t="s">
        <v>156</v>
      </c>
      <c r="C100" s="73">
        <f>C94</f>
        <v>100000</v>
      </c>
      <c r="D100" s="2">
        <f>D96</f>
        <v>0</v>
      </c>
      <c r="E100" s="2">
        <f>F96</f>
        <v>0</v>
      </c>
      <c r="F100" s="191">
        <f>Rates!F37</f>
        <v>1371.48</v>
      </c>
      <c r="G100" s="192">
        <f>D100*F100</f>
        <v>0</v>
      </c>
      <c r="H100" s="7"/>
      <c r="I100" s="140"/>
      <c r="J100" s="140"/>
      <c r="K100" s="140"/>
      <c r="L100" s="140"/>
      <c r="M100" s="140"/>
      <c r="N100" s="140"/>
      <c r="O100" s="140"/>
      <c r="P100" s="140"/>
      <c r="Q100" s="140"/>
    </row>
    <row r="101" spans="1:17" x14ac:dyDescent="0.35">
      <c r="A101" s="21"/>
      <c r="B101" s="188" t="s">
        <v>157</v>
      </c>
      <c r="C101" s="73">
        <f>C95</f>
        <v>100000</v>
      </c>
      <c r="D101" s="28"/>
      <c r="E101" s="28">
        <f>G96</f>
        <v>0</v>
      </c>
      <c r="F101" s="329">
        <f>Rates!F38</f>
        <v>1.367E-2</v>
      </c>
      <c r="G101" s="226">
        <f>E101*F101</f>
        <v>0</v>
      </c>
      <c r="H101" s="7"/>
      <c r="I101" s="140"/>
      <c r="J101" s="140"/>
      <c r="K101" s="140"/>
      <c r="L101" s="140"/>
      <c r="M101" s="140"/>
      <c r="N101" s="140"/>
      <c r="O101" s="140"/>
      <c r="P101" s="140"/>
      <c r="Q101" s="140"/>
    </row>
    <row r="102" spans="1:17" x14ac:dyDescent="0.35">
      <c r="A102" s="21"/>
      <c r="B102" s="188"/>
      <c r="C102" s="73"/>
      <c r="D102" s="189">
        <f>SUM(D100:D101)</f>
        <v>0</v>
      </c>
      <c r="E102" s="189">
        <f>SUM(E100:E101)</f>
        <v>0</v>
      </c>
      <c r="F102" s="189"/>
      <c r="G102" s="240">
        <f>SUM(G100:G101)</f>
        <v>0</v>
      </c>
      <c r="H102" s="7"/>
      <c r="I102" s="320"/>
      <c r="J102" s="320"/>
      <c r="K102" s="320"/>
      <c r="L102" s="320"/>
      <c r="M102" s="320"/>
      <c r="N102" s="320"/>
      <c r="O102" s="320"/>
      <c r="P102" s="140"/>
      <c r="Q102" s="140"/>
    </row>
    <row r="103" spans="1:17" x14ac:dyDescent="0.35">
      <c r="A103" s="222"/>
      <c r="B103" s="188"/>
      <c r="C103" s="73"/>
      <c r="D103" s="2"/>
      <c r="E103" s="2"/>
      <c r="F103" s="2"/>
      <c r="G103" s="2"/>
      <c r="H103" s="2"/>
      <c r="I103" s="2"/>
      <c r="J103" s="1"/>
      <c r="K103" s="1"/>
      <c r="L103" s="140"/>
      <c r="M103" s="140"/>
      <c r="N103" s="140"/>
      <c r="O103" s="140"/>
      <c r="P103" s="263"/>
      <c r="Q103" s="140"/>
    </row>
    <row r="104" spans="1:17" x14ac:dyDescent="0.35">
      <c r="A104" s="222"/>
      <c r="B104" s="188"/>
      <c r="C104" s="73"/>
      <c r="D104" s="294" t="s">
        <v>159</v>
      </c>
      <c r="E104" s="295" t="s">
        <v>12</v>
      </c>
      <c r="F104" s="294" t="s">
        <v>161</v>
      </c>
      <c r="G104" s="295" t="s">
        <v>155</v>
      </c>
      <c r="H104" s="263"/>
      <c r="I104" s="263"/>
      <c r="J104" s="140"/>
      <c r="K104" s="140"/>
      <c r="L104" s="140"/>
      <c r="M104" s="140"/>
      <c r="N104" s="140"/>
      <c r="O104" s="140"/>
      <c r="P104" s="263"/>
      <c r="Q104" s="140"/>
    </row>
    <row r="105" spans="1:17" x14ac:dyDescent="0.35">
      <c r="A105" s="222"/>
      <c r="B105" s="140"/>
      <c r="C105" s="140" t="s">
        <v>277</v>
      </c>
      <c r="D105" s="263">
        <v>12</v>
      </c>
      <c r="E105" s="263">
        <v>5242400</v>
      </c>
      <c r="F105" s="327">
        <f>Rates!F41</f>
        <v>4.8799999999999998E-3</v>
      </c>
      <c r="G105" s="226">
        <f>E105*F105</f>
        <v>25582.912</v>
      </c>
      <c r="H105" s="263"/>
      <c r="I105" s="263"/>
      <c r="J105" s="263"/>
      <c r="K105" s="263"/>
      <c r="L105" s="263"/>
      <c r="M105" s="263"/>
      <c r="N105" s="263"/>
      <c r="O105" s="263"/>
      <c r="P105" s="140"/>
      <c r="Q105" s="140"/>
    </row>
    <row r="106" spans="1:17" x14ac:dyDescent="0.35">
      <c r="A106" s="222"/>
      <c r="B106" s="140"/>
      <c r="C106" s="140"/>
      <c r="D106" s="140"/>
      <c r="E106" s="140"/>
      <c r="F106" s="140"/>
      <c r="G106" s="140"/>
      <c r="H106" s="140"/>
      <c r="I106" s="140"/>
      <c r="J106" s="140"/>
      <c r="K106" s="140"/>
      <c r="L106" s="140"/>
      <c r="M106" s="140"/>
      <c r="N106" s="140"/>
      <c r="O106" s="140"/>
      <c r="P106" s="140"/>
      <c r="Q106" s="140"/>
    </row>
    <row r="107" spans="1:17" x14ac:dyDescent="0.35">
      <c r="A107" s="222"/>
      <c r="B107" s="140"/>
      <c r="C107" s="140"/>
      <c r="D107" s="140"/>
      <c r="E107" s="140"/>
      <c r="F107" s="140"/>
      <c r="G107" s="140"/>
      <c r="H107" s="140"/>
      <c r="I107" s="140"/>
      <c r="J107" s="140"/>
      <c r="K107" s="140"/>
      <c r="L107" s="140"/>
      <c r="M107" s="140"/>
      <c r="N107" s="140"/>
      <c r="O107" s="140"/>
      <c r="P107" s="140"/>
      <c r="Q107" s="140"/>
    </row>
  </sheetData>
  <mergeCells count="9">
    <mergeCell ref="A1:H1"/>
    <mergeCell ref="A2:H2"/>
    <mergeCell ref="D11:E11"/>
    <mergeCell ref="D12:E12"/>
    <mergeCell ref="D3:E3"/>
    <mergeCell ref="D4:E4"/>
    <mergeCell ref="D5:E5"/>
    <mergeCell ref="D6:E6"/>
    <mergeCell ref="D7:E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7</vt:i4>
      </vt:variant>
    </vt:vector>
  </HeadingPairs>
  <TitlesOfParts>
    <vt:vector size="19" baseType="lpstr">
      <vt:lpstr>References</vt:lpstr>
      <vt:lpstr>SAO</vt:lpstr>
      <vt:lpstr>Revenue Requirement</vt:lpstr>
      <vt:lpstr>Wages</vt:lpstr>
      <vt:lpstr>Medical</vt:lpstr>
      <vt:lpstr>Depreciation</vt:lpstr>
      <vt:lpstr>Debt Service</vt:lpstr>
      <vt:lpstr>Water Loss</vt:lpstr>
      <vt:lpstr>Rates</vt:lpstr>
      <vt:lpstr>Bills</vt:lpstr>
      <vt:lpstr>ExBA</vt:lpstr>
      <vt:lpstr>PRBA</vt:lpstr>
      <vt:lpstr>Bills!Print_Area</vt:lpstr>
      <vt:lpstr>'Debt Service'!Print_Area</vt:lpstr>
      <vt:lpstr>Depreciation!Print_Area</vt:lpstr>
      <vt:lpstr>ExBA!Print_Area</vt:lpstr>
      <vt:lpstr>Rates!Print_Area</vt:lpstr>
      <vt:lpstr>'Revenue Requirement'!Print_Area</vt:lpstr>
      <vt:lpstr>SAO!Print_Area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Alan</dc:creator>
  <cp:lastModifiedBy>Janet Reid</cp:lastModifiedBy>
  <cp:lastPrinted>2022-08-12T21:00:33Z</cp:lastPrinted>
  <dcterms:created xsi:type="dcterms:W3CDTF">2016-05-18T14:12:06Z</dcterms:created>
  <dcterms:modified xsi:type="dcterms:W3CDTF">2026-08-28T02:36:24Z</dcterms:modified>
</cp:coreProperties>
</file>