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Christian County/"/>
    </mc:Choice>
  </mc:AlternateContent>
  <xr:revisionPtr revIDLastSave="0" documentId="14_{8881226A-0DE3-4B3D-9988-27C8B7771F5C}" xr6:coauthVersionLast="47" xr6:coauthVersionMax="47" xr10:uidLastSave="{00000000-0000-0000-0000-000000000000}"/>
  <bookViews>
    <workbookView xWindow="390" yWindow="390" windowWidth="19635" windowHeight="10575" xr2:uid="{00000000-000D-0000-FFFF-FFFF00000000}"/>
  </bookViews>
  <sheets>
    <sheet name="SAO" sheetId="6" r:id="rId1"/>
    <sheet name="Wages" sheetId="49" r:id="rId2"/>
    <sheet name="Medical" sheetId="40" r:id="rId3"/>
    <sheet name="Depreciation" sheetId="52" r:id="rId4"/>
    <sheet name="Debt Service" sheetId="53" r:id="rId5"/>
    <sheet name="Capital" sheetId="54" r:id="rId6"/>
    <sheet name="Water Loss " sheetId="55" r:id="rId7"/>
    <sheet name="Rates" sheetId="2" r:id="rId8"/>
    <sheet name="Bills" sheetId="42" r:id="rId9"/>
    <sheet name="BA Input" sheetId="56" r:id="rId10"/>
    <sheet name="ExBA" sheetId="51" r:id="rId11"/>
    <sheet name="PrBA" sheetId="43" r:id="rId12"/>
  </sheets>
  <definedNames>
    <definedName name="AHV">#REF!</definedName>
    <definedName name="_xlnm.Print_Area" localSheetId="8">Bills!$B$1:$I$27</definedName>
    <definedName name="_xlnm.Print_Area" localSheetId="4">'Debt Service'!$A$1:$O$26</definedName>
    <definedName name="_xlnm.Print_Area" localSheetId="11">PrBA!$A$2:$G$44</definedName>
    <definedName name="_xlnm.Print_Area" localSheetId="7">Rates!$B$4:$G$18</definedName>
    <definedName name="_xlnm.Print_Area" localSheetId="0">SAO!$A$1:$K$63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53" l="1"/>
  <c r="F27" i="6"/>
  <c r="H4" i="55"/>
  <c r="H6" i="55" s="1"/>
  <c r="I36" i="49" l="1"/>
  <c r="D32" i="6"/>
  <c r="D7" i="6"/>
  <c r="I37" i="49" l="1"/>
  <c r="F38" i="6" s="1"/>
  <c r="M26" i="56" l="1"/>
  <c r="M25" i="56"/>
  <c r="M24" i="56"/>
  <c r="F12" i="56"/>
  <c r="I12" i="56"/>
  <c r="L12" i="56"/>
  <c r="K12" i="56"/>
  <c r="L11" i="56"/>
  <c r="H12" i="56"/>
  <c r="E12" i="56"/>
  <c r="F11" i="56"/>
  <c r="L10" i="56"/>
  <c r="I11" i="56"/>
  <c r="I10" i="56"/>
  <c r="F10" i="56"/>
  <c r="L9" i="56"/>
  <c r="F9" i="56"/>
  <c r="G12" i="56"/>
  <c r="I9" i="56"/>
  <c r="K18" i="56"/>
  <c r="J18" i="56"/>
  <c r="L16" i="56"/>
  <c r="I16" i="56"/>
  <c r="E18" i="56"/>
  <c r="D18" i="56"/>
  <c r="F16" i="56"/>
  <c r="I39" i="56" l="1"/>
  <c r="G18" i="56"/>
  <c r="H18" i="56"/>
  <c r="J22" i="56"/>
  <c r="L21" i="56"/>
  <c r="K22" i="56"/>
  <c r="I21" i="56"/>
  <c r="H22" i="56"/>
  <c r="D34" i="51" s="1"/>
  <c r="G22" i="56"/>
  <c r="D33" i="51" s="1"/>
  <c r="F21" i="56"/>
  <c r="E22" i="56"/>
  <c r="D22" i="56"/>
  <c r="L17" i="56"/>
  <c r="L15" i="56"/>
  <c r="I17" i="56"/>
  <c r="I15" i="56"/>
  <c r="F17" i="56"/>
  <c r="F15" i="56"/>
  <c r="H39" i="6" l="1"/>
  <c r="F23" i="6" l="1"/>
  <c r="I42" i="49" l="1"/>
  <c r="L12" i="53" l="1"/>
  <c r="H13" i="53"/>
  <c r="F13" i="53"/>
  <c r="D13" i="53"/>
  <c r="L16" i="53"/>
  <c r="J16" i="53"/>
  <c r="H16" i="53"/>
  <c r="F16" i="53"/>
  <c r="D16" i="53"/>
  <c r="L17" i="53"/>
  <c r="J17" i="53"/>
  <c r="H17" i="53"/>
  <c r="F17" i="53"/>
  <c r="D17" i="53"/>
  <c r="J14" i="53" l="1"/>
  <c r="H14" i="53"/>
  <c r="F14" i="53"/>
  <c r="D14" i="53"/>
  <c r="J15" i="53"/>
  <c r="H15" i="53"/>
  <c r="F15" i="53"/>
  <c r="D15" i="53"/>
  <c r="J12" i="53"/>
  <c r="H12" i="53"/>
  <c r="F12" i="53"/>
  <c r="D12" i="53"/>
  <c r="P22" i="56" l="1"/>
  <c r="O22" i="56"/>
  <c r="E24" i="49" l="1"/>
  <c r="D24" i="49"/>
  <c r="F19" i="49"/>
  <c r="F18" i="49"/>
  <c r="F9" i="49"/>
  <c r="F8" i="49"/>
  <c r="F21" i="49"/>
  <c r="I21" i="49"/>
  <c r="F15" i="49"/>
  <c r="I15" i="49"/>
  <c r="F22" i="49"/>
  <c r="I22" i="49"/>
  <c r="I18" i="49"/>
  <c r="F17" i="49"/>
  <c r="I17" i="49"/>
  <c r="F16" i="49"/>
  <c r="I16" i="49"/>
  <c r="F14" i="49"/>
  <c r="I14" i="49"/>
  <c r="G10" i="49"/>
  <c r="F10" i="49" s="1"/>
  <c r="F11" i="49"/>
  <c r="I19" i="49"/>
  <c r="I20" i="49"/>
  <c r="F20" i="49"/>
  <c r="F7" i="49"/>
  <c r="F5" i="49"/>
  <c r="F6" i="49"/>
  <c r="D36" i="6"/>
  <c r="H35" i="52"/>
  <c r="F40" i="52"/>
  <c r="H21" i="52"/>
  <c r="M17" i="53"/>
  <c r="H10" i="6"/>
  <c r="D15" i="6"/>
  <c r="H14" i="6"/>
  <c r="H13" i="6"/>
  <c r="H12" i="6"/>
  <c r="H30" i="6"/>
  <c r="K30" i="56"/>
  <c r="J30" i="56"/>
  <c r="H30" i="56"/>
  <c r="D48" i="51" s="1"/>
  <c r="G30" i="56"/>
  <c r="D47" i="51" s="1"/>
  <c r="E30" i="56"/>
  <c r="D30" i="56"/>
  <c r="L29" i="56"/>
  <c r="L30" i="56" s="1"/>
  <c r="I29" i="56"/>
  <c r="I30" i="56" s="1"/>
  <c r="F29" i="56"/>
  <c r="C47" i="51" s="1"/>
  <c r="K27" i="56"/>
  <c r="J27" i="56"/>
  <c r="H27" i="56"/>
  <c r="D41" i="51" s="1"/>
  <c r="G27" i="56"/>
  <c r="D40" i="51" s="1"/>
  <c r="E27" i="56"/>
  <c r="D27" i="56"/>
  <c r="L26" i="56"/>
  <c r="I26" i="56"/>
  <c r="F26" i="56"/>
  <c r="L25" i="56"/>
  <c r="I25" i="56"/>
  <c r="F25" i="56"/>
  <c r="L24" i="56"/>
  <c r="I24" i="56"/>
  <c r="F24" i="56"/>
  <c r="L20" i="56"/>
  <c r="L22" i="56" s="1"/>
  <c r="I20" i="56"/>
  <c r="I22" i="56" s="1"/>
  <c r="F20" i="56"/>
  <c r="D27" i="51"/>
  <c r="D26" i="51"/>
  <c r="L14" i="56"/>
  <c r="L18" i="56" s="1"/>
  <c r="I14" i="56"/>
  <c r="I18" i="56" s="1"/>
  <c r="F14" i="56"/>
  <c r="F18" i="56" s="1"/>
  <c r="F8" i="56"/>
  <c r="F7" i="56"/>
  <c r="F6" i="56"/>
  <c r="F5" i="56"/>
  <c r="F4" i="56"/>
  <c r="D12" i="56"/>
  <c r="J12" i="56"/>
  <c r="D20" i="51"/>
  <c r="D19" i="51"/>
  <c r="C19" i="51"/>
  <c r="L8" i="56"/>
  <c r="L7" i="56"/>
  <c r="L6" i="56"/>
  <c r="I8" i="56"/>
  <c r="I7" i="56"/>
  <c r="I6" i="56"/>
  <c r="L5" i="56"/>
  <c r="I5" i="56"/>
  <c r="L4" i="56"/>
  <c r="I4" i="56"/>
  <c r="F22" i="56" l="1"/>
  <c r="C33" i="51" s="1"/>
  <c r="C26" i="51"/>
  <c r="H55" i="6"/>
  <c r="I27" i="56"/>
  <c r="F27" i="56"/>
  <c r="C40" i="51" s="1"/>
  <c r="F30" i="56"/>
  <c r="L27" i="56"/>
  <c r="E9" i="51"/>
  <c r="I32" i="56" l="1"/>
  <c r="I34" i="56" s="1"/>
  <c r="L32" i="56"/>
  <c r="F32" i="56"/>
  <c r="C14" i="55"/>
  <c r="D14" i="55" s="1"/>
  <c r="D16" i="55" s="1"/>
  <c r="C9" i="55"/>
  <c r="C6" i="54"/>
  <c r="C5" i="54"/>
  <c r="F12" i="49"/>
  <c r="G13" i="40"/>
  <c r="G12" i="40"/>
  <c r="G11" i="40"/>
  <c r="E11" i="40"/>
  <c r="D11" i="40"/>
  <c r="D6" i="40"/>
  <c r="C13" i="40"/>
  <c r="D13" i="40" s="1"/>
  <c r="C12" i="40"/>
  <c r="E12" i="40" s="1"/>
  <c r="F20" i="6" l="1"/>
  <c r="F33" i="6"/>
  <c r="H33" i="6" s="1"/>
  <c r="F28" i="6"/>
  <c r="F26" i="6"/>
  <c r="H27" i="6" s="1"/>
  <c r="I5" i="49"/>
  <c r="E13" i="40"/>
  <c r="G14" i="40"/>
  <c r="D12" i="40"/>
  <c r="I30" i="49" l="1"/>
  <c r="K19" i="53" l="1"/>
  <c r="I19" i="53"/>
  <c r="G19" i="53"/>
  <c r="E19" i="53"/>
  <c r="C19" i="53"/>
  <c r="H40" i="52"/>
  <c r="F38" i="52"/>
  <c r="J38" i="52" s="1"/>
  <c r="K38" i="52" s="1"/>
  <c r="J35" i="52"/>
  <c r="K35" i="52" s="1"/>
  <c r="J32" i="52"/>
  <c r="K32" i="52" s="1"/>
  <c r="K31" i="52"/>
  <c r="J31" i="52"/>
  <c r="J30" i="52"/>
  <c r="K30" i="52" s="1"/>
  <c r="J29" i="52"/>
  <c r="K29" i="52" s="1"/>
  <c r="J28" i="52"/>
  <c r="K28" i="52" s="1"/>
  <c r="K27" i="52"/>
  <c r="J27" i="52"/>
  <c r="J26" i="52"/>
  <c r="K26" i="52" s="1"/>
  <c r="J25" i="52"/>
  <c r="K25" i="52" s="1"/>
  <c r="J24" i="52"/>
  <c r="K24" i="52" s="1"/>
  <c r="K21" i="52"/>
  <c r="J21" i="52"/>
  <c r="J20" i="52"/>
  <c r="K20" i="52" s="1"/>
  <c r="J19" i="52"/>
  <c r="K19" i="52" s="1"/>
  <c r="J16" i="52"/>
  <c r="K16" i="52" s="1"/>
  <c r="K15" i="52"/>
  <c r="J15" i="52"/>
  <c r="J14" i="52"/>
  <c r="K14" i="52" s="1"/>
  <c r="J13" i="52"/>
  <c r="K13" i="52" s="1"/>
  <c r="J12" i="52"/>
  <c r="K12" i="52" s="1"/>
  <c r="K11" i="52"/>
  <c r="J11" i="52"/>
  <c r="M15" i="53" l="1"/>
  <c r="L19" i="53"/>
  <c r="M12" i="53"/>
  <c r="F19" i="53"/>
  <c r="M14" i="53"/>
  <c r="J19" i="53"/>
  <c r="M13" i="53"/>
  <c r="M16" i="53"/>
  <c r="H19" i="53"/>
  <c r="D19" i="53"/>
  <c r="K40" i="52"/>
  <c r="J40" i="52"/>
  <c r="F43" i="6" l="1"/>
  <c r="M19" i="53"/>
  <c r="M22" i="53" s="1"/>
  <c r="P19" i="53"/>
  <c r="E7" i="40"/>
  <c r="A3" i="43"/>
  <c r="A3" i="51"/>
  <c r="C4" i="42"/>
  <c r="B7" i="2"/>
  <c r="D46" i="43"/>
  <c r="C46" i="43"/>
  <c r="B46" i="43"/>
  <c r="D45" i="43"/>
  <c r="C45" i="43"/>
  <c r="B45" i="43"/>
  <c r="C39" i="43"/>
  <c r="B39" i="43"/>
  <c r="B38" i="43"/>
  <c r="D32" i="43"/>
  <c r="C32" i="43"/>
  <c r="B32" i="43"/>
  <c r="D31" i="43"/>
  <c r="C31" i="43"/>
  <c r="B31" i="43"/>
  <c r="D25" i="43"/>
  <c r="C25" i="43"/>
  <c r="B25" i="43"/>
  <c r="D24" i="43"/>
  <c r="C24" i="43"/>
  <c r="B24" i="43"/>
  <c r="C18" i="43"/>
  <c r="B18" i="43"/>
  <c r="D17" i="43"/>
  <c r="B17" i="43"/>
  <c r="E48" i="51"/>
  <c r="E47" i="51"/>
  <c r="E41" i="51"/>
  <c r="E40" i="51"/>
  <c r="E33" i="51"/>
  <c r="E27" i="51"/>
  <c r="E34" i="51"/>
  <c r="E26" i="51"/>
  <c r="E20" i="51"/>
  <c r="E19" i="51"/>
  <c r="M24" i="53" l="1"/>
  <c r="H52" i="6"/>
  <c r="C33" i="43"/>
  <c r="C26" i="43"/>
  <c r="D47" i="43"/>
  <c r="D26" i="43"/>
  <c r="D33" i="43"/>
  <c r="C47" i="43"/>
  <c r="D9" i="43"/>
  <c r="F13" i="49"/>
  <c r="E24" i="42"/>
  <c r="E23" i="42"/>
  <c r="E22" i="42"/>
  <c r="E21" i="42"/>
  <c r="E20" i="42"/>
  <c r="E19" i="42"/>
  <c r="E18" i="42"/>
  <c r="E17" i="42"/>
  <c r="E16" i="42"/>
  <c r="E15" i="42"/>
  <c r="E14" i="42"/>
  <c r="E13" i="42"/>
  <c r="E12" i="42"/>
  <c r="E11" i="42"/>
  <c r="E10" i="42"/>
  <c r="E9" i="42"/>
  <c r="D9" i="51"/>
  <c r="F48" i="51"/>
  <c r="F47" i="51"/>
  <c r="D49" i="51"/>
  <c r="C49" i="51"/>
  <c r="C42" i="51"/>
  <c r="D35" i="51"/>
  <c r="C35" i="51"/>
  <c r="F34" i="51"/>
  <c r="F33" i="51"/>
  <c r="D28" i="51"/>
  <c r="C28" i="51"/>
  <c r="H53" i="6" l="1"/>
  <c r="P24" i="53"/>
  <c r="F40" i="51"/>
  <c r="G40" i="51" s="1"/>
  <c r="C38" i="43"/>
  <c r="C40" i="43" s="1"/>
  <c r="E8" i="51"/>
  <c r="D38" i="43"/>
  <c r="F19" i="51"/>
  <c r="C17" i="43"/>
  <c r="D18" i="43"/>
  <c r="F41" i="51"/>
  <c r="G41" i="51" s="1"/>
  <c r="D39" i="43"/>
  <c r="D21" i="51"/>
  <c r="F20" i="51"/>
  <c r="D8" i="51"/>
  <c r="F49" i="51"/>
  <c r="D42" i="51"/>
  <c r="F35" i="51"/>
  <c r="F26" i="51"/>
  <c r="F27" i="51"/>
  <c r="C21" i="51"/>
  <c r="D10" i="51" s="1"/>
  <c r="G24" i="49"/>
  <c r="H32" i="6"/>
  <c r="H35" i="6"/>
  <c r="H29" i="6"/>
  <c r="F21" i="51" l="1"/>
  <c r="F8" i="51"/>
  <c r="F42" i="51"/>
  <c r="G42" i="51" s="1"/>
  <c r="E9" i="43"/>
  <c r="D19" i="43"/>
  <c r="D8" i="43"/>
  <c r="C19" i="43"/>
  <c r="D10" i="43" s="1"/>
  <c r="E8" i="43"/>
  <c r="D40" i="43"/>
  <c r="F9" i="51"/>
  <c r="E10" i="51"/>
  <c r="F28" i="51"/>
  <c r="I12" i="49"/>
  <c r="I10" i="49"/>
  <c r="I11" i="49"/>
  <c r="I13" i="49"/>
  <c r="H9" i="49"/>
  <c r="I9" i="49" l="1"/>
  <c r="E10" i="43"/>
  <c r="E12" i="51"/>
  <c r="E14" i="51" s="1"/>
  <c r="F10" i="51"/>
  <c r="F12" i="51" s="1"/>
  <c r="I7" i="49"/>
  <c r="H6" i="49"/>
  <c r="H24" i="49" l="1"/>
  <c r="F14" i="51"/>
  <c r="I6" i="49"/>
  <c r="I8" i="49"/>
  <c r="H40" i="6"/>
  <c r="H38" i="6"/>
  <c r="H36" i="6"/>
  <c r="H34" i="6"/>
  <c r="H31" i="6"/>
  <c r="H28" i="6"/>
  <c r="H22" i="6"/>
  <c r="H8" i="6"/>
  <c r="I24" i="49" l="1"/>
  <c r="F15" i="51"/>
  <c r="F7" i="6"/>
  <c r="F15" i="6" s="1"/>
  <c r="H9" i="6"/>
  <c r="H57" i="6" s="1"/>
  <c r="I26" i="49" l="1"/>
  <c r="I33" i="49"/>
  <c r="H7" i="6"/>
  <c r="I35" i="49"/>
  <c r="I39" i="49"/>
  <c r="I41" i="49" s="1"/>
  <c r="I43" i="49" s="1"/>
  <c r="I29" i="49"/>
  <c r="H60" i="6" l="1"/>
  <c r="H15" i="6"/>
  <c r="F24" i="6"/>
  <c r="H25" i="6" s="1"/>
  <c r="H44" i="6"/>
  <c r="G7" i="40"/>
  <c r="G6" i="40"/>
  <c r="G8" i="40" l="1"/>
  <c r="G16" i="40" s="1"/>
  <c r="C18" i="40" s="1"/>
  <c r="C21" i="40" s="1"/>
  <c r="D7" i="40"/>
  <c r="E6" i="40"/>
  <c r="H56" i="6" l="1"/>
  <c r="H37" i="6" l="1"/>
  <c r="H43" i="6" l="1"/>
  <c r="D41" i="6" l="1"/>
  <c r="D45" i="6" l="1"/>
  <c r="D47" i="6" l="1"/>
  <c r="I31" i="49" l="1"/>
  <c r="F19" i="6" l="1"/>
  <c r="H21" i="6" s="1"/>
  <c r="H41" i="6" s="1"/>
  <c r="H45" i="6" s="1"/>
  <c r="H51" i="6" l="1"/>
  <c r="H54" i="6" s="1"/>
  <c r="H59" i="6" s="1"/>
  <c r="F41" i="6"/>
  <c r="F45" i="6" s="1"/>
  <c r="F47" i="6" s="1"/>
  <c r="H47" i="6"/>
  <c r="H12" i="43" l="1"/>
  <c r="H61" i="6"/>
  <c r="H63" i="6" s="1"/>
  <c r="E27" i="2" s="1"/>
  <c r="E11" i="2" l="1"/>
  <c r="F9" i="42" s="1"/>
  <c r="G9" i="42" s="1"/>
  <c r="H9" i="42" s="1"/>
  <c r="E15" i="2"/>
  <c r="E28" i="2"/>
  <c r="E46" i="43" s="1"/>
  <c r="F46" i="43" s="1"/>
  <c r="E19" i="2"/>
  <c r="E31" i="43" s="1"/>
  <c r="F31" i="43" s="1"/>
  <c r="E23" i="2"/>
  <c r="E38" i="43" s="1"/>
  <c r="F38" i="43" s="1"/>
  <c r="F11" i="43"/>
  <c r="E12" i="2"/>
  <c r="E18" i="43" s="1"/>
  <c r="F18" i="43" s="1"/>
  <c r="E24" i="2"/>
  <c r="E39" i="43" s="1"/>
  <c r="F39" i="43" s="1"/>
  <c r="E16" i="2"/>
  <c r="E25" i="43" s="1"/>
  <c r="F25" i="43" s="1"/>
  <c r="E20" i="2"/>
  <c r="E32" i="43" s="1"/>
  <c r="F32" i="43" s="1"/>
  <c r="G27" i="2"/>
  <c r="H27" i="2" s="1"/>
  <c r="G12" i="2" l="1"/>
  <c r="H12" i="2" s="1"/>
  <c r="F15" i="42"/>
  <c r="G15" i="42" s="1"/>
  <c r="H15" i="42" s="1"/>
  <c r="G11" i="2"/>
  <c r="H11" i="2" s="1"/>
  <c r="F19" i="42"/>
  <c r="G19" i="42" s="1"/>
  <c r="H19" i="42" s="1"/>
  <c r="G20" i="2"/>
  <c r="H20" i="2" s="1"/>
  <c r="E17" i="43"/>
  <c r="F17" i="43" s="1"/>
  <c r="F19" i="43" s="1"/>
  <c r="F9" i="43"/>
  <c r="F33" i="43"/>
  <c r="G16" i="2"/>
  <c r="H16" i="2" s="1"/>
  <c r="F12" i="42"/>
  <c r="G12" i="42" s="1"/>
  <c r="H12" i="42" s="1"/>
  <c r="F11" i="42"/>
  <c r="G11" i="42" s="1"/>
  <c r="H11" i="42" s="1"/>
  <c r="F10" i="42"/>
  <c r="G10" i="42" s="1"/>
  <c r="H10" i="42" s="1"/>
  <c r="G28" i="2"/>
  <c r="H28" i="2" s="1"/>
  <c r="F14" i="42"/>
  <c r="G14" i="42" s="1"/>
  <c r="H14" i="42" s="1"/>
  <c r="F40" i="43"/>
  <c r="F16" i="42"/>
  <c r="G16" i="42" s="1"/>
  <c r="H16" i="42" s="1"/>
  <c r="G24" i="2"/>
  <c r="H24" i="2" s="1"/>
  <c r="F13" i="42"/>
  <c r="G13" i="42" s="1"/>
  <c r="H13" i="42" s="1"/>
  <c r="F22" i="42"/>
  <c r="G22" i="42" s="1"/>
  <c r="H22" i="42" s="1"/>
  <c r="F21" i="42"/>
  <c r="G21" i="42" s="1"/>
  <c r="H21" i="42" s="1"/>
  <c r="F23" i="42"/>
  <c r="G23" i="42" s="1"/>
  <c r="H23" i="42" s="1"/>
  <c r="G19" i="2"/>
  <c r="H19" i="2" s="1"/>
  <c r="G23" i="2"/>
  <c r="H23" i="2" s="1"/>
  <c r="E45" i="43"/>
  <c r="F45" i="43" s="1"/>
  <c r="F47" i="43" s="1"/>
  <c r="F24" i="42"/>
  <c r="G24" i="42" s="1"/>
  <c r="H24" i="42" s="1"/>
  <c r="E24" i="43"/>
  <c r="F24" i="43" s="1"/>
  <c r="F18" i="42"/>
  <c r="G18" i="42" s="1"/>
  <c r="H18" i="42" s="1"/>
  <c r="G15" i="2"/>
  <c r="H15" i="2" s="1"/>
  <c r="F20" i="42"/>
  <c r="G20" i="42" s="1"/>
  <c r="H20" i="42" s="1"/>
  <c r="F17" i="42"/>
  <c r="G17" i="42" s="1"/>
  <c r="H17" i="42" s="1"/>
  <c r="F26" i="43" l="1"/>
  <c r="F10" i="43" s="1"/>
  <c r="F12" i="43" s="1"/>
  <c r="I12" i="43" s="1"/>
  <c r="J12" i="43" s="1"/>
  <c r="F8" i="43"/>
</calcChain>
</file>

<file path=xl/sharedStrings.xml><?xml version="1.0" encoding="utf-8"?>
<sst xmlns="http://schemas.openxmlformats.org/spreadsheetml/2006/main" count="549" uniqueCount="334">
  <si>
    <t>Total Operating Expenses</t>
  </si>
  <si>
    <t>Taxes Other Than Income</t>
  </si>
  <si>
    <t>Salaries and Wages - Employees</t>
  </si>
  <si>
    <t>Salaries and Wages - Officers</t>
  </si>
  <si>
    <t>Employee Pensions and Benefits</t>
  </si>
  <si>
    <t>Purchased Water</t>
  </si>
  <si>
    <t>Purchased Power</t>
  </si>
  <si>
    <t>Miscellaneous Expenses</t>
  </si>
  <si>
    <t>Transportation Expenses</t>
  </si>
  <si>
    <t>Proposed</t>
  </si>
  <si>
    <t>Total</t>
  </si>
  <si>
    <t>Gallons</t>
  </si>
  <si>
    <t>Operating Revenues</t>
  </si>
  <si>
    <t>Sales for Resale</t>
  </si>
  <si>
    <t>Other Water Revenues:</t>
  </si>
  <si>
    <t>Total Operating Revenues</t>
  </si>
  <si>
    <t>Operating Expenses</t>
  </si>
  <si>
    <t>Depreciation Expense</t>
  </si>
  <si>
    <t>REVENUE REQUIREMENTS</t>
  </si>
  <si>
    <t>Plus:</t>
  </si>
  <si>
    <t>Less:</t>
  </si>
  <si>
    <t>Other Operating Revenue</t>
  </si>
  <si>
    <t>Existing</t>
  </si>
  <si>
    <t>Change</t>
  </si>
  <si>
    <t>1"</t>
  </si>
  <si>
    <t>2"</t>
  </si>
  <si>
    <t>Table A</t>
  </si>
  <si>
    <t>SCHEDULE OF ADJUSTED OPERATIONS</t>
  </si>
  <si>
    <t>Test Year</t>
  </si>
  <si>
    <t>Adjustments</t>
  </si>
  <si>
    <t>Ref.</t>
  </si>
  <si>
    <t>Proforma</t>
  </si>
  <si>
    <t>Operation and Maintenance</t>
  </si>
  <si>
    <t>Insurance - Gen. Liab. &amp; Workers Comp.</t>
  </si>
  <si>
    <t>Total Operation and Mnt. Expenses</t>
  </si>
  <si>
    <t>Total Utility Operating Income</t>
  </si>
  <si>
    <t>Pro Forma Operating Expenses</t>
  </si>
  <si>
    <t>Adjustment</t>
  </si>
  <si>
    <t>Forfeited Discounts</t>
  </si>
  <si>
    <t>Total Metered Retail Sales</t>
  </si>
  <si>
    <t>DEPRECIATION EXPENSE ADJUSTMENTS</t>
  </si>
  <si>
    <t>Depreciation</t>
  </si>
  <si>
    <t>Date in</t>
  </si>
  <si>
    <t>Original</t>
  </si>
  <si>
    <t>Expense</t>
  </si>
  <si>
    <t>Service</t>
  </si>
  <si>
    <t>Life</t>
  </si>
  <si>
    <t>Depr. Exp.</t>
  </si>
  <si>
    <t>SUMMARY</t>
  </si>
  <si>
    <t>FIRST</t>
  </si>
  <si>
    <t>ALL OVER</t>
  </si>
  <si>
    <t>USAGE</t>
  </si>
  <si>
    <t>BILLS</t>
  </si>
  <si>
    <t>GALLONS</t>
  </si>
  <si>
    <t>TOTAL</t>
  </si>
  <si>
    <t>RATE</t>
  </si>
  <si>
    <t>REVENUE</t>
  </si>
  <si>
    <t>CURRENT AND PROPOSED RATES</t>
  </si>
  <si>
    <t>Private Fire Protection</t>
  </si>
  <si>
    <t>Insurance - Other</t>
  </si>
  <si>
    <t>Revenue Required From Sales of Water</t>
  </si>
  <si>
    <t>Revenue from Sales with Present Rates</t>
  </si>
  <si>
    <t>Total Revenue Requirement</t>
  </si>
  <si>
    <t>Required Revenue Increase</t>
  </si>
  <si>
    <t>various</t>
  </si>
  <si>
    <t>Meter</t>
  </si>
  <si>
    <t>Difference</t>
  </si>
  <si>
    <t>Bill</t>
  </si>
  <si>
    <t>Percentage</t>
  </si>
  <si>
    <t>Size</t>
  </si>
  <si>
    <t>5/8 x 3/4"</t>
  </si>
  <si>
    <t>EXISTING AND PROPOSED BILLS</t>
  </si>
  <si>
    <t>MONTHLY</t>
  </si>
  <si>
    <t>EMPLOYEE</t>
  </si>
  <si>
    <t xml:space="preserve">WATER DIST </t>
  </si>
  <si>
    <t>PREMIUM</t>
  </si>
  <si>
    <t>EE ONLY</t>
  </si>
  <si>
    <t>EE AND SPOUSE</t>
  </si>
  <si>
    <t>No. in</t>
  </si>
  <si>
    <t>ANNUAL</t>
  </si>
  <si>
    <t>Ea. Teir</t>
  </si>
  <si>
    <t>Medical Insurance Adjustment</t>
  </si>
  <si>
    <t>CONTRIB</t>
  </si>
  <si>
    <t>CONTRIB %</t>
  </si>
  <si>
    <t>TOTALS</t>
  </si>
  <si>
    <t>TABLE C</t>
  </si>
  <si>
    <t>per Month*</t>
  </si>
  <si>
    <t>* Highlighted usage represents the average residential bill.</t>
  </si>
  <si>
    <t>Salaries &amp; Wages and Associated Adjustments</t>
  </si>
  <si>
    <t>Pro Forma</t>
  </si>
  <si>
    <t xml:space="preserve">Pro Forma </t>
  </si>
  <si>
    <t>Reg. Hrs</t>
  </si>
  <si>
    <t>O. T. Hours</t>
  </si>
  <si>
    <t>Wage Rate</t>
  </si>
  <si>
    <t>Reg. Wages</t>
  </si>
  <si>
    <t>O. T. Wages</t>
  </si>
  <si>
    <t>Wages</t>
  </si>
  <si>
    <t>Pro Forma Salaries &amp; Wages Expense</t>
  </si>
  <si>
    <t>Less: Test Year Salaries &amp; Wages Exp</t>
  </si>
  <si>
    <t>Pro Forma Salaries &amp; Wages Adj'mt</t>
  </si>
  <si>
    <t xml:space="preserve"> </t>
  </si>
  <si>
    <t>Times: 7.65 Percent FICA Rate</t>
  </si>
  <si>
    <t>Pro Forma Payroll Taxes</t>
  </si>
  <si>
    <t>Less: Test Year Payroll Taxes</t>
  </si>
  <si>
    <t>Payroll Tax Adjustment</t>
  </si>
  <si>
    <t>Wages applicable to CERS payments</t>
  </si>
  <si>
    <t>Times: Percent Pension Contribution</t>
  </si>
  <si>
    <t>Total Pro Forma Pension Contribution</t>
  </si>
  <si>
    <t>Less: Test Year Pension Contribution</t>
  </si>
  <si>
    <t>Pension &amp; Benefits Adjustment</t>
  </si>
  <si>
    <t>Insurance - Vehicle</t>
  </si>
  <si>
    <t>First 0 gallons</t>
  </si>
  <si>
    <t>per month</t>
  </si>
  <si>
    <t>per thousand gallons</t>
  </si>
  <si>
    <t>5/8 Inch X 3/4 Inch Meter</t>
  </si>
  <si>
    <t>1 Inch Meter</t>
  </si>
  <si>
    <t>First 5,000 gallons</t>
  </si>
  <si>
    <t>All Over 5,000 gallons</t>
  </si>
  <si>
    <t>All Over 0 gallons</t>
  </si>
  <si>
    <t>1 1/2 Inch Meter</t>
  </si>
  <si>
    <t>First 10,000 gallons</t>
  </si>
  <si>
    <t>All Over 10,000 gallons</t>
  </si>
  <si>
    <t>2 Inch Meter</t>
  </si>
  <si>
    <t>First 50,000 gallons</t>
  </si>
  <si>
    <t>4 Inch Meter</t>
  </si>
  <si>
    <t>First 100,000 gallons</t>
  </si>
  <si>
    <t>All Over 50,000 gallons</t>
  </si>
  <si>
    <t>All Over 100,000 gallons</t>
  </si>
  <si>
    <t>Minimum Bill</t>
  </si>
  <si>
    <t>All Over Minimum</t>
  </si>
  <si>
    <t>COMPONENT</t>
  </si>
  <si>
    <t>5/8 INCH X 3/4 INCH METER</t>
  </si>
  <si>
    <t>1 INCH METER</t>
  </si>
  <si>
    <t>1 1/2 INCH METER</t>
  </si>
  <si>
    <t>2 INCH METER</t>
  </si>
  <si>
    <t>4 INCH METER</t>
  </si>
  <si>
    <t>Less Adjustments</t>
  </si>
  <si>
    <t xml:space="preserve">Total  </t>
  </si>
  <si>
    <t>C</t>
  </si>
  <si>
    <t>B</t>
  </si>
  <si>
    <t>D</t>
  </si>
  <si>
    <t>CHRISTIAN COUNTY WATER DISTRICT</t>
  </si>
  <si>
    <t xml:space="preserve">ANTHEM B/C &amp; B/S </t>
  </si>
  <si>
    <t>Medical Adjustment</t>
  </si>
  <si>
    <t>E</t>
  </si>
  <si>
    <t>Christian County Water District</t>
  </si>
  <si>
    <t>Reported</t>
  </si>
  <si>
    <t>Asset</t>
  </si>
  <si>
    <t>Cost *</t>
  </si>
  <si>
    <t>General Plant</t>
  </si>
  <si>
    <t>Structures &amp; Improvements</t>
  </si>
  <si>
    <t>varies</t>
  </si>
  <si>
    <t>Communication &amp; Computer Eqmt.</t>
  </si>
  <si>
    <t>Office Furniture &amp; Equipment</t>
  </si>
  <si>
    <t>Power Operated Equipment</t>
  </si>
  <si>
    <t>Tools, Shop, &amp; Garage Equipment</t>
  </si>
  <si>
    <t>Tank Repairs &amp; Painting</t>
  </si>
  <si>
    <t>Pumping Plant</t>
  </si>
  <si>
    <t>Telemetry</t>
  </si>
  <si>
    <t>Pumping Equipment</t>
  </si>
  <si>
    <t>Transmission &amp; Distribution Plant</t>
  </si>
  <si>
    <t>Hydrants</t>
  </si>
  <si>
    <t>Transmission &amp; Distribution Mains</t>
  </si>
  <si>
    <t>Meter Installations</t>
  </si>
  <si>
    <t>Meter Change-outs</t>
  </si>
  <si>
    <t>Pump Equipment</t>
  </si>
  <si>
    <t>Tank Fence</t>
  </si>
  <si>
    <t>Services</t>
  </si>
  <si>
    <t>Reservoirs &amp; Tanks</t>
  </si>
  <si>
    <t>Tank Painting &amp; Repairs</t>
  </si>
  <si>
    <t>Transportation Equipment</t>
  </si>
  <si>
    <t>Entire Group</t>
  </si>
  <si>
    <t>Water Treatment Plant</t>
  </si>
  <si>
    <t xml:space="preserve">              *  Includes only costs associated with assets that contributed to depreciation expense in the test year.</t>
  </si>
  <si>
    <t>Table B</t>
  </si>
  <si>
    <t>DEBT SERVICE SCHDULE</t>
  </si>
  <si>
    <t>Interest</t>
  </si>
  <si>
    <t>Principal</t>
  </si>
  <si>
    <t>&amp; Fees</t>
  </si>
  <si>
    <t>KRWFC Series 2013B</t>
  </si>
  <si>
    <t>KRWFC Series 2016B</t>
  </si>
  <si>
    <t>Series 2018 Phase VIII</t>
  </si>
  <si>
    <t>KRWFC Series 2020G</t>
  </si>
  <si>
    <t>Average Annual Principal &amp; Interest</t>
  </si>
  <si>
    <t>Average Annual Coverage</t>
  </si>
  <si>
    <t>Average Annual Principal and Interest Payments</t>
  </si>
  <si>
    <t>Additional Working Capital</t>
  </si>
  <si>
    <t>F</t>
  </si>
  <si>
    <t>Depreciation Adjustment</t>
  </si>
  <si>
    <t>DISTRICT'S</t>
  </si>
  <si>
    <t>DELTA DENTAL</t>
  </si>
  <si>
    <t>EE AND CHILD</t>
  </si>
  <si>
    <t>TOTAL MEDICAL AND DENTAL INSURANCE</t>
  </si>
  <si>
    <t>Part Time Employee</t>
  </si>
  <si>
    <t>Labor and Materials Adjustment for New Service Installations</t>
  </si>
  <si>
    <t>New Tapping Fees Collected</t>
  </si>
  <si>
    <t>G</t>
  </si>
  <si>
    <t xml:space="preserve">Labor </t>
  </si>
  <si>
    <t xml:space="preserve">Materials </t>
  </si>
  <si>
    <t>H</t>
  </si>
  <si>
    <t>Water Loss Adjustment</t>
  </si>
  <si>
    <t>Produced &amp; Purchased</t>
  </si>
  <si>
    <t>Sold</t>
  </si>
  <si>
    <t>Uses:</t>
  </si>
  <si>
    <t xml:space="preserve">  WTP</t>
  </si>
  <si>
    <t xml:space="preserve">  Flushing</t>
  </si>
  <si>
    <t xml:space="preserve">  Fire</t>
  </si>
  <si>
    <t xml:space="preserve">  Other</t>
  </si>
  <si>
    <t>Tank O.F.</t>
  </si>
  <si>
    <t>Line Brks.</t>
  </si>
  <si>
    <t>Line Leaks</t>
  </si>
  <si>
    <t xml:space="preserve">  water loss percentage</t>
  </si>
  <si>
    <t xml:space="preserve">  allowable in rates</t>
  </si>
  <si>
    <t xml:space="preserve">  adjustment percentage</t>
  </si>
  <si>
    <t>Other</t>
  </si>
  <si>
    <t>I</t>
  </si>
  <si>
    <t>Less Annual Medical Premium</t>
  </si>
  <si>
    <t>Less Annual Dental Premium</t>
  </si>
  <si>
    <t>Rate Code</t>
  </si>
  <si>
    <t>Billing Analysis Source Data</t>
  </si>
  <si>
    <t>Usage Below Minimum</t>
  </si>
  <si>
    <t>Usage Above Minimum</t>
  </si>
  <si>
    <t>Revenue Below Minimum Usage</t>
  </si>
  <si>
    <t>Revenue Above Minimum Usage</t>
  </si>
  <si>
    <t>Total Usage</t>
  </si>
  <si>
    <t>Total Revenue</t>
  </si>
  <si>
    <t>Meter Size</t>
  </si>
  <si>
    <t>5/8 Inch</t>
  </si>
  <si>
    <t>01</t>
  </si>
  <si>
    <t>08</t>
  </si>
  <si>
    <t>09</t>
  </si>
  <si>
    <t>10</t>
  </si>
  <si>
    <t>11</t>
  </si>
  <si>
    <t>Total 5/8 Inch</t>
  </si>
  <si>
    <t>1 Inch</t>
  </si>
  <si>
    <t>02</t>
  </si>
  <si>
    <t>Bills Below Minimum</t>
  </si>
  <si>
    <t>Bills Above Minimum</t>
  </si>
  <si>
    <t>Total Bills</t>
  </si>
  <si>
    <t>Total 1 Inch</t>
  </si>
  <si>
    <t>Minimum Usage</t>
  </si>
  <si>
    <t>1 1/2 Inch</t>
  </si>
  <si>
    <t>03</t>
  </si>
  <si>
    <t>Total 1 1/2 Inch</t>
  </si>
  <si>
    <t>2 Inch</t>
  </si>
  <si>
    <t>04</t>
  </si>
  <si>
    <t>07</t>
  </si>
  <si>
    <t>Total 2 Inch</t>
  </si>
  <si>
    <t>4 Inch</t>
  </si>
  <si>
    <t>05</t>
  </si>
  <si>
    <t>Total 4 Inch</t>
  </si>
  <si>
    <t>A</t>
  </si>
  <si>
    <t>Adjustment to SAO Billed Revenues</t>
  </si>
  <si>
    <t>Revenue Requirement</t>
  </si>
  <si>
    <t>TABLE D</t>
  </si>
  <si>
    <t>Miscellaneous Service Revenues</t>
  </si>
  <si>
    <t>Interdepartments Rents</t>
  </si>
  <si>
    <t>Interdepartmental Sales</t>
  </si>
  <si>
    <t>Current</t>
  </si>
  <si>
    <t>2004 RD Loan Phase VI</t>
  </si>
  <si>
    <t>KRWFC Series 2021C</t>
  </si>
  <si>
    <t>ID</t>
  </si>
  <si>
    <t>Water Operator</t>
  </si>
  <si>
    <t>General Manager</t>
  </si>
  <si>
    <t>Part Time Field Tech</t>
  </si>
  <si>
    <t>Accountant / Bookkeeper</t>
  </si>
  <si>
    <t>Office - CSR</t>
  </si>
  <si>
    <t>Part Time - Custodian</t>
  </si>
  <si>
    <t>Field Tech</t>
  </si>
  <si>
    <t>CURRENT BILLING ANALYSIS WITH 2025 USAGE &amp; EXISTING RATES</t>
  </si>
  <si>
    <t>PROPOSED BILLING ANALYSIS WITH 2025 USAGE &amp; PROPOSED RATES</t>
  </si>
  <si>
    <t>$</t>
  </si>
  <si>
    <t>gallons</t>
  </si>
  <si>
    <t xml:space="preserve"> 5/8</t>
  </si>
  <si>
    <t>1 in</t>
  </si>
  <si>
    <t>2 in</t>
  </si>
  <si>
    <t>4 in</t>
  </si>
  <si>
    <t>per email from Connie Lucht 7/1/26</t>
  </si>
  <si>
    <t>CY 2027</t>
  </si>
  <si>
    <t>CY 2028</t>
  </si>
  <si>
    <t>CY 2029</t>
  </si>
  <si>
    <t>CY 2030</t>
  </si>
  <si>
    <t>CY 2031</t>
  </si>
  <si>
    <t>CY 2027 - 2031</t>
  </si>
  <si>
    <t>fiscal year 2026 CERS employer rate (7/1/26)</t>
  </si>
  <si>
    <t>per 2025 financials</t>
  </si>
  <si>
    <t>Adjustment to revenues to match billing analysis to current rates</t>
  </si>
  <si>
    <t>Adjust to current employees and wage rates</t>
  </si>
  <si>
    <t>(per Transaction History Report from Haley H)</t>
  </si>
  <si>
    <t>Average principal and interest</t>
  </si>
  <si>
    <t>Average debt service coverage</t>
  </si>
  <si>
    <t>Health Insurance Expense</t>
  </si>
  <si>
    <t>Rate Case Expense</t>
  </si>
  <si>
    <t>Amortize over three years</t>
  </si>
  <si>
    <t>12</t>
  </si>
  <si>
    <t>19</t>
  </si>
  <si>
    <t>13</t>
  </si>
  <si>
    <t>30</t>
  </si>
  <si>
    <t>Interest and Dividend Income</t>
  </si>
  <si>
    <t>PSC Report</t>
  </si>
  <si>
    <t>Diff</t>
  </si>
  <si>
    <t>transmission chg</t>
  </si>
  <si>
    <t>Dollars</t>
  </si>
  <si>
    <t>Percent Increase/(Decrease)</t>
  </si>
  <si>
    <t>20</t>
  </si>
  <si>
    <t>21</t>
  </si>
  <si>
    <t>22</t>
  </si>
  <si>
    <t>23</t>
  </si>
  <si>
    <t>Difference mainly due to to contract rate w HWEA for city of Crofton</t>
  </si>
  <si>
    <t>Pro Forma Salaries, Wages  &amp; Commissioners Exp</t>
  </si>
  <si>
    <t>promoted 2/1</t>
  </si>
  <si>
    <t>Adjust labor to capitalize for tapping fees (30%)</t>
  </si>
  <si>
    <t>per Stmt of Rev, Exp &amp; Chg in Net Position 2025</t>
  </si>
  <si>
    <t>Adjustment to Pension Contribution</t>
  </si>
  <si>
    <t>Mainly due to contract sales HWEA</t>
  </si>
  <si>
    <t>add commissioners (5)</t>
  </si>
  <si>
    <t>w/o part time</t>
  </si>
  <si>
    <t>Maintenance and Repairs</t>
  </si>
  <si>
    <t>Rental Expense</t>
  </si>
  <si>
    <t>Professional Services</t>
  </si>
  <si>
    <t>Office Supplies and Expense</t>
  </si>
  <si>
    <t>Operating Materials and Supplies</t>
  </si>
  <si>
    <t>Payroll taxes and fringe benefits</t>
  </si>
  <si>
    <t>Net Increase to Employee Benefits/Pension</t>
  </si>
  <si>
    <t>From PSC Annual Rep (Tot Metered Sales)</t>
  </si>
  <si>
    <t>Adj materials to capitalize for portion related to Tap Fees (70%)</t>
  </si>
  <si>
    <t>HWEA water purchases</t>
  </si>
  <si>
    <t>eff 10-1-25</t>
  </si>
  <si>
    <t>eff 10-1-26</t>
  </si>
  <si>
    <t>diff</t>
  </si>
  <si>
    <t>Additional expense for HWEA water purchase price increase</t>
  </si>
  <si>
    <t>Rate per thou</t>
  </si>
  <si>
    <t>Table E</t>
  </si>
  <si>
    <t>Table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</si>
</sst>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&quot;$&quot;#,##0.00"/>
    <numFmt numFmtId="167" formatCode="0.0%"/>
    <numFmt numFmtId="168" formatCode="_(* #,##0.0_);_(* \(#,##0.0\);_(* &quot;-&quot;??_);_(@_)"/>
    <numFmt numFmtId="169" formatCode="mm/dd/yy;@"/>
    <numFmt numFmtId="170" formatCode="_([$$-409]* #,##0_);_([$$-409]* \(#,##0\);_([$$-409]* &quot;-&quot;??_);_(@_)"/>
    <numFmt numFmtId="171" formatCode="[$$-409]#,##0"/>
    <numFmt numFmtId="172" formatCode="_(* #,##0.0000_);_(* \(#,##0.0000\);_(* &quot;-&quot;??_);_(@_)"/>
    <numFmt numFmtId="173" formatCode="0.000%"/>
    <numFmt numFmtId="174" formatCode="_(* #,##0.00000_);_(* \(#,##0.00000\);_(* &quot;-&quot;??_);_(@_)"/>
    <numFmt numFmtId="175" formatCode="_(&quot;$&quot;* #,##0.00000_);_(&quot;$&quot;* \(#,##0.00000\);_(&quot;$&quot;* &quot;-&quot;??_);_(@_)"/>
  </numFmts>
  <fonts count="29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b/>
      <u val="singleAccounting"/>
      <sz val="11"/>
      <name val="Calibri"/>
      <family val="2"/>
      <scheme val="minor"/>
    </font>
    <font>
      <b/>
      <sz val="1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</cellStyleXfs>
  <cellXfs count="333">
    <xf numFmtId="0" fontId="0" fillId="0" borderId="0" xfId="0"/>
    <xf numFmtId="0" fontId="4" fillId="0" borderId="0" xfId="0" applyFont="1"/>
    <xf numFmtId="0" fontId="0" fillId="0" borderId="6" xfId="0" applyBorder="1"/>
    <xf numFmtId="165" fontId="4" fillId="0" borderId="1" xfId="1" applyNumberFormat="1" applyFont="1" applyBorder="1"/>
    <xf numFmtId="165" fontId="4" fillId="0" borderId="0" xfId="1" applyNumberFormat="1" applyFont="1" applyBorder="1"/>
    <xf numFmtId="165" fontId="4" fillId="0" borderId="0" xfId="1" applyNumberFormat="1" applyFont="1"/>
    <xf numFmtId="165" fontId="4" fillId="0" borderId="3" xfId="1" applyNumberFormat="1" applyFont="1" applyBorder="1"/>
    <xf numFmtId="165" fontId="4" fillId="0" borderId="2" xfId="1" applyNumberFormat="1" applyFont="1" applyBorder="1"/>
    <xf numFmtId="165" fontId="4" fillId="0" borderId="4" xfId="1" applyNumberFormat="1" applyFont="1" applyBorder="1"/>
    <xf numFmtId="165" fontId="4" fillId="0" borderId="7" xfId="1" applyNumberFormat="1" applyFont="1" applyBorder="1"/>
    <xf numFmtId="165" fontId="4" fillId="0" borderId="8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43" fontId="4" fillId="0" borderId="0" xfId="1" applyFont="1"/>
    <xf numFmtId="165" fontId="10" fillId="0" borderId="0" xfId="1" applyNumberFormat="1" applyFont="1" applyBorder="1" applyAlignment="1">
      <alignment horizontal="center"/>
    </xf>
    <xf numFmtId="43" fontId="4" fillId="0" borderId="0" xfId="1" applyFont="1" applyBorder="1"/>
    <xf numFmtId="165" fontId="4" fillId="0" borderId="0" xfId="5" applyNumberFormat="1" applyFont="1"/>
    <xf numFmtId="165" fontId="4" fillId="0" borderId="7" xfId="5" applyNumberFormat="1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5" fontId="4" fillId="0" borderId="0" xfId="5" applyNumberFormat="1" applyFont="1" applyBorder="1"/>
    <xf numFmtId="164" fontId="4" fillId="0" borderId="0" xfId="0" applyNumberFormat="1" applyFont="1"/>
    <xf numFmtId="168" fontId="4" fillId="0" borderId="0" xfId="5" applyNumberFormat="1" applyFont="1" applyBorder="1"/>
    <xf numFmtId="168" fontId="9" fillId="0" borderId="0" xfId="5" applyNumberFormat="1" applyFont="1" applyBorder="1" applyAlignment="1">
      <alignment horizontal="center"/>
    </xf>
    <xf numFmtId="43" fontId="4" fillId="0" borderId="0" xfId="1" applyFont="1" applyBorder="1" applyAlignment="1"/>
    <xf numFmtId="43" fontId="10" fillId="0" borderId="0" xfId="1" applyFont="1" applyBorder="1" applyAlignment="1">
      <alignment horizontal="center"/>
    </xf>
    <xf numFmtId="165" fontId="10" fillId="0" borderId="0" xfId="5" applyNumberFormat="1" applyFont="1"/>
    <xf numFmtId="164" fontId="4" fillId="0" borderId="0" xfId="6" applyNumberFormat="1" applyFont="1"/>
    <xf numFmtId="165" fontId="7" fillId="0" borderId="0" xfId="1" applyNumberFormat="1" applyFont="1"/>
    <xf numFmtId="165" fontId="10" fillId="0" borderId="8" xfId="1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43" fontId="4" fillId="0" borderId="8" xfId="1" quotePrefix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7" fontId="4" fillId="0" borderId="8" xfId="3" applyNumberFormat="1" applyFont="1" applyBorder="1"/>
    <xf numFmtId="167" fontId="4" fillId="2" borderId="8" xfId="3" applyNumberFormat="1" applyFont="1" applyFill="1" applyBorder="1"/>
    <xf numFmtId="164" fontId="4" fillId="0" borderId="0" xfId="6" applyNumberFormat="1" applyFont="1" applyBorder="1"/>
    <xf numFmtId="0" fontId="7" fillId="0" borderId="0" xfId="0" applyFont="1"/>
    <xf numFmtId="165" fontId="14" fillId="0" borderId="0" xfId="1" applyNumberFormat="1" applyFont="1"/>
    <xf numFmtId="44" fontId="4" fillId="0" borderId="0" xfId="10" applyFont="1"/>
    <xf numFmtId="165" fontId="10" fillId="0" borderId="0" xfId="1" applyNumberFormat="1" applyFont="1" applyBorder="1"/>
    <xf numFmtId="0" fontId="17" fillId="0" borderId="0" xfId="0" applyFont="1"/>
    <xf numFmtId="0" fontId="20" fillId="0" borderId="0" xfId="0" applyFont="1" applyAlignment="1">
      <alignment horizontal="center"/>
    </xf>
    <xf numFmtId="10" fontId="4" fillId="0" borderId="0" xfId="3" applyNumberFormat="1" applyFont="1" applyAlignment="1">
      <alignment horizontal="center"/>
    </xf>
    <xf numFmtId="44" fontId="4" fillId="0" borderId="0" xfId="0" applyNumberFormat="1" applyFont="1"/>
    <xf numFmtId="165" fontId="4" fillId="0" borderId="0" xfId="5" quotePrefix="1" applyNumberFormat="1" applyFont="1"/>
    <xf numFmtId="166" fontId="4" fillId="0" borderId="0" xfId="1" applyNumberFormat="1" applyFont="1" applyBorder="1" applyAlignment="1"/>
    <xf numFmtId="2" fontId="4" fillId="0" borderId="0" xfId="1" applyNumberFormat="1" applyFont="1" applyBorder="1"/>
    <xf numFmtId="0" fontId="4" fillId="0" borderId="7" xfId="0" applyFont="1" applyBorder="1"/>
    <xf numFmtId="165" fontId="18" fillId="0" borderId="0" xfId="1" applyNumberFormat="1" applyFont="1"/>
    <xf numFmtId="165" fontId="4" fillId="0" borderId="0" xfId="1" applyNumberFormat="1" applyFont="1" applyAlignment="1">
      <alignment horizontal="centerContinuous" vertical="center"/>
    </xf>
    <xf numFmtId="165" fontId="4" fillId="0" borderId="0" xfId="1" applyNumberFormat="1" applyFont="1" applyAlignment="1">
      <alignment vertical="center"/>
    </xf>
    <xf numFmtId="165" fontId="12" fillId="0" borderId="0" xfId="1" applyNumberFormat="1" applyFont="1" applyAlignment="1">
      <alignment horizontal="centerContinuous" vertical="center"/>
    </xf>
    <xf numFmtId="165" fontId="9" fillId="0" borderId="0" xfId="1" applyNumberFormat="1" applyFont="1" applyAlignment="1">
      <alignment horizontal="center" vertical="center"/>
    </xf>
    <xf numFmtId="165" fontId="7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center" vertical="center"/>
    </xf>
    <xf numFmtId="165" fontId="13" fillId="0" borderId="0" xfId="1" applyNumberFormat="1" applyFont="1" applyAlignment="1">
      <alignment vertical="center"/>
    </xf>
    <xf numFmtId="165" fontId="15" fillId="0" borderId="0" xfId="1" applyNumberFormat="1" applyFont="1" applyAlignment="1">
      <alignment vertical="center"/>
    </xf>
    <xf numFmtId="165" fontId="18" fillId="0" borderId="0" xfId="1" quotePrefix="1" applyNumberFormat="1" applyFont="1" applyAlignment="1">
      <alignment horizontal="center" vertical="center"/>
    </xf>
    <xf numFmtId="165" fontId="19" fillId="0" borderId="0" xfId="1" applyNumberFormat="1" applyFont="1" applyAlignment="1">
      <alignment vertical="center"/>
    </xf>
    <xf numFmtId="165" fontId="8" fillId="0" borderId="0" xfId="1" applyNumberFormat="1" applyFont="1" applyAlignment="1">
      <alignment vertical="center"/>
    </xf>
    <xf numFmtId="165" fontId="4" fillId="0" borderId="0" xfId="1" applyNumberFormat="1" applyFont="1" applyAlignment="1">
      <alignment horizontal="center"/>
    </xf>
    <xf numFmtId="165" fontId="13" fillId="0" borderId="0" xfId="1" applyNumberFormat="1" applyFont="1" applyAlignment="1">
      <alignment horizontal="left"/>
    </xf>
    <xf numFmtId="165" fontId="13" fillId="0" borderId="0" xfId="1" applyNumberFormat="1" applyFont="1" applyAlignment="1">
      <alignment horizontal="center"/>
    </xf>
    <xf numFmtId="165" fontId="11" fillId="0" borderId="0" xfId="1" quotePrefix="1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165" fontId="4" fillId="0" borderId="0" xfId="1" applyNumberFormat="1" applyFont="1" applyAlignment="1"/>
    <xf numFmtId="10" fontId="4" fillId="0" borderId="0" xfId="3" applyNumberFormat="1" applyFont="1" applyAlignment="1">
      <alignment vertical="center"/>
    </xf>
    <xf numFmtId="165" fontId="4" fillId="0" borderId="0" xfId="5" applyNumberFormat="1" applyFont="1" applyBorder="1" applyAlignment="1">
      <alignment horizontal="center"/>
    </xf>
    <xf numFmtId="10" fontId="4" fillId="0" borderId="0" xfId="3" applyNumberFormat="1" applyFont="1" applyBorder="1" applyAlignment="1">
      <alignment vertical="center"/>
    </xf>
    <xf numFmtId="10" fontId="4" fillId="0" borderId="0" xfId="3" applyNumberFormat="1" applyFont="1" applyBorder="1"/>
    <xf numFmtId="43" fontId="4" fillId="0" borderId="0" xfId="5" applyFont="1"/>
    <xf numFmtId="43" fontId="4" fillId="0" borderId="0" xfId="5" applyFont="1" applyBorder="1"/>
    <xf numFmtId="165" fontId="4" fillId="0" borderId="8" xfId="5" applyNumberFormat="1" applyFont="1" applyBorder="1"/>
    <xf numFmtId="0" fontId="23" fillId="0" borderId="0" xfId="0" applyFont="1" applyAlignment="1">
      <alignment horizontal="center"/>
    </xf>
    <xf numFmtId="170" fontId="4" fillId="0" borderId="0" xfId="0" applyNumberFormat="1" applyFont="1"/>
    <xf numFmtId="164" fontId="17" fillId="0" borderId="9" xfId="6" applyNumberFormat="1" applyFont="1" applyBorder="1"/>
    <xf numFmtId="10" fontId="4" fillId="0" borderId="1" xfId="0" applyNumberFormat="1" applyFont="1" applyBorder="1"/>
    <xf numFmtId="164" fontId="4" fillId="0" borderId="1" xfId="6" applyNumberFormat="1" applyFont="1" applyBorder="1"/>
    <xf numFmtId="43" fontId="4" fillId="0" borderId="0" xfId="1" applyFont="1" applyBorder="1" applyAlignment="1">
      <alignment horizontal="center"/>
    </xf>
    <xf numFmtId="166" fontId="4" fillId="0" borderId="0" xfId="0" applyNumberFormat="1" applyFont="1"/>
    <xf numFmtId="166" fontId="4" fillId="0" borderId="0" xfId="1" applyNumberFormat="1" applyFont="1" applyBorder="1" applyAlignment="1">
      <alignment horizontal="center"/>
    </xf>
    <xf numFmtId="166" fontId="4" fillId="0" borderId="0" xfId="2" applyNumberFormat="1" applyFont="1" applyBorder="1"/>
    <xf numFmtId="166" fontId="4" fillId="0" borderId="0" xfId="1" applyNumberFormat="1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0" xfId="1" applyNumberFormat="1" applyFont="1" applyBorder="1" applyAlignment="1"/>
    <xf numFmtId="0" fontId="4" fillId="0" borderId="0" xfId="1" applyNumberFormat="1" applyFont="1" applyBorder="1" applyAlignment="1">
      <alignment horizontal="center"/>
    </xf>
    <xf numFmtId="0" fontId="4" fillId="0" borderId="0" xfId="1" applyNumberFormat="1" applyFont="1" applyBorder="1"/>
    <xf numFmtId="43" fontId="4" fillId="0" borderId="0" xfId="5" applyFont="1" applyFill="1"/>
    <xf numFmtId="43" fontId="4" fillId="0" borderId="0" xfId="5" applyFont="1" applyFill="1" applyBorder="1"/>
    <xf numFmtId="165" fontId="4" fillId="0" borderId="0" xfId="5" applyNumberFormat="1" applyFont="1" applyFill="1"/>
    <xf numFmtId="165" fontId="4" fillId="0" borderId="0" xfId="5" applyNumberFormat="1" applyFont="1" applyFill="1" applyBorder="1"/>
    <xf numFmtId="37" fontId="4" fillId="0" borderId="0" xfId="0" applyNumberFormat="1" applyFont="1" applyAlignment="1">
      <alignment horizontal="center"/>
    </xf>
    <xf numFmtId="37" fontId="4" fillId="0" borderId="0" xfId="0" applyNumberFormat="1" applyFont="1"/>
    <xf numFmtId="165" fontId="4" fillId="0" borderId="0" xfId="0" applyNumberFormat="1" applyFont="1"/>
    <xf numFmtId="165" fontId="10" fillId="0" borderId="0" xfId="5" applyNumberFormat="1" applyFont="1" applyBorder="1"/>
    <xf numFmtId="165" fontId="10" fillId="0" borderId="0" xfId="0" applyNumberFormat="1" applyFont="1"/>
    <xf numFmtId="0" fontId="14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right"/>
    </xf>
    <xf numFmtId="0" fontId="4" fillId="0" borderId="0" xfId="0" quotePrefix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7" fontId="4" fillId="0" borderId="0" xfId="2" applyNumberFormat="1" applyFont="1" applyBorder="1"/>
    <xf numFmtId="166" fontId="4" fillId="0" borderId="0" xfId="5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Continuous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164" fontId="10" fillId="0" borderId="0" xfId="6" applyNumberFormat="1" applyFont="1" applyBorder="1"/>
    <xf numFmtId="44" fontId="10" fillId="0" borderId="0" xfId="0" applyNumberFormat="1" applyFont="1"/>
    <xf numFmtId="44" fontId="5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Continuous"/>
    </xf>
    <xf numFmtId="44" fontId="4" fillId="0" borderId="0" xfId="0" applyNumberFormat="1" applyFont="1" applyAlignment="1">
      <alignment horizontal="center"/>
    </xf>
    <xf numFmtId="44" fontId="4" fillId="0" borderId="0" xfId="6" applyFont="1" applyBorder="1"/>
    <xf numFmtId="44" fontId="10" fillId="0" borderId="0" xfId="6" applyFont="1" applyBorder="1"/>
    <xf numFmtId="44" fontId="4" fillId="0" borderId="0" xfId="5" applyNumberFormat="1" applyFont="1" applyBorder="1"/>
    <xf numFmtId="44" fontId="10" fillId="0" borderId="0" xfId="5" applyNumberFormat="1" applyFont="1" applyBorder="1"/>
    <xf numFmtId="44" fontId="0" fillId="0" borderId="0" xfId="0" applyNumberFormat="1"/>
    <xf numFmtId="44" fontId="4" fillId="0" borderId="2" xfId="1" applyNumberFormat="1" applyFont="1" applyBorder="1"/>
    <xf numFmtId="44" fontId="4" fillId="0" borderId="1" xfId="1" applyNumberFormat="1" applyFont="1" applyBorder="1"/>
    <xf numFmtId="44" fontId="12" fillId="0" borderId="7" xfId="0" applyNumberFormat="1" applyFont="1" applyBorder="1" applyAlignment="1">
      <alignment horizontal="center" vertical="center"/>
    </xf>
    <xf numFmtId="44" fontId="10" fillId="0" borderId="7" xfId="1" applyNumberFormat="1" applyFont="1" applyBorder="1" applyAlignment="1">
      <alignment horizontal="center"/>
    </xf>
    <xf numFmtId="44" fontId="4" fillId="0" borderId="7" xfId="1" applyNumberFormat="1" applyFont="1" applyBorder="1"/>
    <xf numFmtId="44" fontId="4" fillId="0" borderId="5" xfId="1" applyNumberFormat="1" applyFont="1" applyBorder="1"/>
    <xf numFmtId="44" fontId="4" fillId="0" borderId="0" xfId="1" applyNumberFormat="1" applyFont="1"/>
    <xf numFmtId="44" fontId="12" fillId="0" borderId="0" xfId="0" applyNumberFormat="1" applyFont="1" applyAlignment="1">
      <alignment horizontal="center" vertical="center"/>
    </xf>
    <xf numFmtId="44" fontId="10" fillId="0" borderId="0" xfId="1" applyNumberFormat="1" applyFont="1" applyBorder="1" applyAlignment="1">
      <alignment horizontal="center"/>
    </xf>
    <xf numFmtId="44" fontId="4" fillId="0" borderId="0" xfId="1" applyNumberFormat="1" applyFont="1" applyBorder="1"/>
    <xf numFmtId="44" fontId="4" fillId="0" borderId="0" xfId="2" applyFont="1" applyBorder="1"/>
    <xf numFmtId="0" fontId="8" fillId="0" borderId="0" xfId="0" applyFont="1"/>
    <xf numFmtId="164" fontId="8" fillId="0" borderId="0" xfId="0" applyNumberFormat="1" applyFont="1"/>
    <xf numFmtId="165" fontId="4" fillId="0" borderId="0" xfId="9" applyNumberFormat="1" applyFont="1" applyFill="1" applyBorder="1"/>
    <xf numFmtId="165" fontId="10" fillId="0" borderId="0" xfId="9" applyNumberFormat="1" applyFont="1" applyFill="1" applyBorder="1"/>
    <xf numFmtId="0" fontId="2" fillId="0" borderId="0" xfId="4"/>
    <xf numFmtId="0" fontId="20" fillId="0" borderId="0" xfId="4" applyFont="1" applyAlignment="1">
      <alignment horizontal="center"/>
    </xf>
    <xf numFmtId="167" fontId="4" fillId="0" borderId="0" xfId="3" applyNumberFormat="1" applyFont="1" applyFill="1" applyBorder="1"/>
    <xf numFmtId="44" fontId="4" fillId="0" borderId="0" xfId="9" applyNumberFormat="1" applyFont="1"/>
    <xf numFmtId="165" fontId="4" fillId="0" borderId="0" xfId="9" applyNumberFormat="1" applyFont="1" applyFill="1" applyBorder="1" applyAlignment="1">
      <alignment horizontal="center"/>
    </xf>
    <xf numFmtId="165" fontId="8" fillId="0" borderId="7" xfId="5" applyNumberFormat="1" applyFont="1" applyBorder="1" applyAlignment="1">
      <alignment horizontal="center"/>
    </xf>
    <xf numFmtId="3" fontId="4" fillId="0" borderId="0" xfId="0" applyNumberFormat="1" applyFont="1"/>
    <xf numFmtId="168" fontId="4" fillId="0" borderId="0" xfId="5" applyNumberFormat="1" applyFont="1" applyAlignment="1"/>
    <xf numFmtId="3" fontId="4" fillId="0" borderId="2" xfId="0" applyNumberFormat="1" applyFont="1" applyBorder="1"/>
    <xf numFmtId="168" fontId="4" fillId="0" borderId="2" xfId="5" applyNumberFormat="1" applyFont="1" applyBorder="1"/>
    <xf numFmtId="3" fontId="4" fillId="0" borderId="4" xfId="0" applyNumberFormat="1" applyFont="1" applyBorder="1"/>
    <xf numFmtId="3" fontId="4" fillId="0" borderId="7" xfId="0" applyNumberFormat="1" applyFont="1" applyBorder="1"/>
    <xf numFmtId="3" fontId="4" fillId="0" borderId="8" xfId="0" applyNumberFormat="1" applyFont="1" applyBorder="1"/>
    <xf numFmtId="168" fontId="4" fillId="0" borderId="0" xfId="5" applyNumberFormat="1" applyFont="1" applyBorder="1" applyAlignment="1"/>
    <xf numFmtId="3" fontId="9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168" fontId="9" fillId="0" borderId="0" xfId="5" applyNumberFormat="1" applyFont="1" applyBorder="1" applyAlignment="1">
      <alignment horizontal="centerContinuous"/>
    </xf>
    <xf numFmtId="3" fontId="9" fillId="0" borderId="0" xfId="0" applyNumberFormat="1" applyFont="1" applyAlignment="1">
      <alignment horizontal="centerContinuous"/>
    </xf>
    <xf numFmtId="44" fontId="11" fillId="0" borderId="0" xfId="0" applyNumberFormat="1" applyFont="1" applyAlignment="1">
      <alignment horizontal="center"/>
    </xf>
    <xf numFmtId="3" fontId="9" fillId="0" borderId="0" xfId="0" applyNumberFormat="1" applyFont="1"/>
    <xf numFmtId="169" fontId="4" fillId="0" borderId="0" xfId="0" applyNumberFormat="1" applyFont="1" applyAlignment="1">
      <alignment horizontal="center"/>
    </xf>
    <xf numFmtId="168" fontId="4" fillId="0" borderId="0" xfId="5" applyNumberFormat="1" applyFont="1" applyBorder="1" applyAlignment="1">
      <alignment horizontal="center"/>
    </xf>
    <xf numFmtId="168" fontId="4" fillId="0" borderId="0" xfId="5" quotePrefix="1" applyNumberFormat="1" applyFont="1" applyBorder="1" applyAlignment="1">
      <alignment horizontal="center"/>
    </xf>
    <xf numFmtId="168" fontId="14" fillId="0" borderId="0" xfId="5" applyNumberFormat="1" applyFont="1" applyBorder="1" applyAlignment="1"/>
    <xf numFmtId="165" fontId="4" fillId="0" borderId="0" xfId="5" applyNumberFormat="1" applyFont="1" applyBorder="1" applyAlignment="1"/>
    <xf numFmtId="3" fontId="8" fillId="0" borderId="0" xfId="0" applyNumberFormat="1" applyFont="1"/>
    <xf numFmtId="171" fontId="4" fillId="0" borderId="0" xfId="0" applyNumberFormat="1" applyFont="1"/>
    <xf numFmtId="170" fontId="8" fillId="0" borderId="0" xfId="0" applyNumberFormat="1" applyFont="1"/>
    <xf numFmtId="3" fontId="4" fillId="0" borderId="1" xfId="0" applyNumberFormat="1" applyFont="1" applyBorder="1"/>
    <xf numFmtId="168" fontId="4" fillId="0" borderId="1" xfId="5" applyNumberFormat="1" applyFont="1" applyBorder="1" applyAlignment="1"/>
    <xf numFmtId="3" fontId="4" fillId="0" borderId="6" xfId="0" applyNumberFormat="1" applyFont="1" applyBorder="1"/>
    <xf numFmtId="4" fontId="4" fillId="0" borderId="7" xfId="0" applyNumberFormat="1" applyFont="1" applyBorder="1"/>
    <xf numFmtId="165" fontId="4" fillId="0" borderId="3" xfId="5" applyNumberFormat="1" applyFont="1" applyBorder="1"/>
    <xf numFmtId="165" fontId="4" fillId="0" borderId="2" xfId="5" applyNumberFormat="1" applyFont="1" applyBorder="1"/>
    <xf numFmtId="165" fontId="4" fillId="0" borderId="4" xfId="5" applyNumberFormat="1" applyFont="1" applyBorder="1"/>
    <xf numFmtId="165" fontId="5" fillId="0" borderId="7" xfId="5" applyNumberFormat="1" applyFont="1" applyBorder="1" applyAlignment="1">
      <alignment horizontal="centerContinuous"/>
    </xf>
    <xf numFmtId="165" fontId="8" fillId="0" borderId="0" xfId="5" applyNumberFormat="1" applyFont="1" applyAlignment="1">
      <alignment horizontal="centerContinuous"/>
    </xf>
    <xf numFmtId="165" fontId="6" fillId="0" borderId="7" xfId="5" applyNumberFormat="1" applyFont="1" applyBorder="1" applyAlignment="1">
      <alignment horizontal="centerContinuous"/>
    </xf>
    <xf numFmtId="165" fontId="9" fillId="0" borderId="0" xfId="5" applyNumberFormat="1" applyFont="1" applyAlignment="1">
      <alignment horizontal="centerContinuous"/>
    </xf>
    <xf numFmtId="3" fontId="12" fillId="0" borderId="7" xfId="0" applyNumberFormat="1" applyFont="1" applyBorder="1" applyAlignment="1">
      <alignment horizontal="centerContinuous" vertical="center"/>
    </xf>
    <xf numFmtId="165" fontId="24" fillId="0" borderId="7" xfId="5" applyNumberFormat="1" applyFont="1" applyBorder="1" applyAlignment="1">
      <alignment horizontal="centerContinuous"/>
    </xf>
    <xf numFmtId="165" fontId="4" fillId="0" borderId="0" xfId="5" applyNumberFormat="1" applyFont="1" applyAlignment="1">
      <alignment horizontal="centerContinuous"/>
    </xf>
    <xf numFmtId="165" fontId="4" fillId="0" borderId="7" xfId="5" applyNumberFormat="1" applyFont="1" applyBorder="1" applyAlignment="1">
      <alignment horizontal="centerContinuous"/>
    </xf>
    <xf numFmtId="165" fontId="4" fillId="0" borderId="10" xfId="5" applyNumberFormat="1" applyFont="1" applyBorder="1" applyAlignment="1">
      <alignment horizontal="left"/>
    </xf>
    <xf numFmtId="165" fontId="4" fillId="0" borderId="3" xfId="5" applyNumberFormat="1" applyFont="1" applyBorder="1" applyAlignment="1">
      <alignment horizontal="left"/>
    </xf>
    <xf numFmtId="165" fontId="4" fillId="0" borderId="2" xfId="5" applyNumberFormat="1" applyFont="1" applyBorder="1" applyAlignment="1">
      <alignment horizontal="left"/>
    </xf>
    <xf numFmtId="165" fontId="4" fillId="0" borderId="4" xfId="5" applyNumberFormat="1" applyFont="1" applyBorder="1" applyAlignment="1">
      <alignment horizontal="left"/>
    </xf>
    <xf numFmtId="165" fontId="4" fillId="0" borderId="11" xfId="5" applyNumberFormat="1" applyFont="1" applyBorder="1"/>
    <xf numFmtId="165" fontId="11" fillId="0" borderId="0" xfId="5" applyNumberFormat="1" applyFont="1" applyAlignment="1">
      <alignment horizontal="center" vertical="center"/>
    </xf>
    <xf numFmtId="165" fontId="8" fillId="0" borderId="8" xfId="5" applyNumberFormat="1" applyFont="1" applyBorder="1" applyAlignment="1">
      <alignment horizontal="center" vertical="center"/>
    </xf>
    <xf numFmtId="165" fontId="8" fillId="0" borderId="0" xfId="5" applyNumberFormat="1" applyFont="1" applyAlignment="1">
      <alignment horizontal="center" vertical="center"/>
    </xf>
    <xf numFmtId="165" fontId="11" fillId="0" borderId="8" xfId="5" applyNumberFormat="1" applyFont="1" applyBorder="1" applyAlignment="1">
      <alignment horizontal="center" vertical="center"/>
    </xf>
    <xf numFmtId="165" fontId="11" fillId="0" borderId="0" xfId="5" applyNumberFormat="1" applyFont="1" applyBorder="1" applyAlignment="1">
      <alignment horizontal="center" vertical="center"/>
    </xf>
    <xf numFmtId="165" fontId="4" fillId="0" borderId="11" xfId="5" applyNumberFormat="1" applyFont="1" applyBorder="1" applyAlignment="1">
      <alignment horizontal="left"/>
    </xf>
    <xf numFmtId="165" fontId="4" fillId="0" borderId="7" xfId="5" applyNumberFormat="1" applyFont="1" applyBorder="1" applyAlignment="1">
      <alignment horizontal="center"/>
    </xf>
    <xf numFmtId="165" fontId="4" fillId="0" borderId="0" xfId="5" applyNumberFormat="1" applyFont="1" applyAlignment="1">
      <alignment horizontal="center"/>
    </xf>
    <xf numFmtId="165" fontId="4" fillId="0" borderId="8" xfId="5" applyNumberFormat="1" applyFont="1" applyBorder="1" applyAlignment="1">
      <alignment horizontal="center"/>
    </xf>
    <xf numFmtId="165" fontId="4" fillId="0" borderId="0" xfId="5" quotePrefix="1" applyNumberFormat="1" applyFont="1" applyBorder="1" applyAlignment="1">
      <alignment horizontal="center"/>
    </xf>
    <xf numFmtId="165" fontId="4" fillId="0" borderId="11" xfId="5" quotePrefix="1" applyNumberFormat="1" applyFont="1" applyBorder="1" applyAlignment="1">
      <alignment horizontal="center"/>
    </xf>
    <xf numFmtId="165" fontId="4" fillId="0" borderId="7" xfId="5" quotePrefix="1" applyNumberFormat="1" applyFont="1" applyBorder="1" applyAlignment="1">
      <alignment horizontal="left"/>
    </xf>
    <xf numFmtId="165" fontId="4" fillId="0" borderId="0" xfId="5" quotePrefix="1" applyNumberFormat="1" applyFont="1" applyAlignment="1">
      <alignment horizontal="left"/>
    </xf>
    <xf numFmtId="165" fontId="4" fillId="0" borderId="8" xfId="5" quotePrefix="1" applyNumberFormat="1" applyFont="1" applyBorder="1" applyAlignment="1">
      <alignment horizontal="left"/>
    </xf>
    <xf numFmtId="165" fontId="8" fillId="0" borderId="7" xfId="5" quotePrefix="1" applyNumberFormat="1" applyFont="1" applyBorder="1" applyAlignment="1">
      <alignment horizontal="left"/>
    </xf>
    <xf numFmtId="165" fontId="8" fillId="0" borderId="0" xfId="5" quotePrefix="1" applyNumberFormat="1" applyFont="1" applyAlignment="1">
      <alignment horizontal="left"/>
    </xf>
    <xf numFmtId="165" fontId="8" fillId="0" borderId="8" xfId="5" quotePrefix="1" applyNumberFormat="1" applyFont="1" applyBorder="1" applyAlignment="1">
      <alignment horizontal="left"/>
    </xf>
    <xf numFmtId="164" fontId="8" fillId="0" borderId="0" xfId="6" quotePrefix="1" applyNumberFormat="1" applyFont="1" applyBorder="1" applyAlignment="1">
      <alignment horizontal="left"/>
    </xf>
    <xf numFmtId="165" fontId="8" fillId="0" borderId="12" xfId="5" applyNumberFormat="1" applyFont="1" applyBorder="1" applyAlignment="1">
      <alignment horizontal="right"/>
    </xf>
    <xf numFmtId="165" fontId="8" fillId="0" borderId="5" xfId="5" applyNumberFormat="1" applyFont="1" applyBorder="1" applyAlignment="1">
      <alignment horizontal="right"/>
    </xf>
    <xf numFmtId="165" fontId="8" fillId="0" borderId="1" xfId="5" applyNumberFormat="1" applyFont="1" applyBorder="1" applyAlignment="1">
      <alignment horizontal="right"/>
    </xf>
    <xf numFmtId="165" fontId="8" fillId="0" borderId="6" xfId="5" applyNumberFormat="1" applyFont="1" applyBorder="1" applyAlignment="1">
      <alignment horizontal="right"/>
    </xf>
    <xf numFmtId="165" fontId="8" fillId="0" borderId="8" xfId="5" applyNumberFormat="1" applyFont="1" applyBorder="1" applyAlignment="1">
      <alignment horizontal="right"/>
    </xf>
    <xf numFmtId="165" fontId="4" fillId="0" borderId="6" xfId="5" applyNumberFormat="1" applyFont="1" applyBorder="1"/>
    <xf numFmtId="165" fontId="8" fillId="0" borderId="7" xfId="5" applyNumberFormat="1" applyFont="1" applyBorder="1" applyAlignment="1">
      <alignment horizontal="right"/>
    </xf>
    <xf numFmtId="165" fontId="8" fillId="0" borderId="0" xfId="5" applyNumberFormat="1" applyFont="1" applyAlignment="1">
      <alignment horizontal="right"/>
    </xf>
    <xf numFmtId="165" fontId="8" fillId="0" borderId="2" xfId="5" applyNumberFormat="1" applyFont="1" applyBorder="1" applyAlignment="1">
      <alignment horizontal="right"/>
    </xf>
    <xf numFmtId="165" fontId="8" fillId="0" borderId="7" xfId="5" applyNumberFormat="1" applyFont="1" applyBorder="1"/>
    <xf numFmtId="164" fontId="8" fillId="0" borderId="0" xfId="6" applyNumberFormat="1" applyFont="1"/>
    <xf numFmtId="165" fontId="8" fillId="0" borderId="0" xfId="5" applyNumberFormat="1" applyFont="1"/>
    <xf numFmtId="165" fontId="8" fillId="0" borderId="0" xfId="5" applyNumberFormat="1" applyFont="1" applyBorder="1"/>
    <xf numFmtId="164" fontId="8" fillId="0" borderId="0" xfId="6" applyNumberFormat="1" applyFont="1" applyBorder="1"/>
    <xf numFmtId="165" fontId="4" fillId="0" borderId="5" xfId="5" applyNumberFormat="1" applyFont="1" applyBorder="1" applyAlignment="1">
      <alignment horizontal="center"/>
    </xf>
    <xf numFmtId="165" fontId="4" fillId="0" borderId="1" xfId="5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165" fontId="22" fillId="0" borderId="0" xfId="1" applyNumberFormat="1" applyFont="1" applyAlignment="1">
      <alignment vertical="center"/>
    </xf>
    <xf numFmtId="164" fontId="4" fillId="0" borderId="0" xfId="5" applyNumberFormat="1" applyFont="1" applyBorder="1"/>
    <xf numFmtId="164" fontId="4" fillId="0" borderId="0" xfId="2" applyNumberFormat="1" applyFont="1" applyBorder="1"/>
    <xf numFmtId="9" fontId="4" fillId="0" borderId="0" xfId="3" applyFont="1"/>
    <xf numFmtId="42" fontId="4" fillId="0" borderId="0" xfId="0" applyNumberFormat="1" applyFont="1"/>
    <xf numFmtId="165" fontId="4" fillId="0" borderId="0" xfId="1" applyNumberFormat="1" applyFont="1" applyAlignment="1">
      <alignment horizontal="right" vertical="center"/>
    </xf>
    <xf numFmtId="10" fontId="4" fillId="0" borderId="0" xfId="0" applyNumberFormat="1" applyFont="1"/>
    <xf numFmtId="164" fontId="8" fillId="0" borderId="9" xfId="6" applyNumberFormat="1" applyFont="1" applyBorder="1"/>
    <xf numFmtId="164" fontId="8" fillId="0" borderId="0" xfId="4" applyNumberFormat="1" applyFont="1" applyAlignment="1">
      <alignment horizontal="left" indent="1"/>
    </xf>
    <xf numFmtId="10" fontId="8" fillId="0" borderId="0" xfId="0" applyNumberFormat="1" applyFont="1"/>
    <xf numFmtId="49" fontId="4" fillId="0" borderId="0" xfId="0" applyNumberFormat="1" applyFont="1" applyAlignment="1">
      <alignment horizontal="center"/>
    </xf>
    <xf numFmtId="165" fontId="4" fillId="0" borderId="0" xfId="1" applyNumberFormat="1" applyFont="1" applyAlignment="1">
      <alignment horizontal="right"/>
    </xf>
    <xf numFmtId="43" fontId="4" fillId="0" borderId="0" xfId="1" applyFont="1" applyAlignment="1">
      <alignment horizontal="right"/>
    </xf>
    <xf numFmtId="165" fontId="4" fillId="0" borderId="0" xfId="1" applyNumberFormat="1" applyFont="1" applyAlignment="1">
      <alignment horizontal="right" wrapText="1"/>
    </xf>
    <xf numFmtId="43" fontId="4" fillId="0" borderId="0" xfId="1" applyFont="1" applyAlignment="1">
      <alignment horizontal="right" wrapText="1"/>
    </xf>
    <xf numFmtId="49" fontId="8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65" fontId="8" fillId="0" borderId="0" xfId="1" applyNumberFormat="1" applyFont="1" applyAlignment="1">
      <alignment horizontal="right" wrapText="1"/>
    </xf>
    <xf numFmtId="43" fontId="8" fillId="0" borderId="0" xfId="1" applyFont="1" applyAlignment="1">
      <alignment horizontal="right" wrapText="1"/>
    </xf>
    <xf numFmtId="165" fontId="4" fillId="0" borderId="0" xfId="1" applyNumberFormat="1" applyFont="1" applyBorder="1" applyAlignment="1">
      <alignment vertical="center"/>
    </xf>
    <xf numFmtId="165" fontId="10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center" vertical="center"/>
    </xf>
    <xf numFmtId="165" fontId="10" fillId="0" borderId="0" xfId="1" applyNumberFormat="1" applyFont="1" applyBorder="1" applyAlignment="1">
      <alignment horizontal="center" vertical="center"/>
    </xf>
    <xf numFmtId="172" fontId="4" fillId="0" borderId="0" xfId="1" applyNumberFormat="1" applyFont="1" applyBorder="1"/>
    <xf numFmtId="172" fontId="10" fillId="0" borderId="0" xfId="1" applyNumberFormat="1" applyFont="1" applyBorder="1"/>
    <xf numFmtId="172" fontId="0" fillId="0" borderId="0" xfId="1" applyNumberFormat="1" applyFont="1" applyBorder="1"/>
    <xf numFmtId="43" fontId="0" fillId="0" borderId="0" xfId="1" applyFont="1" applyBorder="1"/>
    <xf numFmtId="165" fontId="10" fillId="0" borderId="0" xfId="1" applyNumberFormat="1" applyFont="1"/>
    <xf numFmtId="164" fontId="4" fillId="0" borderId="0" xfId="6" applyNumberFormat="1" applyFont="1" applyBorder="1" applyAlignment="1">
      <alignment horizontal="right"/>
    </xf>
    <xf numFmtId="173" fontId="4" fillId="0" borderId="0" xfId="3" applyNumberFormat="1" applyFont="1" applyBorder="1"/>
    <xf numFmtId="10" fontId="4" fillId="0" borderId="0" xfId="3" applyNumberFormat="1" applyFont="1" applyBorder="1" applyAlignment="1"/>
    <xf numFmtId="43" fontId="4" fillId="0" borderId="0" xfId="1" applyFont="1" applyBorder="1" applyAlignment="1">
      <alignment vertical="center"/>
    </xf>
    <xf numFmtId="172" fontId="4" fillId="0" borderId="0" xfId="1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8" fontId="25" fillId="0" borderId="0" xfId="0" applyNumberFormat="1" applyFont="1"/>
    <xf numFmtId="0" fontId="25" fillId="0" borderId="0" xfId="0" applyFont="1" applyAlignment="1">
      <alignment horizontal="center"/>
    </xf>
    <xf numFmtId="0" fontId="9" fillId="0" borderId="0" xfId="1" applyNumberFormat="1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165" fontId="0" fillId="0" borderId="0" xfId="0" applyNumberFormat="1"/>
    <xf numFmtId="164" fontId="8" fillId="0" borderId="0" xfId="2" applyNumberFormat="1" applyFont="1"/>
    <xf numFmtId="165" fontId="11" fillId="0" borderId="0" xfId="1" applyNumberFormat="1" applyFont="1" applyBorder="1" applyAlignment="1">
      <alignment vertical="center"/>
    </xf>
    <xf numFmtId="168" fontId="4" fillId="0" borderId="0" xfId="5" applyNumberFormat="1" applyFont="1" applyFill="1" applyBorder="1"/>
    <xf numFmtId="164" fontId="4" fillId="0" borderId="0" xfId="0" applyNumberFormat="1" applyFont="1" applyAlignment="1">
      <alignment horizontal="left" indent="1"/>
    </xf>
    <xf numFmtId="165" fontId="4" fillId="0" borderId="11" xfId="5" applyNumberFormat="1" applyFont="1" applyFill="1" applyBorder="1" applyAlignment="1">
      <alignment horizontal="left"/>
    </xf>
    <xf numFmtId="12" fontId="4" fillId="0" borderId="0" xfId="0" applyNumberFormat="1" applyFont="1" applyAlignment="1">
      <alignment horizontal="left"/>
    </xf>
    <xf numFmtId="43" fontId="4" fillId="0" borderId="0" xfId="0" applyNumberFormat="1" applyFont="1"/>
    <xf numFmtId="0" fontId="20" fillId="0" borderId="0" xfId="4" applyFont="1" applyAlignment="1">
      <alignment horizontal="left"/>
    </xf>
    <xf numFmtId="164" fontId="4" fillId="0" borderId="0" xfId="4" applyNumberFormat="1" applyFont="1" applyAlignment="1">
      <alignment horizontal="left" indent="1"/>
    </xf>
    <xf numFmtId="164" fontId="10" fillId="0" borderId="0" xfId="4" applyNumberFormat="1" applyFont="1" applyAlignment="1">
      <alignment horizontal="left" indent="1"/>
    </xf>
    <xf numFmtId="165" fontId="4" fillId="0" borderId="7" xfId="5" applyNumberFormat="1" applyFont="1" applyFill="1" applyBorder="1" applyAlignment="1">
      <alignment horizontal="center"/>
    </xf>
    <xf numFmtId="165" fontId="4" fillId="0" borderId="0" xfId="5" applyNumberFormat="1" applyFont="1" applyFill="1" applyAlignment="1">
      <alignment horizontal="center"/>
    </xf>
    <xf numFmtId="165" fontId="4" fillId="0" borderId="8" xfId="5" applyNumberFormat="1" applyFont="1" applyFill="1" applyBorder="1" applyAlignment="1">
      <alignment horizontal="center"/>
    </xf>
    <xf numFmtId="164" fontId="4" fillId="0" borderId="0" xfId="6" quotePrefix="1" applyNumberFormat="1" applyFont="1" applyFill="1" applyBorder="1" applyAlignment="1">
      <alignment horizontal="center"/>
    </xf>
    <xf numFmtId="165" fontId="4" fillId="0" borderId="0" xfId="5" quotePrefix="1" applyNumberFormat="1" applyFont="1" applyFill="1" applyBorder="1" applyAlignment="1">
      <alignment horizontal="center"/>
    </xf>
    <xf numFmtId="0" fontId="26" fillId="0" borderId="0" xfId="0" applyFont="1"/>
    <xf numFmtId="165" fontId="4" fillId="0" borderId="0" xfId="1" applyNumberFormat="1" applyFont="1" applyFill="1" applyAlignment="1">
      <alignment vertical="center"/>
    </xf>
    <xf numFmtId="165" fontId="4" fillId="0" borderId="0" xfId="1" applyNumberFormat="1" applyFont="1" applyFill="1" applyAlignment="1">
      <alignment horizontal="right" vertical="center"/>
    </xf>
    <xf numFmtId="165" fontId="4" fillId="0" borderId="1" xfId="5" applyNumberFormat="1" applyFont="1" applyFill="1" applyBorder="1"/>
    <xf numFmtId="165" fontId="26" fillId="0" borderId="0" xfId="1" applyNumberFormat="1" applyFont="1" applyAlignment="1">
      <alignment vertical="center"/>
    </xf>
    <xf numFmtId="165" fontId="4" fillId="3" borderId="0" xfId="1" applyNumberFormat="1" applyFont="1" applyFill="1" applyAlignment="1">
      <alignment horizontal="right"/>
    </xf>
    <xf numFmtId="165" fontId="8" fillId="3" borderId="0" xfId="1" applyNumberFormat="1" applyFont="1" applyFill="1" applyAlignment="1">
      <alignment horizontal="right"/>
    </xf>
    <xf numFmtId="165" fontId="4" fillId="0" borderId="0" xfId="1" applyNumberFormat="1" applyFont="1" applyFill="1" applyAlignment="1">
      <alignment horizontal="right"/>
    </xf>
    <xf numFmtId="165" fontId="4" fillId="0" borderId="1" xfId="1" applyNumberFormat="1" applyFont="1" applyFill="1" applyBorder="1"/>
    <xf numFmtId="44" fontId="4" fillId="0" borderId="0" xfId="5" applyNumberFormat="1" applyFont="1" applyFill="1" applyBorder="1"/>
    <xf numFmtId="43" fontId="4" fillId="0" borderId="0" xfId="1" applyFont="1" applyAlignment="1">
      <alignment horizontal="left"/>
    </xf>
    <xf numFmtId="43" fontId="4" fillId="0" borderId="0" xfId="1" quotePrefix="1" applyFont="1" applyAlignment="1">
      <alignment horizontal="left"/>
    </xf>
    <xf numFmtId="44" fontId="4" fillId="0" borderId="0" xfId="2" applyFont="1" applyAlignment="1">
      <alignment horizontal="right"/>
    </xf>
    <xf numFmtId="165" fontId="4" fillId="4" borderId="0" xfId="1" applyNumberFormat="1" applyFont="1" applyFill="1" applyAlignment="1">
      <alignment horizontal="right"/>
    </xf>
    <xf numFmtId="174" fontId="4" fillId="0" borderId="0" xfId="1" applyNumberFormat="1" applyFont="1" applyAlignment="1">
      <alignment horizontal="right"/>
    </xf>
    <xf numFmtId="175" fontId="4" fillId="0" borderId="0" xfId="0" applyNumberFormat="1" applyFont="1"/>
    <xf numFmtId="0" fontId="27" fillId="0" borderId="0" xfId="0" applyFont="1"/>
    <xf numFmtId="0" fontId="26" fillId="0" borderId="0" xfId="0" applyFont="1" applyAlignment="1">
      <alignment horizontal="left"/>
    </xf>
    <xf numFmtId="44" fontId="4" fillId="0" borderId="0" xfId="2" applyFont="1" applyFill="1" applyBorder="1"/>
    <xf numFmtId="44" fontId="4" fillId="0" borderId="0" xfId="2" applyFont="1"/>
    <xf numFmtId="165" fontId="1" fillId="0" borderId="0" xfId="5" applyNumberFormat="1" applyFont="1"/>
    <xf numFmtId="165" fontId="4" fillId="0" borderId="1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centerContinuous" vertical="center"/>
    </xf>
    <xf numFmtId="165" fontId="8" fillId="0" borderId="0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vertical="center"/>
    </xf>
    <xf numFmtId="44" fontId="4" fillId="0" borderId="0" xfId="6" applyFont="1" applyFill="1" applyBorder="1"/>
    <xf numFmtId="165" fontId="10" fillId="0" borderId="0" xfId="1" applyNumberFormat="1" applyFont="1" applyFill="1" applyBorder="1"/>
    <xf numFmtId="167" fontId="4" fillId="0" borderId="0" xfId="3" applyNumberFormat="1" applyFont="1" applyBorder="1"/>
    <xf numFmtId="165" fontId="27" fillId="0" borderId="0" xfId="1" applyNumberFormat="1" applyFont="1" applyBorder="1"/>
    <xf numFmtId="165" fontId="4" fillId="5" borderId="0" xfId="1" applyNumberFormat="1" applyFont="1" applyFill="1" applyBorder="1"/>
    <xf numFmtId="43" fontId="4" fillId="5" borderId="8" xfId="1" quotePrefix="1" applyFont="1" applyFill="1" applyBorder="1" applyAlignment="1">
      <alignment horizontal="center"/>
    </xf>
    <xf numFmtId="44" fontId="4" fillId="5" borderId="7" xfId="1" applyNumberFormat="1" applyFont="1" applyFill="1" applyBorder="1"/>
    <xf numFmtId="44" fontId="4" fillId="5" borderId="0" xfId="1" applyNumberFormat="1" applyFont="1" applyFill="1" applyBorder="1"/>
    <xf numFmtId="10" fontId="4" fillId="5" borderId="0" xfId="3" applyNumberFormat="1" applyFont="1" applyFill="1" applyBorder="1"/>
    <xf numFmtId="165" fontId="8" fillId="0" borderId="0" xfId="0" applyNumberFormat="1" applyFont="1"/>
    <xf numFmtId="44" fontId="8" fillId="0" borderId="0" xfId="0" applyNumberFormat="1" applyFo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3" fontId="12" fillId="0" borderId="0" xfId="0" applyNumberFormat="1" applyFont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/>
    </xf>
    <xf numFmtId="165" fontId="5" fillId="0" borderId="8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165" fontId="11" fillId="0" borderId="7" xfId="5" applyNumberFormat="1" applyFont="1" applyBorder="1" applyAlignment="1">
      <alignment horizontal="center" vertical="center"/>
    </xf>
    <xf numFmtId="165" fontId="11" fillId="0" borderId="8" xfId="5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166" fontId="7" fillId="0" borderId="0" xfId="1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165" fontId="12" fillId="0" borderId="0" xfId="5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horizontal="center"/>
    </xf>
  </cellXfs>
  <cellStyles count="11">
    <cellStyle name="Comma" xfId="1" builtinId="3"/>
    <cellStyle name="Comma 2" xfId="5" xr:uid="{00000000-0005-0000-0000-000001000000}"/>
    <cellStyle name="Comma 3" xfId="9" xr:uid="{00000000-0005-0000-0000-000002000000}"/>
    <cellStyle name="Currency" xfId="2" builtinId="4"/>
    <cellStyle name="Currency 2" xfId="6" xr:uid="{00000000-0005-0000-0000-000004000000}"/>
    <cellStyle name="Currency 3" xfId="10" xr:uid="{00000000-0005-0000-0000-000005000000}"/>
    <cellStyle name="Normal" xfId="0" builtinId="0"/>
    <cellStyle name="Normal 2" xfId="4" xr:uid="{00000000-0005-0000-0000-000007000000}"/>
    <cellStyle name="Normal 3" xfId="8" xr:uid="{00000000-0005-0000-0000-000008000000}"/>
    <cellStyle name="Percent" xfId="3" builtinId="5"/>
    <cellStyle name="Percent 2" xfId="7" xr:uid="{00000000-0005-0000-0000-00000A000000}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8"/>
  <sheetViews>
    <sheetView showGridLines="0" tabSelected="1" workbookViewId="0">
      <selection activeCell="F66" sqref="F66"/>
    </sheetView>
  </sheetViews>
  <sheetFormatPr defaultColWidth="8.77734375" defaultRowHeight="15" x14ac:dyDescent="0.25"/>
  <cols>
    <col min="1" max="1" width="3.6640625" style="5" customWidth="1"/>
    <col min="2" max="2" width="2.6640625" style="5" customWidth="1"/>
    <col min="3" max="3" width="29.44140625" style="5" customWidth="1"/>
    <col min="4" max="4" width="10.6640625" style="5" customWidth="1"/>
    <col min="5" max="5" width="3.6640625" style="4" customWidth="1"/>
    <col min="6" max="6" width="11.5546875" style="5" customWidth="1"/>
    <col min="7" max="7" width="4.109375" style="5" customWidth="1"/>
    <col min="8" max="8" width="10" style="5" customWidth="1"/>
    <col min="9" max="9" width="3.21875" style="5" customWidth="1"/>
    <col min="10" max="10" width="14.5546875" style="5" customWidth="1"/>
    <col min="11" max="12" width="11.33203125" style="5" customWidth="1"/>
    <col min="13" max="13" width="10.88671875" style="5" customWidth="1"/>
    <col min="14" max="16384" width="8.77734375" style="5"/>
  </cols>
  <sheetData>
    <row r="1" spans="1:13" ht="18.75" x14ac:dyDescent="0.25">
      <c r="A1" s="319" t="s">
        <v>27</v>
      </c>
      <c r="B1" s="319"/>
      <c r="C1" s="319"/>
      <c r="D1" s="319"/>
      <c r="E1" s="319"/>
      <c r="F1" s="319"/>
      <c r="G1" s="319"/>
      <c r="H1" s="319"/>
      <c r="I1" s="52"/>
      <c r="J1" s="52"/>
      <c r="K1" s="52"/>
      <c r="L1" s="52"/>
    </row>
    <row r="2" spans="1:13" ht="15.75" x14ac:dyDescent="0.25">
      <c r="A2" s="53" t="s">
        <v>141</v>
      </c>
      <c r="B2" s="51"/>
      <c r="C2" s="51"/>
      <c r="D2" s="51"/>
      <c r="E2" s="298"/>
      <c r="F2" s="51"/>
      <c r="G2" s="51"/>
      <c r="H2" s="51"/>
      <c r="I2" s="52"/>
      <c r="J2" s="52"/>
      <c r="K2" s="52"/>
      <c r="L2" s="52"/>
      <c r="M2" s="52"/>
    </row>
    <row r="3" spans="1:13" x14ac:dyDescent="0.25">
      <c r="A3" s="39"/>
      <c r="B3" s="51"/>
      <c r="C3" s="51"/>
      <c r="D3" s="51"/>
      <c r="E3" s="298"/>
      <c r="F3" s="51"/>
      <c r="G3" s="51"/>
      <c r="H3" s="51"/>
      <c r="I3" s="52"/>
      <c r="J3" s="52"/>
      <c r="K3" s="52"/>
      <c r="L3" s="52"/>
    </row>
    <row r="4" spans="1:13" x14ac:dyDescent="0.25">
      <c r="A4" s="39"/>
      <c r="B4" s="51"/>
      <c r="C4" s="51"/>
      <c r="D4" s="259" t="s">
        <v>28</v>
      </c>
      <c r="E4" s="299"/>
      <c r="F4" s="51"/>
      <c r="G4" s="51"/>
      <c r="H4" s="51"/>
      <c r="I4" s="52"/>
      <c r="J4" s="52"/>
      <c r="K4" s="52"/>
      <c r="L4" s="52"/>
    </row>
    <row r="5" spans="1:13" ht="17.25" x14ac:dyDescent="0.25">
      <c r="A5" s="52"/>
      <c r="B5" s="52"/>
      <c r="C5" s="52"/>
      <c r="D5" s="258">
        <v>2025</v>
      </c>
      <c r="E5" s="300"/>
      <c r="F5" s="54" t="s">
        <v>29</v>
      </c>
      <c r="G5" s="54" t="s">
        <v>30</v>
      </c>
      <c r="H5" s="54" t="s">
        <v>31</v>
      </c>
      <c r="I5" s="52"/>
      <c r="J5" s="66" t="s">
        <v>37</v>
      </c>
      <c r="K5" s="52"/>
      <c r="L5" s="52"/>
    </row>
    <row r="6" spans="1:13" x14ac:dyDescent="0.25">
      <c r="A6" s="55" t="s">
        <v>12</v>
      </c>
      <c r="B6" s="52"/>
      <c r="C6" s="52"/>
      <c r="D6" s="52"/>
      <c r="E6" s="241"/>
      <c r="G6" s="52"/>
      <c r="H6" s="52"/>
      <c r="I6" s="52"/>
      <c r="K6" s="52"/>
      <c r="L6" s="52"/>
    </row>
    <row r="7" spans="1:13" x14ac:dyDescent="0.25">
      <c r="A7" s="52"/>
      <c r="B7" s="52" t="s">
        <v>39</v>
      </c>
      <c r="C7" s="52"/>
      <c r="D7" s="52">
        <f>4282968-4180</f>
        <v>4278788</v>
      </c>
      <c r="E7" s="241"/>
      <c r="F7" s="52">
        <f>ExBA!F14</f>
        <v>136256.71858999971</v>
      </c>
      <c r="G7" s="56" t="s">
        <v>251</v>
      </c>
      <c r="H7" s="52">
        <f>D7+F7</f>
        <v>4415044.7185899997</v>
      </c>
      <c r="I7" s="57"/>
      <c r="J7" s="52" t="s">
        <v>286</v>
      </c>
      <c r="K7" s="52"/>
      <c r="L7" s="52"/>
    </row>
    <row r="8" spans="1:13" x14ac:dyDescent="0.25">
      <c r="A8" s="52"/>
      <c r="B8" s="52" t="s">
        <v>58</v>
      </c>
      <c r="C8" s="52"/>
      <c r="D8" s="52">
        <v>4180</v>
      </c>
      <c r="E8" s="241"/>
      <c r="F8" s="52"/>
      <c r="G8" s="56"/>
      <c r="H8" s="52">
        <f>D8+F8</f>
        <v>4180</v>
      </c>
      <c r="I8" s="58"/>
      <c r="J8" s="50"/>
      <c r="K8" s="52"/>
      <c r="L8" s="52"/>
    </row>
    <row r="9" spans="1:13" x14ac:dyDescent="0.25">
      <c r="A9" s="52"/>
      <c r="B9" s="52" t="s">
        <v>13</v>
      </c>
      <c r="C9" s="52"/>
      <c r="D9" s="52">
        <v>17878</v>
      </c>
      <c r="E9" s="241"/>
      <c r="F9" s="52"/>
      <c r="G9" s="56"/>
      <c r="H9" s="52">
        <f>D9+F9</f>
        <v>17878</v>
      </c>
      <c r="I9" s="57"/>
      <c r="J9" s="59"/>
      <c r="K9" s="52"/>
    </row>
    <row r="10" spans="1:13" x14ac:dyDescent="0.25">
      <c r="A10" s="52"/>
      <c r="B10" s="52" t="s">
        <v>257</v>
      </c>
      <c r="C10" s="52"/>
      <c r="D10" s="52"/>
      <c r="E10" s="241"/>
      <c r="F10" s="52"/>
      <c r="G10" s="56"/>
      <c r="H10" s="52">
        <f t="shared" ref="H10" si="0">D10+F10</f>
        <v>0</v>
      </c>
      <c r="I10" s="57"/>
      <c r="J10" s="59"/>
      <c r="K10" s="52"/>
    </row>
    <row r="11" spans="1:13" x14ac:dyDescent="0.25">
      <c r="A11" s="52"/>
      <c r="B11" s="52" t="s">
        <v>14</v>
      </c>
      <c r="C11" s="52"/>
      <c r="D11" s="52"/>
      <c r="E11" s="241"/>
      <c r="F11" s="52"/>
      <c r="G11" s="56"/>
      <c r="H11" s="52"/>
      <c r="I11" s="60"/>
      <c r="J11" s="52"/>
      <c r="K11" s="52"/>
      <c r="L11" s="52"/>
    </row>
    <row r="12" spans="1:13" x14ac:dyDescent="0.25">
      <c r="A12" s="52"/>
      <c r="B12" s="52"/>
      <c r="C12" s="52" t="s">
        <v>38</v>
      </c>
      <c r="D12" s="52">
        <v>52076</v>
      </c>
      <c r="E12" s="241"/>
      <c r="F12" s="52"/>
      <c r="G12" s="56"/>
      <c r="H12" s="52">
        <f>D12+F12</f>
        <v>52076</v>
      </c>
      <c r="I12" s="57"/>
      <c r="J12" s="52"/>
      <c r="K12" s="52"/>
      <c r="L12" s="52"/>
    </row>
    <row r="13" spans="1:13" x14ac:dyDescent="0.25">
      <c r="A13" s="52"/>
      <c r="B13" s="52"/>
      <c r="C13" s="52" t="s">
        <v>255</v>
      </c>
      <c r="D13" s="52">
        <v>31182</v>
      </c>
      <c r="E13" s="241"/>
      <c r="F13" s="52"/>
      <c r="G13" s="56"/>
      <c r="H13" s="52">
        <f>D13+F13</f>
        <v>31182</v>
      </c>
      <c r="I13" s="57"/>
      <c r="J13" s="52"/>
      <c r="K13" s="52"/>
      <c r="L13" s="52"/>
    </row>
    <row r="14" spans="1:13" x14ac:dyDescent="0.25">
      <c r="A14" s="52"/>
      <c r="B14" s="52"/>
      <c r="C14" s="52" t="s">
        <v>256</v>
      </c>
      <c r="D14" s="52"/>
      <c r="E14" s="241"/>
      <c r="F14" s="52"/>
      <c r="G14" s="56"/>
      <c r="H14" s="52">
        <f>D14+F14</f>
        <v>0</v>
      </c>
      <c r="I14" s="57"/>
      <c r="J14" s="52"/>
      <c r="K14" s="52"/>
      <c r="L14" s="52"/>
    </row>
    <row r="15" spans="1:13" x14ac:dyDescent="0.25">
      <c r="A15" s="61" t="s">
        <v>15</v>
      </c>
      <c r="B15" s="52"/>
      <c r="C15" s="52"/>
      <c r="D15" s="61">
        <f>SUM(D7:D14)</f>
        <v>4384104</v>
      </c>
      <c r="E15" s="301"/>
      <c r="F15" s="52">
        <f>SUM(F7:F12)</f>
        <v>136256.71858999971</v>
      </c>
      <c r="G15" s="56"/>
      <c r="H15" s="61">
        <f>SUM(H7:H14)</f>
        <v>4520360.7185899997</v>
      </c>
      <c r="I15" s="60"/>
      <c r="K15" s="52"/>
      <c r="L15" s="52"/>
    </row>
    <row r="16" spans="1:13" x14ac:dyDescent="0.25">
      <c r="A16" s="52"/>
      <c r="B16" s="52"/>
      <c r="C16" s="52"/>
      <c r="D16" s="52"/>
      <c r="E16" s="241"/>
      <c r="F16" s="52"/>
      <c r="G16" s="56"/>
      <c r="H16" s="52"/>
      <c r="I16" s="60"/>
      <c r="J16" s="52"/>
      <c r="K16" s="52"/>
      <c r="L16" s="52"/>
    </row>
    <row r="17" spans="1:12" x14ac:dyDescent="0.25">
      <c r="A17" s="55" t="s">
        <v>16</v>
      </c>
      <c r="B17" s="52"/>
      <c r="C17" s="52"/>
      <c r="D17" s="52"/>
      <c r="E17" s="241"/>
      <c r="F17" s="52"/>
      <c r="G17" s="56"/>
      <c r="H17" s="52"/>
      <c r="I17" s="60"/>
      <c r="J17" s="52"/>
      <c r="K17" s="52"/>
      <c r="L17" s="52"/>
    </row>
    <row r="18" spans="1:12" x14ac:dyDescent="0.25">
      <c r="A18" s="52"/>
      <c r="B18" s="52" t="s">
        <v>32</v>
      </c>
      <c r="C18" s="52"/>
      <c r="D18" s="52"/>
      <c r="E18" s="241"/>
      <c r="F18" s="52"/>
      <c r="G18" s="56"/>
      <c r="H18" s="52"/>
      <c r="I18" s="60"/>
      <c r="J18" s="52"/>
      <c r="K18" s="52"/>
      <c r="L18" s="52"/>
    </row>
    <row r="19" spans="1:12" x14ac:dyDescent="0.25">
      <c r="A19" s="52"/>
      <c r="B19" s="52"/>
      <c r="C19" s="52" t="s">
        <v>2</v>
      </c>
      <c r="D19" s="52">
        <v>831828</v>
      </c>
      <c r="E19" s="241"/>
      <c r="F19" s="52">
        <f>Wages!I31</f>
        <v>8148.4599999998463</v>
      </c>
      <c r="G19" s="62" t="s">
        <v>139</v>
      </c>
      <c r="H19" s="52"/>
      <c r="I19" s="57"/>
      <c r="J19" s="52" t="s">
        <v>287</v>
      </c>
      <c r="K19" s="52"/>
      <c r="L19" s="52"/>
    </row>
    <row r="20" spans="1:12" x14ac:dyDescent="0.25">
      <c r="A20" s="52"/>
      <c r="B20" s="52"/>
      <c r="C20" s="52"/>
      <c r="D20" s="52"/>
      <c r="E20" s="241"/>
      <c r="F20" s="278">
        <f>-Capital!C5</f>
        <v>-15169.8</v>
      </c>
      <c r="G20" s="62" t="s">
        <v>139</v>
      </c>
      <c r="H20" s="52"/>
      <c r="I20" s="57"/>
      <c r="J20" s="52" t="s">
        <v>311</v>
      </c>
      <c r="K20" s="52"/>
      <c r="L20" s="52"/>
    </row>
    <row r="21" spans="1:12" x14ac:dyDescent="0.25">
      <c r="A21" s="52"/>
      <c r="B21" s="52"/>
      <c r="C21" s="52"/>
      <c r="D21" s="52"/>
      <c r="E21" s="241"/>
      <c r="F21" s="226"/>
      <c r="G21" s="62"/>
      <c r="H21" s="52">
        <f>D19+F19+F20</f>
        <v>824806.6599999998</v>
      </c>
      <c r="I21" s="57"/>
      <c r="J21" s="52"/>
      <c r="K21" s="52"/>
      <c r="L21" s="52"/>
    </row>
    <row r="22" spans="1:12" x14ac:dyDescent="0.25">
      <c r="A22" s="52"/>
      <c r="B22" s="52"/>
      <c r="C22" s="52" t="s">
        <v>3</v>
      </c>
      <c r="D22" s="52">
        <v>30000</v>
      </c>
      <c r="E22" s="241"/>
      <c r="F22" s="52"/>
      <c r="G22" s="56"/>
      <c r="H22" s="52">
        <f t="shared" ref="H22:H40" si="1">D22+F22</f>
        <v>30000</v>
      </c>
      <c r="I22" s="57"/>
    </row>
    <row r="23" spans="1:12" x14ac:dyDescent="0.25">
      <c r="A23" s="52"/>
      <c r="B23" s="52"/>
      <c r="C23" s="52" t="s">
        <v>4</v>
      </c>
      <c r="D23" s="241"/>
      <c r="E23" s="241"/>
      <c r="F23" s="277">
        <f>Medical!C21</f>
        <v>23396.079999999998</v>
      </c>
      <c r="G23" s="62" t="s">
        <v>139</v>
      </c>
      <c r="H23" s="52"/>
      <c r="I23" s="57"/>
      <c r="J23" s="277" t="s">
        <v>81</v>
      </c>
      <c r="K23" s="280"/>
      <c r="L23" s="52"/>
    </row>
    <row r="24" spans="1:12" x14ac:dyDescent="0.25">
      <c r="A24" s="52"/>
      <c r="B24" s="52"/>
      <c r="C24" s="52"/>
      <c r="D24" s="52"/>
      <c r="E24" s="241"/>
      <c r="F24" s="52">
        <f>Wages!I43</f>
        <v>-6434.4714749999985</v>
      </c>
      <c r="G24" s="62" t="s">
        <v>139</v>
      </c>
      <c r="H24" s="52"/>
      <c r="I24" s="57"/>
      <c r="J24" s="52" t="s">
        <v>313</v>
      </c>
      <c r="K24" s="52"/>
      <c r="L24" s="52"/>
    </row>
    <row r="25" spans="1:12" x14ac:dyDescent="0.25">
      <c r="A25" s="52"/>
      <c r="B25" s="52"/>
      <c r="C25" s="52"/>
      <c r="D25" s="52"/>
      <c r="E25" s="241"/>
      <c r="F25" s="221"/>
      <c r="G25" s="62" t="s">
        <v>139</v>
      </c>
      <c r="H25" s="241">
        <f>D23+F23+F24</f>
        <v>16961.608525</v>
      </c>
      <c r="I25" s="57"/>
      <c r="J25" s="52" t="s">
        <v>323</v>
      </c>
      <c r="K25" s="52"/>
      <c r="L25" s="52"/>
    </row>
    <row r="26" spans="1:12" x14ac:dyDescent="0.25">
      <c r="A26" s="52"/>
      <c r="B26" s="52"/>
      <c r="C26" s="52" t="s">
        <v>5</v>
      </c>
      <c r="D26" s="52">
        <v>1298138</v>
      </c>
      <c r="E26" s="241"/>
      <c r="F26" s="226">
        <f>-D26*'Water Loss '!D16</f>
        <v>-20133.408852365825</v>
      </c>
      <c r="G26" s="62" t="s">
        <v>138</v>
      </c>
      <c r="H26" s="52"/>
      <c r="I26" s="63"/>
      <c r="J26" s="5" t="s">
        <v>200</v>
      </c>
    </row>
    <row r="27" spans="1:12" x14ac:dyDescent="0.25">
      <c r="A27" s="52"/>
      <c r="B27" s="52"/>
      <c r="C27" s="52" t="s">
        <v>5</v>
      </c>
      <c r="D27" s="52"/>
      <c r="E27" s="241"/>
      <c r="F27" s="226">
        <f>'Water Loss '!H6</f>
        <v>245990.05999999997</v>
      </c>
      <c r="G27" s="62" t="s">
        <v>138</v>
      </c>
      <c r="H27" s="52">
        <f>D26+F26+F27</f>
        <v>1523994.6511476343</v>
      </c>
      <c r="I27" s="63"/>
      <c r="J27" s="5" t="s">
        <v>330</v>
      </c>
    </row>
    <row r="28" spans="1:12" x14ac:dyDescent="0.25">
      <c r="A28" s="52"/>
      <c r="B28" s="52"/>
      <c r="C28" s="52" t="s">
        <v>6</v>
      </c>
      <c r="D28" s="52">
        <v>95140</v>
      </c>
      <c r="E28" s="241"/>
      <c r="F28" s="226">
        <f>-D28*'Water Loss '!D16</f>
        <v>-1475.5692524323952</v>
      </c>
      <c r="G28" s="62" t="s">
        <v>138</v>
      </c>
      <c r="H28" s="52">
        <f t="shared" si="1"/>
        <v>93664.430747567603</v>
      </c>
      <c r="I28" s="64"/>
      <c r="J28" s="5" t="s">
        <v>200</v>
      </c>
      <c r="K28" s="52"/>
      <c r="L28" s="52"/>
    </row>
    <row r="29" spans="1:12" x14ac:dyDescent="0.25">
      <c r="A29" s="52"/>
      <c r="B29" s="52"/>
      <c r="C29" s="52" t="s">
        <v>317</v>
      </c>
      <c r="D29" s="52">
        <v>266707</v>
      </c>
      <c r="E29" s="241"/>
      <c r="F29" s="52"/>
      <c r="G29" s="62"/>
      <c r="H29" s="52">
        <f t="shared" si="1"/>
        <v>266707</v>
      </c>
      <c r="I29" s="64"/>
      <c r="K29" s="52"/>
      <c r="L29" s="52"/>
    </row>
    <row r="30" spans="1:12" x14ac:dyDescent="0.25">
      <c r="A30" s="52"/>
      <c r="B30" s="52"/>
      <c r="C30" s="52" t="s">
        <v>318</v>
      </c>
      <c r="D30" s="52">
        <v>2884</v>
      </c>
      <c r="E30" s="241"/>
      <c r="F30" s="52"/>
      <c r="G30" s="62"/>
      <c r="H30" s="52">
        <f t="shared" si="1"/>
        <v>2884</v>
      </c>
      <c r="I30" s="64"/>
      <c r="K30" s="52"/>
      <c r="L30" s="52"/>
    </row>
    <row r="31" spans="1:12" x14ac:dyDescent="0.25">
      <c r="A31" s="52"/>
      <c r="B31" s="52"/>
      <c r="C31" s="52" t="s">
        <v>319</v>
      </c>
      <c r="D31" s="52">
        <v>77388</v>
      </c>
      <c r="E31" s="241"/>
      <c r="F31" s="52"/>
      <c r="G31" s="62"/>
      <c r="H31" s="52">
        <f t="shared" si="1"/>
        <v>77388</v>
      </c>
      <c r="I31" s="57"/>
      <c r="J31" s="52"/>
      <c r="K31" s="52"/>
      <c r="L31" s="52"/>
    </row>
    <row r="32" spans="1:12" x14ac:dyDescent="0.25">
      <c r="A32" s="52"/>
      <c r="B32" s="52"/>
      <c r="C32" s="52" t="s">
        <v>320</v>
      </c>
      <c r="D32" s="52">
        <f>293188</f>
        <v>293188</v>
      </c>
      <c r="E32" s="241"/>
      <c r="F32" s="52"/>
      <c r="G32" s="62"/>
      <c r="H32" s="52">
        <f t="shared" si="1"/>
        <v>293188</v>
      </c>
      <c r="I32" s="57"/>
      <c r="K32" s="52"/>
      <c r="L32" s="52"/>
    </row>
    <row r="33" spans="1:12" x14ac:dyDescent="0.25">
      <c r="A33" s="52"/>
      <c r="B33" s="52"/>
      <c r="C33" s="52" t="s">
        <v>321</v>
      </c>
      <c r="D33" s="52">
        <v>59568</v>
      </c>
      <c r="E33" s="241"/>
      <c r="F33" s="277">
        <f>-Capital!C6</f>
        <v>-35396.199999999997</v>
      </c>
      <c r="G33" s="62" t="s">
        <v>140</v>
      </c>
      <c r="H33" s="52">
        <f>D33+F33</f>
        <v>24171.800000000003</v>
      </c>
      <c r="I33" s="57"/>
      <c r="J33" s="52" t="s">
        <v>325</v>
      </c>
      <c r="K33" s="52"/>
      <c r="L33" s="52"/>
    </row>
    <row r="34" spans="1:12" x14ac:dyDescent="0.25">
      <c r="A34" s="52"/>
      <c r="B34" s="52"/>
      <c r="C34" s="52" t="s">
        <v>8</v>
      </c>
      <c r="D34" s="52">
        <v>35783</v>
      </c>
      <c r="E34" s="241"/>
      <c r="F34" s="52"/>
      <c r="G34" s="62"/>
      <c r="H34" s="52">
        <f t="shared" si="1"/>
        <v>35783</v>
      </c>
      <c r="I34" s="60"/>
      <c r="J34" s="52"/>
      <c r="K34" s="52"/>
      <c r="L34" s="52"/>
    </row>
    <row r="35" spans="1:12" x14ac:dyDescent="0.25">
      <c r="A35" s="52"/>
      <c r="B35" s="52"/>
      <c r="C35" s="52" t="s">
        <v>110</v>
      </c>
      <c r="D35" s="52">
        <v>56321</v>
      </c>
      <c r="E35" s="241"/>
      <c r="F35" s="52"/>
      <c r="G35" s="62"/>
      <c r="H35" s="52">
        <f t="shared" si="1"/>
        <v>56321</v>
      </c>
      <c r="I35" s="60"/>
      <c r="J35" s="52"/>
      <c r="K35" s="52"/>
      <c r="L35" s="52"/>
    </row>
    <row r="36" spans="1:12" x14ac:dyDescent="0.25">
      <c r="A36" s="52"/>
      <c r="B36" s="52"/>
      <c r="C36" s="52" t="s">
        <v>33</v>
      </c>
      <c r="D36" s="52">
        <f>-4211+7711</f>
        <v>3500</v>
      </c>
      <c r="E36" s="241"/>
      <c r="F36" s="52"/>
      <c r="G36" s="62"/>
      <c r="H36" s="52">
        <f t="shared" si="1"/>
        <v>3500</v>
      </c>
      <c r="I36" s="60"/>
      <c r="J36" s="52"/>
      <c r="K36" s="52"/>
      <c r="L36" s="52"/>
    </row>
    <row r="37" spans="1:12" x14ac:dyDescent="0.25">
      <c r="A37" s="52"/>
      <c r="B37" s="52"/>
      <c r="C37" s="52" t="s">
        <v>59</v>
      </c>
      <c r="D37" s="52">
        <v>123716</v>
      </c>
      <c r="E37" s="241"/>
      <c r="F37" s="277"/>
      <c r="G37" s="62"/>
      <c r="H37" s="52">
        <f t="shared" si="1"/>
        <v>123716</v>
      </c>
      <c r="I37" s="60"/>
      <c r="J37" s="277"/>
      <c r="K37" s="52"/>
      <c r="L37" s="52"/>
    </row>
    <row r="38" spans="1:12" x14ac:dyDescent="0.25">
      <c r="A38" s="52"/>
      <c r="B38" s="52"/>
      <c r="C38" s="52" t="s">
        <v>322</v>
      </c>
      <c r="D38" s="52">
        <v>60463</v>
      </c>
      <c r="E38" s="241"/>
      <c r="F38" s="52">
        <f>Wages!I37</f>
        <v>6090.1991899999848</v>
      </c>
      <c r="G38" s="56" t="s">
        <v>144</v>
      </c>
      <c r="H38" s="52">
        <f t="shared" si="1"/>
        <v>66553.199189999985</v>
      </c>
      <c r="I38" s="60"/>
      <c r="J38" s="52" t="s">
        <v>104</v>
      </c>
      <c r="K38" s="52"/>
      <c r="L38" s="52"/>
    </row>
    <row r="39" spans="1:12" x14ac:dyDescent="0.25">
      <c r="A39" s="52"/>
      <c r="B39" s="52"/>
      <c r="C39" s="52" t="s">
        <v>292</v>
      </c>
      <c r="D39" s="52">
        <v>0</v>
      </c>
      <c r="E39" s="241"/>
      <c r="F39" s="52">
        <v>3112</v>
      </c>
      <c r="G39" s="56" t="s">
        <v>187</v>
      </c>
      <c r="H39" s="52">
        <f t="shared" si="1"/>
        <v>3112</v>
      </c>
      <c r="I39" s="60"/>
      <c r="J39" s="52" t="s">
        <v>293</v>
      </c>
      <c r="K39" s="52"/>
      <c r="L39" s="52"/>
    </row>
    <row r="40" spans="1:12" ht="17.25" x14ac:dyDescent="0.25">
      <c r="A40" s="52"/>
      <c r="B40" s="52"/>
      <c r="C40" s="52" t="s">
        <v>7</v>
      </c>
      <c r="D40" s="297"/>
      <c r="E40" s="241"/>
      <c r="F40" s="297"/>
      <c r="G40" s="111"/>
      <c r="H40" s="242">
        <f t="shared" si="1"/>
        <v>0</v>
      </c>
      <c r="I40" s="60"/>
      <c r="J40" s="52"/>
      <c r="K40" s="52"/>
      <c r="L40" s="52"/>
    </row>
    <row r="41" spans="1:12" x14ac:dyDescent="0.25">
      <c r="A41" s="52"/>
      <c r="B41" s="52" t="s">
        <v>34</v>
      </c>
      <c r="C41" s="52"/>
      <c r="D41" s="61">
        <f>SUM(D19:D40)</f>
        <v>3234624</v>
      </c>
      <c r="E41" s="301"/>
      <c r="F41" s="52">
        <f>SUM(F19:F40)</f>
        <v>208127.34961020158</v>
      </c>
      <c r="G41" s="243"/>
      <c r="H41" s="52">
        <f>SUM(H19:H40)</f>
        <v>3442751.3496102015</v>
      </c>
      <c r="I41" s="60"/>
      <c r="J41" s="52"/>
      <c r="K41" s="52"/>
      <c r="L41" s="52"/>
    </row>
    <row r="42" spans="1:12" ht="4.1500000000000004" customHeight="1" x14ac:dyDescent="0.25">
      <c r="A42" s="52"/>
      <c r="B42" s="52"/>
      <c r="C42" s="52"/>
      <c r="D42" s="52"/>
      <c r="E42" s="241"/>
      <c r="F42" s="52"/>
      <c r="G42" s="56"/>
      <c r="H42" s="52"/>
      <c r="I42" s="60"/>
      <c r="J42" s="52"/>
      <c r="K42" s="52"/>
      <c r="L42" s="52"/>
    </row>
    <row r="43" spans="1:12" x14ac:dyDescent="0.25">
      <c r="A43" s="52"/>
      <c r="B43" s="52" t="s">
        <v>17</v>
      </c>
      <c r="C43" s="52"/>
      <c r="D43" s="52">
        <v>717751</v>
      </c>
      <c r="E43" s="241"/>
      <c r="F43" s="52">
        <f>Depreciation!K40</f>
        <v>-186833.62033761901</v>
      </c>
      <c r="G43" s="56" t="s">
        <v>196</v>
      </c>
      <c r="H43" s="52">
        <f t="shared" ref="H43:H44" si="2">D43+F43</f>
        <v>530917.37966238102</v>
      </c>
      <c r="I43" s="60"/>
      <c r="J43" s="52" t="s">
        <v>188</v>
      </c>
      <c r="K43" s="52"/>
    </row>
    <row r="44" spans="1:12" ht="17.25" x14ac:dyDescent="0.25">
      <c r="A44" s="52"/>
      <c r="B44" s="52" t="s">
        <v>1</v>
      </c>
      <c r="C44" s="52"/>
      <c r="D44" s="242">
        <v>74436</v>
      </c>
      <c r="E44" s="242"/>
      <c r="F44" s="242"/>
      <c r="G44" s="243"/>
      <c r="H44" s="242">
        <f t="shared" si="2"/>
        <v>74436</v>
      </c>
      <c r="I44" s="60"/>
      <c r="K44" s="52"/>
    </row>
    <row r="45" spans="1:12" ht="17.25" x14ac:dyDescent="0.25">
      <c r="A45" s="61" t="s">
        <v>0</v>
      </c>
      <c r="B45" s="52"/>
      <c r="C45" s="52"/>
      <c r="D45" s="262">
        <f>SUM(D41:D44)</f>
        <v>4026811</v>
      </c>
      <c r="E45" s="262"/>
      <c r="F45" s="242">
        <f>SUM(F41:F44)</f>
        <v>21293.729272582568</v>
      </c>
      <c r="G45" s="244"/>
      <c r="H45" s="262">
        <f>SUM(H41:H44)</f>
        <v>4048104.7292725826</v>
      </c>
      <c r="I45" s="60"/>
      <c r="J45" s="52"/>
      <c r="K45" s="52"/>
      <c r="L45" s="52"/>
    </row>
    <row r="46" spans="1:12" ht="4.1500000000000004" customHeight="1" x14ac:dyDescent="0.25">
      <c r="A46" s="61"/>
      <c r="B46" s="52"/>
      <c r="C46" s="52"/>
      <c r="D46" s="52"/>
      <c r="E46" s="241"/>
      <c r="F46" s="52"/>
      <c r="G46" s="56"/>
      <c r="H46" s="52"/>
      <c r="I46" s="52"/>
      <c r="J46" s="52"/>
      <c r="K46" s="52"/>
      <c r="L46" s="52"/>
    </row>
    <row r="47" spans="1:12" x14ac:dyDescent="0.25">
      <c r="A47" s="61" t="s">
        <v>35</v>
      </c>
      <c r="B47" s="52"/>
      <c r="C47" s="52"/>
      <c r="D47" s="61">
        <f>D15-D45</f>
        <v>357293</v>
      </c>
      <c r="E47" s="301"/>
      <c r="F47" s="52">
        <f>F15-F45</f>
        <v>114962.98931741714</v>
      </c>
      <c r="G47" s="56"/>
      <c r="H47" s="61">
        <f>H15-H45</f>
        <v>472255.98931741714</v>
      </c>
      <c r="I47" s="52"/>
      <c r="J47" s="52"/>
      <c r="L47" s="52"/>
    </row>
    <row r="48" spans="1:12" x14ac:dyDescent="0.25">
      <c r="A48" s="61"/>
      <c r="B48" s="52"/>
      <c r="C48" s="52"/>
      <c r="D48" s="61"/>
      <c r="E48" s="301"/>
      <c r="F48" s="52"/>
      <c r="G48" s="56"/>
      <c r="H48" s="61"/>
      <c r="I48" s="52"/>
      <c r="J48" s="52"/>
      <c r="L48" s="52"/>
    </row>
    <row r="49" spans="1:12" x14ac:dyDescent="0.25">
      <c r="A49" s="52"/>
      <c r="B49" s="52"/>
      <c r="C49" s="52"/>
      <c r="D49" s="52"/>
      <c r="E49" s="241"/>
      <c r="F49" s="52"/>
      <c r="G49" s="56"/>
      <c r="H49" s="52"/>
      <c r="I49" s="52"/>
      <c r="J49" s="52"/>
      <c r="K49" s="52"/>
      <c r="L49" s="52"/>
    </row>
    <row r="50" spans="1:12" ht="18.75" x14ac:dyDescent="0.25">
      <c r="A50" s="319" t="s">
        <v>18</v>
      </c>
      <c r="B50" s="319"/>
      <c r="C50" s="319"/>
      <c r="D50" s="319"/>
      <c r="E50" s="319"/>
      <c r="F50" s="319"/>
      <c r="G50" s="319"/>
      <c r="H50" s="319"/>
      <c r="I50" s="52"/>
      <c r="J50" s="65"/>
      <c r="K50" s="66"/>
      <c r="L50" s="52"/>
    </row>
    <row r="51" spans="1:12" x14ac:dyDescent="0.25">
      <c r="A51" s="61" t="s">
        <v>36</v>
      </c>
      <c r="B51" s="52"/>
      <c r="C51" s="52"/>
      <c r="D51" s="67"/>
      <c r="E51" s="107"/>
      <c r="F51" s="52"/>
      <c r="G51" s="62"/>
      <c r="H51" s="5">
        <f>H45</f>
        <v>4048104.7292725826</v>
      </c>
      <c r="I51" s="52"/>
      <c r="K51" s="52"/>
      <c r="L51" s="52"/>
    </row>
    <row r="52" spans="1:12" x14ac:dyDescent="0.25">
      <c r="A52" s="52" t="s">
        <v>19</v>
      </c>
      <c r="B52" s="52"/>
      <c r="C52" s="52" t="s">
        <v>185</v>
      </c>
      <c r="D52" s="67"/>
      <c r="E52" s="107"/>
      <c r="F52" s="52"/>
      <c r="G52" s="62" t="s">
        <v>199</v>
      </c>
      <c r="H52" s="5">
        <f>'Debt Service'!M22</f>
        <v>574623.68279999995</v>
      </c>
      <c r="I52" s="52"/>
      <c r="J52" s="16" t="s">
        <v>289</v>
      </c>
      <c r="K52" s="52"/>
      <c r="L52" s="52"/>
    </row>
    <row r="53" spans="1:12" ht="17.25" x14ac:dyDescent="0.4">
      <c r="A53" s="52"/>
      <c r="B53" s="67"/>
      <c r="C53" s="67" t="s">
        <v>186</v>
      </c>
      <c r="D53" s="67"/>
      <c r="E53" s="107"/>
      <c r="F53" s="52"/>
      <c r="G53" s="62" t="s">
        <v>215</v>
      </c>
      <c r="H53" s="249">
        <f>'Debt Service'!M24</f>
        <v>114924.73655999999</v>
      </c>
      <c r="I53" s="52"/>
      <c r="J53" s="92" t="s">
        <v>290</v>
      </c>
      <c r="K53" s="52"/>
      <c r="L53" s="52"/>
    </row>
    <row r="54" spans="1:12" x14ac:dyDescent="0.25">
      <c r="A54" s="61" t="s">
        <v>62</v>
      </c>
      <c r="B54" s="52"/>
      <c r="C54" s="52"/>
      <c r="D54" s="67"/>
      <c r="E54" s="107"/>
      <c r="F54" s="52"/>
      <c r="G54" s="62"/>
      <c r="H54" s="5">
        <f>H51+H52+H53</f>
        <v>4737653.1486325823</v>
      </c>
      <c r="I54" s="52"/>
      <c r="K54" s="52"/>
      <c r="L54" s="52"/>
    </row>
    <row r="55" spans="1:12" x14ac:dyDescent="0.25">
      <c r="A55" s="52" t="s">
        <v>20</v>
      </c>
      <c r="B55" s="52"/>
      <c r="C55" s="52" t="s">
        <v>21</v>
      </c>
      <c r="D55" s="67"/>
      <c r="E55" s="107"/>
      <c r="F55" s="52"/>
      <c r="G55" s="62"/>
      <c r="H55" s="5">
        <f>SUM(H12:H14)</f>
        <v>83258</v>
      </c>
      <c r="I55" s="52"/>
      <c r="K55" s="52"/>
      <c r="L55" s="52"/>
    </row>
    <row r="56" spans="1:12" x14ac:dyDescent="0.25">
      <c r="A56" s="52"/>
      <c r="B56" s="52"/>
      <c r="C56" s="52" t="s">
        <v>58</v>
      </c>
      <c r="D56" s="67"/>
      <c r="E56" s="107"/>
      <c r="F56" s="52"/>
      <c r="G56" s="62"/>
      <c r="H56" s="5">
        <f>H8</f>
        <v>4180</v>
      </c>
      <c r="I56" s="52"/>
      <c r="K56" s="52"/>
      <c r="L56" s="52"/>
    </row>
    <row r="57" spans="1:12" x14ac:dyDescent="0.25">
      <c r="A57" s="52"/>
      <c r="B57" s="52"/>
      <c r="C57" s="52" t="s">
        <v>13</v>
      </c>
      <c r="D57" s="67"/>
      <c r="E57" s="107"/>
      <c r="F57" s="52"/>
      <c r="G57" s="62"/>
      <c r="H57" s="5">
        <f>H9</f>
        <v>17878</v>
      </c>
      <c r="I57" s="52"/>
      <c r="K57" s="52"/>
      <c r="L57" s="52"/>
    </row>
    <row r="58" spans="1:12" x14ac:dyDescent="0.25">
      <c r="A58" s="52"/>
      <c r="B58" s="52"/>
      <c r="C58" s="52" t="s">
        <v>298</v>
      </c>
      <c r="D58" s="67"/>
      <c r="E58" s="107"/>
      <c r="F58" s="52"/>
      <c r="G58" s="62"/>
      <c r="H58" s="284">
        <v>226993</v>
      </c>
      <c r="I58" s="52"/>
      <c r="J58" s="28"/>
      <c r="K58" s="52"/>
      <c r="L58" s="52"/>
    </row>
    <row r="59" spans="1:12" x14ac:dyDescent="0.25">
      <c r="A59" s="61" t="s">
        <v>60</v>
      </c>
      <c r="B59" s="52"/>
      <c r="C59" s="52"/>
      <c r="D59" s="67"/>
      <c r="E59" s="107"/>
      <c r="F59" s="52"/>
      <c r="G59" s="62"/>
      <c r="H59" s="5">
        <f>H54-H55-H56-H58</f>
        <v>4423222.1486325823</v>
      </c>
      <c r="I59" s="52"/>
      <c r="K59" s="52"/>
      <c r="L59" s="52"/>
    </row>
    <row r="60" spans="1:12" x14ac:dyDescent="0.25">
      <c r="A60" s="52" t="s">
        <v>20</v>
      </c>
      <c r="B60" s="52"/>
      <c r="C60" s="52" t="s">
        <v>61</v>
      </c>
      <c r="D60" s="67"/>
      <c r="E60" s="107"/>
      <c r="F60" s="52"/>
      <c r="G60" s="62"/>
      <c r="H60" s="3">
        <f>H7</f>
        <v>4415044.7185899997</v>
      </c>
      <c r="I60" s="52"/>
      <c r="J60" s="28"/>
      <c r="K60" s="52"/>
      <c r="L60" s="52"/>
    </row>
    <row r="61" spans="1:12" x14ac:dyDescent="0.25">
      <c r="A61" s="61" t="s">
        <v>63</v>
      </c>
      <c r="B61" s="52"/>
      <c r="C61" s="52"/>
      <c r="D61" s="67"/>
      <c r="E61" s="107"/>
      <c r="F61" s="52"/>
      <c r="G61" s="62"/>
      <c r="H61" s="52">
        <f>H59-H60</f>
        <v>8177.4300425825641</v>
      </c>
      <c r="I61" s="52"/>
      <c r="J61" s="52"/>
      <c r="K61" s="52"/>
      <c r="L61" s="52"/>
    </row>
    <row r="62" spans="1:12" ht="4.1500000000000004" customHeight="1" x14ac:dyDescent="0.25">
      <c r="A62" s="52"/>
      <c r="B62" s="52"/>
      <c r="C62" s="52"/>
      <c r="D62" s="67"/>
      <c r="E62" s="107"/>
      <c r="F62" s="52"/>
      <c r="G62" s="62"/>
      <c r="H62" s="52"/>
      <c r="I62" s="52"/>
      <c r="J62" s="52"/>
      <c r="K62" s="52"/>
      <c r="L62" s="52"/>
    </row>
    <row r="63" spans="1:12" x14ac:dyDescent="0.25">
      <c r="A63" s="61" t="s">
        <v>303</v>
      </c>
      <c r="B63" s="52"/>
      <c r="C63" s="52"/>
      <c r="D63" s="67"/>
      <c r="E63" s="107"/>
      <c r="F63" s="52"/>
      <c r="G63" s="62"/>
      <c r="H63" s="68">
        <f>ROUND(H61/H60,3)</f>
        <v>2E-3</v>
      </c>
      <c r="I63" s="52"/>
      <c r="J63" s="52"/>
      <c r="L63" s="52"/>
    </row>
    <row r="65" spans="1:8" x14ac:dyDescent="0.25">
      <c r="H65" s="68"/>
    </row>
    <row r="66" spans="1:8" x14ac:dyDescent="0.25">
      <c r="A66" s="61"/>
      <c r="B66" s="52"/>
      <c r="C66" s="52"/>
      <c r="D66" s="67"/>
      <c r="E66" s="107"/>
      <c r="F66" s="52"/>
      <c r="G66" s="62"/>
      <c r="H66" s="52"/>
    </row>
    <row r="67" spans="1:8" x14ac:dyDescent="0.25">
      <c r="A67" s="52"/>
      <c r="B67" s="52"/>
      <c r="C67" s="52"/>
      <c r="D67" s="67"/>
      <c r="E67" s="107"/>
      <c r="F67" s="52"/>
      <c r="G67" s="62"/>
      <c r="H67" s="52"/>
    </row>
    <row r="68" spans="1:8" x14ac:dyDescent="0.25">
      <c r="A68" s="61"/>
      <c r="B68" s="52"/>
      <c r="C68" s="52"/>
      <c r="D68" s="67"/>
      <c r="E68" s="107"/>
      <c r="F68" s="52"/>
      <c r="G68" s="62"/>
      <c r="H68" s="52"/>
    </row>
  </sheetData>
  <mergeCells count="2">
    <mergeCell ref="A50:H50"/>
    <mergeCell ref="A1:H1"/>
  </mergeCells>
  <printOptions horizontalCentered="1"/>
  <pageMargins left="0.45" right="0.25" top="0.5" bottom="0.5" header="0.3" footer="0.3"/>
  <pageSetup scale="79" orientation="portrait" horizontalDpi="4294967293" r:id="rId1"/>
  <rowBreaks count="2" manualBreakCount="2">
    <brk id="48" max="16383" man="1"/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2C846-DC12-4988-900C-56C1C9D3A510}">
  <dimension ref="A1:P39"/>
  <sheetViews>
    <sheetView workbookViewId="0">
      <selection activeCell="I12" sqref="I12"/>
    </sheetView>
  </sheetViews>
  <sheetFormatPr defaultRowHeight="15" x14ac:dyDescent="0.25"/>
  <cols>
    <col min="1" max="1" width="12.21875" style="1" customWidth="1"/>
    <col min="2" max="2" width="8.88671875" style="231"/>
    <col min="3" max="4" width="8.88671875" style="232"/>
    <col min="5" max="6" width="9" style="232" bestFit="1" customWidth="1"/>
    <col min="7" max="7" width="11.88671875" style="232" bestFit="1" customWidth="1"/>
    <col min="8" max="8" width="12.109375" style="232" bestFit="1" customWidth="1"/>
    <col min="9" max="9" width="12" style="232" bestFit="1" customWidth="1"/>
    <col min="10" max="10" width="8.88671875" style="233"/>
    <col min="11" max="12" width="10.21875" style="233" bestFit="1" customWidth="1"/>
    <col min="13" max="13" width="10.21875" style="233" customWidth="1"/>
    <col min="14" max="14" width="8.88671875" style="1"/>
    <col min="15" max="15" width="10.21875" style="1" bestFit="1" customWidth="1"/>
    <col min="16" max="16" width="11.77734375" style="1" bestFit="1" customWidth="1"/>
    <col min="17" max="16384" width="8.88671875" style="1"/>
  </cols>
  <sheetData>
    <row r="1" spans="1:16" x14ac:dyDescent="0.25">
      <c r="A1" s="134" t="s">
        <v>219</v>
      </c>
    </row>
    <row r="2" spans="1:16" s="134" customFormat="1" ht="60" x14ac:dyDescent="0.25">
      <c r="A2" s="134" t="s">
        <v>226</v>
      </c>
      <c r="B2" s="236" t="s">
        <v>218</v>
      </c>
      <c r="C2" s="239" t="s">
        <v>240</v>
      </c>
      <c r="D2" s="239" t="s">
        <v>236</v>
      </c>
      <c r="E2" s="239" t="s">
        <v>237</v>
      </c>
      <c r="F2" s="239" t="s">
        <v>238</v>
      </c>
      <c r="G2" s="239" t="s">
        <v>220</v>
      </c>
      <c r="H2" s="239" t="s">
        <v>221</v>
      </c>
      <c r="I2" s="239" t="s">
        <v>224</v>
      </c>
      <c r="J2" s="240" t="s">
        <v>222</v>
      </c>
      <c r="K2" s="240" t="s">
        <v>223</v>
      </c>
      <c r="L2" s="240" t="s">
        <v>225</v>
      </c>
      <c r="M2" s="240"/>
    </row>
    <row r="3" spans="1:16" x14ac:dyDescent="0.25">
      <c r="G3" s="234"/>
      <c r="H3" s="234"/>
      <c r="I3" s="234"/>
      <c r="J3" s="235"/>
      <c r="K3" s="235"/>
      <c r="L3" s="235"/>
      <c r="M3" s="235"/>
    </row>
    <row r="4" spans="1:16" x14ac:dyDescent="0.25">
      <c r="A4" s="1" t="s">
        <v>227</v>
      </c>
      <c r="B4" s="231" t="s">
        <v>228</v>
      </c>
      <c r="C4" s="232">
        <v>0</v>
      </c>
      <c r="D4" s="232">
        <v>0</v>
      </c>
      <c r="E4" s="232">
        <v>74126</v>
      </c>
      <c r="F4" s="232">
        <f>D4+E4</f>
        <v>74126</v>
      </c>
      <c r="G4" s="232">
        <v>0</v>
      </c>
      <c r="H4" s="232">
        <v>304395032</v>
      </c>
      <c r="I4" s="283">
        <f>G4+H4</f>
        <v>304395032</v>
      </c>
      <c r="J4" s="233">
        <v>0</v>
      </c>
      <c r="K4" s="233">
        <v>3810620.69</v>
      </c>
      <c r="L4" s="233">
        <f>J4+K4</f>
        <v>3810620.69</v>
      </c>
    </row>
    <row r="5" spans="1:16" x14ac:dyDescent="0.25">
      <c r="B5" s="231" t="s">
        <v>229</v>
      </c>
      <c r="C5" s="232">
        <v>0</v>
      </c>
      <c r="D5" s="232">
        <v>0</v>
      </c>
      <c r="E5" s="232">
        <v>73</v>
      </c>
      <c r="F5" s="232">
        <f t="shared" ref="F5:F11" si="0">D5+E5</f>
        <v>73</v>
      </c>
      <c r="G5" s="232">
        <v>0</v>
      </c>
      <c r="H5" s="232">
        <v>325428</v>
      </c>
      <c r="I5" s="232">
        <f>G5+H5</f>
        <v>325428</v>
      </c>
      <c r="J5" s="233">
        <v>0</v>
      </c>
      <c r="K5" s="233">
        <v>3944.91</v>
      </c>
      <c r="L5" s="233">
        <f>J5+K5</f>
        <v>3944.91</v>
      </c>
    </row>
    <row r="6" spans="1:16" x14ac:dyDescent="0.25">
      <c r="B6" s="231" t="s">
        <v>230</v>
      </c>
      <c r="C6" s="232">
        <v>0</v>
      </c>
      <c r="D6" s="232">
        <v>0</v>
      </c>
      <c r="E6" s="232">
        <v>759</v>
      </c>
      <c r="F6" s="232">
        <f t="shared" si="0"/>
        <v>759</v>
      </c>
      <c r="G6" s="232">
        <v>0</v>
      </c>
      <c r="H6" s="232">
        <v>1023046</v>
      </c>
      <c r="I6" s="232">
        <f t="shared" ref="I6:I11" si="1">G6+H6</f>
        <v>1023046</v>
      </c>
      <c r="J6" s="233">
        <v>0</v>
      </c>
      <c r="K6" s="233">
        <v>23335.96</v>
      </c>
      <c r="L6" s="233">
        <f t="shared" ref="L6:L9" si="2">J6+K6</f>
        <v>23335.96</v>
      </c>
    </row>
    <row r="7" spans="1:16" x14ac:dyDescent="0.25">
      <c r="B7" s="231" t="s">
        <v>231</v>
      </c>
      <c r="C7" s="232">
        <v>0</v>
      </c>
      <c r="D7" s="232">
        <v>0</v>
      </c>
      <c r="E7" s="232">
        <v>132</v>
      </c>
      <c r="F7" s="232">
        <f t="shared" si="0"/>
        <v>132</v>
      </c>
      <c r="G7" s="232">
        <v>0</v>
      </c>
      <c r="H7" s="232">
        <v>278570</v>
      </c>
      <c r="I7" s="232">
        <f t="shared" si="1"/>
        <v>278570</v>
      </c>
      <c r="J7" s="233">
        <v>0</v>
      </c>
      <c r="K7" s="233">
        <v>4812.29</v>
      </c>
      <c r="L7" s="233">
        <f t="shared" si="2"/>
        <v>4812.29</v>
      </c>
    </row>
    <row r="8" spans="1:16" x14ac:dyDescent="0.25">
      <c r="B8" s="231" t="s">
        <v>232</v>
      </c>
      <c r="C8" s="232">
        <v>0</v>
      </c>
      <c r="D8" s="232">
        <v>0</v>
      </c>
      <c r="E8" s="232">
        <v>48</v>
      </c>
      <c r="F8" s="232">
        <f t="shared" si="0"/>
        <v>48</v>
      </c>
      <c r="G8" s="232">
        <v>0</v>
      </c>
      <c r="H8" s="232">
        <v>356926</v>
      </c>
      <c r="I8" s="232">
        <f t="shared" si="1"/>
        <v>356926</v>
      </c>
      <c r="J8" s="233">
        <v>0</v>
      </c>
      <c r="K8" s="233">
        <v>36654.58</v>
      </c>
      <c r="L8" s="233">
        <f t="shared" si="2"/>
        <v>36654.58</v>
      </c>
      <c r="O8" s="18" t="s">
        <v>271</v>
      </c>
      <c r="P8" s="18" t="s">
        <v>272</v>
      </c>
    </row>
    <row r="9" spans="1:16" x14ac:dyDescent="0.25">
      <c r="B9" s="231" t="s">
        <v>305</v>
      </c>
      <c r="E9" s="232">
        <v>293</v>
      </c>
      <c r="F9" s="232">
        <f t="shared" si="0"/>
        <v>293</v>
      </c>
      <c r="G9" s="232">
        <v>0</v>
      </c>
      <c r="H9" s="232">
        <v>3474182</v>
      </c>
      <c r="I9" s="232">
        <f t="shared" si="1"/>
        <v>3474182</v>
      </c>
      <c r="K9" s="233">
        <v>12100.9</v>
      </c>
      <c r="L9" s="233">
        <f t="shared" si="2"/>
        <v>12100.9</v>
      </c>
      <c r="O9" s="18"/>
      <c r="P9" s="18"/>
    </row>
    <row r="10" spans="1:16" x14ac:dyDescent="0.25">
      <c r="B10" s="231" t="s">
        <v>306</v>
      </c>
      <c r="E10" s="232">
        <v>13</v>
      </c>
      <c r="F10" s="232">
        <f t="shared" si="0"/>
        <v>13</v>
      </c>
      <c r="H10" s="232">
        <v>210293</v>
      </c>
      <c r="I10" s="232">
        <f t="shared" si="1"/>
        <v>210293</v>
      </c>
      <c r="K10" s="233">
        <v>805.35</v>
      </c>
      <c r="L10" s="233">
        <f>J10+K10</f>
        <v>805.35</v>
      </c>
      <c r="O10" s="18"/>
      <c r="P10" s="18"/>
    </row>
    <row r="11" spans="1:16" x14ac:dyDescent="0.25">
      <c r="B11" s="231" t="s">
        <v>307</v>
      </c>
      <c r="E11" s="232">
        <v>24</v>
      </c>
      <c r="F11" s="232">
        <f t="shared" si="0"/>
        <v>24</v>
      </c>
      <c r="H11" s="232">
        <v>339897</v>
      </c>
      <c r="I11" s="232">
        <f t="shared" si="1"/>
        <v>339897</v>
      </c>
      <c r="K11" s="233">
        <v>1982.4</v>
      </c>
      <c r="L11" s="233">
        <f>J11+K11</f>
        <v>1982.4</v>
      </c>
      <c r="O11" s="18"/>
      <c r="P11" s="18"/>
    </row>
    <row r="12" spans="1:16" x14ac:dyDescent="0.25">
      <c r="A12" s="134" t="s">
        <v>233</v>
      </c>
      <c r="B12" s="236"/>
      <c r="C12" s="237"/>
      <c r="D12" s="237">
        <f>SUM(D4:D8)</f>
        <v>0</v>
      </c>
      <c r="E12" s="237">
        <f>SUM(E4:E11)</f>
        <v>75468</v>
      </c>
      <c r="F12" s="237">
        <f>SUM(F4:F11)</f>
        <v>75468</v>
      </c>
      <c r="G12" s="237">
        <f>SUM(G4:G9)</f>
        <v>0</v>
      </c>
      <c r="H12" s="237">
        <f>SUM(H4:H11)</f>
        <v>310403374</v>
      </c>
      <c r="I12" s="282">
        <f>SUM(I4:I11)</f>
        <v>310403374</v>
      </c>
      <c r="J12" s="238">
        <f t="shared" ref="J12" si="3">SUM(J4:J8)</f>
        <v>0</v>
      </c>
      <c r="K12" s="238">
        <f>SUM(K4:K11)</f>
        <v>3894257.08</v>
      </c>
      <c r="L12" s="238">
        <f>SUM(L4:L11)</f>
        <v>3894257.08</v>
      </c>
      <c r="M12" s="238"/>
    </row>
    <row r="13" spans="1:16" x14ac:dyDescent="0.25">
      <c r="N13" s="1" t="s">
        <v>273</v>
      </c>
      <c r="O13" s="13">
        <v>3810620.69</v>
      </c>
      <c r="P13" s="5">
        <v>304395032</v>
      </c>
    </row>
    <row r="14" spans="1:16" x14ac:dyDescent="0.25">
      <c r="A14" s="1" t="s">
        <v>234</v>
      </c>
      <c r="B14" s="231" t="s">
        <v>235</v>
      </c>
      <c r="C14" s="232">
        <v>5000</v>
      </c>
      <c r="D14" s="232">
        <v>760</v>
      </c>
      <c r="E14" s="232">
        <v>999</v>
      </c>
      <c r="F14" s="232">
        <f>D14+E14</f>
        <v>1759</v>
      </c>
      <c r="G14" s="232">
        <v>6652690</v>
      </c>
      <c r="H14" s="232">
        <v>27970905</v>
      </c>
      <c r="I14" s="283">
        <f t="shared" ref="I14:I17" si="4">G14+H14</f>
        <v>34623595</v>
      </c>
      <c r="J14" s="233">
        <v>102760.78</v>
      </c>
      <c r="K14" s="233">
        <v>209502.07999999999</v>
      </c>
      <c r="L14" s="233">
        <f t="shared" ref="L14:L17" si="5">J14+K14</f>
        <v>312262.86</v>
      </c>
      <c r="N14" s="1" t="s">
        <v>274</v>
      </c>
      <c r="O14" s="13">
        <v>312262.86</v>
      </c>
      <c r="P14" s="5">
        <v>34623595</v>
      </c>
    </row>
    <row r="15" spans="1:16" x14ac:dyDescent="0.25">
      <c r="B15" s="231" t="s">
        <v>294</v>
      </c>
      <c r="D15" s="232">
        <v>8</v>
      </c>
      <c r="E15" s="232">
        <v>4</v>
      </c>
      <c r="F15" s="232">
        <f t="shared" ref="F15:F17" si="6">D15+E15</f>
        <v>12</v>
      </c>
      <c r="G15" s="232">
        <v>27260</v>
      </c>
      <c r="H15" s="232">
        <v>37141</v>
      </c>
      <c r="I15" s="283">
        <f t="shared" si="4"/>
        <v>64401</v>
      </c>
      <c r="J15" s="233">
        <v>701.04</v>
      </c>
      <c r="K15" s="233">
        <v>128.38999999999999</v>
      </c>
      <c r="L15" s="233">
        <f t="shared" si="5"/>
        <v>829.43</v>
      </c>
      <c r="O15" s="13"/>
      <c r="P15" s="5"/>
    </row>
    <row r="16" spans="1:16" x14ac:dyDescent="0.25">
      <c r="B16" s="231" t="s">
        <v>304</v>
      </c>
      <c r="D16" s="232">
        <v>11</v>
      </c>
      <c r="E16" s="232">
        <v>16</v>
      </c>
      <c r="F16" s="232">
        <f t="shared" si="6"/>
        <v>27</v>
      </c>
      <c r="G16" s="232">
        <v>80004</v>
      </c>
      <c r="H16" s="232">
        <v>368742</v>
      </c>
      <c r="I16" s="283">
        <f t="shared" si="4"/>
        <v>448746</v>
      </c>
      <c r="J16" s="233">
        <v>1577.34</v>
      </c>
      <c r="K16" s="233">
        <v>2761.88</v>
      </c>
      <c r="L16" s="233">
        <f t="shared" si="5"/>
        <v>4339.22</v>
      </c>
      <c r="O16" s="13"/>
      <c r="P16" s="5"/>
    </row>
    <row r="17" spans="1:16" x14ac:dyDescent="0.25">
      <c r="B17" s="231" t="s">
        <v>295</v>
      </c>
      <c r="D17" s="232">
        <v>12</v>
      </c>
      <c r="E17" s="232">
        <v>0</v>
      </c>
      <c r="F17" s="232">
        <f t="shared" si="6"/>
        <v>12</v>
      </c>
      <c r="G17" s="232">
        <v>6860</v>
      </c>
      <c r="H17" s="232">
        <v>0</v>
      </c>
      <c r="I17" s="283">
        <f t="shared" si="4"/>
        <v>6860</v>
      </c>
      <c r="J17" s="233">
        <v>701.04</v>
      </c>
      <c r="K17" s="233">
        <v>0</v>
      </c>
      <c r="L17" s="233">
        <f t="shared" si="5"/>
        <v>701.04</v>
      </c>
      <c r="O17" s="13"/>
      <c r="P17" s="5"/>
    </row>
    <row r="18" spans="1:16" x14ac:dyDescent="0.25">
      <c r="A18" s="134" t="s">
        <v>239</v>
      </c>
      <c r="B18" s="236"/>
      <c r="C18" s="237"/>
      <c r="D18" s="237">
        <f t="shared" ref="D18:L18" si="7">SUM(D14:D17)</f>
        <v>791</v>
      </c>
      <c r="E18" s="237">
        <f t="shared" si="7"/>
        <v>1019</v>
      </c>
      <c r="F18" s="237">
        <f t="shared" si="7"/>
        <v>1810</v>
      </c>
      <c r="G18" s="237">
        <f t="shared" si="7"/>
        <v>6766814</v>
      </c>
      <c r="H18" s="237">
        <f t="shared" si="7"/>
        <v>28376788</v>
      </c>
      <c r="I18" s="282">
        <f t="shared" si="7"/>
        <v>35143602</v>
      </c>
      <c r="J18" s="238">
        <f t="shared" si="7"/>
        <v>105740.19999999998</v>
      </c>
      <c r="K18" s="238">
        <f t="shared" si="7"/>
        <v>212392.35</v>
      </c>
      <c r="L18" s="238">
        <f t="shared" si="7"/>
        <v>318132.54999999993</v>
      </c>
      <c r="M18" s="238"/>
      <c r="N18" s="266">
        <v>1.5</v>
      </c>
      <c r="O18" s="13">
        <v>66338.86</v>
      </c>
      <c r="P18" s="5">
        <v>7677046</v>
      </c>
    </row>
    <row r="19" spans="1:16" x14ac:dyDescent="0.25">
      <c r="N19" s="1" t="s">
        <v>275</v>
      </c>
      <c r="O19" s="13">
        <v>63828.480000000003</v>
      </c>
      <c r="P19" s="5">
        <v>7649071</v>
      </c>
    </row>
    <row r="20" spans="1:16" x14ac:dyDescent="0.25">
      <c r="A20" s="1" t="s">
        <v>241</v>
      </c>
      <c r="B20" s="231" t="s">
        <v>242</v>
      </c>
      <c r="C20" s="232">
        <v>10000</v>
      </c>
      <c r="D20" s="232">
        <v>87</v>
      </c>
      <c r="E20" s="232">
        <v>112</v>
      </c>
      <c r="F20" s="232">
        <f>D20+E20</f>
        <v>199</v>
      </c>
      <c r="G20" s="232">
        <v>1367733</v>
      </c>
      <c r="H20" s="232">
        <v>6309313</v>
      </c>
      <c r="I20" s="283">
        <f>G20+H20</f>
        <v>7677046</v>
      </c>
      <c r="J20" s="233">
        <v>19082.11</v>
      </c>
      <c r="K20" s="233">
        <v>47256.75</v>
      </c>
      <c r="L20" s="233">
        <f>J20+K20</f>
        <v>66338.86</v>
      </c>
      <c r="N20" s="1" t="s">
        <v>276</v>
      </c>
      <c r="O20" s="13"/>
      <c r="P20" s="5"/>
    </row>
    <row r="21" spans="1:16" x14ac:dyDescent="0.25">
      <c r="B21" s="231" t="s">
        <v>296</v>
      </c>
      <c r="D21" s="232">
        <v>12</v>
      </c>
      <c r="E21" s="232">
        <v>24</v>
      </c>
      <c r="F21" s="232">
        <f>D21+E21</f>
        <v>36</v>
      </c>
      <c r="G21" s="232">
        <v>244371</v>
      </c>
      <c r="H21" s="232">
        <v>2375294</v>
      </c>
      <c r="I21" s="283">
        <f>G21+H21</f>
        <v>2619665</v>
      </c>
      <c r="J21" s="233">
        <v>3452.04</v>
      </c>
      <c r="K21" s="233">
        <v>17790.95</v>
      </c>
      <c r="L21" s="233">
        <f>J21+K21</f>
        <v>21242.99</v>
      </c>
      <c r="O21" s="13"/>
      <c r="P21" s="5"/>
    </row>
    <row r="22" spans="1:16" x14ac:dyDescent="0.25">
      <c r="A22" s="134" t="s">
        <v>243</v>
      </c>
      <c r="B22" s="236"/>
      <c r="C22" s="237"/>
      <c r="D22" s="237">
        <f t="shared" ref="D22:L22" si="8">D20+D21</f>
        <v>99</v>
      </c>
      <c r="E22" s="237">
        <f t="shared" si="8"/>
        <v>136</v>
      </c>
      <c r="F22" s="237">
        <f t="shared" si="8"/>
        <v>235</v>
      </c>
      <c r="G22" s="237">
        <f t="shared" si="8"/>
        <v>1612104</v>
      </c>
      <c r="H22" s="237">
        <f t="shared" si="8"/>
        <v>8684607</v>
      </c>
      <c r="I22" s="282">
        <f t="shared" si="8"/>
        <v>10296711</v>
      </c>
      <c r="J22" s="238">
        <f t="shared" si="8"/>
        <v>22534.15</v>
      </c>
      <c r="K22" s="238">
        <f t="shared" si="8"/>
        <v>65047.7</v>
      </c>
      <c r="L22" s="238">
        <f t="shared" si="8"/>
        <v>87581.85</v>
      </c>
      <c r="M22" s="238"/>
      <c r="O22" s="267">
        <f>SUM(O13:O20)</f>
        <v>4253050.8899999997</v>
      </c>
      <c r="P22" s="5">
        <f>SUM(P13:P20)</f>
        <v>354344744</v>
      </c>
    </row>
    <row r="24" spans="1:16" x14ac:dyDescent="0.25">
      <c r="A24" s="1" t="s">
        <v>244</v>
      </c>
      <c r="B24" s="231" t="s">
        <v>245</v>
      </c>
      <c r="C24" s="232">
        <v>50000</v>
      </c>
      <c r="D24" s="232">
        <v>23</v>
      </c>
      <c r="E24" s="232">
        <v>13</v>
      </c>
      <c r="F24" s="232">
        <f>D24+E24</f>
        <v>36</v>
      </c>
      <c r="G24" s="232">
        <v>378563</v>
      </c>
      <c r="H24" s="232">
        <v>7270508</v>
      </c>
      <c r="I24" s="232">
        <f>G24+H24</f>
        <v>7649071</v>
      </c>
      <c r="J24" s="233">
        <v>14240.88</v>
      </c>
      <c r="K24" s="233">
        <v>49587.6</v>
      </c>
      <c r="L24" s="233">
        <f>J24+K24</f>
        <v>63828.479999999996</v>
      </c>
      <c r="M24" s="290">
        <f>L24/I24</f>
        <v>8.344605508302903E-3</v>
      </c>
      <c r="O24" s="267">
        <v>4278860</v>
      </c>
    </row>
    <row r="25" spans="1:16" x14ac:dyDescent="0.25">
      <c r="B25" s="231" t="s">
        <v>297</v>
      </c>
      <c r="C25" s="232">
        <v>50000</v>
      </c>
      <c r="D25" s="232">
        <v>11</v>
      </c>
      <c r="E25" s="232">
        <v>13</v>
      </c>
      <c r="F25" s="232">
        <f>D25+E25</f>
        <v>24</v>
      </c>
      <c r="G25" s="232">
        <v>298240</v>
      </c>
      <c r="H25" s="232">
        <v>918350</v>
      </c>
      <c r="I25" s="232">
        <f>G25+H25</f>
        <v>1216590</v>
      </c>
      <c r="J25" s="233">
        <v>9493.92</v>
      </c>
      <c r="K25" s="233">
        <v>2009.94</v>
      </c>
      <c r="L25" s="233">
        <f>J25+K25</f>
        <v>11503.86</v>
      </c>
      <c r="M25" s="290">
        <f t="shared" ref="M25:M26" si="9">L25/I25</f>
        <v>9.4558232436564495E-3</v>
      </c>
    </row>
    <row r="26" spans="1:16" x14ac:dyDescent="0.25">
      <c r="B26" s="231" t="s">
        <v>246</v>
      </c>
      <c r="C26" s="232">
        <v>50000</v>
      </c>
      <c r="D26" s="232">
        <v>0</v>
      </c>
      <c r="E26" s="232">
        <v>12</v>
      </c>
      <c r="F26" s="232">
        <f>D26+E26</f>
        <v>12</v>
      </c>
      <c r="G26" s="232">
        <v>0</v>
      </c>
      <c r="H26" s="232">
        <v>10924764</v>
      </c>
      <c r="I26" s="232">
        <f>G26+H26</f>
        <v>10924764</v>
      </c>
      <c r="J26" s="233">
        <v>4374.96</v>
      </c>
      <c r="K26" s="233">
        <v>77332.479999999996</v>
      </c>
      <c r="L26" s="233">
        <f>J26+K26</f>
        <v>81707.44</v>
      </c>
      <c r="M26" s="290">
        <f t="shared" si="9"/>
        <v>7.4791034387562058E-3</v>
      </c>
    </row>
    <row r="27" spans="1:16" s="134" customFormat="1" x14ac:dyDescent="0.25">
      <c r="A27" s="134" t="s">
        <v>247</v>
      </c>
      <c r="B27" s="236"/>
      <c r="C27" s="237"/>
      <c r="D27" s="237">
        <f>SUM(D24:D26)</f>
        <v>34</v>
      </c>
      <c r="E27" s="237">
        <f t="shared" ref="E27:L27" si="10">SUM(E24:E26)</f>
        <v>38</v>
      </c>
      <c r="F27" s="237">
        <f t="shared" si="10"/>
        <v>72</v>
      </c>
      <c r="G27" s="237">
        <f t="shared" si="10"/>
        <v>676803</v>
      </c>
      <c r="H27" s="237">
        <f t="shared" si="10"/>
        <v>19113622</v>
      </c>
      <c r="I27" s="282">
        <f t="shared" si="10"/>
        <v>19790425</v>
      </c>
      <c r="J27" s="238">
        <f t="shared" si="10"/>
        <v>28109.759999999998</v>
      </c>
      <c r="K27" s="238">
        <f t="shared" si="10"/>
        <v>128930.01999999999</v>
      </c>
      <c r="L27" s="238">
        <f t="shared" si="10"/>
        <v>157039.78</v>
      </c>
      <c r="M27" s="238"/>
    </row>
    <row r="29" spans="1:16" x14ac:dyDescent="0.25">
      <c r="A29" s="1" t="s">
        <v>248</v>
      </c>
      <c r="B29" s="231" t="s">
        <v>249</v>
      </c>
      <c r="C29" s="232">
        <v>100000</v>
      </c>
      <c r="D29" s="232">
        <v>0</v>
      </c>
      <c r="E29" s="232">
        <v>0</v>
      </c>
      <c r="F29" s="232">
        <f>D29+E29</f>
        <v>0</v>
      </c>
      <c r="G29" s="232">
        <v>0</v>
      </c>
      <c r="H29" s="232">
        <v>0</v>
      </c>
      <c r="I29" s="232">
        <f>G29+H29</f>
        <v>0</v>
      </c>
      <c r="J29" s="233">
        <v>0</v>
      </c>
      <c r="K29" s="233">
        <v>0</v>
      </c>
      <c r="L29" s="233">
        <f>J29+K29</f>
        <v>0</v>
      </c>
    </row>
    <row r="30" spans="1:16" s="134" customFormat="1" x14ac:dyDescent="0.25">
      <c r="A30" s="134" t="s">
        <v>250</v>
      </c>
      <c r="B30" s="236"/>
      <c r="C30" s="237"/>
      <c r="D30" s="237">
        <f>D29</f>
        <v>0</v>
      </c>
      <c r="E30" s="237">
        <f t="shared" ref="E30:L30" si="11">E29</f>
        <v>0</v>
      </c>
      <c r="F30" s="237">
        <f t="shared" si="11"/>
        <v>0</v>
      </c>
      <c r="G30" s="237">
        <f t="shared" si="11"/>
        <v>0</v>
      </c>
      <c r="H30" s="237">
        <f t="shared" si="11"/>
        <v>0</v>
      </c>
      <c r="I30" s="237">
        <f t="shared" si="11"/>
        <v>0</v>
      </c>
      <c r="J30" s="237">
        <f t="shared" si="11"/>
        <v>0</v>
      </c>
      <c r="K30" s="237">
        <f t="shared" si="11"/>
        <v>0</v>
      </c>
      <c r="L30" s="237">
        <f t="shared" si="11"/>
        <v>0</v>
      </c>
      <c r="M30" s="237"/>
    </row>
    <row r="32" spans="1:16" x14ac:dyDescent="0.25">
      <c r="F32" s="232">
        <f>F12+F18+F22+F27</f>
        <v>77585</v>
      </c>
      <c r="I32" s="281">
        <f>I12+I18+I22+I27</f>
        <v>375634112</v>
      </c>
      <c r="L32" s="233">
        <f>L12+L18+L22+L27</f>
        <v>4457011.26</v>
      </c>
    </row>
    <row r="33" spans="9:10" x14ac:dyDescent="0.25">
      <c r="I33" s="232">
        <v>430522000</v>
      </c>
      <c r="J33" s="233" t="s">
        <v>299</v>
      </c>
    </row>
    <row r="34" spans="9:10" x14ac:dyDescent="0.25">
      <c r="I34" s="289">
        <f>I33-I32</f>
        <v>54887888</v>
      </c>
      <c r="J34" s="286" t="s">
        <v>300</v>
      </c>
    </row>
    <row r="35" spans="9:10" x14ac:dyDescent="0.25">
      <c r="J35" s="286"/>
    </row>
    <row r="36" spans="9:10" x14ac:dyDescent="0.25">
      <c r="J36" s="233" t="s">
        <v>308</v>
      </c>
    </row>
    <row r="37" spans="9:10" x14ac:dyDescent="0.25">
      <c r="I37" s="289">
        <v>51079409</v>
      </c>
      <c r="J37" s="104" t="s">
        <v>272</v>
      </c>
    </row>
    <row r="38" spans="9:10" x14ac:dyDescent="0.25">
      <c r="I38" s="288">
        <v>17877.79</v>
      </c>
      <c r="J38" s="286" t="s">
        <v>302</v>
      </c>
    </row>
    <row r="39" spans="9:10" x14ac:dyDescent="0.25">
      <c r="I39" s="233">
        <f>(I38/I37)*1000</f>
        <v>0.34999993833131471</v>
      </c>
      <c r="J39" s="287" t="s">
        <v>301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B43C-08DA-4F35-AF2D-4D6BA18A1447}">
  <sheetPr>
    <pageSetUpPr fitToPage="1"/>
  </sheetPr>
  <dimension ref="A1:Q49"/>
  <sheetViews>
    <sheetView showGridLines="0" topLeftCell="A12" workbookViewId="0">
      <selection sqref="A1:H49"/>
    </sheetView>
  </sheetViews>
  <sheetFormatPr defaultRowHeight="15" x14ac:dyDescent="0.2"/>
  <cols>
    <col min="1" max="1" width="7.77734375" customWidth="1"/>
    <col min="2" max="2" width="8" style="112" customWidth="1"/>
    <col min="3" max="5" width="10.5546875" customWidth="1"/>
    <col min="6" max="6" width="11.77734375" style="122" customWidth="1"/>
    <col min="7" max="7" width="11.77734375" customWidth="1"/>
    <col min="8" max="8" width="12.77734375" style="248" bestFit="1" customWidth="1"/>
    <col min="9" max="9" width="11.33203125" style="247" bestFit="1" customWidth="1"/>
    <col min="10" max="13" width="11.21875"/>
    <col min="14" max="15" width="8.77734375" customWidth="1"/>
  </cols>
  <sheetData>
    <row r="1" spans="1:17" ht="15.75" x14ac:dyDescent="0.2">
      <c r="D1" s="331" t="s">
        <v>332</v>
      </c>
      <c r="E1" s="331"/>
    </row>
    <row r="2" spans="1:17" ht="21" x14ac:dyDescent="0.35">
      <c r="A2" s="326" t="s">
        <v>269</v>
      </c>
      <c r="B2" s="326"/>
      <c r="C2" s="326"/>
      <c r="D2" s="326"/>
      <c r="E2" s="326"/>
      <c r="F2" s="326"/>
      <c r="G2" s="326"/>
      <c r="H2" s="15"/>
      <c r="I2" s="245"/>
      <c r="J2" s="1"/>
      <c r="K2" s="1"/>
      <c r="L2" s="1"/>
      <c r="M2" s="1"/>
      <c r="N2" s="1"/>
      <c r="O2" s="1"/>
      <c r="P2" s="1"/>
      <c r="Q2" s="1"/>
    </row>
    <row r="3" spans="1:17" ht="18.75" x14ac:dyDescent="0.25">
      <c r="A3" s="327" t="str">
        <f>SAO!A2</f>
        <v>CHRISTIAN COUNTY WATER DISTRICT</v>
      </c>
      <c r="B3" s="327"/>
      <c r="C3" s="327"/>
      <c r="D3" s="327"/>
      <c r="E3" s="327"/>
      <c r="F3" s="327"/>
      <c r="G3" s="327"/>
      <c r="H3" s="15"/>
      <c r="I3" s="245"/>
      <c r="J3" s="1"/>
      <c r="K3" s="1"/>
      <c r="L3" s="1"/>
      <c r="M3" s="1"/>
      <c r="N3" s="1"/>
      <c r="O3" s="1"/>
      <c r="P3" s="1"/>
      <c r="Q3" s="1"/>
    </row>
    <row r="4" spans="1:17" ht="18.75" x14ac:dyDescent="0.25">
      <c r="A4" s="30"/>
      <c r="B4" s="108"/>
      <c r="C4" s="30"/>
      <c r="D4" s="30"/>
      <c r="E4" s="30"/>
      <c r="F4" s="115"/>
      <c r="G4" s="30"/>
      <c r="H4" s="15"/>
      <c r="I4" s="245"/>
      <c r="J4" s="1"/>
      <c r="K4" s="1"/>
      <c r="L4" s="1"/>
      <c r="M4" s="1"/>
      <c r="N4" s="1"/>
      <c r="O4" s="1"/>
      <c r="P4" s="1"/>
      <c r="Q4" s="1"/>
    </row>
    <row r="5" spans="1:17" ht="15.75" x14ac:dyDescent="0.25">
      <c r="A5" s="99"/>
      <c r="B5" s="109"/>
      <c r="C5" s="100"/>
      <c r="D5" s="100"/>
      <c r="E5" s="100"/>
      <c r="F5" s="116"/>
      <c r="G5" s="100"/>
      <c r="H5" s="15"/>
      <c r="I5" s="245"/>
      <c r="J5" s="1"/>
      <c r="K5" s="1"/>
      <c r="L5" s="1"/>
      <c r="M5" s="1"/>
      <c r="N5" s="1"/>
      <c r="O5" s="1"/>
      <c r="P5" s="1"/>
      <c r="Q5" s="1"/>
    </row>
    <row r="6" spans="1:17" ht="15.75" x14ac:dyDescent="0.25">
      <c r="A6" s="1"/>
      <c r="B6" s="329" t="s">
        <v>48</v>
      </c>
      <c r="C6" s="329"/>
      <c r="D6" s="329"/>
      <c r="E6" s="329"/>
      <c r="F6" s="329"/>
      <c r="G6" s="1"/>
      <c r="H6" s="15"/>
      <c r="I6" s="245"/>
      <c r="J6" s="1"/>
      <c r="K6" s="1"/>
      <c r="L6" s="1"/>
      <c r="M6" s="1"/>
      <c r="N6" s="1"/>
      <c r="O6" s="1"/>
      <c r="P6" s="1"/>
      <c r="Q6" s="1"/>
    </row>
    <row r="7" spans="1:17" ht="15.75" x14ac:dyDescent="0.25">
      <c r="A7" s="1"/>
      <c r="B7" s="4" t="s">
        <v>130</v>
      </c>
      <c r="C7" s="104"/>
      <c r="D7" s="94" t="s">
        <v>52</v>
      </c>
      <c r="E7" s="94" t="s">
        <v>53</v>
      </c>
      <c r="F7" s="117" t="s">
        <v>56</v>
      </c>
      <c r="G7" s="1"/>
      <c r="H7" s="15"/>
      <c r="I7" s="245"/>
      <c r="J7" s="1"/>
      <c r="K7" s="1"/>
      <c r="L7" s="1"/>
      <c r="M7" s="1"/>
      <c r="N7" s="1"/>
      <c r="O7" s="1"/>
      <c r="P7" s="1"/>
      <c r="Q7" s="1"/>
    </row>
    <row r="8" spans="1:17" ht="18" x14ac:dyDescent="0.4">
      <c r="A8" s="1"/>
      <c r="B8" s="110" t="s">
        <v>128</v>
      </c>
      <c r="D8" s="96">
        <f>C19+C26+C33+C40+C47</f>
        <v>77585</v>
      </c>
      <c r="E8" s="96">
        <f t="shared" ref="E8:E10" si="0">D19+D26+D33+D40+D47</f>
        <v>9055721</v>
      </c>
      <c r="F8" s="118">
        <f>F19+F26+F33+F40+F47</f>
        <v>1715170.3099999998</v>
      </c>
      <c r="G8" s="1"/>
      <c r="H8" s="15"/>
      <c r="I8" s="245"/>
      <c r="J8" s="38"/>
      <c r="K8" s="1"/>
      <c r="L8" s="1"/>
      <c r="M8" s="1"/>
      <c r="N8" s="25"/>
      <c r="O8" s="25"/>
      <c r="P8" s="1"/>
      <c r="Q8" s="1"/>
    </row>
    <row r="9" spans="1:17" ht="18" x14ac:dyDescent="0.4">
      <c r="A9" s="1"/>
      <c r="B9" s="110" t="s">
        <v>129</v>
      </c>
      <c r="D9" s="98">
        <f>C20+C27+C34+C41+C48</f>
        <v>0</v>
      </c>
      <c r="E9" s="98">
        <f t="shared" si="0"/>
        <v>366578391</v>
      </c>
      <c r="F9" s="119">
        <f>F20+F27+F34+F41+F48</f>
        <v>2745672.1485899999</v>
      </c>
      <c r="G9" s="1"/>
      <c r="H9" s="15"/>
      <c r="I9" s="245"/>
      <c r="J9" s="1"/>
      <c r="K9" s="1"/>
      <c r="L9" s="1"/>
      <c r="M9" s="1"/>
      <c r="N9" s="15"/>
      <c r="O9" s="15"/>
      <c r="P9" s="1"/>
      <c r="Q9" s="1"/>
    </row>
    <row r="10" spans="1:17" ht="15.75" x14ac:dyDescent="0.25">
      <c r="A10" s="1"/>
      <c r="B10" s="4" t="s">
        <v>39</v>
      </c>
      <c r="D10" s="96">
        <f>C21+C28+C35+C42+C49</f>
        <v>77585</v>
      </c>
      <c r="E10" s="96">
        <f t="shared" si="0"/>
        <v>375634112</v>
      </c>
      <c r="F10" s="302">
        <f>F21+F28+F35+F42+F49</f>
        <v>4460842.4585899999</v>
      </c>
      <c r="G10" s="1"/>
      <c r="H10" s="15"/>
      <c r="I10" s="245"/>
      <c r="J10" s="4"/>
      <c r="K10" s="1"/>
      <c r="L10" s="1"/>
      <c r="M10" s="1"/>
      <c r="N10" s="1"/>
      <c r="O10" s="1"/>
      <c r="P10" s="1"/>
      <c r="Q10" s="1"/>
    </row>
    <row r="11" spans="1:17" ht="18" x14ac:dyDescent="0.4">
      <c r="A11" s="1"/>
      <c r="B11" s="4" t="s">
        <v>136</v>
      </c>
      <c r="C11" s="101"/>
      <c r="D11" s="113"/>
      <c r="E11" s="303"/>
      <c r="F11" s="45">
        <v>-45725.74</v>
      </c>
      <c r="H11" s="15"/>
      <c r="I11" s="1" t="s">
        <v>288</v>
      </c>
      <c r="K11" s="102"/>
      <c r="M11" s="1"/>
      <c r="N11" s="1"/>
      <c r="O11" s="1"/>
      <c r="P11" s="1"/>
      <c r="Q11" s="1"/>
    </row>
    <row r="12" spans="1:17" ht="18" x14ac:dyDescent="0.4">
      <c r="A12" s="1"/>
      <c r="B12" s="4" t="s">
        <v>137</v>
      </c>
      <c r="C12" s="101"/>
      <c r="D12" s="37"/>
      <c r="E12" s="311">
        <f>E10+E11</f>
        <v>375634112</v>
      </c>
      <c r="F12" s="312">
        <f>F10+F11</f>
        <v>4415116.7185899997</v>
      </c>
      <c r="G12" s="1"/>
      <c r="H12" s="15"/>
      <c r="I12" s="245"/>
      <c r="J12" s="98"/>
      <c r="K12" s="102"/>
      <c r="L12" s="1"/>
      <c r="M12" s="1"/>
      <c r="N12" s="1"/>
      <c r="O12" s="1"/>
      <c r="P12" s="1"/>
      <c r="Q12" s="1"/>
    </row>
    <row r="13" spans="1:17" ht="18" x14ac:dyDescent="0.4">
      <c r="A13" s="1"/>
      <c r="B13" s="305" t="s">
        <v>324</v>
      </c>
      <c r="C13" s="101"/>
      <c r="D13" s="37"/>
      <c r="E13" s="98">
        <v>430522000</v>
      </c>
      <c r="F13" s="114">
        <v>4278860</v>
      </c>
      <c r="G13" s="1"/>
      <c r="H13" s="15"/>
      <c r="I13" s="245"/>
      <c r="J13" s="98"/>
      <c r="K13" s="102"/>
      <c r="L13" s="1"/>
      <c r="M13" s="1"/>
      <c r="N13" s="1"/>
      <c r="O13" s="1"/>
      <c r="P13" s="1"/>
      <c r="Q13" s="1"/>
    </row>
    <row r="14" spans="1:17" ht="18" x14ac:dyDescent="0.4">
      <c r="A14" s="1"/>
      <c r="B14" s="4" t="s">
        <v>66</v>
      </c>
      <c r="C14" s="101"/>
      <c r="D14" s="37"/>
      <c r="E14" s="96">
        <f>E13-E12</f>
        <v>54887888</v>
      </c>
      <c r="F14" s="45">
        <f>F12-F13</f>
        <v>136256.71858999971</v>
      </c>
      <c r="G14" s="1" t="s">
        <v>252</v>
      </c>
      <c r="H14" s="15"/>
      <c r="I14" s="254"/>
      <c r="J14" s="98"/>
      <c r="K14" s="102"/>
      <c r="L14" s="1"/>
      <c r="M14" s="1"/>
      <c r="N14" s="1"/>
      <c r="O14" s="1"/>
      <c r="P14" s="1"/>
      <c r="Q14" s="1"/>
    </row>
    <row r="15" spans="1:17" ht="18" x14ac:dyDescent="0.4">
      <c r="A15" s="1"/>
      <c r="B15" s="4"/>
      <c r="C15" s="101" t="s">
        <v>314</v>
      </c>
      <c r="D15" s="37"/>
      <c r="E15" s="96">
        <v>51079409</v>
      </c>
      <c r="F15" s="304">
        <f>F14/F13</f>
        <v>3.1844163770256499E-2</v>
      </c>
      <c r="G15" s="1"/>
      <c r="H15" s="15"/>
      <c r="I15" s="245"/>
      <c r="J15" s="98"/>
      <c r="K15" s="102"/>
      <c r="L15" s="1"/>
      <c r="M15" s="1"/>
      <c r="N15" s="1"/>
      <c r="O15" s="1"/>
      <c r="P15" s="1"/>
      <c r="Q15" s="1"/>
    </row>
    <row r="16" spans="1:17" ht="15.75" x14ac:dyDescent="0.25">
      <c r="A16" s="1"/>
      <c r="B16" s="4"/>
      <c r="C16" s="101"/>
      <c r="D16" s="37"/>
      <c r="E16" s="1"/>
      <c r="F16" s="45"/>
      <c r="G16" s="1"/>
      <c r="H16" s="15"/>
      <c r="I16" s="245"/>
      <c r="J16" s="4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328" t="s">
        <v>131</v>
      </c>
      <c r="C17" s="328"/>
      <c r="D17" s="328"/>
      <c r="E17" s="328"/>
      <c r="F17" s="328"/>
      <c r="G17" s="1"/>
      <c r="H17" s="15"/>
      <c r="I17" s="245"/>
      <c r="J17" s="4"/>
      <c r="K17" s="1"/>
      <c r="L17" s="4"/>
      <c r="M17" s="102"/>
      <c r="N17" s="1"/>
      <c r="O17" s="1"/>
      <c r="P17" s="1"/>
      <c r="Q17" s="1"/>
    </row>
    <row r="18" spans="1:17" ht="15.75" x14ac:dyDescent="0.25">
      <c r="A18" s="1"/>
      <c r="B18" s="111" t="s">
        <v>51</v>
      </c>
      <c r="C18" s="94" t="s">
        <v>52</v>
      </c>
      <c r="D18" s="94" t="s">
        <v>53</v>
      </c>
      <c r="E18" s="94" t="s">
        <v>55</v>
      </c>
      <c r="F18" s="117" t="s">
        <v>56</v>
      </c>
      <c r="G18" s="18"/>
      <c r="H18" s="15"/>
      <c r="I18" s="245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03" t="s">
        <v>49</v>
      </c>
      <c r="B19" s="4">
        <v>0</v>
      </c>
      <c r="C19" s="20">
        <f>'BA Input'!E12</f>
        <v>75468</v>
      </c>
      <c r="D19" s="20">
        <f>'BA Input'!G12</f>
        <v>0</v>
      </c>
      <c r="E19" s="105">
        <f>Rates!C11</f>
        <v>20.65</v>
      </c>
      <c r="F19" s="120">
        <f>C19*E19</f>
        <v>1558414.2</v>
      </c>
      <c r="G19" s="20"/>
      <c r="H19" s="15"/>
      <c r="I19" s="245"/>
      <c r="J19" s="1"/>
      <c r="L19" s="1"/>
      <c r="M19" s="1"/>
      <c r="N19" s="1"/>
      <c r="O19" s="1"/>
      <c r="P19" s="1"/>
      <c r="Q19" s="1"/>
    </row>
    <row r="20" spans="1:17" ht="18" x14ac:dyDescent="0.4">
      <c r="A20" s="103" t="s">
        <v>50</v>
      </c>
      <c r="B20" s="4">
        <v>0</v>
      </c>
      <c r="C20" s="97">
        <v>0</v>
      </c>
      <c r="D20" s="97">
        <f>'BA Input'!H12</f>
        <v>310403374</v>
      </c>
      <c r="E20" s="106">
        <f>Rates!C12</f>
        <v>7.49</v>
      </c>
      <c r="F20" s="121">
        <f>(D20/1000)*E20</f>
        <v>2324921.2712600003</v>
      </c>
      <c r="G20" s="97"/>
      <c r="H20" s="15"/>
      <c r="I20" s="245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03"/>
      <c r="B21" s="4"/>
      <c r="C21" s="20">
        <f>SUM(C19:C20)</f>
        <v>75468</v>
      </c>
      <c r="D21" s="20">
        <f>D19+D20</f>
        <v>310403374</v>
      </c>
      <c r="E21" s="20"/>
      <c r="F21" s="120">
        <f>F19+F20</f>
        <v>3883335.47126</v>
      </c>
      <c r="G21" s="20"/>
      <c r="H21" s="15"/>
      <c r="I21" s="245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103"/>
      <c r="B22" s="4"/>
      <c r="C22" s="20"/>
      <c r="D22" s="20"/>
      <c r="E22" s="20"/>
      <c r="F22" s="120"/>
      <c r="G22" s="20"/>
      <c r="H22" s="15"/>
      <c r="I22" s="245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103"/>
      <c r="B23" s="4"/>
      <c r="C23" s="1"/>
      <c r="D23" s="95"/>
      <c r="E23" s="95"/>
      <c r="F23" s="45"/>
      <c r="G23" s="95"/>
      <c r="H23" s="15"/>
      <c r="I23" s="245"/>
      <c r="J23" s="1"/>
      <c r="K23" s="1"/>
      <c r="L23" s="1"/>
      <c r="M23" s="1"/>
      <c r="N23" s="1"/>
      <c r="O23" s="1"/>
      <c r="P23" s="1"/>
      <c r="Q23" s="1"/>
    </row>
    <row r="24" spans="1:17" ht="15.75" x14ac:dyDescent="0.25">
      <c r="A24" s="1"/>
      <c r="B24" s="328" t="s">
        <v>132</v>
      </c>
      <c r="C24" s="328"/>
      <c r="D24" s="328"/>
      <c r="E24" s="328"/>
      <c r="F24" s="328"/>
      <c r="G24" s="95"/>
      <c r="H24" s="15"/>
      <c r="I24" s="245"/>
      <c r="J24" s="1"/>
      <c r="K24" s="1"/>
      <c r="L24" s="1"/>
      <c r="M24" s="1"/>
      <c r="N24" s="1"/>
      <c r="O24" s="1"/>
      <c r="P24" s="1"/>
      <c r="Q24" s="1"/>
    </row>
    <row r="25" spans="1:17" ht="15.75" x14ac:dyDescent="0.25">
      <c r="A25" s="1"/>
      <c r="B25" s="111" t="s">
        <v>51</v>
      </c>
      <c r="C25" s="94" t="s">
        <v>52</v>
      </c>
      <c r="D25" s="94" t="s">
        <v>53</v>
      </c>
      <c r="E25" s="94" t="s">
        <v>55</v>
      </c>
      <c r="F25" s="117" t="s">
        <v>56</v>
      </c>
      <c r="G25" s="1"/>
      <c r="H25" s="15"/>
      <c r="I25" s="245"/>
      <c r="J25" s="1"/>
      <c r="K25" s="1"/>
      <c r="L25" s="1"/>
      <c r="M25" s="1"/>
      <c r="N25" s="1"/>
      <c r="O25" s="1"/>
      <c r="P25" s="1"/>
      <c r="Q25" s="1"/>
    </row>
    <row r="26" spans="1:17" ht="15.75" x14ac:dyDescent="0.25">
      <c r="A26" s="103" t="s">
        <v>49</v>
      </c>
      <c r="B26" s="4">
        <v>5000</v>
      </c>
      <c r="C26" s="20">
        <f>'BA Input'!F18</f>
        <v>1810</v>
      </c>
      <c r="D26" s="20">
        <f>'BA Input'!G18</f>
        <v>6766814</v>
      </c>
      <c r="E26" s="105">
        <f>Rates!C15</f>
        <v>58.42</v>
      </c>
      <c r="F26" s="120">
        <f>C26*E26</f>
        <v>105740.2</v>
      </c>
      <c r="G26" s="1"/>
      <c r="H26" s="15"/>
      <c r="I26" s="245"/>
      <c r="J26" s="1"/>
      <c r="K26" s="1"/>
      <c r="L26" s="1"/>
      <c r="M26" s="1"/>
      <c r="N26" s="1"/>
      <c r="O26" s="1"/>
      <c r="P26" s="1"/>
      <c r="Q26" s="1"/>
    </row>
    <row r="27" spans="1:17" ht="18" x14ac:dyDescent="0.4">
      <c r="A27" s="103" t="s">
        <v>50</v>
      </c>
      <c r="B27" s="4">
        <v>5000</v>
      </c>
      <c r="C27" s="97">
        <v>0</v>
      </c>
      <c r="D27" s="97">
        <f>'BA Input'!H18</f>
        <v>28376788</v>
      </c>
      <c r="E27" s="106">
        <f>Rates!C16</f>
        <v>7.49</v>
      </c>
      <c r="F27" s="121">
        <f>(D27/1000)*E27</f>
        <v>212542.14212</v>
      </c>
      <c r="G27" s="1"/>
      <c r="H27" s="15"/>
      <c r="I27" s="245"/>
      <c r="J27" s="1"/>
      <c r="K27" s="1"/>
      <c r="L27" s="1"/>
      <c r="M27" s="1"/>
      <c r="N27" s="1"/>
      <c r="O27" s="1"/>
      <c r="P27" s="1"/>
      <c r="Q27" s="1"/>
    </row>
    <row r="28" spans="1:17" ht="15.75" x14ac:dyDescent="0.25">
      <c r="A28" s="103"/>
      <c r="B28" s="4"/>
      <c r="C28" s="20">
        <f>SUM(C26:C27)</f>
        <v>1810</v>
      </c>
      <c r="D28" s="20">
        <f>D26+D27</f>
        <v>35143602</v>
      </c>
      <c r="E28" s="20"/>
      <c r="F28" s="120">
        <f>F26+F27</f>
        <v>318282.34211999999</v>
      </c>
      <c r="G28" s="1"/>
      <c r="H28" s="15"/>
      <c r="I28" s="245"/>
      <c r="J28" s="1"/>
      <c r="K28" s="1"/>
      <c r="L28" s="1"/>
      <c r="M28" s="1"/>
      <c r="N28" s="1"/>
      <c r="O28" s="1"/>
      <c r="P28" s="1"/>
      <c r="Q28" s="1"/>
    </row>
    <row r="29" spans="1:17" ht="15.75" x14ac:dyDescent="0.25">
      <c r="A29" s="103"/>
      <c r="B29" s="4"/>
      <c r="C29" s="20"/>
      <c r="D29" s="20"/>
      <c r="E29" s="20"/>
      <c r="F29" s="120"/>
      <c r="G29" s="1"/>
      <c r="H29" s="15"/>
      <c r="I29" s="245"/>
      <c r="J29" s="1"/>
      <c r="K29" s="1"/>
      <c r="L29" s="1"/>
      <c r="M29" s="1"/>
      <c r="N29" s="1"/>
      <c r="O29" s="1"/>
      <c r="P29" s="1"/>
      <c r="Q29" s="1"/>
    </row>
    <row r="30" spans="1:17" ht="15.75" x14ac:dyDescent="0.25">
      <c r="A30" s="1"/>
      <c r="B30" s="107"/>
      <c r="C30" s="1"/>
      <c r="D30" s="1"/>
      <c r="E30" s="1"/>
      <c r="F30" s="45"/>
      <c r="G30" s="1"/>
      <c r="H30" s="15"/>
      <c r="I30" s="245"/>
      <c r="J30" s="1"/>
      <c r="K30" s="1"/>
      <c r="L30" s="1"/>
      <c r="M30" s="1"/>
      <c r="N30" s="1"/>
      <c r="O30" s="1"/>
      <c r="P30" s="1"/>
      <c r="Q30" s="1"/>
    </row>
    <row r="31" spans="1:17" ht="17.649999999999999" customHeight="1" x14ac:dyDescent="0.25">
      <c r="A31" s="1"/>
      <c r="B31" s="328" t="s">
        <v>133</v>
      </c>
      <c r="C31" s="328"/>
      <c r="D31" s="328"/>
      <c r="E31" s="328"/>
      <c r="F31" s="328"/>
      <c r="G31" s="1"/>
      <c r="H31" s="15"/>
      <c r="I31" s="245"/>
      <c r="J31" s="1"/>
      <c r="K31" s="1"/>
      <c r="L31" s="1"/>
      <c r="M31" s="1"/>
      <c r="N31" s="1"/>
      <c r="O31" s="1"/>
      <c r="P31" s="1"/>
      <c r="Q31" s="1"/>
    </row>
    <row r="32" spans="1:17" ht="15.75" x14ac:dyDescent="0.25">
      <c r="A32" s="1"/>
      <c r="B32" s="111" t="s">
        <v>51</v>
      </c>
      <c r="C32" s="94" t="s">
        <v>52</v>
      </c>
      <c r="D32" s="94" t="s">
        <v>53</v>
      </c>
      <c r="E32" s="94" t="s">
        <v>55</v>
      </c>
      <c r="F32" s="117" t="s">
        <v>56</v>
      </c>
      <c r="G32" s="1"/>
      <c r="H32" s="15"/>
      <c r="I32" s="245"/>
      <c r="J32" s="1"/>
      <c r="K32" s="1"/>
      <c r="L32" s="1"/>
      <c r="M32" s="1"/>
      <c r="N32" s="1"/>
      <c r="O32" s="1"/>
      <c r="P32" s="1"/>
      <c r="Q32" s="1"/>
    </row>
    <row r="33" spans="1:17" ht="15.75" x14ac:dyDescent="0.25">
      <c r="A33" s="103" t="s">
        <v>49</v>
      </c>
      <c r="B33" s="4">
        <v>10000</v>
      </c>
      <c r="C33" s="20">
        <f>'BA Input'!F22</f>
        <v>235</v>
      </c>
      <c r="D33" s="20">
        <f>'BA Input'!G22</f>
        <v>1612104</v>
      </c>
      <c r="E33" s="105">
        <f>Rates!C19</f>
        <v>95.89</v>
      </c>
      <c r="F33" s="120">
        <f>C33*E33</f>
        <v>22534.15</v>
      </c>
      <c r="G33" s="1"/>
      <c r="H33" s="15"/>
      <c r="I33" s="245"/>
      <c r="J33" s="1"/>
      <c r="K33" s="1"/>
      <c r="L33" s="1"/>
      <c r="M33" s="1"/>
      <c r="N33" s="1"/>
      <c r="O33" s="1"/>
      <c r="P33" s="1"/>
      <c r="Q33" s="1"/>
    </row>
    <row r="34" spans="1:17" ht="18" x14ac:dyDescent="0.4">
      <c r="A34" s="103" t="s">
        <v>50</v>
      </c>
      <c r="B34" s="4">
        <v>10000</v>
      </c>
      <c r="C34" s="97">
        <v>0</v>
      </c>
      <c r="D34" s="97">
        <f>'BA Input'!H22</f>
        <v>8684607</v>
      </c>
      <c r="E34" s="106">
        <f>Rates!C20</f>
        <v>7.49</v>
      </c>
      <c r="F34" s="121">
        <f>(D34/1000)*E34</f>
        <v>65047.706429999998</v>
      </c>
      <c r="G34" s="1"/>
      <c r="H34" s="15"/>
      <c r="I34" s="245"/>
      <c r="J34" s="1"/>
      <c r="K34" s="1"/>
      <c r="L34" s="1"/>
      <c r="M34" s="1"/>
      <c r="N34" s="1"/>
      <c r="O34" s="1"/>
      <c r="P34" s="1"/>
      <c r="Q34" s="1"/>
    </row>
    <row r="35" spans="1:17" ht="15.75" x14ac:dyDescent="0.25">
      <c r="A35" s="103"/>
      <c r="B35" s="4"/>
      <c r="C35" s="20">
        <f>SUM(C33:C34)</f>
        <v>235</v>
      </c>
      <c r="D35" s="20">
        <f>D33+D34</f>
        <v>10296711</v>
      </c>
      <c r="E35" s="20"/>
      <c r="F35" s="120">
        <f>F33+F34</f>
        <v>87581.85643</v>
      </c>
      <c r="G35" s="1"/>
      <c r="H35" s="15"/>
      <c r="I35" s="245"/>
      <c r="J35" s="1"/>
      <c r="K35" s="1"/>
      <c r="L35" s="1"/>
      <c r="M35" s="1"/>
      <c r="N35" s="1"/>
      <c r="O35" s="1"/>
      <c r="P35" s="1"/>
      <c r="Q35" s="1"/>
    </row>
    <row r="36" spans="1:17" ht="15.75" x14ac:dyDescent="0.25">
      <c r="A36" s="1"/>
      <c r="B36" s="111"/>
      <c r="C36" s="107"/>
      <c r="D36" s="24"/>
      <c r="E36" s="107"/>
      <c r="F36" s="45"/>
      <c r="G36" s="1"/>
      <c r="H36" s="15"/>
      <c r="I36" s="245"/>
      <c r="J36" s="1"/>
      <c r="K36" s="1"/>
      <c r="L36" s="1"/>
      <c r="M36" s="1"/>
      <c r="N36" s="1"/>
      <c r="O36" s="1"/>
      <c r="P36" s="1"/>
      <c r="Q36" s="1"/>
    </row>
    <row r="37" spans="1:17" ht="15.75" x14ac:dyDescent="0.25">
      <c r="A37" s="1"/>
      <c r="B37" s="111"/>
      <c r="C37" s="107"/>
      <c r="D37" s="24"/>
      <c r="E37" s="107"/>
      <c r="F37" s="45"/>
      <c r="G37" s="1"/>
      <c r="H37" s="15"/>
      <c r="I37" s="245"/>
      <c r="J37" s="1"/>
      <c r="K37" s="1"/>
      <c r="L37" s="1"/>
      <c r="M37" s="1"/>
      <c r="N37" s="1"/>
      <c r="O37" s="1"/>
      <c r="P37" s="1"/>
      <c r="Q37" s="1"/>
    </row>
    <row r="38" spans="1:17" ht="15.75" x14ac:dyDescent="0.25">
      <c r="A38" s="1"/>
      <c r="B38" s="328" t="s">
        <v>134</v>
      </c>
      <c r="C38" s="328"/>
      <c r="D38" s="328"/>
      <c r="E38" s="328"/>
      <c r="F38" s="328"/>
      <c r="G38" s="1"/>
      <c r="H38" s="15"/>
      <c r="I38" s="245"/>
      <c r="J38" s="1"/>
      <c r="K38" s="1"/>
      <c r="L38" s="1"/>
      <c r="M38" s="1"/>
      <c r="N38" s="1"/>
      <c r="O38" s="1"/>
      <c r="P38" s="1"/>
      <c r="Q38" s="1"/>
    </row>
    <row r="39" spans="1:17" ht="18" x14ac:dyDescent="0.4">
      <c r="A39" s="1"/>
      <c r="B39" s="111" t="s">
        <v>51</v>
      </c>
      <c r="C39" s="94" t="s">
        <v>52</v>
      </c>
      <c r="D39" s="94" t="s">
        <v>53</v>
      </c>
      <c r="E39" s="94" t="s">
        <v>55</v>
      </c>
      <c r="F39" s="117" t="s">
        <v>56</v>
      </c>
      <c r="G39" s="1"/>
      <c r="H39" s="15"/>
      <c r="I39" s="246"/>
      <c r="J39" s="1"/>
      <c r="K39" s="1"/>
      <c r="L39" s="1"/>
      <c r="M39" s="1"/>
      <c r="N39" s="1"/>
      <c r="O39" s="1"/>
      <c r="P39" s="1"/>
      <c r="Q39" s="1"/>
    </row>
    <row r="40" spans="1:17" ht="15.75" x14ac:dyDescent="0.25">
      <c r="A40" s="103" t="s">
        <v>49</v>
      </c>
      <c r="B40" s="4">
        <v>50000</v>
      </c>
      <c r="C40" s="20">
        <f>'BA Input'!F27</f>
        <v>72</v>
      </c>
      <c r="D40" s="20">
        <f>'BA Input'!G27</f>
        <v>676803</v>
      </c>
      <c r="E40" s="105">
        <f>Rates!C23</f>
        <v>395.58</v>
      </c>
      <c r="F40" s="120">
        <f>C40*E40</f>
        <v>28481.759999999998</v>
      </c>
      <c r="G40" s="291">
        <f>ExBA!F40/ExBA!D40</f>
        <v>4.2082792186204844E-2</v>
      </c>
      <c r="H40" s="15"/>
      <c r="I40" s="245"/>
      <c r="J40" s="1"/>
      <c r="K40" s="1"/>
      <c r="L40" s="1"/>
      <c r="M40" s="1"/>
      <c r="N40" s="1"/>
      <c r="O40" s="1"/>
      <c r="P40" s="1"/>
      <c r="Q40" s="1"/>
    </row>
    <row r="41" spans="1:17" ht="18" x14ac:dyDescent="0.4">
      <c r="A41" s="103" t="s">
        <v>50</v>
      </c>
      <c r="B41" s="4">
        <v>50000</v>
      </c>
      <c r="C41" s="97">
        <v>0</v>
      </c>
      <c r="D41" s="97">
        <f>'BA Input'!H27</f>
        <v>19113622</v>
      </c>
      <c r="E41" s="106">
        <f>Rates!C24</f>
        <v>7.49</v>
      </c>
      <c r="F41" s="121">
        <f>(D41/1000)*E41</f>
        <v>143161.02877999999</v>
      </c>
      <c r="G41" s="291">
        <f>ExBA!F41/ExBA!D41</f>
        <v>7.4899999999999993E-3</v>
      </c>
      <c r="H41" s="15"/>
      <c r="I41" s="245"/>
      <c r="J41" s="1"/>
      <c r="K41" s="1"/>
      <c r="L41" s="1"/>
      <c r="M41" s="1"/>
      <c r="N41" s="1"/>
      <c r="O41" s="1"/>
      <c r="P41" s="1"/>
      <c r="Q41" s="1"/>
    </row>
    <row r="42" spans="1:17" ht="15.75" x14ac:dyDescent="0.25">
      <c r="A42" s="103"/>
      <c r="B42" s="4"/>
      <c r="C42" s="20">
        <f>SUM(C40:C41)</f>
        <v>72</v>
      </c>
      <c r="D42" s="20">
        <f>D40+D41</f>
        <v>19790425</v>
      </c>
      <c r="E42" s="20"/>
      <c r="F42" s="285">
        <f>F40+F41</f>
        <v>171642.78878</v>
      </c>
      <c r="G42" s="291">
        <f>ExBA!F42/ExBA!D42</f>
        <v>8.6730218668876497E-3</v>
      </c>
      <c r="H42" s="15"/>
      <c r="I42" s="245"/>
      <c r="J42" s="1"/>
      <c r="K42" s="1"/>
      <c r="L42" s="1"/>
      <c r="M42" s="1"/>
      <c r="N42" s="1"/>
      <c r="O42" s="1"/>
      <c r="P42" s="1"/>
      <c r="Q42" s="1"/>
    </row>
    <row r="43" spans="1:17" ht="15.75" x14ac:dyDescent="0.25">
      <c r="A43" s="1"/>
      <c r="B43" s="107"/>
      <c r="C43" s="1"/>
      <c r="D43" s="1"/>
      <c r="E43" s="1"/>
      <c r="F43" s="45"/>
      <c r="G43" s="1"/>
      <c r="H43" s="15"/>
      <c r="I43" s="245"/>
      <c r="J43" s="1"/>
      <c r="K43" s="1"/>
      <c r="L43" s="1"/>
      <c r="M43" s="1"/>
      <c r="N43" s="1"/>
      <c r="O43" s="1"/>
      <c r="P43" s="1"/>
      <c r="Q43" s="1"/>
    </row>
    <row r="44" spans="1:17" ht="15.75" x14ac:dyDescent="0.25">
      <c r="A44" s="1"/>
      <c r="B44" s="107"/>
      <c r="C44" s="18"/>
      <c r="D44" s="94"/>
      <c r="E44" s="94"/>
      <c r="F44" s="45"/>
      <c r="G44" s="1"/>
      <c r="H44" s="15"/>
      <c r="I44" s="245"/>
      <c r="J44" s="1"/>
      <c r="K44" s="1"/>
      <c r="L44" s="1"/>
      <c r="M44" s="1"/>
      <c r="N44" s="1"/>
      <c r="O44" s="1"/>
      <c r="P44" s="1"/>
      <c r="Q44" s="1"/>
    </row>
    <row r="45" spans="1:17" ht="15.75" x14ac:dyDescent="0.25">
      <c r="A45" s="1"/>
      <c r="B45" s="328" t="s">
        <v>135</v>
      </c>
      <c r="C45" s="328"/>
      <c r="D45" s="328"/>
      <c r="E45" s="328"/>
      <c r="F45" s="328"/>
      <c r="G45" s="1"/>
      <c r="H45" s="15"/>
      <c r="I45" s="245"/>
      <c r="J45" s="1"/>
      <c r="K45" s="1"/>
      <c r="L45" s="1"/>
      <c r="M45" s="1"/>
      <c r="N45" s="1"/>
      <c r="O45" s="1"/>
      <c r="P45" s="1"/>
      <c r="Q45" s="1"/>
    </row>
    <row r="46" spans="1:17" ht="15.75" x14ac:dyDescent="0.25">
      <c r="A46" s="1"/>
      <c r="B46" s="111" t="s">
        <v>51</v>
      </c>
      <c r="C46" s="94" t="s">
        <v>52</v>
      </c>
      <c r="D46" s="94" t="s">
        <v>53</v>
      </c>
      <c r="E46" s="94" t="s">
        <v>55</v>
      </c>
      <c r="F46" s="117" t="s">
        <v>56</v>
      </c>
      <c r="G46" s="1"/>
      <c r="H46" s="15"/>
      <c r="I46" s="245"/>
      <c r="J46" s="1"/>
      <c r="K46" s="1"/>
      <c r="L46" s="1"/>
      <c r="M46" s="1"/>
      <c r="N46" s="1"/>
      <c r="O46" s="1"/>
      <c r="P46" s="1"/>
      <c r="Q46" s="1"/>
    </row>
    <row r="47" spans="1:17" ht="15.75" x14ac:dyDescent="0.25">
      <c r="A47" s="103" t="s">
        <v>49</v>
      </c>
      <c r="B47" s="4">
        <v>100000</v>
      </c>
      <c r="C47" s="20">
        <f>'BA Input'!F29</f>
        <v>0</v>
      </c>
      <c r="D47" s="20">
        <f>'BA Input'!G30</f>
        <v>0</v>
      </c>
      <c r="E47" s="105">
        <f>Rates!C27</f>
        <v>770.19</v>
      </c>
      <c r="F47" s="120">
        <f>C47*E47</f>
        <v>0</v>
      </c>
      <c r="G47" s="1"/>
      <c r="H47" s="15"/>
      <c r="I47" s="245"/>
      <c r="J47" s="1"/>
      <c r="K47" s="1"/>
      <c r="L47" s="1"/>
      <c r="M47" s="1"/>
      <c r="N47" s="1"/>
      <c r="O47" s="1"/>
      <c r="P47" s="1"/>
      <c r="Q47" s="1"/>
    </row>
    <row r="48" spans="1:17" ht="18" x14ac:dyDescent="0.4">
      <c r="A48" s="103" t="s">
        <v>50</v>
      </c>
      <c r="B48" s="4">
        <v>100000</v>
      </c>
      <c r="C48" s="97">
        <v>0</v>
      </c>
      <c r="D48" s="97">
        <f>'BA Input'!H30</f>
        <v>0</v>
      </c>
      <c r="E48" s="106">
        <f>Rates!C28</f>
        <v>7.49</v>
      </c>
      <c r="F48" s="121">
        <f>(D48/1000)*E48</f>
        <v>0</v>
      </c>
      <c r="G48" s="1"/>
      <c r="H48" s="15"/>
      <c r="I48" s="245"/>
      <c r="J48" s="1"/>
      <c r="K48" s="1"/>
      <c r="L48" s="1"/>
      <c r="M48" s="1"/>
      <c r="N48" s="1"/>
      <c r="O48" s="1"/>
      <c r="P48" s="1"/>
      <c r="Q48" s="1"/>
    </row>
    <row r="49" spans="1:17" ht="15.75" x14ac:dyDescent="0.25">
      <c r="A49" s="103"/>
      <c r="B49" s="4"/>
      <c r="C49" s="20">
        <f>SUM(C47:C48)</f>
        <v>0</v>
      </c>
      <c r="D49" s="20">
        <f>D47+D48</f>
        <v>0</v>
      </c>
      <c r="E49" s="20"/>
      <c r="F49" s="120">
        <f>F47+F48</f>
        <v>0</v>
      </c>
      <c r="G49" s="1"/>
      <c r="H49" s="15"/>
      <c r="I49" s="245"/>
      <c r="J49" s="1"/>
      <c r="K49" s="1"/>
      <c r="L49" s="1"/>
      <c r="M49" s="1"/>
      <c r="N49" s="1"/>
      <c r="O49" s="1"/>
      <c r="P49" s="1"/>
      <c r="Q49" s="1"/>
    </row>
  </sheetData>
  <mergeCells count="8">
    <mergeCell ref="A2:G2"/>
    <mergeCell ref="A3:G3"/>
    <mergeCell ref="B38:F38"/>
    <mergeCell ref="B45:F45"/>
    <mergeCell ref="B6:F6"/>
    <mergeCell ref="B17:F17"/>
    <mergeCell ref="B24:F24"/>
    <mergeCell ref="B31:F31"/>
  </mergeCells>
  <pageMargins left="0.7" right="0.7" top="0.75" bottom="0.75" header="0.3" footer="0.3"/>
  <pageSetup scale="8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7"/>
  <sheetViews>
    <sheetView showGridLines="0" workbookViewId="0">
      <selection sqref="A1:J47"/>
    </sheetView>
  </sheetViews>
  <sheetFormatPr defaultRowHeight="15" x14ac:dyDescent="0.2"/>
  <cols>
    <col min="1" max="1" width="7.77734375" customWidth="1"/>
    <col min="2" max="2" width="8" style="112" customWidth="1"/>
    <col min="3" max="5" width="10.5546875" customWidth="1"/>
    <col min="6" max="6" width="11.77734375" style="122" customWidth="1"/>
    <col min="7" max="7" width="5.44140625" customWidth="1"/>
    <col min="8" max="8" width="10.77734375" customWidth="1"/>
    <col min="9" max="9" width="9.21875" customWidth="1"/>
    <col min="10" max="10" width="6.5546875" customWidth="1"/>
    <col min="14" max="15" width="8.77734375" customWidth="1"/>
  </cols>
  <sheetData>
    <row r="1" spans="1:17" ht="15.75" x14ac:dyDescent="0.25">
      <c r="D1" s="332" t="s">
        <v>333</v>
      </c>
      <c r="E1" s="332"/>
    </row>
    <row r="2" spans="1:17" ht="18.75" x14ac:dyDescent="0.3">
      <c r="A2" s="330" t="s">
        <v>270</v>
      </c>
      <c r="B2" s="330"/>
      <c r="C2" s="330"/>
      <c r="D2" s="330"/>
      <c r="E2" s="330"/>
      <c r="F2" s="330"/>
      <c r="G2" s="330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8.75" x14ac:dyDescent="0.25">
      <c r="A3" s="327" t="str">
        <f>SAO!A2</f>
        <v>CHRISTIAN COUNTY WATER DISTRICT</v>
      </c>
      <c r="B3" s="327"/>
      <c r="C3" s="327"/>
      <c r="D3" s="327"/>
      <c r="E3" s="327"/>
      <c r="F3" s="327"/>
      <c r="G3" s="327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8.75" x14ac:dyDescent="0.25">
      <c r="A4" s="30"/>
      <c r="B4" s="108"/>
      <c r="C4" s="30"/>
      <c r="D4" s="30"/>
      <c r="E4" s="30"/>
      <c r="F4" s="115"/>
      <c r="G4" s="30"/>
      <c r="H4" s="1"/>
      <c r="I4" s="1"/>
      <c r="J4" s="1"/>
      <c r="K4" s="1"/>
      <c r="M4" s="1"/>
      <c r="N4" s="1"/>
      <c r="O4" s="1"/>
      <c r="P4" s="1"/>
      <c r="Q4" s="1"/>
    </row>
    <row r="5" spans="1:17" ht="15.75" x14ac:dyDescent="0.25">
      <c r="A5" s="99"/>
      <c r="B5" s="109"/>
      <c r="C5" s="100"/>
      <c r="D5" s="100"/>
      <c r="E5" s="100"/>
      <c r="F5" s="116"/>
      <c r="G5" s="100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x14ac:dyDescent="0.25">
      <c r="A6" s="1"/>
      <c r="B6" s="329" t="s">
        <v>48</v>
      </c>
      <c r="C6" s="329"/>
      <c r="D6" s="329"/>
      <c r="E6" s="329"/>
      <c r="F6" s="329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x14ac:dyDescent="0.25">
      <c r="A7" s="1"/>
      <c r="B7" s="4" t="s">
        <v>130</v>
      </c>
      <c r="C7" s="104"/>
      <c r="D7" s="94" t="s">
        <v>52</v>
      </c>
      <c r="E7" s="94" t="s">
        <v>53</v>
      </c>
      <c r="F7" s="117" t="s">
        <v>56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x14ac:dyDescent="0.4">
      <c r="A8" s="1"/>
      <c r="B8" s="110" t="s">
        <v>128</v>
      </c>
      <c r="D8" s="96">
        <f>C17+C24+C31+C38+C45</f>
        <v>77585</v>
      </c>
      <c r="E8" s="96">
        <f t="shared" ref="E8:E10" si="0">D17+D24+D31+D38+D45</f>
        <v>9055721</v>
      </c>
      <c r="F8" s="118">
        <f>F17+F24+F31+F38+F45</f>
        <v>1718600.5858</v>
      </c>
      <c r="G8" s="1"/>
      <c r="H8" s="1"/>
      <c r="I8" s="1"/>
      <c r="J8" s="38"/>
      <c r="K8" s="1"/>
      <c r="L8" s="1"/>
      <c r="M8" s="1"/>
      <c r="N8" s="25"/>
      <c r="O8" s="25"/>
      <c r="P8" s="1"/>
      <c r="Q8" s="1"/>
    </row>
    <row r="9" spans="1:17" ht="18" x14ac:dyDescent="0.4">
      <c r="A9" s="1"/>
      <c r="B9" s="110" t="s">
        <v>129</v>
      </c>
      <c r="D9" s="98">
        <f>C18+C25+C32+C39+C46</f>
        <v>0</v>
      </c>
      <c r="E9" s="98">
        <f t="shared" si="0"/>
        <v>366578391</v>
      </c>
      <c r="F9" s="119">
        <f>F18+F25+F32+F39+F46</f>
        <v>2751170.8244550005</v>
      </c>
      <c r="G9" s="1"/>
      <c r="H9" s="4"/>
      <c r="I9" s="1"/>
      <c r="J9" s="1"/>
      <c r="K9" s="1"/>
      <c r="L9" s="1"/>
      <c r="M9" s="1"/>
      <c r="N9" s="15"/>
      <c r="O9" s="15"/>
      <c r="P9" s="1"/>
      <c r="Q9" s="1"/>
    </row>
    <row r="10" spans="1:17" ht="15.75" x14ac:dyDescent="0.25">
      <c r="A10" s="1"/>
      <c r="B10" s="4" t="s">
        <v>39</v>
      </c>
      <c r="D10" s="96">
        <f>C19+C26+C33+C40+C47</f>
        <v>77585</v>
      </c>
      <c r="E10" s="96">
        <f t="shared" si="0"/>
        <v>375634112</v>
      </c>
      <c r="F10" s="118">
        <f>F19+F26+F33+F40+F47</f>
        <v>4469771.4102550009</v>
      </c>
      <c r="G10" s="1"/>
      <c r="H10" s="1"/>
      <c r="I10" s="1"/>
      <c r="J10" s="4"/>
      <c r="K10" s="1"/>
      <c r="L10" s="1"/>
      <c r="M10" s="1"/>
      <c r="N10" s="1"/>
      <c r="O10" s="1"/>
      <c r="P10" s="1"/>
      <c r="Q10" s="1"/>
    </row>
    <row r="11" spans="1:17" ht="18" x14ac:dyDescent="0.4">
      <c r="A11" s="1"/>
      <c r="B11" s="4" t="s">
        <v>136</v>
      </c>
      <c r="C11" s="101"/>
      <c r="D11" s="113"/>
      <c r="E11" s="41"/>
      <c r="F11" s="114">
        <f>ExBA!F11*(1+SAO!H63)</f>
        <v>-45817.191480000001</v>
      </c>
      <c r="G11" s="1"/>
      <c r="H11" s="1"/>
      <c r="I11" s="37"/>
      <c r="J11" s="98"/>
      <c r="K11" s="102"/>
      <c r="L11" s="1"/>
      <c r="M11" s="1"/>
      <c r="N11" s="1"/>
      <c r="O11" s="1"/>
      <c r="P11" s="1"/>
      <c r="Q11" s="1"/>
    </row>
    <row r="12" spans="1:17" ht="15.75" x14ac:dyDescent="0.25">
      <c r="A12" s="1"/>
      <c r="B12" s="4" t="s">
        <v>137</v>
      </c>
      <c r="C12" s="101"/>
      <c r="D12" s="37"/>
      <c r="E12" s="96"/>
      <c r="F12" s="45">
        <f>F10+F11</f>
        <v>4423954.2187750014</v>
      </c>
      <c r="H12" s="133">
        <f>SAO!H59</f>
        <v>4423222.1486325823</v>
      </c>
      <c r="I12" s="133">
        <f>F12-H12</f>
        <v>732.07014241907746</v>
      </c>
      <c r="J12" s="251">
        <f>I12/H12</f>
        <v>1.6550607629901506E-4</v>
      </c>
      <c r="K12" s="102"/>
      <c r="L12" s="1"/>
      <c r="M12" s="1"/>
      <c r="N12" s="1"/>
      <c r="O12" s="1"/>
      <c r="P12" s="1"/>
      <c r="Q12" s="1"/>
    </row>
    <row r="13" spans="1:17" ht="18" x14ac:dyDescent="0.4">
      <c r="A13" s="1"/>
      <c r="B13" s="4"/>
      <c r="C13" s="101"/>
      <c r="D13" s="37"/>
      <c r="E13" s="96"/>
      <c r="F13" s="45"/>
      <c r="G13" s="1"/>
      <c r="H13" s="103" t="s">
        <v>253</v>
      </c>
      <c r="I13" s="250" t="s">
        <v>66</v>
      </c>
      <c r="J13" s="98"/>
      <c r="K13" s="102"/>
      <c r="L13" s="1"/>
      <c r="M13" s="1"/>
      <c r="N13" s="1"/>
      <c r="O13" s="1"/>
      <c r="P13" s="1"/>
      <c r="Q13" s="1"/>
    </row>
    <row r="14" spans="1:17" ht="15.75" x14ac:dyDescent="0.25">
      <c r="A14" s="1"/>
      <c r="B14" s="4"/>
      <c r="C14" s="101"/>
      <c r="D14" s="37"/>
      <c r="E14" s="1"/>
      <c r="F14" s="45"/>
      <c r="G14" s="1"/>
      <c r="H14" s="1"/>
      <c r="I14" s="1"/>
      <c r="J14" s="4"/>
      <c r="K14" s="1"/>
      <c r="L14" s="1"/>
      <c r="M14" s="1"/>
      <c r="N14" s="1"/>
      <c r="O14" s="1"/>
      <c r="P14" s="1"/>
      <c r="Q14" s="1"/>
    </row>
    <row r="15" spans="1:17" ht="15.75" x14ac:dyDescent="0.25">
      <c r="A15" s="1"/>
      <c r="B15" s="328" t="s">
        <v>131</v>
      </c>
      <c r="C15" s="328"/>
      <c r="D15" s="328"/>
      <c r="E15" s="328"/>
      <c r="F15" s="328"/>
      <c r="G15" s="1"/>
      <c r="H15" s="1"/>
      <c r="I15" s="1"/>
      <c r="J15" s="4"/>
      <c r="K15" s="1"/>
      <c r="L15" s="4"/>
      <c r="M15" s="102"/>
      <c r="N15" s="1"/>
      <c r="O15" s="1"/>
      <c r="P15" s="1"/>
      <c r="Q15" s="1"/>
    </row>
    <row r="16" spans="1:17" ht="15.75" x14ac:dyDescent="0.25">
      <c r="A16" s="1"/>
      <c r="B16" s="111" t="s">
        <v>51</v>
      </c>
      <c r="C16" s="94" t="s">
        <v>52</v>
      </c>
      <c r="D16" s="94" t="s">
        <v>53</v>
      </c>
      <c r="E16" s="94" t="s">
        <v>55</v>
      </c>
      <c r="F16" s="117" t="s">
        <v>56</v>
      </c>
      <c r="G16" s="18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03" t="s">
        <v>49</v>
      </c>
      <c r="B17" s="4">
        <f>ExBA!B19</f>
        <v>0</v>
      </c>
      <c r="C17" s="4">
        <f>ExBA!C19</f>
        <v>75468</v>
      </c>
      <c r="D17" s="4">
        <f>ExBA!D19</f>
        <v>0</v>
      </c>
      <c r="E17" s="105">
        <f>Rates!E11</f>
        <v>20.691299999999998</v>
      </c>
      <c r="F17" s="120">
        <f>C17*E17</f>
        <v>1561531.0284</v>
      </c>
      <c r="G17" s="20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8" x14ac:dyDescent="0.4">
      <c r="A18" s="103" t="s">
        <v>50</v>
      </c>
      <c r="B18" s="4">
        <f>ExBA!B20</f>
        <v>0</v>
      </c>
      <c r="C18" s="4">
        <f>ExBA!C20</f>
        <v>0</v>
      </c>
      <c r="D18" s="4">
        <f>ExBA!D20</f>
        <v>310403374</v>
      </c>
      <c r="E18" s="106">
        <f>Rates!E12</f>
        <v>7.5049999999999999</v>
      </c>
      <c r="F18" s="121">
        <f>(D18/1000)*E18</f>
        <v>2329577.3218700001</v>
      </c>
      <c r="G18" s="97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03"/>
      <c r="B19" s="4"/>
      <c r="C19" s="20">
        <f>SUM(C17:C18)</f>
        <v>75468</v>
      </c>
      <c r="D19" s="20">
        <f>D17+D18</f>
        <v>310403374</v>
      </c>
      <c r="E19" s="20"/>
      <c r="F19" s="120">
        <f>F17+F18</f>
        <v>3891108.3502700003</v>
      </c>
      <c r="G19" s="20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03"/>
      <c r="B20" s="4"/>
      <c r="C20" s="20"/>
      <c r="D20" s="20"/>
      <c r="E20" s="20"/>
      <c r="F20" s="120"/>
      <c r="G20" s="20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03"/>
      <c r="B21" s="4"/>
      <c r="C21" s="1"/>
      <c r="D21" s="95"/>
      <c r="E21" s="95"/>
      <c r="F21" s="45"/>
      <c r="G21" s="95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1"/>
      <c r="B22" s="328" t="s">
        <v>132</v>
      </c>
      <c r="C22" s="328"/>
      <c r="D22" s="328"/>
      <c r="E22" s="328"/>
      <c r="F22" s="328"/>
      <c r="G22" s="95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1"/>
      <c r="B23" s="111" t="s">
        <v>51</v>
      </c>
      <c r="C23" s="94" t="s">
        <v>52</v>
      </c>
      <c r="D23" s="94" t="s">
        <v>53</v>
      </c>
      <c r="E23" s="94" t="s">
        <v>55</v>
      </c>
      <c r="F23" s="117" t="s">
        <v>56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5.75" x14ac:dyDescent="0.25">
      <c r="A24" s="103" t="s">
        <v>49</v>
      </c>
      <c r="B24" s="4">
        <f>ExBA!B26</f>
        <v>5000</v>
      </c>
      <c r="C24" s="4">
        <f>ExBA!C26</f>
        <v>1810</v>
      </c>
      <c r="D24" s="4">
        <f>ExBA!D26</f>
        <v>6766814</v>
      </c>
      <c r="E24" s="105">
        <f>Rates!E15</f>
        <v>58.536799999999999</v>
      </c>
      <c r="F24" s="120">
        <f>C24*E24</f>
        <v>105951.60799999999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8" x14ac:dyDescent="0.4">
      <c r="A25" s="103" t="s">
        <v>50</v>
      </c>
      <c r="B25" s="4">
        <f>ExBA!B27</f>
        <v>5000</v>
      </c>
      <c r="C25" s="4">
        <f>ExBA!C27</f>
        <v>0</v>
      </c>
      <c r="D25" s="4">
        <f>ExBA!D27</f>
        <v>28376788</v>
      </c>
      <c r="E25" s="106">
        <f>Rates!E16</f>
        <v>7.5049999999999999</v>
      </c>
      <c r="F25" s="121">
        <f>(D25/1000)*E25</f>
        <v>212967.79394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5.75" x14ac:dyDescent="0.25">
      <c r="A26" s="103"/>
      <c r="B26" s="4"/>
      <c r="C26" s="20">
        <f>SUM(C24:C25)</f>
        <v>1810</v>
      </c>
      <c r="D26" s="20">
        <f>D24+D25</f>
        <v>35143602</v>
      </c>
      <c r="E26" s="20"/>
      <c r="F26" s="120">
        <f>F24+F25</f>
        <v>318919.40194000001</v>
      </c>
      <c r="G26" s="1"/>
      <c r="H26" s="1"/>
      <c r="I26" s="37"/>
      <c r="J26" s="1"/>
      <c r="K26" s="1"/>
      <c r="L26" s="1"/>
      <c r="M26" s="1"/>
      <c r="N26" s="1"/>
      <c r="O26" s="1"/>
      <c r="P26" s="1"/>
      <c r="Q26" s="1"/>
    </row>
    <row r="27" spans="1:17" ht="15.75" x14ac:dyDescent="0.25">
      <c r="A27" s="103"/>
      <c r="B27" s="4"/>
      <c r="C27" s="20"/>
      <c r="D27" s="20"/>
      <c r="E27" s="20"/>
      <c r="F27" s="120"/>
      <c r="G27" s="1"/>
      <c r="H27" s="1"/>
      <c r="I27" s="37"/>
      <c r="J27" s="1"/>
      <c r="K27" s="1"/>
      <c r="L27" s="1"/>
      <c r="M27" s="1"/>
      <c r="N27" s="1"/>
      <c r="O27" s="1"/>
      <c r="P27" s="1"/>
      <c r="Q27" s="1"/>
    </row>
    <row r="28" spans="1:17" ht="15.75" x14ac:dyDescent="0.25">
      <c r="A28" s="1"/>
      <c r="B28" s="107"/>
      <c r="C28" s="1"/>
      <c r="D28" s="1"/>
      <c r="E28" s="1"/>
      <c r="F28" s="4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7.649999999999999" customHeight="1" x14ac:dyDescent="0.25">
      <c r="A29" s="1"/>
      <c r="B29" s="328" t="s">
        <v>133</v>
      </c>
      <c r="C29" s="328"/>
      <c r="D29" s="328"/>
      <c r="E29" s="328"/>
      <c r="F29" s="32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5.75" x14ac:dyDescent="0.25">
      <c r="A30" s="1"/>
      <c r="B30" s="111" t="s">
        <v>51</v>
      </c>
      <c r="C30" s="94" t="s">
        <v>52</v>
      </c>
      <c r="D30" s="94" t="s">
        <v>53</v>
      </c>
      <c r="E30" s="94" t="s">
        <v>55</v>
      </c>
      <c r="F30" s="117" t="s">
        <v>56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5.75" x14ac:dyDescent="0.25">
      <c r="A31" s="103" t="s">
        <v>49</v>
      </c>
      <c r="B31" s="4">
        <f>ExBA!B33</f>
        <v>10000</v>
      </c>
      <c r="C31" s="4">
        <f>ExBA!C33</f>
        <v>235</v>
      </c>
      <c r="D31" s="4">
        <f>ExBA!D33</f>
        <v>1612104</v>
      </c>
      <c r="E31" s="105">
        <f>Rates!E19</f>
        <v>96.081800000000001</v>
      </c>
      <c r="F31" s="120">
        <f>C31*E31</f>
        <v>22579.223000000002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8" x14ac:dyDescent="0.4">
      <c r="A32" s="103" t="s">
        <v>50</v>
      </c>
      <c r="B32" s="4">
        <f>ExBA!B34</f>
        <v>10000</v>
      </c>
      <c r="C32" s="4">
        <f>ExBA!C34</f>
        <v>0</v>
      </c>
      <c r="D32" s="4">
        <f>ExBA!D34</f>
        <v>8684607</v>
      </c>
      <c r="E32" s="106">
        <f>Rates!E20</f>
        <v>7.5049999999999999</v>
      </c>
      <c r="F32" s="121">
        <f>(D32/1000)*E32</f>
        <v>65177.975534999998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5.75" x14ac:dyDescent="0.25">
      <c r="A33" s="103"/>
      <c r="B33" s="4"/>
      <c r="C33" s="20">
        <f>SUM(C31:C32)</f>
        <v>235</v>
      </c>
      <c r="D33" s="20">
        <f>D31+D32</f>
        <v>10296711</v>
      </c>
      <c r="E33" s="20"/>
      <c r="F33" s="120">
        <f>F31+F32</f>
        <v>87757.198535000003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5.75" x14ac:dyDescent="0.25">
      <c r="A34" s="1"/>
      <c r="B34" s="111"/>
      <c r="C34" s="107"/>
      <c r="D34" s="24"/>
      <c r="E34" s="107"/>
      <c r="F34" s="4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5.75" x14ac:dyDescent="0.25">
      <c r="A35" s="1"/>
      <c r="B35" s="111"/>
      <c r="C35" s="107"/>
      <c r="D35" s="24"/>
      <c r="E35" s="107"/>
      <c r="F35" s="4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5.75" x14ac:dyDescent="0.25">
      <c r="A36" s="1"/>
      <c r="B36" s="328" t="s">
        <v>134</v>
      </c>
      <c r="C36" s="328"/>
      <c r="D36" s="328"/>
      <c r="E36" s="328"/>
      <c r="F36" s="32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8" x14ac:dyDescent="0.4">
      <c r="A37" s="1"/>
      <c r="B37" s="111" t="s">
        <v>51</v>
      </c>
      <c r="C37" s="94" t="s">
        <v>52</v>
      </c>
      <c r="D37" s="94" t="s">
        <v>53</v>
      </c>
      <c r="E37" s="94" t="s">
        <v>55</v>
      </c>
      <c r="F37" s="117" t="s">
        <v>56</v>
      </c>
      <c r="G37" s="1"/>
      <c r="H37" s="1"/>
      <c r="I37" s="41"/>
      <c r="J37" s="1"/>
      <c r="K37" s="1"/>
      <c r="L37" s="1"/>
      <c r="M37" s="1"/>
      <c r="N37" s="1"/>
      <c r="O37" s="1"/>
      <c r="P37" s="1"/>
      <c r="Q37" s="1"/>
    </row>
    <row r="38" spans="1:17" ht="15.75" x14ac:dyDescent="0.25">
      <c r="A38" s="103" t="s">
        <v>49</v>
      </c>
      <c r="B38" s="4">
        <f>ExBA!B40</f>
        <v>50000</v>
      </c>
      <c r="C38" s="4">
        <f>ExBA!C40</f>
        <v>72</v>
      </c>
      <c r="D38" s="4">
        <f>ExBA!D40</f>
        <v>676803</v>
      </c>
      <c r="E38" s="105">
        <f>Rates!E23</f>
        <v>396.37119999999999</v>
      </c>
      <c r="F38" s="120">
        <f>C38*E38</f>
        <v>28538.7264</v>
      </c>
      <c r="G38" s="1"/>
      <c r="H38" s="1"/>
      <c r="I38" s="21"/>
      <c r="J38" s="1"/>
      <c r="K38" s="1"/>
      <c r="L38" s="1"/>
      <c r="M38" s="1"/>
      <c r="N38" s="1"/>
      <c r="O38" s="1"/>
      <c r="P38" s="1"/>
      <c r="Q38" s="1"/>
    </row>
    <row r="39" spans="1:17" ht="18" x14ac:dyDescent="0.4">
      <c r="A39" s="103" t="s">
        <v>50</v>
      </c>
      <c r="B39" s="4">
        <f>ExBA!B41</f>
        <v>50000</v>
      </c>
      <c r="C39" s="4">
        <f>ExBA!C41</f>
        <v>0</v>
      </c>
      <c r="D39" s="4">
        <f>ExBA!D41</f>
        <v>19113622</v>
      </c>
      <c r="E39" s="106">
        <f>Rates!E24</f>
        <v>7.5049999999999999</v>
      </c>
      <c r="F39" s="121">
        <f>(D39/1000)*E39</f>
        <v>143447.73311</v>
      </c>
      <c r="G39" s="1"/>
      <c r="H39" s="1"/>
      <c r="I39" s="96"/>
      <c r="J39" s="1"/>
      <c r="K39" s="1"/>
      <c r="L39" s="1"/>
      <c r="M39" s="1"/>
      <c r="N39" s="1"/>
      <c r="O39" s="1"/>
      <c r="P39" s="1"/>
      <c r="Q39" s="1"/>
    </row>
    <row r="40" spans="1:17" ht="15.75" x14ac:dyDescent="0.25">
      <c r="A40" s="103"/>
      <c r="B40" s="4"/>
      <c r="C40" s="20">
        <f>SUM(C38:C39)</f>
        <v>72</v>
      </c>
      <c r="D40" s="20">
        <f>D38+D39</f>
        <v>19790425</v>
      </c>
      <c r="E40" s="20"/>
      <c r="F40" s="120">
        <f>F38+F39</f>
        <v>171986.45951000002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5.75" x14ac:dyDescent="0.25">
      <c r="A41" s="1"/>
      <c r="B41" s="107"/>
      <c r="C41" s="1"/>
      <c r="D41" s="1"/>
      <c r="E41" s="1"/>
      <c r="F41" s="4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5.75" x14ac:dyDescent="0.25">
      <c r="A42" s="1"/>
      <c r="B42" s="107"/>
      <c r="C42" s="18"/>
      <c r="D42" s="94"/>
      <c r="E42" s="94"/>
      <c r="F42" s="4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5.75" x14ac:dyDescent="0.25">
      <c r="A43" s="1"/>
      <c r="B43" s="328" t="s">
        <v>135</v>
      </c>
      <c r="C43" s="328"/>
      <c r="D43" s="328"/>
      <c r="E43" s="328"/>
      <c r="F43" s="328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5.75" x14ac:dyDescent="0.25">
      <c r="A44" s="1"/>
      <c r="B44" s="111" t="s">
        <v>51</v>
      </c>
      <c r="C44" s="94" t="s">
        <v>52</v>
      </c>
      <c r="D44" s="94" t="s">
        <v>53</v>
      </c>
      <c r="E44" s="94" t="s">
        <v>55</v>
      </c>
      <c r="F44" s="117" t="s">
        <v>56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5.75" x14ac:dyDescent="0.25">
      <c r="A45" s="103" t="s">
        <v>49</v>
      </c>
      <c r="B45" s="4">
        <f>ExBA!B47</f>
        <v>100000</v>
      </c>
      <c r="C45" s="4">
        <f>ExBA!C47</f>
        <v>0</v>
      </c>
      <c r="D45" s="4">
        <f>ExBA!D47</f>
        <v>0</v>
      </c>
      <c r="E45" s="105">
        <f>Rates!E27</f>
        <v>771.73040000000003</v>
      </c>
      <c r="F45" s="120">
        <f>C45*E45</f>
        <v>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8" x14ac:dyDescent="0.4">
      <c r="A46" s="103" t="s">
        <v>50</v>
      </c>
      <c r="B46" s="4">
        <f>ExBA!B48</f>
        <v>100000</v>
      </c>
      <c r="C46" s="4">
        <f>ExBA!C48</f>
        <v>0</v>
      </c>
      <c r="D46" s="4">
        <f>ExBA!D48</f>
        <v>0</v>
      </c>
      <c r="E46" s="106">
        <f>Rates!E28</f>
        <v>7.5049999999999999</v>
      </c>
      <c r="F46" s="121">
        <f>(D46/1000)*E46</f>
        <v>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5.75" x14ac:dyDescent="0.25">
      <c r="A47" s="103"/>
      <c r="B47" s="4"/>
      <c r="C47" s="20">
        <f>SUM(C45:C46)</f>
        <v>0</v>
      </c>
      <c r="D47" s="20">
        <f>D45+D46</f>
        <v>0</v>
      </c>
      <c r="E47" s="20"/>
      <c r="F47" s="120">
        <f>F45+F46</f>
        <v>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</sheetData>
  <mergeCells count="8">
    <mergeCell ref="B22:F22"/>
    <mergeCell ref="B29:F29"/>
    <mergeCell ref="B36:F36"/>
    <mergeCell ref="B43:F43"/>
    <mergeCell ref="A2:G2"/>
    <mergeCell ref="A3:G3"/>
    <mergeCell ref="B6:F6"/>
    <mergeCell ref="B15:F15"/>
  </mergeCells>
  <printOptions horizontalCentered="1"/>
  <pageMargins left="0.7" right="0.7" top="1" bottom="0.75" header="0.3" footer="0.3"/>
  <pageSetup scale="85" fitToHeight="2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3153-D18D-47C6-A731-B4659C25EE06}">
  <dimension ref="A1:K45"/>
  <sheetViews>
    <sheetView topLeftCell="A15" workbookViewId="0">
      <selection activeCell="J44" sqref="J44"/>
    </sheetView>
  </sheetViews>
  <sheetFormatPr defaultRowHeight="15" x14ac:dyDescent="0.25"/>
  <cols>
    <col min="1" max="1" width="3.21875" style="1" customWidth="1"/>
    <col min="2" max="2" width="7.21875" style="1" customWidth="1"/>
    <col min="3" max="3" width="17.21875" style="1" customWidth="1"/>
    <col min="4" max="5" width="8.88671875" style="1"/>
    <col min="6" max="6" width="9.88671875" style="1" bestFit="1" customWidth="1"/>
    <col min="7" max="7" width="8.88671875" style="1"/>
    <col min="8" max="8" width="12.77734375" style="1" customWidth="1"/>
    <col min="9" max="9" width="9.88671875" style="1" bestFit="1" customWidth="1"/>
    <col min="10" max="10" width="8.88671875" style="104"/>
    <col min="11" max="16384" width="8.88671875" style="1"/>
  </cols>
  <sheetData>
    <row r="1" spans="1:10" x14ac:dyDescent="0.25">
      <c r="B1" s="163" t="s">
        <v>88</v>
      </c>
      <c r="C1" s="163"/>
    </row>
    <row r="2" spans="1:10" x14ac:dyDescent="0.25">
      <c r="I2" s="18" t="s">
        <v>10</v>
      </c>
    </row>
    <row r="3" spans="1:10" x14ac:dyDescent="0.25">
      <c r="D3" s="18" t="s">
        <v>89</v>
      </c>
      <c r="E3" s="18" t="s">
        <v>89</v>
      </c>
      <c r="F3" s="18" t="s">
        <v>90</v>
      </c>
      <c r="G3" s="18" t="s">
        <v>89</v>
      </c>
      <c r="H3" s="18" t="s">
        <v>89</v>
      </c>
      <c r="I3" s="18" t="s">
        <v>89</v>
      </c>
    </row>
    <row r="4" spans="1:10" x14ac:dyDescent="0.25">
      <c r="B4" s="255" t="s">
        <v>261</v>
      </c>
      <c r="C4" s="255"/>
      <c r="D4" s="19" t="s">
        <v>91</v>
      </c>
      <c r="E4" s="19" t="s">
        <v>92</v>
      </c>
      <c r="F4" s="19" t="s">
        <v>93</v>
      </c>
      <c r="G4" s="19" t="s">
        <v>94</v>
      </c>
      <c r="H4" s="19" t="s">
        <v>95</v>
      </c>
      <c r="I4" s="19" t="s">
        <v>96</v>
      </c>
    </row>
    <row r="5" spans="1:10" x14ac:dyDescent="0.25">
      <c r="A5" s="134"/>
      <c r="B5" s="257">
        <v>4</v>
      </c>
      <c r="C5" s="256" t="s">
        <v>262</v>
      </c>
      <c r="D5" s="92">
        <v>2080</v>
      </c>
      <c r="E5" s="90">
        <v>303.5</v>
      </c>
      <c r="F5" s="90">
        <f t="shared" ref="F5:F9" si="0">G5/D5</f>
        <v>28.619495192307692</v>
      </c>
      <c r="G5" s="16">
        <v>59528.55</v>
      </c>
      <c r="H5" s="16">
        <v>11285.29</v>
      </c>
      <c r="I5" s="16">
        <f t="shared" ref="I5" si="1">G5+H5</f>
        <v>70813.84</v>
      </c>
    </row>
    <row r="6" spans="1:10" x14ac:dyDescent="0.25">
      <c r="A6" s="134"/>
      <c r="B6" s="257">
        <v>7</v>
      </c>
      <c r="C6" s="256" t="s">
        <v>263</v>
      </c>
      <c r="D6" s="92">
        <v>2080</v>
      </c>
      <c r="E6" s="90">
        <v>0</v>
      </c>
      <c r="F6" s="90">
        <f t="shared" si="0"/>
        <v>43.078807692307691</v>
      </c>
      <c r="G6" s="16">
        <v>89603.92</v>
      </c>
      <c r="H6" s="16">
        <f>E6*F6*1.5</f>
        <v>0</v>
      </c>
      <c r="I6" s="16">
        <f t="shared" ref="I6:I9" si="2">G6+H6</f>
        <v>89603.92</v>
      </c>
      <c r="J6" s="293" t="s">
        <v>310</v>
      </c>
    </row>
    <row r="7" spans="1:10" x14ac:dyDescent="0.25">
      <c r="A7" s="134"/>
      <c r="B7" s="257">
        <v>14</v>
      </c>
      <c r="C7" s="256" t="s">
        <v>262</v>
      </c>
      <c r="D7" s="90">
        <v>2147.75</v>
      </c>
      <c r="E7" s="90">
        <v>595.75</v>
      </c>
      <c r="F7" s="90">
        <f t="shared" si="0"/>
        <v>34.616645326504482</v>
      </c>
      <c r="G7" s="16">
        <v>74347.899999999994</v>
      </c>
      <c r="H7" s="16">
        <v>25990.43</v>
      </c>
      <c r="I7" s="16">
        <f t="shared" si="2"/>
        <v>100338.32999999999</v>
      </c>
    </row>
    <row r="8" spans="1:10" x14ac:dyDescent="0.25">
      <c r="A8" s="134"/>
      <c r="B8" s="257">
        <v>21</v>
      </c>
      <c r="C8" s="256" t="s">
        <v>264</v>
      </c>
      <c r="D8" s="263">
        <v>1181.5</v>
      </c>
      <c r="E8" s="91"/>
      <c r="F8" s="90">
        <f t="shared" si="0"/>
        <v>18.531189166314007</v>
      </c>
      <c r="G8" s="16">
        <v>21894.6</v>
      </c>
      <c r="H8" s="20">
        <v>0</v>
      </c>
      <c r="I8" s="20">
        <f t="shared" si="2"/>
        <v>21894.6</v>
      </c>
      <c r="J8" s="104" t="s">
        <v>193</v>
      </c>
    </row>
    <row r="9" spans="1:10" x14ac:dyDescent="0.25">
      <c r="A9" s="134"/>
      <c r="B9" s="257">
        <v>29</v>
      </c>
      <c r="C9" s="256" t="s">
        <v>267</v>
      </c>
      <c r="D9" s="263">
        <v>644</v>
      </c>
      <c r="E9" s="91"/>
      <c r="F9" s="90">
        <f t="shared" si="0"/>
        <v>17.75638198757764</v>
      </c>
      <c r="G9" s="16">
        <v>11435.11</v>
      </c>
      <c r="H9" s="20">
        <f t="shared" ref="H9" si="3">E9*F9*1.5</f>
        <v>0</v>
      </c>
      <c r="I9" s="20">
        <f t="shared" si="2"/>
        <v>11435.11</v>
      </c>
      <c r="J9" s="104" t="s">
        <v>193</v>
      </c>
    </row>
    <row r="10" spans="1:10" x14ac:dyDescent="0.25">
      <c r="A10" s="134"/>
      <c r="B10" s="257">
        <v>37</v>
      </c>
      <c r="C10" s="256" t="s">
        <v>262</v>
      </c>
      <c r="D10" s="93">
        <v>2080</v>
      </c>
      <c r="E10" s="91">
        <v>235</v>
      </c>
      <c r="F10" s="90">
        <f t="shared" ref="F10:F17" si="4">G10/D10</f>
        <v>29.986158653846154</v>
      </c>
      <c r="G10" s="16">
        <f>1906.4+60464.81</f>
        <v>62371.21</v>
      </c>
      <c r="H10" s="20">
        <v>8373.56</v>
      </c>
      <c r="I10" s="93">
        <f t="shared" ref="I10:I17" si="5">G10+H10</f>
        <v>70744.77</v>
      </c>
    </row>
    <row r="11" spans="1:10" x14ac:dyDescent="0.25">
      <c r="A11" s="134"/>
      <c r="B11" s="257">
        <v>39</v>
      </c>
      <c r="C11" s="256" t="s">
        <v>262</v>
      </c>
      <c r="D11" s="20">
        <v>2080</v>
      </c>
      <c r="E11" s="91">
        <v>389.25</v>
      </c>
      <c r="F11" s="90">
        <f t="shared" si="4"/>
        <v>26.25418269230769</v>
      </c>
      <c r="G11" s="16">
        <v>54608.7</v>
      </c>
      <c r="H11" s="20">
        <v>14055.61</v>
      </c>
      <c r="I11" s="20">
        <f t="shared" si="5"/>
        <v>68664.31</v>
      </c>
    </row>
    <row r="12" spans="1:10" x14ac:dyDescent="0.25">
      <c r="A12" s="134"/>
      <c r="B12" s="257">
        <v>42</v>
      </c>
      <c r="C12" s="256" t="s">
        <v>266</v>
      </c>
      <c r="D12" s="22">
        <v>2039.5</v>
      </c>
      <c r="E12" s="91">
        <v>66.25</v>
      </c>
      <c r="F12" s="90">
        <f t="shared" si="4"/>
        <v>21.532218681049276</v>
      </c>
      <c r="G12" s="16">
        <v>43914.96</v>
      </c>
      <c r="H12" s="20">
        <v>2135.8200000000002</v>
      </c>
      <c r="I12" s="20">
        <f t="shared" si="5"/>
        <v>46050.78</v>
      </c>
    </row>
    <row r="13" spans="1:10" x14ac:dyDescent="0.25">
      <c r="A13" s="134"/>
      <c r="B13" s="257">
        <v>44</v>
      </c>
      <c r="C13" s="256" t="s">
        <v>266</v>
      </c>
      <c r="D13" s="73">
        <v>2051.75</v>
      </c>
      <c r="E13" s="91">
        <v>4.25</v>
      </c>
      <c r="F13" s="90">
        <f t="shared" si="4"/>
        <v>18.797314487632509</v>
      </c>
      <c r="G13" s="16">
        <v>38567.39</v>
      </c>
      <c r="H13" s="20">
        <v>118.27</v>
      </c>
      <c r="I13" s="20">
        <f t="shared" si="5"/>
        <v>38685.659999999996</v>
      </c>
    </row>
    <row r="14" spans="1:10" x14ac:dyDescent="0.25">
      <c r="A14" s="134"/>
      <c r="B14" s="257">
        <v>47</v>
      </c>
      <c r="C14" s="256" t="s">
        <v>268</v>
      </c>
      <c r="D14" s="22">
        <v>1134</v>
      </c>
      <c r="E14" s="91">
        <v>71.5</v>
      </c>
      <c r="F14" s="90">
        <f t="shared" si="4"/>
        <v>18.165837742504412</v>
      </c>
      <c r="G14" s="16">
        <v>20600.060000000001</v>
      </c>
      <c r="H14" s="20">
        <v>1884.77</v>
      </c>
      <c r="I14" s="20">
        <f t="shared" si="5"/>
        <v>22484.83</v>
      </c>
    </row>
    <row r="15" spans="1:10" x14ac:dyDescent="0.25">
      <c r="A15" s="134"/>
      <c r="B15" s="257">
        <v>48</v>
      </c>
      <c r="C15" s="256" t="s">
        <v>268</v>
      </c>
      <c r="D15" s="22">
        <v>1961.5</v>
      </c>
      <c r="E15" s="91">
        <v>162</v>
      </c>
      <c r="F15" s="90">
        <f t="shared" si="4"/>
        <v>18.537685444812642</v>
      </c>
      <c r="G15" s="16">
        <v>36361.67</v>
      </c>
      <c r="H15" s="20">
        <v>4442.1400000000003</v>
      </c>
      <c r="I15" s="20">
        <f t="shared" si="5"/>
        <v>40803.81</v>
      </c>
    </row>
    <row r="16" spans="1:10" x14ac:dyDescent="0.25">
      <c r="A16" s="134"/>
      <c r="B16" s="257">
        <v>49</v>
      </c>
      <c r="C16" s="256" t="s">
        <v>268</v>
      </c>
      <c r="D16" s="20">
        <v>1969</v>
      </c>
      <c r="E16" s="91">
        <v>146.75</v>
      </c>
      <c r="F16" s="90">
        <f t="shared" si="4"/>
        <v>18.548806500761806</v>
      </c>
      <c r="G16" s="16">
        <v>36522.6</v>
      </c>
      <c r="H16" s="20">
        <v>4045.66</v>
      </c>
      <c r="I16" s="20">
        <f t="shared" si="5"/>
        <v>40568.259999999995</v>
      </c>
    </row>
    <row r="17" spans="1:11" x14ac:dyDescent="0.25">
      <c r="A17" s="134"/>
      <c r="B17" s="257">
        <v>51</v>
      </c>
      <c r="C17" s="256" t="s">
        <v>268</v>
      </c>
      <c r="D17" s="22">
        <v>1715.5</v>
      </c>
      <c r="E17" s="91">
        <v>99.5</v>
      </c>
      <c r="F17" s="90">
        <f t="shared" si="4"/>
        <v>19.314689594870298</v>
      </c>
      <c r="G17" s="16">
        <v>33134.35</v>
      </c>
      <c r="H17" s="20">
        <v>2445.15</v>
      </c>
      <c r="I17" s="20">
        <f t="shared" si="5"/>
        <v>35579.5</v>
      </c>
    </row>
    <row r="18" spans="1:11" x14ac:dyDescent="0.25">
      <c r="A18" s="134"/>
      <c r="B18" s="257">
        <v>54</v>
      </c>
      <c r="C18" s="256" t="s">
        <v>268</v>
      </c>
      <c r="D18" s="22">
        <v>1838.5</v>
      </c>
      <c r="E18" s="91">
        <v>103</v>
      </c>
      <c r="F18" s="90">
        <f t="shared" ref="F18:F19" si="6">G18/D18</f>
        <v>22.070296437313026</v>
      </c>
      <c r="G18" s="16">
        <v>40576.239999999998</v>
      </c>
      <c r="H18" s="20">
        <v>3408.39</v>
      </c>
      <c r="I18" s="20">
        <f t="shared" ref="I18" si="7">G18+H18</f>
        <v>43984.63</v>
      </c>
    </row>
    <row r="19" spans="1:11" x14ac:dyDescent="0.25">
      <c r="A19" s="134"/>
      <c r="B19" s="257">
        <v>55</v>
      </c>
      <c r="C19" s="256" t="s">
        <v>266</v>
      </c>
      <c r="D19" s="22">
        <v>2078.5</v>
      </c>
      <c r="E19" s="91">
        <v>42</v>
      </c>
      <c r="F19" s="90">
        <f t="shared" si="6"/>
        <v>17.818999278325716</v>
      </c>
      <c r="G19" s="16">
        <v>37036.79</v>
      </c>
      <c r="H19" s="20">
        <v>1108.54</v>
      </c>
      <c r="I19" s="20">
        <f t="shared" ref="I19:I22" si="8">G19+H19</f>
        <v>38145.33</v>
      </c>
    </row>
    <row r="20" spans="1:11" x14ac:dyDescent="0.25">
      <c r="A20" s="134"/>
      <c r="B20" s="257">
        <v>56</v>
      </c>
      <c r="C20" s="256" t="s">
        <v>265</v>
      </c>
      <c r="D20" s="22">
        <v>1583</v>
      </c>
      <c r="E20" s="73">
        <v>0</v>
      </c>
      <c r="F20" s="90">
        <f>G20/D20</f>
        <v>36.170953885028432</v>
      </c>
      <c r="G20" s="16">
        <v>57258.62</v>
      </c>
      <c r="H20" s="20">
        <v>0</v>
      </c>
      <c r="I20" s="20">
        <f t="shared" si="8"/>
        <v>57258.62</v>
      </c>
    </row>
    <row r="21" spans="1:11" x14ac:dyDescent="0.25">
      <c r="A21" s="134"/>
      <c r="B21" s="257">
        <v>58</v>
      </c>
      <c r="C21" s="256" t="s">
        <v>266</v>
      </c>
      <c r="D21" s="73">
        <v>1378.75</v>
      </c>
      <c r="E21" s="91">
        <v>5.5</v>
      </c>
      <c r="F21" s="90">
        <f>G21/D21</f>
        <v>16.445200362647324</v>
      </c>
      <c r="G21" s="16">
        <v>22673.82</v>
      </c>
      <c r="H21" s="20">
        <v>132</v>
      </c>
      <c r="I21" s="20">
        <f t="shared" si="8"/>
        <v>22805.82</v>
      </c>
    </row>
    <row r="22" spans="1:11" x14ac:dyDescent="0.25">
      <c r="A22" s="134"/>
      <c r="B22" s="257">
        <v>59</v>
      </c>
      <c r="C22" s="104" t="s">
        <v>268</v>
      </c>
      <c r="D22" s="91">
        <v>1183.5</v>
      </c>
      <c r="E22" s="73">
        <v>71.25</v>
      </c>
      <c r="F22" s="90">
        <f>G22/D22</f>
        <v>15.632496831432194</v>
      </c>
      <c r="G22" s="16">
        <v>18501.060000000001</v>
      </c>
      <c r="H22" s="20">
        <v>1613.28</v>
      </c>
      <c r="I22" s="20">
        <f t="shared" si="8"/>
        <v>20114.34</v>
      </c>
    </row>
    <row r="23" spans="1:11" x14ac:dyDescent="0.25">
      <c r="A23" s="134"/>
      <c r="D23" s="20"/>
      <c r="E23" s="73"/>
      <c r="F23" s="90"/>
      <c r="G23" s="16"/>
      <c r="H23" s="20"/>
      <c r="I23" s="20"/>
    </row>
    <row r="24" spans="1:11" x14ac:dyDescent="0.25">
      <c r="D24" s="72">
        <f>SUM(D5:D22)</f>
        <v>31226.75</v>
      </c>
      <c r="E24" s="72">
        <f>SUM(E5:E22)</f>
        <v>2295.5</v>
      </c>
      <c r="F24" s="72"/>
      <c r="G24" s="222">
        <f>SUM(G5:G22)</f>
        <v>758937.55</v>
      </c>
      <c r="H24" s="222">
        <f>SUM(H5:H22)</f>
        <v>81038.909999999989</v>
      </c>
      <c r="I24" s="222">
        <f>SUM(I5:I22)</f>
        <v>839976.45999999985</v>
      </c>
    </row>
    <row r="25" spans="1:11" x14ac:dyDescent="0.25">
      <c r="D25" s="16"/>
      <c r="E25" s="16"/>
      <c r="F25" s="72"/>
      <c r="G25" s="20"/>
      <c r="H25" s="20"/>
      <c r="I25" s="20"/>
    </row>
    <row r="26" spans="1:11" x14ac:dyDescent="0.25">
      <c r="D26" s="16"/>
      <c r="E26" s="16"/>
      <c r="F26" s="72"/>
      <c r="G26" s="20"/>
      <c r="H26" s="20"/>
      <c r="I26" s="223">
        <f>I24-I8-I9</f>
        <v>806646.74999999988</v>
      </c>
      <c r="J26" s="104" t="s">
        <v>316</v>
      </c>
    </row>
    <row r="27" spans="1:11" x14ac:dyDescent="0.25">
      <c r="C27" s="16"/>
      <c r="D27" s="16"/>
      <c r="E27" s="16"/>
      <c r="I27" s="75"/>
    </row>
    <row r="28" spans="1:11" x14ac:dyDescent="0.25">
      <c r="C28" s="296" t="s">
        <v>315</v>
      </c>
      <c r="D28" s="16">
        <v>30000</v>
      </c>
      <c r="E28" s="16"/>
      <c r="I28" s="75" t="s">
        <v>29</v>
      </c>
    </row>
    <row r="29" spans="1:11" x14ac:dyDescent="0.25">
      <c r="C29" s="16"/>
      <c r="D29" s="16"/>
      <c r="E29" s="16"/>
      <c r="F29" s="1" t="s">
        <v>97</v>
      </c>
      <c r="I29" s="76">
        <f>I24</f>
        <v>839976.45999999985</v>
      </c>
    </row>
    <row r="30" spans="1:11" ht="17.25" x14ac:dyDescent="0.4">
      <c r="C30" s="16"/>
      <c r="D30" s="16"/>
      <c r="E30" s="16"/>
      <c r="F30" s="1" t="s">
        <v>98</v>
      </c>
      <c r="I30" s="26">
        <f>-SAO!D19</f>
        <v>-831828</v>
      </c>
      <c r="K30" s="267"/>
    </row>
    <row r="31" spans="1:11" ht="15.75" thickBot="1" x14ac:dyDescent="0.3">
      <c r="C31" s="16"/>
      <c r="D31" s="16"/>
      <c r="E31" s="16"/>
      <c r="F31" s="42" t="s">
        <v>99</v>
      </c>
      <c r="G31" s="42"/>
      <c r="H31" s="42"/>
      <c r="I31" s="77">
        <f>I29+I30</f>
        <v>8148.4599999998463</v>
      </c>
      <c r="J31" s="18" t="s">
        <v>139</v>
      </c>
    </row>
    <row r="32" spans="1:11" ht="15.75" thickTop="1" x14ac:dyDescent="0.25">
      <c r="C32" s="16"/>
      <c r="D32" s="16"/>
      <c r="E32" s="16"/>
      <c r="I32" s="1" t="s">
        <v>100</v>
      </c>
      <c r="J32" s="18"/>
    </row>
    <row r="33" spans="2:11" x14ac:dyDescent="0.25">
      <c r="B33" s="16"/>
      <c r="C33" s="16"/>
      <c r="D33" s="16"/>
      <c r="E33" s="16"/>
      <c r="F33" s="292" t="s">
        <v>309</v>
      </c>
      <c r="I33" s="27">
        <f>I24+D28</f>
        <v>869976.45999999985</v>
      </c>
      <c r="J33" s="18"/>
    </row>
    <row r="34" spans="2:11" x14ac:dyDescent="0.25">
      <c r="B34" s="16"/>
      <c r="C34" s="16"/>
      <c r="D34" s="16"/>
      <c r="E34" s="16"/>
      <c r="F34" s="1" t="s">
        <v>101</v>
      </c>
      <c r="I34" s="78">
        <v>7.6499999999999999E-2</v>
      </c>
      <c r="J34" s="18"/>
    </row>
    <row r="35" spans="2:11" x14ac:dyDescent="0.25">
      <c r="B35" s="16"/>
      <c r="C35" s="16"/>
      <c r="D35" s="16"/>
      <c r="E35" s="16"/>
      <c r="F35" s="1" t="s">
        <v>102</v>
      </c>
      <c r="I35" s="16">
        <f>+I33*I34</f>
        <v>66553.199189999985</v>
      </c>
      <c r="J35" s="18"/>
    </row>
    <row r="36" spans="2:11" x14ac:dyDescent="0.25">
      <c r="B36" s="16"/>
      <c r="C36" s="16"/>
      <c r="D36" s="16"/>
      <c r="E36" s="16"/>
      <c r="F36" s="1" t="s">
        <v>103</v>
      </c>
      <c r="I36" s="79">
        <f>SAO!D38</f>
        <v>60463</v>
      </c>
      <c r="J36" s="18"/>
      <c r="K36" s="276" t="s">
        <v>312</v>
      </c>
    </row>
    <row r="37" spans="2:11" ht="15.75" thickBot="1" x14ac:dyDescent="0.3">
      <c r="B37" s="16"/>
      <c r="C37" s="16"/>
      <c r="D37" s="16"/>
      <c r="E37" s="16"/>
      <c r="F37" s="42" t="s">
        <v>104</v>
      </c>
      <c r="G37" s="42"/>
      <c r="H37" s="42"/>
      <c r="I37" s="77">
        <f>I35-I36</f>
        <v>6090.1991899999848</v>
      </c>
      <c r="J37" s="18" t="s">
        <v>144</v>
      </c>
    </row>
    <row r="38" spans="2:11" ht="15.75" thickTop="1" x14ac:dyDescent="0.25">
      <c r="B38" s="16"/>
      <c r="C38" s="16"/>
      <c r="D38" s="16"/>
      <c r="E38" s="16"/>
      <c r="J38" s="18"/>
    </row>
    <row r="39" spans="2:11" x14ac:dyDescent="0.25">
      <c r="B39" s="16"/>
      <c r="C39" s="16"/>
      <c r="D39" s="16"/>
      <c r="E39" s="16"/>
      <c r="F39" s="1" t="s">
        <v>105</v>
      </c>
      <c r="I39" s="27">
        <f>I26</f>
        <v>806646.74999999988</v>
      </c>
      <c r="J39" s="18"/>
    </row>
    <row r="40" spans="2:11" x14ac:dyDescent="0.25">
      <c r="B40" s="16"/>
      <c r="C40" s="16"/>
      <c r="D40" s="16"/>
      <c r="E40" s="16"/>
      <c r="F40" s="1" t="s">
        <v>106</v>
      </c>
      <c r="I40" s="78">
        <v>0.17430000000000001</v>
      </c>
      <c r="J40" s="18"/>
      <c r="K40" s="276" t="s">
        <v>284</v>
      </c>
    </row>
    <row r="41" spans="2:11" x14ac:dyDescent="0.25">
      <c r="B41" s="16"/>
      <c r="C41" s="16"/>
      <c r="D41" s="16"/>
      <c r="E41" s="16"/>
      <c r="F41" s="1" t="s">
        <v>107</v>
      </c>
      <c r="I41" s="16">
        <f>+I39*I40</f>
        <v>140598.528525</v>
      </c>
      <c r="J41" s="18"/>
    </row>
    <row r="42" spans="2:11" x14ac:dyDescent="0.25">
      <c r="B42" s="16"/>
      <c r="C42" s="16"/>
      <c r="D42" s="16"/>
      <c r="E42" s="16"/>
      <c r="F42" s="1" t="s">
        <v>108</v>
      </c>
      <c r="I42" s="279">
        <f>-147033</f>
        <v>-147033</v>
      </c>
      <c r="J42" s="18"/>
      <c r="K42" s="276" t="s">
        <v>285</v>
      </c>
    </row>
    <row r="43" spans="2:11" ht="15.75" thickBot="1" x14ac:dyDescent="0.3">
      <c r="B43" s="16"/>
      <c r="C43" s="16"/>
      <c r="D43" s="16"/>
      <c r="E43" s="16"/>
      <c r="F43" s="134" t="s">
        <v>109</v>
      </c>
      <c r="G43" s="134"/>
      <c r="H43" s="134"/>
      <c r="I43" s="228">
        <f>+I41+I42</f>
        <v>-6434.4714749999985</v>
      </c>
      <c r="J43" s="18" t="s">
        <v>139</v>
      </c>
    </row>
    <row r="44" spans="2:11" ht="15.75" thickTop="1" x14ac:dyDescent="0.25"/>
    <row r="45" spans="2:11" x14ac:dyDescent="0.25">
      <c r="F45" s="134"/>
      <c r="I45" s="135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topLeftCell="A7" workbookViewId="0">
      <selection activeCell="D22" sqref="D22"/>
    </sheetView>
  </sheetViews>
  <sheetFormatPr defaultColWidth="8.88671875" defaultRowHeight="15" x14ac:dyDescent="0.25"/>
  <cols>
    <col min="1" max="1" width="11.5546875" style="1" bestFit="1" customWidth="1"/>
    <col min="2" max="2" width="9.88671875" style="1" customWidth="1"/>
    <col min="3" max="3" width="12.44140625" style="1" customWidth="1"/>
    <col min="4" max="5" width="9.77734375" style="1" customWidth="1"/>
    <col min="6" max="6" width="8" style="18" customWidth="1"/>
    <col min="7" max="7" width="10.6640625" style="1" customWidth="1"/>
    <col min="8" max="8" width="8.88671875" style="1"/>
    <col min="9" max="9" width="10.109375" style="1" customWidth="1"/>
    <col min="10" max="10" width="9" style="1" bestFit="1" customWidth="1"/>
    <col min="11" max="11" width="9.77734375" style="1" bestFit="1" customWidth="1"/>
    <col min="12" max="16384" width="8.88671875" style="1"/>
  </cols>
  <sheetData>
    <row r="1" spans="1:9" x14ac:dyDescent="0.25">
      <c r="A1" s="134" t="s">
        <v>81</v>
      </c>
    </row>
    <row r="3" spans="1:9" x14ac:dyDescent="0.25">
      <c r="A3" s="42" t="s">
        <v>142</v>
      </c>
      <c r="C3" s="18" t="s">
        <v>72</v>
      </c>
      <c r="G3" s="18" t="s">
        <v>189</v>
      </c>
      <c r="H3" s="21"/>
      <c r="I3" s="21"/>
    </row>
    <row r="4" spans="1:9" x14ac:dyDescent="0.25">
      <c r="B4" s="18" t="s">
        <v>72</v>
      </c>
      <c r="C4" s="18" t="s">
        <v>73</v>
      </c>
      <c r="D4" s="18" t="s">
        <v>73</v>
      </c>
      <c r="E4" s="18" t="s">
        <v>74</v>
      </c>
      <c r="F4" s="18" t="s">
        <v>78</v>
      </c>
      <c r="G4" s="18" t="s">
        <v>79</v>
      </c>
    </row>
    <row r="5" spans="1:9" x14ac:dyDescent="0.25">
      <c r="B5" s="19" t="s">
        <v>75</v>
      </c>
      <c r="C5" s="19" t="s">
        <v>82</v>
      </c>
      <c r="D5" s="19" t="s">
        <v>83</v>
      </c>
      <c r="E5" s="19" t="s">
        <v>83</v>
      </c>
      <c r="F5" s="43" t="s">
        <v>80</v>
      </c>
      <c r="G5" s="43" t="s">
        <v>75</v>
      </c>
    </row>
    <row r="6" spans="1:9" x14ac:dyDescent="0.25">
      <c r="A6" s="1" t="s">
        <v>76</v>
      </c>
      <c r="B6" s="40">
        <v>756.45</v>
      </c>
      <c r="C6" s="40">
        <v>0</v>
      </c>
      <c r="D6" s="44">
        <f>C6/B6</f>
        <v>0</v>
      </c>
      <c r="E6" s="44">
        <f>+(B6-C6)/B6</f>
        <v>1</v>
      </c>
      <c r="F6" s="18">
        <v>15</v>
      </c>
      <c r="G6" s="45">
        <f>B6*F6*12</f>
        <v>136161</v>
      </c>
    </row>
    <row r="7" spans="1:9" x14ac:dyDescent="0.25">
      <c r="A7" s="1" t="s">
        <v>77</v>
      </c>
      <c r="B7" s="40">
        <v>1588.54</v>
      </c>
      <c r="C7" s="129">
        <v>0</v>
      </c>
      <c r="D7" s="44">
        <f t="shared" ref="D7" si="0">+C7/B7</f>
        <v>0</v>
      </c>
      <c r="E7" s="44">
        <f>(B7-C7)/B7</f>
        <v>1</v>
      </c>
      <c r="F7" s="18">
        <v>0</v>
      </c>
      <c r="G7" s="141">
        <f>B7*E7*F7*12</f>
        <v>0</v>
      </c>
    </row>
    <row r="8" spans="1:9" x14ac:dyDescent="0.25">
      <c r="A8" s="1" t="s">
        <v>54</v>
      </c>
      <c r="B8" s="45"/>
      <c r="C8" s="13"/>
      <c r="D8" s="44"/>
      <c r="E8" s="44"/>
      <c r="G8" s="45">
        <f>SUM(G6:G7)</f>
        <v>136161</v>
      </c>
    </row>
    <row r="9" spans="1:9" x14ac:dyDescent="0.25">
      <c r="B9" s="45"/>
      <c r="C9" s="13"/>
      <c r="D9" s="44"/>
      <c r="E9" s="44"/>
      <c r="G9" s="45"/>
    </row>
    <row r="10" spans="1:9" x14ac:dyDescent="0.25">
      <c r="A10" s="134" t="s">
        <v>190</v>
      </c>
      <c r="B10" s="45"/>
      <c r="C10" s="13"/>
      <c r="D10" s="44"/>
      <c r="E10" s="44"/>
      <c r="G10" s="45"/>
    </row>
    <row r="11" spans="1:9" x14ac:dyDescent="0.25">
      <c r="A11" s="1" t="s">
        <v>76</v>
      </c>
      <c r="B11" s="45">
        <v>7.02</v>
      </c>
      <c r="C11" s="13">
        <v>0</v>
      </c>
      <c r="D11" s="44">
        <f t="shared" ref="D11:D13" si="1">C11/B11</f>
        <v>0</v>
      </c>
      <c r="E11" s="44">
        <f t="shared" ref="E11:E13" si="2">+(B11-C11)/B11</f>
        <v>1</v>
      </c>
      <c r="F11" s="18">
        <v>13</v>
      </c>
      <c r="G11" s="45">
        <f t="shared" ref="G11:G13" si="3">B11*F11*12</f>
        <v>1095.1199999999999</v>
      </c>
    </row>
    <row r="12" spans="1:9" x14ac:dyDescent="0.25">
      <c r="A12" s="1" t="s">
        <v>77</v>
      </c>
      <c r="B12" s="45">
        <v>12.19</v>
      </c>
      <c r="C12" s="45">
        <f>B12-B11</f>
        <v>5.17</v>
      </c>
      <c r="D12" s="44">
        <f t="shared" si="1"/>
        <v>0.42411812961443807</v>
      </c>
      <c r="E12" s="44">
        <f t="shared" si="2"/>
        <v>0.57588187038556193</v>
      </c>
      <c r="F12" s="18">
        <v>0</v>
      </c>
      <c r="G12" s="45">
        <f t="shared" si="3"/>
        <v>0</v>
      </c>
    </row>
    <row r="13" spans="1:9" x14ac:dyDescent="0.25">
      <c r="A13" s="1" t="s">
        <v>191</v>
      </c>
      <c r="B13" s="45">
        <v>19.55</v>
      </c>
      <c r="C13" s="45">
        <f>B13-B11</f>
        <v>12.530000000000001</v>
      </c>
      <c r="D13" s="44">
        <f t="shared" si="1"/>
        <v>0.64092071611253199</v>
      </c>
      <c r="E13" s="44">
        <f t="shared" si="2"/>
        <v>0.35907928388746801</v>
      </c>
      <c r="F13" s="18">
        <v>1</v>
      </c>
      <c r="G13" s="45">
        <f t="shared" si="3"/>
        <v>234.60000000000002</v>
      </c>
    </row>
    <row r="14" spans="1:9" x14ac:dyDescent="0.25">
      <c r="A14" s="1" t="s">
        <v>54</v>
      </c>
      <c r="G14" s="45">
        <f>G11+G12+G13</f>
        <v>1329.7199999999998</v>
      </c>
    </row>
    <row r="15" spans="1:9" x14ac:dyDescent="0.25">
      <c r="G15" s="45"/>
    </row>
    <row r="16" spans="1:9" x14ac:dyDescent="0.25">
      <c r="A16" s="134" t="s">
        <v>192</v>
      </c>
      <c r="G16" s="45">
        <f>G8+G14</f>
        <v>137490.72</v>
      </c>
    </row>
    <row r="18" spans="1:9" x14ac:dyDescent="0.25">
      <c r="A18" s="1" t="s">
        <v>291</v>
      </c>
      <c r="C18" s="264">
        <f>G16</f>
        <v>137490.72</v>
      </c>
    </row>
    <row r="19" spans="1:9" x14ac:dyDescent="0.25">
      <c r="A19" s="1" t="s">
        <v>216</v>
      </c>
      <c r="C19" s="269">
        <v>-108659.3</v>
      </c>
      <c r="D19" s="268" t="s">
        <v>277</v>
      </c>
      <c r="E19" s="139"/>
      <c r="H19" s="140"/>
      <c r="I19" s="294"/>
    </row>
    <row r="20" spans="1:9" ht="17.25" x14ac:dyDescent="0.4">
      <c r="A20" s="1" t="s">
        <v>217</v>
      </c>
      <c r="C20" s="270">
        <v>-5435.34</v>
      </c>
      <c r="D20" s="139"/>
      <c r="E20" s="139"/>
      <c r="H20" s="140"/>
      <c r="I20" s="140"/>
    </row>
    <row r="21" spans="1:9" x14ac:dyDescent="0.25">
      <c r="A21" s="1" t="s">
        <v>143</v>
      </c>
      <c r="C21" s="229">
        <f>C18+C19+C20</f>
        <v>23396.079999999998</v>
      </c>
      <c r="D21" s="142" t="s">
        <v>139</v>
      </c>
      <c r="E21" s="136"/>
      <c r="G21" s="103"/>
      <c r="H21" s="96"/>
    </row>
    <row r="22" spans="1:9" ht="18" x14ac:dyDescent="0.4">
      <c r="C22" s="138"/>
      <c r="D22" s="137"/>
      <c r="E22" s="137"/>
      <c r="G22" s="220"/>
    </row>
    <row r="23" spans="1:9" ht="15.75" x14ac:dyDescent="0.25">
      <c r="C23" s="138"/>
      <c r="D23" s="136"/>
      <c r="E23" s="136"/>
      <c r="G23" s="220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34C12-8B08-4347-8810-FE79CDF4480C}">
  <dimension ref="A1:O43"/>
  <sheetViews>
    <sheetView showGridLines="0" topLeftCell="A27" workbookViewId="0">
      <selection activeCell="I26" sqref="I26"/>
    </sheetView>
  </sheetViews>
  <sheetFormatPr defaultRowHeight="15" x14ac:dyDescent="0.2"/>
  <cols>
    <col min="1" max="1" width="2" customWidth="1"/>
    <col min="2" max="2" width="1.88671875" customWidth="1"/>
    <col min="3" max="3" width="1.77734375" customWidth="1"/>
    <col min="4" max="4" width="27.44140625" customWidth="1"/>
    <col min="5" max="5" width="8.33203125" customWidth="1"/>
    <col min="6" max="6" width="12.109375" customWidth="1"/>
    <col min="7" max="7" width="6.109375" customWidth="1"/>
    <col min="8" max="8" width="9.33203125" customWidth="1"/>
    <col min="9" max="9" width="6.109375" customWidth="1"/>
    <col min="10" max="10" width="9.33203125" customWidth="1"/>
    <col min="11" max="11" width="10.6640625" customWidth="1"/>
    <col min="12" max="12" width="1.88671875" customWidth="1"/>
    <col min="13" max="13" width="2.44140625" customWidth="1"/>
    <col min="15" max="15" width="11" bestFit="1" customWidth="1"/>
  </cols>
  <sheetData>
    <row r="1" spans="1:15" ht="15.75" x14ac:dyDescent="0.25">
      <c r="A1" s="1"/>
      <c r="B1" s="1"/>
      <c r="C1" s="144"/>
      <c r="D1" s="144"/>
      <c r="E1" s="144"/>
      <c r="F1" s="144"/>
      <c r="G1" s="145"/>
      <c r="H1" s="144"/>
      <c r="I1" s="145"/>
      <c r="J1" s="144"/>
      <c r="K1" s="144"/>
      <c r="L1" s="144"/>
      <c r="M1" s="144"/>
    </row>
    <row r="2" spans="1:15" ht="15.75" x14ac:dyDescent="0.25">
      <c r="A2" s="1"/>
      <c r="B2" s="85"/>
      <c r="C2" s="146"/>
      <c r="D2" s="146"/>
      <c r="E2" s="146"/>
      <c r="F2" s="146"/>
      <c r="G2" s="147"/>
      <c r="H2" s="146"/>
      <c r="I2" s="147"/>
      <c r="J2" s="146"/>
      <c r="K2" s="146"/>
      <c r="L2" s="148"/>
      <c r="M2" s="149"/>
    </row>
    <row r="3" spans="1:15" ht="18.75" x14ac:dyDescent="0.3">
      <c r="A3" s="1"/>
      <c r="B3" s="49"/>
      <c r="C3" s="320" t="s">
        <v>26</v>
      </c>
      <c r="D3" s="320"/>
      <c r="E3" s="320"/>
      <c r="F3" s="320"/>
      <c r="G3" s="320"/>
      <c r="H3" s="320"/>
      <c r="I3" s="320"/>
      <c r="J3" s="320"/>
      <c r="K3" s="320"/>
      <c r="L3" s="150"/>
      <c r="M3" s="149"/>
      <c r="O3" s="20"/>
    </row>
    <row r="4" spans="1:15" ht="18.75" x14ac:dyDescent="0.3">
      <c r="A4" s="1"/>
      <c r="B4" s="49"/>
      <c r="C4" s="321" t="s">
        <v>40</v>
      </c>
      <c r="D4" s="321"/>
      <c r="E4" s="321"/>
      <c r="F4" s="321"/>
      <c r="G4" s="321"/>
      <c r="H4" s="321"/>
      <c r="I4" s="321"/>
      <c r="J4" s="321"/>
      <c r="K4" s="321"/>
      <c r="L4" s="150"/>
      <c r="M4" s="149"/>
      <c r="O4" s="20"/>
    </row>
    <row r="5" spans="1:15" ht="15.75" x14ac:dyDescent="0.25">
      <c r="A5" s="1"/>
      <c r="B5" s="49"/>
      <c r="C5" s="315" t="s">
        <v>145</v>
      </c>
      <c r="D5" s="315"/>
      <c r="E5" s="315"/>
      <c r="F5" s="315"/>
      <c r="G5" s="315"/>
      <c r="H5" s="315"/>
      <c r="I5" s="315"/>
      <c r="J5" s="315"/>
      <c r="K5" s="315"/>
      <c r="L5" s="150"/>
      <c r="M5" s="149"/>
      <c r="O5" s="20"/>
    </row>
    <row r="6" spans="1:15" ht="15.75" x14ac:dyDescent="0.25">
      <c r="A6" s="1"/>
      <c r="B6" s="49"/>
      <c r="C6" s="144"/>
      <c r="D6" s="144"/>
      <c r="E6" s="144"/>
      <c r="F6" s="144"/>
      <c r="G6" s="151"/>
      <c r="H6" s="144"/>
      <c r="I6" s="151"/>
      <c r="J6" s="144"/>
      <c r="K6" s="152" t="s">
        <v>41</v>
      </c>
      <c r="L6" s="150"/>
      <c r="M6" s="149"/>
      <c r="O6" s="20"/>
    </row>
    <row r="7" spans="1:15" ht="15.75" x14ac:dyDescent="0.25">
      <c r="A7" s="1"/>
      <c r="B7" s="49"/>
      <c r="C7" s="153"/>
      <c r="D7" s="153"/>
      <c r="E7" s="153" t="s">
        <v>42</v>
      </c>
      <c r="F7" s="153" t="s">
        <v>43</v>
      </c>
      <c r="G7" s="154" t="s">
        <v>146</v>
      </c>
      <c r="H7" s="155"/>
      <c r="I7" s="154" t="s">
        <v>31</v>
      </c>
      <c r="J7" s="155"/>
      <c r="K7" s="152" t="s">
        <v>44</v>
      </c>
      <c r="L7" s="150"/>
      <c r="M7" s="149"/>
      <c r="O7" s="20"/>
    </row>
    <row r="8" spans="1:15" ht="18" x14ac:dyDescent="0.4">
      <c r="A8" s="1"/>
      <c r="B8" s="49"/>
      <c r="C8" s="152"/>
      <c r="D8" s="156" t="s">
        <v>147</v>
      </c>
      <c r="E8" s="152" t="s">
        <v>45</v>
      </c>
      <c r="F8" s="152" t="s">
        <v>148</v>
      </c>
      <c r="G8" s="23" t="s">
        <v>46</v>
      </c>
      <c r="H8" s="152" t="s">
        <v>47</v>
      </c>
      <c r="I8" s="23" t="s">
        <v>46</v>
      </c>
      <c r="J8" s="152" t="s">
        <v>47</v>
      </c>
      <c r="K8" s="152" t="s">
        <v>37</v>
      </c>
      <c r="L8" s="150"/>
      <c r="M8" s="149"/>
      <c r="O8" s="20"/>
    </row>
    <row r="9" spans="1:15" ht="15.75" x14ac:dyDescent="0.25">
      <c r="A9" s="1"/>
      <c r="B9" s="49"/>
      <c r="C9" s="152"/>
      <c r="D9" s="152"/>
      <c r="E9" s="152"/>
      <c r="F9" s="152"/>
      <c r="G9" s="23"/>
      <c r="H9" s="152"/>
      <c r="I9" s="23"/>
      <c r="J9" s="152"/>
      <c r="K9" s="152"/>
      <c r="L9" s="150"/>
      <c r="M9" s="149"/>
      <c r="O9" s="152"/>
    </row>
    <row r="10" spans="1:15" ht="15.75" x14ac:dyDescent="0.25">
      <c r="A10" s="1"/>
      <c r="B10" s="49"/>
      <c r="C10" s="157" t="s">
        <v>149</v>
      </c>
      <c r="D10" s="144"/>
      <c r="E10" s="158"/>
      <c r="F10" s="96"/>
      <c r="G10" s="151"/>
      <c r="H10" s="96"/>
      <c r="I10" s="151"/>
      <c r="J10" s="96"/>
      <c r="K10" s="96"/>
      <c r="L10" s="150"/>
      <c r="M10" s="149"/>
      <c r="O10" s="96"/>
    </row>
    <row r="11" spans="1:15" ht="15.75" x14ac:dyDescent="0.25">
      <c r="A11" s="1"/>
      <c r="B11" s="49"/>
      <c r="C11" s="157"/>
      <c r="D11" s="144" t="s">
        <v>150</v>
      </c>
      <c r="E11" s="158" t="s">
        <v>64</v>
      </c>
      <c r="F11" s="20">
        <v>795733.69</v>
      </c>
      <c r="G11" s="69" t="s">
        <v>151</v>
      </c>
      <c r="H11" s="20">
        <v>26515</v>
      </c>
      <c r="I11" s="151">
        <v>37.5</v>
      </c>
      <c r="J11" s="20">
        <f>F11/I11</f>
        <v>21219.565066666666</v>
      </c>
      <c r="K11" s="20">
        <f>J11-H11</f>
        <v>-5295.4349333333339</v>
      </c>
      <c r="L11" s="150"/>
      <c r="M11" s="149"/>
      <c r="O11" s="20"/>
    </row>
    <row r="12" spans="1:15" ht="15.75" x14ac:dyDescent="0.25">
      <c r="A12" s="1"/>
      <c r="B12" s="49"/>
      <c r="C12" s="157"/>
      <c r="D12" s="144" t="s">
        <v>152</v>
      </c>
      <c r="E12" s="158" t="s">
        <v>64</v>
      </c>
      <c r="F12" s="20">
        <v>28441.51</v>
      </c>
      <c r="G12" s="69" t="s">
        <v>151</v>
      </c>
      <c r="H12" s="20">
        <v>0</v>
      </c>
      <c r="I12" s="151">
        <v>10</v>
      </c>
      <c r="J12" s="20">
        <f>F12/I12</f>
        <v>2844.1509999999998</v>
      </c>
      <c r="K12" s="20">
        <f>J12-H12</f>
        <v>2844.1509999999998</v>
      </c>
      <c r="L12" s="150"/>
      <c r="M12" s="149"/>
      <c r="O12" s="96"/>
    </row>
    <row r="13" spans="1:15" ht="15.75" x14ac:dyDescent="0.25">
      <c r="A13" s="1"/>
      <c r="B13" s="49"/>
      <c r="C13" s="144"/>
      <c r="D13" s="144" t="s">
        <v>153</v>
      </c>
      <c r="E13" s="158" t="s">
        <v>64</v>
      </c>
      <c r="F13" s="20">
        <v>16112.99</v>
      </c>
      <c r="G13" s="69" t="s">
        <v>151</v>
      </c>
      <c r="H13" s="20">
        <v>39820</v>
      </c>
      <c r="I13" s="151">
        <v>22.5</v>
      </c>
      <c r="J13" s="20">
        <f>F13/I13</f>
        <v>716.13288888888883</v>
      </c>
      <c r="K13" s="20">
        <f>J13-H13</f>
        <v>-39103.867111111111</v>
      </c>
      <c r="L13" s="150"/>
      <c r="M13" s="149"/>
      <c r="O13" s="96"/>
    </row>
    <row r="14" spans="1:15" ht="15.75" x14ac:dyDescent="0.25">
      <c r="A14" s="1"/>
      <c r="B14" s="49"/>
      <c r="C14" s="144"/>
      <c r="D14" s="144" t="s">
        <v>154</v>
      </c>
      <c r="E14" s="158" t="s">
        <v>64</v>
      </c>
      <c r="F14" s="20">
        <v>288225.94</v>
      </c>
      <c r="G14" s="69" t="s">
        <v>151</v>
      </c>
      <c r="H14" s="20">
        <v>41456</v>
      </c>
      <c r="I14" s="151">
        <v>12.5</v>
      </c>
      <c r="J14" s="20">
        <f t="shared" ref="J14:J16" si="0">F14/I14</f>
        <v>23058.075199999999</v>
      </c>
      <c r="K14" s="20">
        <f t="shared" ref="K14:K16" si="1">J14-H14</f>
        <v>-18397.924800000001</v>
      </c>
      <c r="L14" s="150"/>
      <c r="M14" s="149"/>
      <c r="O14" s="96"/>
    </row>
    <row r="15" spans="1:15" ht="15.75" x14ac:dyDescent="0.25">
      <c r="A15" s="1"/>
      <c r="B15" s="49"/>
      <c r="C15" s="144"/>
      <c r="D15" s="144" t="s">
        <v>155</v>
      </c>
      <c r="E15" s="158" t="s">
        <v>64</v>
      </c>
      <c r="F15" s="20">
        <v>9266.9699999999993</v>
      </c>
      <c r="G15" s="69" t="s">
        <v>151</v>
      </c>
      <c r="H15" s="20"/>
      <c r="I15" s="151">
        <v>17.5</v>
      </c>
      <c r="J15" s="20">
        <f t="shared" si="0"/>
        <v>529.54114285714286</v>
      </c>
      <c r="K15" s="20">
        <f t="shared" si="1"/>
        <v>529.54114285714286</v>
      </c>
      <c r="L15" s="150"/>
      <c r="M15" s="149"/>
      <c r="O15" s="96"/>
    </row>
    <row r="16" spans="1:15" ht="15.75" x14ac:dyDescent="0.25">
      <c r="A16" s="1"/>
      <c r="B16" s="49"/>
      <c r="C16" s="144"/>
      <c r="D16" s="144" t="s">
        <v>156</v>
      </c>
      <c r="E16" s="158" t="s">
        <v>64</v>
      </c>
      <c r="F16" s="20">
        <v>122760.9</v>
      </c>
      <c r="G16" s="69" t="s">
        <v>151</v>
      </c>
      <c r="H16" s="20"/>
      <c r="I16" s="151">
        <v>15</v>
      </c>
      <c r="J16" s="20">
        <f t="shared" si="0"/>
        <v>8184.0599999999995</v>
      </c>
      <c r="K16" s="20">
        <f t="shared" si="1"/>
        <v>8184.0599999999995</v>
      </c>
      <c r="L16" s="150"/>
      <c r="M16" s="149"/>
      <c r="O16" s="20"/>
    </row>
    <row r="17" spans="1:15" ht="15.75" x14ac:dyDescent="0.25">
      <c r="A17" s="1"/>
      <c r="B17" s="49"/>
      <c r="C17" s="152"/>
      <c r="D17" s="152"/>
      <c r="E17" s="152"/>
      <c r="F17" s="152"/>
      <c r="G17" s="23"/>
      <c r="H17" s="152"/>
      <c r="I17" s="23"/>
      <c r="J17" s="152"/>
      <c r="K17" s="152"/>
      <c r="L17" s="150"/>
      <c r="M17" s="149"/>
      <c r="O17" s="20"/>
    </row>
    <row r="18" spans="1:15" ht="15.75" x14ac:dyDescent="0.25">
      <c r="A18" s="1"/>
      <c r="B18" s="49"/>
      <c r="C18" s="157" t="s">
        <v>157</v>
      </c>
      <c r="D18" s="144"/>
      <c r="E18" s="158"/>
      <c r="F18" s="96"/>
      <c r="G18" s="159"/>
      <c r="H18" s="96"/>
      <c r="I18" s="159"/>
      <c r="J18" s="96"/>
      <c r="K18" s="96"/>
      <c r="L18" s="150"/>
      <c r="M18" s="149"/>
      <c r="O18" s="20"/>
    </row>
    <row r="19" spans="1:15" ht="15.75" x14ac:dyDescent="0.25">
      <c r="A19" s="1"/>
      <c r="B19" s="49"/>
      <c r="C19" s="157"/>
      <c r="D19" s="144" t="s">
        <v>150</v>
      </c>
      <c r="E19" s="158" t="s">
        <v>64</v>
      </c>
      <c r="F19" s="20">
        <v>172753.88</v>
      </c>
      <c r="G19" s="69" t="s">
        <v>151</v>
      </c>
      <c r="H19" s="20"/>
      <c r="I19" s="151">
        <v>37.5</v>
      </c>
      <c r="J19" s="20">
        <f>F19/I19</f>
        <v>4606.7701333333334</v>
      </c>
      <c r="K19" s="20">
        <f>J19-H19</f>
        <v>4606.7701333333334</v>
      </c>
      <c r="L19" s="150"/>
      <c r="M19" s="149"/>
      <c r="O19" s="20"/>
    </row>
    <row r="20" spans="1:15" ht="15.75" x14ac:dyDescent="0.25">
      <c r="A20" s="1"/>
      <c r="B20" s="49"/>
      <c r="C20" s="144"/>
      <c r="D20" s="144" t="s">
        <v>158</v>
      </c>
      <c r="E20" s="158">
        <v>36971</v>
      </c>
      <c r="F20" s="96">
        <v>1200</v>
      </c>
      <c r="G20" s="159">
        <v>40</v>
      </c>
      <c r="H20" s="20">
        <v>240</v>
      </c>
      <c r="I20" s="151">
        <v>10</v>
      </c>
      <c r="J20" s="96">
        <f>F20/I20</f>
        <v>120</v>
      </c>
      <c r="K20" s="20">
        <f>J20-H20</f>
        <v>-120</v>
      </c>
      <c r="L20" s="150"/>
      <c r="M20" s="149"/>
      <c r="O20" s="20"/>
    </row>
    <row r="21" spans="1:15" ht="15.75" x14ac:dyDescent="0.25">
      <c r="A21" s="1"/>
      <c r="B21" s="49"/>
      <c r="C21" s="144"/>
      <c r="D21" s="144" t="s">
        <v>159</v>
      </c>
      <c r="E21" s="158" t="s">
        <v>64</v>
      </c>
      <c r="F21" s="96">
        <v>701661.07</v>
      </c>
      <c r="G21" s="159">
        <v>40</v>
      </c>
      <c r="H21" s="20">
        <f>18895</f>
        <v>18895</v>
      </c>
      <c r="I21" s="151">
        <v>20</v>
      </c>
      <c r="J21" s="96">
        <f>F21/I21</f>
        <v>35083.053499999995</v>
      </c>
      <c r="K21" s="20">
        <f>J21-H21</f>
        <v>16188.053499999995</v>
      </c>
      <c r="L21" s="150"/>
      <c r="M21" s="149"/>
      <c r="O21" s="20"/>
    </row>
    <row r="22" spans="1:15" ht="15.75" x14ac:dyDescent="0.25">
      <c r="A22" s="1"/>
      <c r="B22" s="49"/>
      <c r="C22" s="152"/>
      <c r="D22" s="152"/>
      <c r="E22" s="152"/>
      <c r="F22" s="96"/>
      <c r="G22" s="159"/>
      <c r="H22" s="96"/>
      <c r="I22" s="159"/>
      <c r="J22" s="96"/>
      <c r="K22" s="96"/>
      <c r="L22" s="150"/>
      <c r="M22" s="149"/>
      <c r="O22" s="20"/>
    </row>
    <row r="23" spans="1:15" ht="15.75" x14ac:dyDescent="0.25">
      <c r="A23" s="1"/>
      <c r="B23" s="49"/>
      <c r="C23" s="157" t="s">
        <v>160</v>
      </c>
      <c r="D23" s="144"/>
      <c r="E23" s="158"/>
      <c r="F23" s="96"/>
      <c r="G23" s="151"/>
      <c r="H23" s="96"/>
      <c r="I23" s="151"/>
      <c r="J23" s="96"/>
      <c r="K23" s="96"/>
      <c r="L23" s="150"/>
      <c r="M23" s="149"/>
      <c r="O23" s="20"/>
    </row>
    <row r="24" spans="1:15" ht="15.75" x14ac:dyDescent="0.25">
      <c r="A24" s="1"/>
      <c r="B24" s="49"/>
      <c r="C24" s="157"/>
      <c r="D24" s="144" t="s">
        <v>161</v>
      </c>
      <c r="E24" s="158" t="s">
        <v>64</v>
      </c>
      <c r="F24" s="20">
        <v>665875.85</v>
      </c>
      <c r="G24" s="69">
        <v>50</v>
      </c>
      <c r="H24" s="20">
        <v>16449</v>
      </c>
      <c r="I24" s="151">
        <v>50</v>
      </c>
      <c r="J24" s="20">
        <f>H24</f>
        <v>16449</v>
      </c>
      <c r="K24" s="20">
        <f>J24-H24</f>
        <v>0</v>
      </c>
      <c r="L24" s="150"/>
      <c r="M24" s="149"/>
      <c r="O24" s="20"/>
    </row>
    <row r="25" spans="1:15" ht="15.75" x14ac:dyDescent="0.25">
      <c r="A25" s="1"/>
      <c r="B25" s="49"/>
      <c r="C25" s="157"/>
      <c r="D25" s="144" t="s">
        <v>162</v>
      </c>
      <c r="E25" s="158" t="s">
        <v>64</v>
      </c>
      <c r="F25" s="20">
        <v>18141020</v>
      </c>
      <c r="G25" s="69">
        <v>50</v>
      </c>
      <c r="H25" s="20">
        <v>389859</v>
      </c>
      <c r="I25" s="151">
        <v>62.5</v>
      </c>
      <c r="J25" s="20">
        <f t="shared" ref="J25:J32" si="2">F25/I25</f>
        <v>290256.32</v>
      </c>
      <c r="K25" s="20">
        <f t="shared" ref="K25:K32" si="3">J25-H25</f>
        <v>-99602.68</v>
      </c>
      <c r="L25" s="150"/>
      <c r="M25" s="149"/>
      <c r="O25" s="96"/>
    </row>
    <row r="26" spans="1:15" ht="15.75" x14ac:dyDescent="0.25">
      <c r="A26" s="1"/>
      <c r="B26" s="49"/>
      <c r="C26" s="157"/>
      <c r="D26" s="144" t="s">
        <v>163</v>
      </c>
      <c r="E26" s="158" t="s">
        <v>64</v>
      </c>
      <c r="F26" s="20">
        <v>711914.54</v>
      </c>
      <c r="G26" s="69">
        <v>15</v>
      </c>
      <c r="H26" s="20">
        <v>54776</v>
      </c>
      <c r="I26" s="151">
        <v>45</v>
      </c>
      <c r="J26" s="20">
        <f t="shared" si="2"/>
        <v>15820.323111111113</v>
      </c>
      <c r="K26" s="20">
        <f t="shared" si="3"/>
        <v>-38955.676888888891</v>
      </c>
      <c r="L26" s="150"/>
      <c r="M26" s="149"/>
      <c r="O26" s="96"/>
    </row>
    <row r="27" spans="1:15" ht="15.75" x14ac:dyDescent="0.25">
      <c r="A27" s="1"/>
      <c r="B27" s="49"/>
      <c r="C27" s="157"/>
      <c r="D27" s="144" t="s">
        <v>164</v>
      </c>
      <c r="E27" s="158" t="s">
        <v>64</v>
      </c>
      <c r="F27" s="20">
        <v>697487.13</v>
      </c>
      <c r="G27" s="69" t="s">
        <v>151</v>
      </c>
      <c r="H27" s="20"/>
      <c r="I27" s="151">
        <v>15</v>
      </c>
      <c r="J27" s="20">
        <f t="shared" si="2"/>
        <v>46499.142</v>
      </c>
      <c r="K27" s="20">
        <f t="shared" si="3"/>
        <v>46499.142</v>
      </c>
      <c r="L27" s="150"/>
      <c r="M27" s="149"/>
      <c r="O27" s="96"/>
    </row>
    <row r="28" spans="1:15" ht="15.75" x14ac:dyDescent="0.25">
      <c r="A28" s="1"/>
      <c r="B28" s="49"/>
      <c r="C28" s="157"/>
      <c r="D28" s="144" t="s">
        <v>165</v>
      </c>
      <c r="E28" s="158">
        <v>34455</v>
      </c>
      <c r="F28" s="20">
        <v>2968.98</v>
      </c>
      <c r="G28" s="69">
        <v>50</v>
      </c>
      <c r="H28" s="20"/>
      <c r="I28" s="151">
        <v>20</v>
      </c>
      <c r="J28" s="20">
        <f t="shared" si="2"/>
        <v>148.44900000000001</v>
      </c>
      <c r="K28" s="20">
        <f t="shared" si="3"/>
        <v>148.44900000000001</v>
      </c>
      <c r="L28" s="150"/>
      <c r="M28" s="149"/>
      <c r="O28" s="96"/>
    </row>
    <row r="29" spans="1:15" ht="15.75" x14ac:dyDescent="0.25">
      <c r="A29" s="1"/>
      <c r="B29" s="49"/>
      <c r="C29" s="157"/>
      <c r="D29" s="144" t="s">
        <v>166</v>
      </c>
      <c r="E29" s="158">
        <v>33409</v>
      </c>
      <c r="F29" s="20">
        <v>3380</v>
      </c>
      <c r="G29" s="69">
        <v>50</v>
      </c>
      <c r="H29" s="20"/>
      <c r="I29" s="151">
        <v>37.5</v>
      </c>
      <c r="J29" s="20">
        <f t="shared" si="2"/>
        <v>90.13333333333334</v>
      </c>
      <c r="K29" s="20">
        <f t="shared" si="3"/>
        <v>90.13333333333334</v>
      </c>
      <c r="L29" s="150"/>
      <c r="M29" s="149"/>
      <c r="O29" s="96"/>
    </row>
    <row r="30" spans="1:15" ht="15.75" x14ac:dyDescent="0.25">
      <c r="A30" s="1"/>
      <c r="B30" s="49"/>
      <c r="C30" s="157"/>
      <c r="D30" s="144" t="s">
        <v>167</v>
      </c>
      <c r="E30" s="158" t="s">
        <v>64</v>
      </c>
      <c r="F30" s="20">
        <v>214574.49</v>
      </c>
      <c r="G30" s="69">
        <v>50</v>
      </c>
      <c r="H30" s="20">
        <v>4953</v>
      </c>
      <c r="I30" s="151">
        <v>40</v>
      </c>
      <c r="J30" s="20">
        <f t="shared" si="2"/>
        <v>5364.3622500000001</v>
      </c>
      <c r="K30" s="20">
        <f t="shared" si="3"/>
        <v>411.36225000000013</v>
      </c>
      <c r="L30" s="150"/>
      <c r="M30" s="149"/>
      <c r="O30" s="96"/>
    </row>
    <row r="31" spans="1:15" ht="15.75" x14ac:dyDescent="0.25">
      <c r="A31" s="1"/>
      <c r="B31" s="49"/>
      <c r="C31" s="157"/>
      <c r="D31" s="144" t="s">
        <v>168</v>
      </c>
      <c r="E31" s="158" t="s">
        <v>64</v>
      </c>
      <c r="F31" s="20">
        <v>433307.79</v>
      </c>
      <c r="G31" s="69">
        <v>50</v>
      </c>
      <c r="H31" s="20">
        <v>63707</v>
      </c>
      <c r="I31" s="151">
        <v>45</v>
      </c>
      <c r="J31" s="20">
        <f t="shared" si="2"/>
        <v>9629.0619999999999</v>
      </c>
      <c r="K31" s="20">
        <f t="shared" si="3"/>
        <v>-54077.938000000002</v>
      </c>
      <c r="L31" s="150"/>
      <c r="M31" s="149"/>
    </row>
    <row r="32" spans="1:15" ht="15.75" x14ac:dyDescent="0.25">
      <c r="A32" s="1"/>
      <c r="B32" s="49"/>
      <c r="C32" s="157"/>
      <c r="D32" s="144" t="s">
        <v>169</v>
      </c>
      <c r="E32" s="158" t="s">
        <v>64</v>
      </c>
      <c r="F32" s="20">
        <v>414633.23</v>
      </c>
      <c r="G32" s="69" t="s">
        <v>151</v>
      </c>
      <c r="H32" s="20"/>
      <c r="I32" s="151">
        <v>15</v>
      </c>
      <c r="J32" s="20">
        <f t="shared" si="2"/>
        <v>27642.215333333334</v>
      </c>
      <c r="K32" s="20">
        <f t="shared" si="3"/>
        <v>27642.215333333334</v>
      </c>
      <c r="L32" s="150"/>
      <c r="M32" s="149"/>
      <c r="O32" s="260"/>
    </row>
    <row r="33" spans="1:14" ht="15.75" x14ac:dyDescent="0.25">
      <c r="A33" s="1"/>
      <c r="B33" s="49"/>
      <c r="C33" s="157"/>
      <c r="D33" s="1"/>
      <c r="E33" s="158"/>
      <c r="F33" s="96"/>
      <c r="G33" s="159"/>
      <c r="H33" s="96"/>
      <c r="I33" s="159"/>
      <c r="J33" s="96"/>
      <c r="K33" s="20"/>
      <c r="L33" s="150"/>
      <c r="M33" s="149"/>
    </row>
    <row r="34" spans="1:14" ht="15.75" x14ac:dyDescent="0.25">
      <c r="A34" s="1"/>
      <c r="B34" s="49"/>
      <c r="C34" s="157" t="s">
        <v>170</v>
      </c>
      <c r="D34" s="1"/>
      <c r="E34" s="158"/>
      <c r="F34" s="96"/>
      <c r="G34" s="151"/>
      <c r="H34" s="96"/>
      <c r="I34" s="160"/>
      <c r="J34" s="96"/>
      <c r="K34" s="96"/>
      <c r="L34" s="150"/>
      <c r="M34" s="149"/>
    </row>
    <row r="35" spans="1:14" ht="15.75" x14ac:dyDescent="0.25">
      <c r="A35" s="1"/>
      <c r="B35" s="49"/>
      <c r="C35" s="144"/>
      <c r="D35" s="1" t="s">
        <v>171</v>
      </c>
      <c r="E35" s="158" t="s">
        <v>64</v>
      </c>
      <c r="F35" s="96">
        <v>153754</v>
      </c>
      <c r="G35" s="151" t="s">
        <v>151</v>
      </c>
      <c r="H35" s="96">
        <f>60408</f>
        <v>60408</v>
      </c>
      <c r="I35" s="160">
        <v>7</v>
      </c>
      <c r="J35" s="96">
        <f>F35/I35</f>
        <v>21964.857142857141</v>
      </c>
      <c r="K35" s="96">
        <f>J35-H35</f>
        <v>-38443.142857142855</v>
      </c>
      <c r="L35" s="150"/>
      <c r="M35" s="149"/>
    </row>
    <row r="36" spans="1:14" ht="15.75" x14ac:dyDescent="0.25">
      <c r="A36" s="1"/>
      <c r="B36" s="49"/>
      <c r="C36" s="152"/>
      <c r="D36" s="152"/>
      <c r="E36" s="152"/>
      <c r="F36" s="96"/>
      <c r="G36" s="159"/>
      <c r="H36" s="96"/>
      <c r="I36" s="159"/>
      <c r="J36" s="96"/>
      <c r="K36" s="96"/>
      <c r="L36" s="150"/>
      <c r="M36" s="149"/>
    </row>
    <row r="37" spans="1:14" ht="15.75" x14ac:dyDescent="0.25">
      <c r="A37" s="1"/>
      <c r="B37" s="49"/>
      <c r="C37" s="157" t="s">
        <v>172</v>
      </c>
      <c r="D37" s="144"/>
      <c r="E37" s="158"/>
      <c r="F37" s="96"/>
      <c r="G37" s="161"/>
      <c r="H37" s="96"/>
      <c r="I37" s="151"/>
      <c r="J37" s="96"/>
      <c r="K37" s="96"/>
      <c r="L37" s="150"/>
      <c r="M37" s="149"/>
    </row>
    <row r="38" spans="1:14" ht="15.75" x14ac:dyDescent="0.25">
      <c r="A38" s="1"/>
      <c r="B38" s="49"/>
      <c r="C38" s="157"/>
      <c r="D38" s="1" t="s">
        <v>162</v>
      </c>
      <c r="E38" s="158" t="s">
        <v>64</v>
      </c>
      <c r="F38" s="96">
        <f>33300+9588.49+371.92</f>
        <v>43260.409999999996</v>
      </c>
      <c r="G38" s="151" t="s">
        <v>151</v>
      </c>
      <c r="H38" s="96">
        <v>673</v>
      </c>
      <c r="I38" s="160">
        <v>62.5</v>
      </c>
      <c r="J38" s="96">
        <f>F38/I38</f>
        <v>692.16655999999989</v>
      </c>
      <c r="K38" s="96">
        <f>J38-H38</f>
        <v>19.16655999999989</v>
      </c>
      <c r="L38" s="150"/>
      <c r="M38" s="149"/>
    </row>
    <row r="39" spans="1:14" ht="15.75" x14ac:dyDescent="0.25">
      <c r="A39" s="1"/>
      <c r="B39" s="49"/>
      <c r="C39" s="144"/>
      <c r="D39" s="144"/>
      <c r="E39" s="144"/>
      <c r="F39" s="158"/>
      <c r="G39" s="96"/>
      <c r="H39" s="162"/>
      <c r="I39" s="96"/>
      <c r="J39" s="151"/>
      <c r="K39" s="96"/>
      <c r="L39" s="150"/>
      <c r="M39" s="149"/>
    </row>
    <row r="40" spans="1:14" ht="15.75" x14ac:dyDescent="0.25">
      <c r="A40" s="1"/>
      <c r="B40" s="49"/>
      <c r="C40" s="163" t="s">
        <v>84</v>
      </c>
      <c r="D40" s="1"/>
      <c r="E40" s="1"/>
      <c r="F40" s="261">
        <f>SUM(F11:F38)</f>
        <v>23618333.369999997</v>
      </c>
      <c r="G40" s="164"/>
      <c r="H40" s="165">
        <f>SUM(H11:H39)</f>
        <v>717751</v>
      </c>
      <c r="I40" s="165"/>
      <c r="J40" s="165">
        <f>SUM(J11:J39)</f>
        <v>530917.37966238102</v>
      </c>
      <c r="K40" s="165">
        <f>SUM(K11:K39)</f>
        <v>-186833.62033761901</v>
      </c>
      <c r="L40" s="150"/>
      <c r="M40" s="149"/>
      <c r="N40" s="18" t="s">
        <v>196</v>
      </c>
    </row>
    <row r="41" spans="1:14" ht="15.75" x14ac:dyDescent="0.25">
      <c r="A41" s="1"/>
      <c r="B41" s="86"/>
      <c r="C41" s="166"/>
      <c r="D41" s="166"/>
      <c r="E41" s="166"/>
      <c r="F41" s="166"/>
      <c r="G41" s="166"/>
      <c r="H41" s="167"/>
      <c r="I41" s="166"/>
      <c r="J41" s="167"/>
      <c r="K41" s="166"/>
      <c r="L41" s="168"/>
      <c r="M41" s="169"/>
    </row>
    <row r="42" spans="1:14" ht="15.75" x14ac:dyDescent="0.25">
      <c r="A42" s="1"/>
      <c r="B42" s="1"/>
      <c r="C42" s="144"/>
      <c r="D42" s="144"/>
      <c r="E42" s="144"/>
      <c r="F42" s="144"/>
      <c r="G42" s="144"/>
      <c r="H42" s="22"/>
      <c r="I42" s="144"/>
      <c r="J42" s="22"/>
      <c r="K42" s="144"/>
      <c r="L42" s="144"/>
      <c r="M42" s="144"/>
    </row>
    <row r="43" spans="1:14" ht="15.75" x14ac:dyDescent="0.25">
      <c r="D43" s="144" t="s">
        <v>173</v>
      </c>
    </row>
  </sheetData>
  <mergeCells count="3">
    <mergeCell ref="C3:K3"/>
    <mergeCell ref="C4:K4"/>
    <mergeCell ref="C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8E55-8DC2-4CD5-8872-149491EA390B}">
  <sheetPr>
    <pageSetUpPr fitToPage="1"/>
  </sheetPr>
  <dimension ref="B1:X25"/>
  <sheetViews>
    <sheetView showGridLines="0" topLeftCell="A9" workbookViewId="0">
      <selection activeCell="Q8" sqref="Q8"/>
    </sheetView>
  </sheetViews>
  <sheetFormatPr defaultRowHeight="15" x14ac:dyDescent="0.2"/>
  <cols>
    <col min="1" max="1" width="1.77734375" customWidth="1"/>
    <col min="2" max="2" width="17.77734375" customWidth="1"/>
    <col min="3" max="12" width="7.77734375" customWidth="1"/>
    <col min="13" max="13" width="10.6640625" customWidth="1"/>
    <col min="14" max="14" width="0.77734375" customWidth="1"/>
    <col min="15" max="15" width="2.33203125" customWidth="1"/>
    <col min="16" max="16" width="9.6640625" customWidth="1"/>
  </cols>
  <sheetData>
    <row r="1" spans="2:24" ht="15.75" x14ac:dyDescent="0.25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2:24" ht="15.75" x14ac:dyDescent="0.25"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2"/>
      <c r="O2" s="16"/>
      <c r="P2" s="16"/>
    </row>
    <row r="3" spans="2:24" ht="18.75" x14ac:dyDescent="0.3">
      <c r="B3" s="173" t="s">
        <v>174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74"/>
      <c r="O3" s="16"/>
      <c r="P3" s="16"/>
    </row>
    <row r="4" spans="2:24" ht="18.75" x14ac:dyDescent="0.3">
      <c r="B4" s="175" t="s">
        <v>175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74"/>
      <c r="O4" s="16"/>
      <c r="P4" s="16"/>
    </row>
    <row r="5" spans="2:24" ht="15.75" x14ac:dyDescent="0.25">
      <c r="B5" s="177" t="s">
        <v>145</v>
      </c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74"/>
      <c r="O5" s="16"/>
      <c r="P5" s="16"/>
    </row>
    <row r="6" spans="2:24" ht="15.75" x14ac:dyDescent="0.25">
      <c r="B6" s="178" t="s">
        <v>283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74"/>
      <c r="O6" s="16"/>
      <c r="P6" s="16"/>
    </row>
    <row r="7" spans="2:24" ht="15.75" x14ac:dyDescent="0.25">
      <c r="B7" s="180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74"/>
      <c r="O7" s="16"/>
      <c r="P7" s="16"/>
    </row>
    <row r="8" spans="2:24" ht="15.75" x14ac:dyDescent="0.25">
      <c r="B8" s="181"/>
      <c r="C8" s="182"/>
      <c r="D8" s="183"/>
      <c r="E8" s="182"/>
      <c r="F8" s="184"/>
      <c r="G8" s="182"/>
      <c r="H8" s="184"/>
      <c r="I8" s="182"/>
      <c r="J8" s="184"/>
      <c r="K8" s="182"/>
      <c r="L8" s="184"/>
      <c r="M8" s="183"/>
      <c r="N8" s="172"/>
      <c r="O8" s="16"/>
      <c r="P8" s="16"/>
    </row>
    <row r="9" spans="2:24" ht="17.25" x14ac:dyDescent="0.25">
      <c r="B9" s="185"/>
      <c r="C9" s="322" t="s">
        <v>278</v>
      </c>
      <c r="D9" s="323"/>
      <c r="E9" s="322" t="s">
        <v>279</v>
      </c>
      <c r="F9" s="323"/>
      <c r="G9" s="322" t="s">
        <v>280</v>
      </c>
      <c r="H9" s="323"/>
      <c r="I9" s="322" t="s">
        <v>281</v>
      </c>
      <c r="J9" s="323"/>
      <c r="K9" s="322" t="s">
        <v>282</v>
      </c>
      <c r="L9" s="323"/>
      <c r="M9" s="16"/>
      <c r="N9" s="74"/>
      <c r="O9" s="16"/>
      <c r="P9" s="16"/>
    </row>
    <row r="10" spans="2:24" ht="17.25" x14ac:dyDescent="0.25">
      <c r="B10" s="185"/>
      <c r="C10" s="186"/>
      <c r="D10" s="187" t="s">
        <v>176</v>
      </c>
      <c r="E10" s="188"/>
      <c r="F10" s="187" t="s">
        <v>176</v>
      </c>
      <c r="G10" s="188"/>
      <c r="H10" s="187" t="s">
        <v>176</v>
      </c>
      <c r="I10" s="188"/>
      <c r="J10" s="187" t="s">
        <v>176</v>
      </c>
      <c r="K10" s="188"/>
      <c r="L10" s="187" t="s">
        <v>176</v>
      </c>
      <c r="M10" s="16"/>
      <c r="N10" s="74"/>
      <c r="O10" s="16"/>
      <c r="P10" s="16"/>
    </row>
    <row r="11" spans="2:24" ht="17.25" x14ac:dyDescent="0.25">
      <c r="B11" s="185"/>
      <c r="C11" s="186" t="s">
        <v>177</v>
      </c>
      <c r="D11" s="189" t="s">
        <v>178</v>
      </c>
      <c r="E11" s="186" t="s">
        <v>177</v>
      </c>
      <c r="F11" s="189" t="s">
        <v>178</v>
      </c>
      <c r="G11" s="186" t="s">
        <v>177</v>
      </c>
      <c r="H11" s="189" t="s">
        <v>178</v>
      </c>
      <c r="I11" s="186" t="s">
        <v>177</v>
      </c>
      <c r="J11" s="189" t="s">
        <v>178</v>
      </c>
      <c r="K11" s="186" t="s">
        <v>177</v>
      </c>
      <c r="L11" s="189" t="s">
        <v>178</v>
      </c>
      <c r="M11" s="190" t="s">
        <v>84</v>
      </c>
      <c r="N11" s="74"/>
      <c r="O11" s="16"/>
      <c r="P11" s="16"/>
    </row>
    <row r="12" spans="2:24" ht="15.75" x14ac:dyDescent="0.25">
      <c r="B12" s="265" t="s">
        <v>259</v>
      </c>
      <c r="C12" s="271">
        <v>10500</v>
      </c>
      <c r="D12" s="272">
        <f>5720.31+5720.31</f>
        <v>11440.62</v>
      </c>
      <c r="E12" s="271">
        <v>11000</v>
      </c>
      <c r="F12" s="273">
        <f>6265.75+5490.63</f>
        <v>11756.380000000001</v>
      </c>
      <c r="G12" s="271">
        <v>11500</v>
      </c>
      <c r="H12" s="273">
        <f>5250+5250</f>
        <v>10500</v>
      </c>
      <c r="I12" s="271">
        <v>12000</v>
      </c>
      <c r="J12" s="273">
        <f>4998.44+4998.544</f>
        <v>9996.9840000000004</v>
      </c>
      <c r="K12" s="271">
        <v>12500</v>
      </c>
      <c r="L12" s="273">
        <f>4735.94+4735.94</f>
        <v>9471.8799999999992</v>
      </c>
      <c r="M12" s="274">
        <f t="shared" ref="M12:M17" si="0">SUM(C12:L12)</f>
        <v>110665.864</v>
      </c>
      <c r="N12" s="74"/>
      <c r="O12" s="16"/>
      <c r="P12" s="16"/>
      <c r="R12" s="16"/>
      <c r="T12" s="16"/>
      <c r="V12" s="16"/>
      <c r="X12" s="16"/>
    </row>
    <row r="13" spans="2:24" ht="15.75" x14ac:dyDescent="0.25">
      <c r="B13" s="265" t="s">
        <v>179</v>
      </c>
      <c r="C13" s="271">
        <v>135000</v>
      </c>
      <c r="D13" s="272">
        <f>143452.5-C13</f>
        <v>8452.5</v>
      </c>
      <c r="E13" s="271">
        <v>145000</v>
      </c>
      <c r="F13" s="273">
        <f>148832.5-E13</f>
        <v>3832.5</v>
      </c>
      <c r="G13" s="271">
        <v>30000</v>
      </c>
      <c r="H13" s="273">
        <f>495+450</f>
        <v>945</v>
      </c>
      <c r="I13" s="271"/>
      <c r="J13" s="273"/>
      <c r="K13" s="271"/>
      <c r="L13" s="273"/>
      <c r="M13" s="275">
        <f t="shared" si="0"/>
        <v>323230</v>
      </c>
      <c r="N13" s="74"/>
      <c r="O13" s="16"/>
      <c r="P13" s="16"/>
      <c r="R13" s="16"/>
      <c r="T13" s="16"/>
      <c r="V13" s="16"/>
      <c r="X13" s="16"/>
    </row>
    <row r="14" spans="2:24" ht="15.75" x14ac:dyDescent="0.25">
      <c r="B14" s="265" t="s">
        <v>180</v>
      </c>
      <c r="C14" s="271">
        <v>175000</v>
      </c>
      <c r="D14" s="272">
        <f>195281.25-C14</f>
        <v>20281.25</v>
      </c>
      <c r="E14" s="271">
        <v>180000</v>
      </c>
      <c r="F14" s="273">
        <f>195175-E14</f>
        <v>15175</v>
      </c>
      <c r="G14" s="271">
        <v>180000</v>
      </c>
      <c r="H14" s="273">
        <f>189550-G14</f>
        <v>9550</v>
      </c>
      <c r="I14" s="271">
        <v>190000</v>
      </c>
      <c r="J14" s="273">
        <f>193537.5-I14</f>
        <v>3537.5</v>
      </c>
      <c r="K14" s="271"/>
      <c r="L14" s="273"/>
      <c r="M14" s="275">
        <f t="shared" si="0"/>
        <v>773543.75</v>
      </c>
      <c r="N14" s="74"/>
      <c r="O14" s="16"/>
      <c r="P14" s="16"/>
      <c r="R14" s="16"/>
      <c r="T14" s="16"/>
      <c r="V14" s="16"/>
      <c r="X14" s="16"/>
    </row>
    <row r="15" spans="2:24" ht="15.75" x14ac:dyDescent="0.25">
      <c r="B15" s="265" t="s">
        <v>181</v>
      </c>
      <c r="C15" s="271">
        <v>34000</v>
      </c>
      <c r="D15" s="272">
        <f>21422.5+21422.5</f>
        <v>42845</v>
      </c>
      <c r="E15" s="271">
        <v>35000</v>
      </c>
      <c r="F15" s="272">
        <f>20955+20955</f>
        <v>41910</v>
      </c>
      <c r="G15" s="271">
        <v>36000</v>
      </c>
      <c r="H15" s="272">
        <f>20473.75+20473.75</f>
        <v>40947.5</v>
      </c>
      <c r="I15" s="271">
        <v>37000</v>
      </c>
      <c r="J15" s="272">
        <f>19978.75+19978.75</f>
        <v>39957.5</v>
      </c>
      <c r="K15" s="271">
        <v>38000</v>
      </c>
      <c r="L15" s="273">
        <f>19470+19470</f>
        <v>38940</v>
      </c>
      <c r="M15" s="275">
        <f t="shared" si="0"/>
        <v>384600</v>
      </c>
      <c r="N15" s="74"/>
      <c r="O15" s="16"/>
      <c r="P15" s="16"/>
      <c r="R15" s="16"/>
      <c r="T15" s="16"/>
      <c r="V15" s="16"/>
      <c r="X15" s="16"/>
    </row>
    <row r="16" spans="2:24" ht="15.75" x14ac:dyDescent="0.25">
      <c r="B16" s="191" t="s">
        <v>182</v>
      </c>
      <c r="C16" s="192">
        <v>45000</v>
      </c>
      <c r="D16" s="193">
        <f>82968.76-C16</f>
        <v>37968.759999999995</v>
      </c>
      <c r="E16" s="192">
        <v>50000</v>
      </c>
      <c r="F16" s="193">
        <f>85606.26-E16</f>
        <v>35606.259999999995</v>
      </c>
      <c r="G16" s="192">
        <v>50000</v>
      </c>
      <c r="H16" s="193">
        <f>82981.26-G16</f>
        <v>32981.259999999995</v>
      </c>
      <c r="I16" s="192">
        <v>50000</v>
      </c>
      <c r="J16" s="193">
        <f>81856.26-I16</f>
        <v>31856.259999999995</v>
      </c>
      <c r="K16" s="192">
        <v>55000</v>
      </c>
      <c r="L16" s="194">
        <f>85231.26-K16</f>
        <v>30231.259999999995</v>
      </c>
      <c r="M16" s="195">
        <f t="shared" si="0"/>
        <v>418643.80000000005</v>
      </c>
      <c r="N16" s="74"/>
      <c r="O16" s="16"/>
      <c r="P16" s="16"/>
      <c r="R16" s="16"/>
      <c r="T16" s="16"/>
      <c r="V16" s="16"/>
      <c r="X16" s="16"/>
    </row>
    <row r="17" spans="2:24" ht="15.75" x14ac:dyDescent="0.25">
      <c r="B17" s="191" t="s">
        <v>260</v>
      </c>
      <c r="C17" s="192">
        <v>115000</v>
      </c>
      <c r="D17" s="193">
        <f>168155-C17</f>
        <v>53155</v>
      </c>
      <c r="E17" s="192">
        <v>125000</v>
      </c>
      <c r="F17" s="193">
        <f>172175-E17</f>
        <v>47175</v>
      </c>
      <c r="G17" s="192">
        <v>135000</v>
      </c>
      <c r="H17" s="193">
        <f>175675-G17</f>
        <v>40675</v>
      </c>
      <c r="I17" s="192">
        <v>140000</v>
      </c>
      <c r="J17" s="193">
        <f>173655-I17</f>
        <v>33655</v>
      </c>
      <c r="K17" s="192">
        <v>145000</v>
      </c>
      <c r="L17" s="194">
        <f>172775-K17</f>
        <v>27775</v>
      </c>
      <c r="M17" s="195">
        <f t="shared" si="0"/>
        <v>862435</v>
      </c>
      <c r="N17" s="74"/>
      <c r="O17" s="16"/>
      <c r="P17" s="16"/>
      <c r="R17" s="16"/>
      <c r="T17" s="16"/>
      <c r="V17" s="16"/>
      <c r="X17" s="16"/>
    </row>
    <row r="18" spans="2:24" ht="15.75" x14ac:dyDescent="0.25">
      <c r="B18" s="196"/>
      <c r="C18" s="197"/>
      <c r="D18" s="198"/>
      <c r="E18" s="197"/>
      <c r="F18" s="198"/>
      <c r="G18" s="197"/>
      <c r="H18" s="198"/>
      <c r="I18" s="197"/>
      <c r="J18" s="198"/>
      <c r="K18" s="197"/>
      <c r="L18" s="199"/>
      <c r="M18" s="195"/>
      <c r="N18" s="74"/>
      <c r="O18" s="16"/>
      <c r="P18" s="16"/>
    </row>
    <row r="19" spans="2:24" ht="15.75" x14ac:dyDescent="0.25">
      <c r="B19" s="143" t="s">
        <v>84</v>
      </c>
      <c r="C19" s="200">
        <f t="shared" ref="C19:M19" si="1">SUM(C12:C18)</f>
        <v>514500</v>
      </c>
      <c r="D19" s="201">
        <f t="shared" si="1"/>
        <v>174143.13</v>
      </c>
      <c r="E19" s="200">
        <f t="shared" si="1"/>
        <v>546000</v>
      </c>
      <c r="F19" s="202">
        <f t="shared" si="1"/>
        <v>155455.14000000001</v>
      </c>
      <c r="G19" s="200">
        <f t="shared" si="1"/>
        <v>442500</v>
      </c>
      <c r="H19" s="202">
        <f t="shared" si="1"/>
        <v>135598.76</v>
      </c>
      <c r="I19" s="200">
        <f t="shared" si="1"/>
        <v>429000</v>
      </c>
      <c r="J19" s="202">
        <f t="shared" si="1"/>
        <v>119003.24399999999</v>
      </c>
      <c r="K19" s="200">
        <f t="shared" si="1"/>
        <v>250500</v>
      </c>
      <c r="L19" s="202">
        <f t="shared" si="1"/>
        <v>106418.13999999998</v>
      </c>
      <c r="M19" s="203">
        <f t="shared" si="1"/>
        <v>2873118.4139999999</v>
      </c>
      <c r="N19" s="74"/>
      <c r="O19" s="16"/>
      <c r="P19" s="16">
        <f>SUM(C19:L19)</f>
        <v>2873118.4140000003</v>
      </c>
    </row>
    <row r="20" spans="2:24" ht="15.75" x14ac:dyDescent="0.25">
      <c r="B20" s="204"/>
      <c r="C20" s="205"/>
      <c r="D20" s="206"/>
      <c r="E20" s="205"/>
      <c r="F20" s="207"/>
      <c r="G20" s="205"/>
      <c r="H20" s="207"/>
      <c r="I20" s="205"/>
      <c r="J20" s="208"/>
      <c r="K20" s="205"/>
      <c r="L20" s="207"/>
      <c r="M20" s="206"/>
      <c r="N20" s="209"/>
      <c r="O20" s="16"/>
      <c r="P20" s="16"/>
    </row>
    <row r="21" spans="2:24" ht="15.75" x14ac:dyDescent="0.25">
      <c r="B21" s="210"/>
      <c r="C21" s="211"/>
      <c r="D21" s="211"/>
      <c r="E21" s="211"/>
      <c r="F21" s="211"/>
      <c r="G21" s="211"/>
      <c r="H21" s="211"/>
      <c r="I21" s="211"/>
      <c r="J21" s="212"/>
      <c r="K21" s="212"/>
      <c r="L21" s="212"/>
      <c r="M21" s="211"/>
      <c r="N21" s="74"/>
      <c r="O21" s="16"/>
      <c r="P21" s="16"/>
    </row>
    <row r="22" spans="2:24" ht="15.75" x14ac:dyDescent="0.25">
      <c r="B22" s="213"/>
      <c r="C22" s="214"/>
      <c r="D22" s="215"/>
      <c r="E22" s="214"/>
      <c r="F22" s="214"/>
      <c r="G22" s="214"/>
      <c r="H22" s="214"/>
      <c r="I22" s="215" t="s">
        <v>183</v>
      </c>
      <c r="J22" s="16"/>
      <c r="K22" s="216"/>
      <c r="L22" s="217"/>
      <c r="M22" s="214">
        <f>M19/5</f>
        <v>574623.68279999995</v>
      </c>
      <c r="N22" s="74"/>
      <c r="O22" s="16" t="s">
        <v>199</v>
      </c>
      <c r="P22" s="16"/>
    </row>
    <row r="23" spans="2:24" ht="15.75" x14ac:dyDescent="0.25">
      <c r="B23" s="17"/>
      <c r="C23" s="215"/>
      <c r="D23" s="16"/>
      <c r="E23" s="215"/>
      <c r="F23" s="215"/>
      <c r="G23" s="215"/>
      <c r="H23" s="215"/>
      <c r="I23" s="215"/>
      <c r="J23" s="16"/>
      <c r="K23" s="20"/>
      <c r="L23" s="216"/>
      <c r="M23" s="27"/>
      <c r="N23" s="74"/>
      <c r="O23" s="16"/>
      <c r="P23" s="16"/>
    </row>
    <row r="24" spans="2:24" ht="15.75" x14ac:dyDescent="0.25">
      <c r="B24" s="213"/>
      <c r="C24" s="215"/>
      <c r="D24" s="215"/>
      <c r="E24" s="215"/>
      <c r="F24" s="215"/>
      <c r="G24" s="215"/>
      <c r="H24" s="215"/>
      <c r="I24" s="215" t="s">
        <v>184</v>
      </c>
      <c r="J24" s="16"/>
      <c r="K24" s="216"/>
      <c r="L24" s="215"/>
      <c r="M24" s="214">
        <f>M22*0.2</f>
        <v>114924.73655999999</v>
      </c>
      <c r="N24" s="74"/>
      <c r="O24" s="16" t="s">
        <v>215</v>
      </c>
      <c r="P24" s="16">
        <f>M24+M22</f>
        <v>689548.41935999994</v>
      </c>
    </row>
    <row r="25" spans="2:24" ht="15.75" x14ac:dyDescent="0.25">
      <c r="B25" s="218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09"/>
      <c r="O25" s="16"/>
      <c r="P25" s="16"/>
    </row>
  </sheetData>
  <mergeCells count="5">
    <mergeCell ref="C9:D9"/>
    <mergeCell ref="E9:F9"/>
    <mergeCell ref="G9:H9"/>
    <mergeCell ref="I9:J9"/>
    <mergeCell ref="K9:L9"/>
  </mergeCells>
  <pageMargins left="0.7" right="0.7" top="0.75" bottom="0.75" header="0.3" footer="0.3"/>
  <pageSetup scale="92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03B9-59C5-4DF9-BA7B-F1E3EC2BAAEC}">
  <dimension ref="A1:D6"/>
  <sheetViews>
    <sheetView workbookViewId="0">
      <selection activeCell="D6" sqref="D6"/>
    </sheetView>
  </sheetViews>
  <sheetFormatPr defaultRowHeight="15" x14ac:dyDescent="0.25"/>
  <cols>
    <col min="1" max="1" width="25.5546875" style="1" customWidth="1"/>
    <col min="2" max="2" width="8.77734375" style="224" customWidth="1"/>
    <col min="3" max="3" width="14.5546875" style="225" customWidth="1"/>
    <col min="4" max="4" width="8.88671875" style="18"/>
    <col min="5" max="16384" width="8.88671875" style="1"/>
  </cols>
  <sheetData>
    <row r="1" spans="1:4" x14ac:dyDescent="0.25">
      <c r="A1" s="1" t="s">
        <v>194</v>
      </c>
    </row>
    <row r="3" spans="1:4" x14ac:dyDescent="0.25">
      <c r="A3" s="1" t="s">
        <v>195</v>
      </c>
      <c r="C3" s="225">
        <v>50566</v>
      </c>
    </row>
    <row r="5" spans="1:4" x14ac:dyDescent="0.25">
      <c r="A5" s="1" t="s">
        <v>197</v>
      </c>
      <c r="B5" s="224">
        <v>0.3</v>
      </c>
      <c r="C5" s="225">
        <f>C3*B5</f>
        <v>15169.8</v>
      </c>
      <c r="D5" s="18" t="s">
        <v>139</v>
      </c>
    </row>
    <row r="6" spans="1:4" x14ac:dyDescent="0.25">
      <c r="A6" s="1" t="s">
        <v>198</v>
      </c>
      <c r="B6" s="224">
        <v>0.7</v>
      </c>
      <c r="C6" s="225">
        <f>C3*B6</f>
        <v>35396.199999999997</v>
      </c>
      <c r="D6" s="18" t="s">
        <v>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23B5-3C4F-4A66-BDCE-8C5FC4A546FE}">
  <dimension ref="A1:J16"/>
  <sheetViews>
    <sheetView workbookViewId="0">
      <selection activeCell="G17" sqref="G17"/>
    </sheetView>
  </sheetViews>
  <sheetFormatPr defaultRowHeight="15" x14ac:dyDescent="0.25"/>
  <cols>
    <col min="1" max="1" width="18.6640625" style="1" customWidth="1"/>
    <col min="2" max="2" width="9" style="5" bestFit="1" customWidth="1"/>
    <col min="3" max="6" width="8.88671875" style="1"/>
    <col min="7" max="7" width="9.88671875" style="1" customWidth="1"/>
    <col min="8" max="9" width="8.88671875" style="1"/>
    <col min="10" max="10" width="9.77734375" style="1" bestFit="1" customWidth="1"/>
    <col min="11" max="16384" width="8.88671875" style="1"/>
  </cols>
  <sheetData>
    <row r="1" spans="1:10" x14ac:dyDescent="0.25">
      <c r="A1" s="1" t="s">
        <v>200</v>
      </c>
      <c r="H1" s="1" t="s">
        <v>326</v>
      </c>
    </row>
    <row r="2" spans="1:10" x14ac:dyDescent="0.25">
      <c r="A2" s="1" t="s">
        <v>201</v>
      </c>
      <c r="C2" s="144">
        <v>534761</v>
      </c>
      <c r="G2" s="1" t="s">
        <v>331</v>
      </c>
      <c r="H2" s="1">
        <v>3.07</v>
      </c>
      <c r="I2" s="1" t="s">
        <v>327</v>
      </c>
    </row>
    <row r="3" spans="1:10" x14ac:dyDescent="0.25">
      <c r="A3" s="1" t="s">
        <v>202</v>
      </c>
      <c r="C3" s="144">
        <v>430582</v>
      </c>
      <c r="H3" s="1">
        <v>3.53</v>
      </c>
      <c r="I3" s="1" t="s">
        <v>328</v>
      </c>
    </row>
    <row r="4" spans="1:10" x14ac:dyDescent="0.25">
      <c r="A4" s="1" t="s">
        <v>203</v>
      </c>
      <c r="H4" s="1">
        <f>H3-H2</f>
        <v>0.45999999999999996</v>
      </c>
      <c r="I4" s="1" t="s">
        <v>329</v>
      </c>
    </row>
    <row r="5" spans="1:10" x14ac:dyDescent="0.25">
      <c r="A5" s="1" t="s">
        <v>204</v>
      </c>
      <c r="B5" s="5">
        <v>0</v>
      </c>
      <c r="H5" s="5">
        <v>534761</v>
      </c>
      <c r="I5" s="1" t="s">
        <v>272</v>
      </c>
      <c r="J5" s="5"/>
    </row>
    <row r="6" spans="1:10" x14ac:dyDescent="0.25">
      <c r="A6" s="1" t="s">
        <v>205</v>
      </c>
      <c r="B6" s="5">
        <v>10320</v>
      </c>
      <c r="H6" s="96">
        <f>H5*H4</f>
        <v>245990.05999999997</v>
      </c>
      <c r="I6" s="1" t="s">
        <v>138</v>
      </c>
      <c r="J6" s="295"/>
    </row>
    <row r="7" spans="1:10" x14ac:dyDescent="0.25">
      <c r="A7" s="1" t="s">
        <v>206</v>
      </c>
      <c r="B7" s="5">
        <v>250</v>
      </c>
    </row>
    <row r="8" spans="1:10" x14ac:dyDescent="0.25">
      <c r="A8" s="1" t="s">
        <v>207</v>
      </c>
      <c r="B8" s="5">
        <v>5101</v>
      </c>
    </row>
    <row r="9" spans="1:10" x14ac:dyDescent="0.25">
      <c r="C9" s="144">
        <f>B5+B6+B7+B8</f>
        <v>15671</v>
      </c>
    </row>
    <row r="10" spans="1:10" x14ac:dyDescent="0.25">
      <c r="A10" s="1" t="s">
        <v>208</v>
      </c>
      <c r="B10" s="5">
        <v>0</v>
      </c>
    </row>
    <row r="11" spans="1:10" x14ac:dyDescent="0.25">
      <c r="A11" s="1" t="s">
        <v>209</v>
      </c>
      <c r="B11" s="5">
        <v>8202</v>
      </c>
    </row>
    <row r="12" spans="1:10" x14ac:dyDescent="0.25">
      <c r="A12" s="1" t="s">
        <v>210</v>
      </c>
      <c r="B12" s="5">
        <v>79904</v>
      </c>
    </row>
    <row r="13" spans="1:10" x14ac:dyDescent="0.25">
      <c r="A13" s="1" t="s">
        <v>214</v>
      </c>
      <c r="B13" s="5">
        <v>402</v>
      </c>
    </row>
    <row r="14" spans="1:10" x14ac:dyDescent="0.25">
      <c r="C14" s="144">
        <f>B11+B12+B13</f>
        <v>88508</v>
      </c>
      <c r="D14" s="227">
        <f>C14/C2</f>
        <v>0.16550945188598271</v>
      </c>
      <c r="E14" s="1" t="s">
        <v>211</v>
      </c>
    </row>
    <row r="15" spans="1:10" x14ac:dyDescent="0.25">
      <c r="C15" s="144"/>
      <c r="D15" s="227">
        <v>0.15</v>
      </c>
      <c r="E15" s="1" t="s">
        <v>212</v>
      </c>
    </row>
    <row r="16" spans="1:10" x14ac:dyDescent="0.25">
      <c r="D16" s="230">
        <f>D14-D15</f>
        <v>1.5509451885982711E-2</v>
      </c>
      <c r="E16" s="1" t="s">
        <v>213</v>
      </c>
      <c r="G16" s="18" t="s">
        <v>138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4:GE30"/>
  <sheetViews>
    <sheetView showGridLines="0" topLeftCell="A13" zoomScaleNormal="100" workbookViewId="0">
      <selection activeCell="B4" sqref="B4:H30"/>
    </sheetView>
  </sheetViews>
  <sheetFormatPr defaultColWidth="8.88671875" defaultRowHeight="15" x14ac:dyDescent="0.25"/>
  <cols>
    <col min="1" max="1" width="1.77734375" style="24" customWidth="1"/>
    <col min="2" max="2" width="17.77734375" style="24" customWidth="1"/>
    <col min="3" max="3" width="6" style="24" customWidth="1"/>
    <col min="4" max="4" width="15.6640625" style="24" customWidth="1"/>
    <col min="5" max="5" width="6" style="24" customWidth="1"/>
    <col min="6" max="6" width="15.6640625" style="87" customWidth="1"/>
    <col min="7" max="7" width="6" style="24" customWidth="1"/>
    <col min="8" max="8" width="6" style="252" customWidth="1"/>
    <col min="9" max="187" width="9.6640625" style="24" customWidth="1"/>
    <col min="188" max="16384" width="8.88671875" style="15"/>
  </cols>
  <sheetData>
    <row r="4" spans="2:187" ht="18.75" x14ac:dyDescent="0.3">
      <c r="B4" s="324" t="s">
        <v>85</v>
      </c>
      <c r="C4" s="324"/>
      <c r="D4" s="324"/>
      <c r="E4" s="324"/>
      <c r="F4" s="324"/>
      <c r="G4" s="324"/>
    </row>
    <row r="5" spans="2:187" ht="7.15" customHeight="1" x14ac:dyDescent="0.25"/>
    <row r="6" spans="2:187" ht="18.75" x14ac:dyDescent="0.3">
      <c r="B6" s="321" t="s">
        <v>57</v>
      </c>
      <c r="C6" s="321"/>
      <c r="D6" s="321"/>
      <c r="E6" s="321"/>
      <c r="F6" s="321"/>
      <c r="G6" s="321"/>
    </row>
    <row r="7" spans="2:187" ht="18" customHeight="1" x14ac:dyDescent="0.25">
      <c r="B7" s="315" t="str">
        <f>SAO!A2</f>
        <v>CHRISTIAN COUNTY WATER DISTRICT</v>
      </c>
      <c r="C7" s="315"/>
      <c r="D7" s="315"/>
      <c r="E7" s="315"/>
      <c r="F7" s="315"/>
      <c r="G7" s="315"/>
    </row>
    <row r="8" spans="2:187" ht="6" customHeight="1" x14ac:dyDescent="0.25"/>
    <row r="9" spans="2:187" ht="16.5" customHeight="1" x14ac:dyDescent="0.25">
      <c r="B9" s="1"/>
      <c r="C9" s="325" t="s">
        <v>258</v>
      </c>
      <c r="D9" s="325"/>
      <c r="E9" s="325" t="s">
        <v>9</v>
      </c>
      <c r="F9" s="325"/>
      <c r="G9" s="325" t="s">
        <v>66</v>
      </c>
      <c r="H9" s="325"/>
      <c r="I9" s="253"/>
      <c r="GE9" s="15"/>
    </row>
    <row r="10" spans="2:187" ht="14.25" customHeight="1" x14ac:dyDescent="0.25">
      <c r="B10" s="38" t="s">
        <v>114</v>
      </c>
      <c r="C10" s="81"/>
      <c r="D10" s="1"/>
      <c r="E10" s="1"/>
      <c r="F10" s="1"/>
      <c r="H10" s="253"/>
      <c r="I10" s="253"/>
      <c r="GE10" s="15"/>
    </row>
    <row r="11" spans="2:187" ht="17.25" customHeight="1" x14ac:dyDescent="0.25">
      <c r="B11" s="1" t="s">
        <v>111</v>
      </c>
      <c r="C11" s="47">
        <v>20.65</v>
      </c>
      <c r="D11" s="47" t="s">
        <v>112</v>
      </c>
      <c r="E11" s="47">
        <f>ROUND(C11*(1+SAO!$H$63),4)</f>
        <v>20.691299999999998</v>
      </c>
      <c r="F11" s="87" t="s">
        <v>112</v>
      </c>
      <c r="G11" s="47">
        <f>E11-C11</f>
        <v>4.129999999999967E-2</v>
      </c>
      <c r="H11" s="70">
        <f>G11/C11</f>
        <v>1.999999999999984E-3</v>
      </c>
      <c r="I11" s="253"/>
      <c r="GE11" s="15"/>
    </row>
    <row r="12" spans="2:187" ht="14.25" customHeight="1" x14ac:dyDescent="0.25">
      <c r="B12" s="1" t="s">
        <v>118</v>
      </c>
      <c r="C12" s="47">
        <v>7.49</v>
      </c>
      <c r="D12" s="47" t="s">
        <v>113</v>
      </c>
      <c r="E12" s="47">
        <f>ROUND(C12*(1+SAO!$H$63),4)</f>
        <v>7.5049999999999999</v>
      </c>
      <c r="F12" s="87" t="s">
        <v>113</v>
      </c>
      <c r="G12" s="47">
        <f>E12-C12</f>
        <v>1.499999999999968E-2</v>
      </c>
      <c r="H12" s="70">
        <f t="shared" ref="H12:H27" si="0">G12/C12</f>
        <v>2.0026702269692496E-3</v>
      </c>
      <c r="I12" s="253"/>
      <c r="GE12" s="15"/>
    </row>
    <row r="13" spans="2:187" ht="15" customHeight="1" x14ac:dyDescent="0.25">
      <c r="B13" s="80"/>
      <c r="C13" s="82"/>
      <c r="D13" s="80"/>
      <c r="E13" s="47"/>
      <c r="F13" s="88"/>
      <c r="G13" s="47"/>
      <c r="H13" s="70"/>
      <c r="I13" s="253"/>
      <c r="GE13" s="15"/>
    </row>
    <row r="14" spans="2:187" ht="15" customHeight="1" x14ac:dyDescent="0.25">
      <c r="B14" s="38" t="s">
        <v>115</v>
      </c>
      <c r="C14" s="47"/>
      <c r="D14" s="47"/>
      <c r="E14" s="47"/>
      <c r="G14" s="47"/>
      <c r="H14" s="70"/>
      <c r="I14" s="253"/>
      <c r="GE14" s="15"/>
    </row>
    <row r="15" spans="2:187" ht="15" customHeight="1" x14ac:dyDescent="0.25">
      <c r="B15" s="1" t="s">
        <v>116</v>
      </c>
      <c r="C15" s="83">
        <v>58.42</v>
      </c>
      <c r="D15" s="48" t="s">
        <v>112</v>
      </c>
      <c r="E15" s="47">
        <f>ROUND(C15*(1+SAO!$H$63),4)</f>
        <v>58.536799999999999</v>
      </c>
      <c r="F15" s="89" t="s">
        <v>112</v>
      </c>
      <c r="G15" s="47">
        <f>E15-C15</f>
        <v>0.11679999999999779</v>
      </c>
      <c r="H15" s="70">
        <f t="shared" si="0"/>
        <v>1.9993153029783943E-3</v>
      </c>
      <c r="I15" s="253"/>
      <c r="GE15" s="15"/>
    </row>
    <row r="16" spans="2:187" ht="15" customHeight="1" x14ac:dyDescent="0.25">
      <c r="B16" s="1" t="s">
        <v>117</v>
      </c>
      <c r="C16" s="84">
        <v>7.49</v>
      </c>
      <c r="D16" s="47" t="s">
        <v>113</v>
      </c>
      <c r="E16" s="47">
        <f>ROUND(C16*(1+SAO!$H$63),4)</f>
        <v>7.5049999999999999</v>
      </c>
      <c r="F16" s="87" t="s">
        <v>113</v>
      </c>
      <c r="G16" s="47">
        <f>E16-C16</f>
        <v>1.499999999999968E-2</v>
      </c>
      <c r="H16" s="70">
        <f t="shared" si="0"/>
        <v>2.0026702269692496E-3</v>
      </c>
      <c r="I16" s="253"/>
      <c r="GE16" s="15"/>
    </row>
    <row r="17" spans="2:187" ht="15" customHeight="1" x14ac:dyDescent="0.25">
      <c r="B17" s="1"/>
      <c r="C17" s="84"/>
      <c r="D17" s="48"/>
      <c r="E17" s="47"/>
      <c r="G17" s="47"/>
      <c r="H17" s="70"/>
      <c r="GE17" s="15"/>
    </row>
    <row r="18" spans="2:187" ht="15" customHeight="1" x14ac:dyDescent="0.25">
      <c r="B18" s="38" t="s">
        <v>119</v>
      </c>
      <c r="C18" s="84"/>
      <c r="D18" s="48"/>
      <c r="E18" s="47"/>
      <c r="G18" s="47"/>
      <c r="H18" s="70"/>
      <c r="GE18" s="15"/>
    </row>
    <row r="19" spans="2:187" ht="15" customHeight="1" x14ac:dyDescent="0.25">
      <c r="B19" s="1" t="s">
        <v>120</v>
      </c>
      <c r="C19" s="84">
        <v>95.89</v>
      </c>
      <c r="D19" s="48" t="s">
        <v>112</v>
      </c>
      <c r="E19" s="47">
        <f>ROUND(C19*(1+SAO!$H$63),4)</f>
        <v>96.081800000000001</v>
      </c>
      <c r="F19" s="89" t="s">
        <v>112</v>
      </c>
      <c r="G19" s="47">
        <f>E19-C19</f>
        <v>0.19180000000000064</v>
      </c>
      <c r="H19" s="70">
        <f t="shared" si="0"/>
        <v>2.0002085723224592E-3</v>
      </c>
      <c r="GE19" s="15"/>
    </row>
    <row r="20" spans="2:187" ht="14.25" customHeight="1" x14ac:dyDescent="0.25">
      <c r="B20" s="1" t="s">
        <v>121</v>
      </c>
      <c r="C20" s="84">
        <v>7.49</v>
      </c>
      <c r="D20" s="47" t="s">
        <v>113</v>
      </c>
      <c r="E20" s="47">
        <f>ROUND(C20*(1+SAO!$H$63),4)</f>
        <v>7.5049999999999999</v>
      </c>
      <c r="F20" s="87" t="s">
        <v>113</v>
      </c>
      <c r="G20" s="47">
        <f>E20-C20</f>
        <v>1.499999999999968E-2</v>
      </c>
      <c r="H20" s="70">
        <f t="shared" si="0"/>
        <v>2.0026702269692496E-3</v>
      </c>
      <c r="GE20" s="15"/>
    </row>
    <row r="21" spans="2:187" ht="14.25" customHeight="1" x14ac:dyDescent="0.25">
      <c r="B21" s="1"/>
      <c r="C21" s="84"/>
      <c r="D21" s="48"/>
      <c r="E21" s="47"/>
      <c r="G21" s="47"/>
      <c r="H21" s="70"/>
      <c r="GE21" s="15"/>
    </row>
    <row r="22" spans="2:187" ht="14.25" customHeight="1" x14ac:dyDescent="0.25">
      <c r="B22" s="38" t="s">
        <v>122</v>
      </c>
      <c r="C22" s="81"/>
      <c r="D22" s="1"/>
      <c r="E22" s="47"/>
      <c r="F22" s="1"/>
      <c r="G22" s="47"/>
      <c r="H22" s="70"/>
      <c r="GE22" s="15"/>
    </row>
    <row r="23" spans="2:187" ht="14.25" customHeight="1" x14ac:dyDescent="0.25">
      <c r="B23" s="1" t="s">
        <v>123</v>
      </c>
      <c r="C23" s="84">
        <v>395.58</v>
      </c>
      <c r="D23" s="48" t="s">
        <v>112</v>
      </c>
      <c r="E23" s="47">
        <f>ROUND(C23*(1+SAO!$H$63),4)</f>
        <v>396.37119999999999</v>
      </c>
      <c r="F23" s="89" t="s">
        <v>112</v>
      </c>
      <c r="G23" s="47">
        <f>E23-C23</f>
        <v>0.79120000000000346</v>
      </c>
      <c r="H23" s="70">
        <f t="shared" si="0"/>
        <v>2.0001011173466894E-3</v>
      </c>
      <c r="GE23" s="15"/>
    </row>
    <row r="24" spans="2:187" ht="14.25" customHeight="1" x14ac:dyDescent="0.25">
      <c r="B24" s="1" t="s">
        <v>126</v>
      </c>
      <c r="C24" s="84">
        <v>7.49</v>
      </c>
      <c r="D24" s="47" t="s">
        <v>113</v>
      </c>
      <c r="E24" s="47">
        <f>ROUND(C24*(1+SAO!$H$63),4)</f>
        <v>7.5049999999999999</v>
      </c>
      <c r="F24" s="87" t="s">
        <v>113</v>
      </c>
      <c r="G24" s="47">
        <f>E24-C24</f>
        <v>1.499999999999968E-2</v>
      </c>
      <c r="H24" s="70">
        <f t="shared" si="0"/>
        <v>2.0026702269692496E-3</v>
      </c>
      <c r="GE24" s="15"/>
    </row>
    <row r="25" spans="2:187" ht="14.25" customHeight="1" x14ac:dyDescent="0.25">
      <c r="B25" s="1"/>
      <c r="C25" s="81"/>
      <c r="D25" s="1"/>
      <c r="E25" s="47"/>
      <c r="F25" s="1"/>
      <c r="G25" s="47"/>
      <c r="H25" s="70"/>
      <c r="GE25" s="15"/>
    </row>
    <row r="26" spans="2:187" ht="14.25" customHeight="1" x14ac:dyDescent="0.25">
      <c r="B26" s="38" t="s">
        <v>124</v>
      </c>
      <c r="C26" s="81"/>
      <c r="D26" s="1"/>
      <c r="E26" s="47"/>
      <c r="F26" s="1"/>
      <c r="G26" s="47"/>
      <c r="H26" s="70"/>
      <c r="GE26" s="15"/>
    </row>
    <row r="27" spans="2:187" ht="14.25" customHeight="1" x14ac:dyDescent="0.25">
      <c r="B27" s="1" t="s">
        <v>125</v>
      </c>
      <c r="C27" s="84">
        <v>770.19</v>
      </c>
      <c r="D27" s="48" t="s">
        <v>112</v>
      </c>
      <c r="E27" s="47">
        <f>ROUND(C27*(1+SAO!$H$63),4)</f>
        <v>771.73040000000003</v>
      </c>
      <c r="F27" s="89" t="s">
        <v>112</v>
      </c>
      <c r="G27" s="47">
        <f>E27-C27</f>
        <v>1.5403999999999769</v>
      </c>
      <c r="H27" s="70">
        <f t="shared" si="0"/>
        <v>2.0000259676183499E-3</v>
      </c>
      <c r="GE27" s="15"/>
    </row>
    <row r="28" spans="2:187" ht="14.25" customHeight="1" x14ac:dyDescent="0.25">
      <c r="B28" s="1" t="s">
        <v>127</v>
      </c>
      <c r="C28" s="84">
        <v>7.49</v>
      </c>
      <c r="D28" s="47" t="s">
        <v>113</v>
      </c>
      <c r="E28" s="47">
        <f>ROUND(C28*(1+SAO!$H$63),4)</f>
        <v>7.5049999999999999</v>
      </c>
      <c r="F28" s="87" t="s">
        <v>113</v>
      </c>
      <c r="G28" s="47">
        <f>E28-C28</f>
        <v>1.499999999999968E-2</v>
      </c>
      <c r="H28" s="70">
        <f>G28/C28</f>
        <v>2.0026702269692496E-3</v>
      </c>
      <c r="GE28" s="15"/>
    </row>
    <row r="29" spans="2:187" ht="14.25" customHeight="1" x14ac:dyDescent="0.25">
      <c r="H29" s="24"/>
      <c r="GE29" s="15"/>
    </row>
    <row r="30" spans="2:187" ht="14.25" customHeight="1" x14ac:dyDescent="0.25">
      <c r="H30" s="24"/>
      <c r="GE30" s="15"/>
    </row>
  </sheetData>
  <mergeCells count="6">
    <mergeCell ref="B6:G6"/>
    <mergeCell ref="B7:G7"/>
    <mergeCell ref="B4:G4"/>
    <mergeCell ref="C9:D9"/>
    <mergeCell ref="E9:F9"/>
    <mergeCell ref="G9:H9"/>
  </mergeCells>
  <printOptions horizontalCentered="1"/>
  <pageMargins left="0.55000000000000004" right="0.55000000000000004" top="1.6" bottom="0.5" header="0" footer="0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O27"/>
  <sheetViews>
    <sheetView showGridLines="0" topLeftCell="A10" workbookViewId="0">
      <selection activeCell="B1" sqref="B1:I27"/>
    </sheetView>
  </sheetViews>
  <sheetFormatPr defaultColWidth="8.88671875" defaultRowHeight="15" x14ac:dyDescent="0.25"/>
  <cols>
    <col min="1" max="1" width="3.5546875" style="5" customWidth="1"/>
    <col min="2" max="2" width="1.77734375" style="5" customWidth="1"/>
    <col min="3" max="4" width="9.77734375" style="5" customWidth="1"/>
    <col min="5" max="7" width="9.77734375" style="129" customWidth="1"/>
    <col min="8" max="8" width="9.77734375" style="5" customWidth="1"/>
    <col min="9" max="9" width="1.77734375" style="5" customWidth="1"/>
    <col min="10" max="10" width="3.5546875" style="5" customWidth="1"/>
    <col min="11" max="16384" width="8.88671875" style="5"/>
  </cols>
  <sheetData>
    <row r="1" spans="2:11" x14ac:dyDescent="0.25">
      <c r="B1" s="6"/>
      <c r="C1" s="7"/>
      <c r="D1" s="7"/>
      <c r="E1" s="123"/>
      <c r="F1" s="123"/>
      <c r="G1" s="123"/>
      <c r="H1" s="7"/>
      <c r="I1" s="8"/>
    </row>
    <row r="2" spans="2:11" ht="18.75" x14ac:dyDescent="0.3">
      <c r="B2" s="9"/>
      <c r="C2" s="317" t="s">
        <v>254</v>
      </c>
      <c r="D2" s="317"/>
      <c r="E2" s="317"/>
      <c r="F2" s="317"/>
      <c r="G2" s="317"/>
      <c r="H2" s="317"/>
      <c r="I2" s="318"/>
    </row>
    <row r="3" spans="2:11" ht="18.75" x14ac:dyDescent="0.3">
      <c r="B3" s="9"/>
      <c r="C3" s="313" t="s">
        <v>71</v>
      </c>
      <c r="D3" s="313"/>
      <c r="E3" s="313"/>
      <c r="F3" s="313"/>
      <c r="G3" s="313"/>
      <c r="H3" s="313"/>
      <c r="I3" s="314"/>
    </row>
    <row r="4" spans="2:11" ht="15.75" x14ac:dyDescent="0.25">
      <c r="B4" s="9"/>
      <c r="C4" s="315" t="str">
        <f>SAO!A2</f>
        <v>CHRISTIAN COUNTY WATER DISTRICT</v>
      </c>
      <c r="D4" s="315"/>
      <c r="E4" s="315"/>
      <c r="F4" s="315"/>
      <c r="G4" s="315"/>
      <c r="H4" s="315"/>
      <c r="I4" s="316"/>
    </row>
    <row r="5" spans="2:11" x14ac:dyDescent="0.25">
      <c r="B5" s="11"/>
      <c r="C5" s="3"/>
      <c r="D5" s="3"/>
      <c r="E5" s="124"/>
      <c r="F5" s="124"/>
      <c r="G5" s="124"/>
      <c r="H5" s="3"/>
      <c r="I5" s="12"/>
    </row>
    <row r="6" spans="2:11" ht="6" customHeight="1" x14ac:dyDescent="0.25">
      <c r="B6" s="9"/>
      <c r="C6" s="4"/>
      <c r="D6" s="10"/>
      <c r="E6" s="125"/>
      <c r="F6" s="130"/>
      <c r="G6" s="130"/>
      <c r="H6" s="31"/>
      <c r="I6" s="32"/>
      <c r="J6" s="30"/>
      <c r="K6" s="30"/>
    </row>
    <row r="7" spans="2:11" ht="17.25" x14ac:dyDescent="0.4">
      <c r="B7" s="9"/>
      <c r="C7" s="14" t="s">
        <v>11</v>
      </c>
      <c r="D7" s="29" t="s">
        <v>65</v>
      </c>
      <c r="E7" s="126" t="s">
        <v>22</v>
      </c>
      <c r="F7" s="131" t="s">
        <v>9</v>
      </c>
      <c r="G7" s="131"/>
      <c r="H7" s="14"/>
      <c r="I7" s="29"/>
    </row>
    <row r="8" spans="2:11" ht="17.25" x14ac:dyDescent="0.4">
      <c r="B8" s="9"/>
      <c r="C8" s="14" t="s">
        <v>86</v>
      </c>
      <c r="D8" s="29" t="s">
        <v>69</v>
      </c>
      <c r="E8" s="126" t="s">
        <v>67</v>
      </c>
      <c r="F8" s="131" t="s">
        <v>67</v>
      </c>
      <c r="G8" s="131" t="s">
        <v>23</v>
      </c>
      <c r="H8" s="14" t="s">
        <v>68</v>
      </c>
      <c r="I8" s="29"/>
    </row>
    <row r="9" spans="2:11" x14ac:dyDescent="0.25">
      <c r="B9" s="9"/>
      <c r="C9" s="15">
        <v>0</v>
      </c>
      <c r="D9" s="33" t="s">
        <v>70</v>
      </c>
      <c r="E9" s="127">
        <f>Rates!$C$11</f>
        <v>20.65</v>
      </c>
      <c r="F9" s="132">
        <f>Rates!$E$11</f>
        <v>20.691299999999998</v>
      </c>
      <c r="G9" s="133">
        <f>F9-E9</f>
        <v>4.129999999999967E-2</v>
      </c>
      <c r="H9" s="71">
        <f>G9/E9</f>
        <v>1.999999999999984E-3</v>
      </c>
      <c r="I9" s="35"/>
    </row>
    <row r="10" spans="2:11" x14ac:dyDescent="0.25">
      <c r="B10" s="9"/>
      <c r="C10" s="4">
        <v>2000</v>
      </c>
      <c r="D10" s="33" t="s">
        <v>70</v>
      </c>
      <c r="E10" s="127">
        <f>Rates!$C$11+(C10/1000)*Rates!$C$12</f>
        <v>35.629999999999995</v>
      </c>
      <c r="F10" s="127">
        <f>Rates!$E$11+(C10/1000)*Rates!$E$12</f>
        <v>35.701299999999996</v>
      </c>
      <c r="G10" s="132">
        <f t="shared" ref="G10:G17" si="0">F10-E10</f>
        <v>7.1300000000000807E-2</v>
      </c>
      <c r="H10" s="71">
        <f t="shared" ref="H10:H17" si="1">G10/E10</f>
        <v>2.0011226494527313E-3</v>
      </c>
      <c r="I10" s="35"/>
    </row>
    <row r="11" spans="2:11" x14ac:dyDescent="0.25">
      <c r="B11" s="9"/>
      <c r="C11" s="306">
        <v>4000</v>
      </c>
      <c r="D11" s="307" t="s">
        <v>70</v>
      </c>
      <c r="E11" s="308">
        <f>Rates!$C$11+(C11/1000)*Rates!$C$12</f>
        <v>50.61</v>
      </c>
      <c r="F11" s="308">
        <f>Rates!$E$11+(C11/1000)*Rates!$E$12</f>
        <v>50.711299999999994</v>
      </c>
      <c r="G11" s="309">
        <f t="shared" ref="G11:G16" si="2">F11-E11</f>
        <v>0.10129999999999484</v>
      </c>
      <c r="H11" s="310">
        <f t="shared" ref="H11:H16" si="3">G11/E11</f>
        <v>2.0015807152735593E-3</v>
      </c>
      <c r="I11" s="36"/>
    </row>
    <row r="12" spans="2:11" x14ac:dyDescent="0.25">
      <c r="B12" s="9"/>
      <c r="C12" s="4">
        <v>6000</v>
      </c>
      <c r="D12" s="33" t="s">
        <v>70</v>
      </c>
      <c r="E12" s="127">
        <f>Rates!$C$11+(C12/1000)*Rates!$C$12</f>
        <v>65.59</v>
      </c>
      <c r="F12" s="127">
        <f>Rates!$E$11+(C12/1000)*Rates!$E$12</f>
        <v>65.721299999999999</v>
      </c>
      <c r="G12" s="132">
        <f t="shared" si="2"/>
        <v>0.13129999999999598</v>
      </c>
      <c r="H12" s="71">
        <f t="shared" si="3"/>
        <v>2.0018295471870098E-3</v>
      </c>
      <c r="I12" s="35"/>
    </row>
    <row r="13" spans="2:11" x14ac:dyDescent="0.25">
      <c r="B13" s="9"/>
      <c r="C13" s="4">
        <v>8000</v>
      </c>
      <c r="D13" s="33" t="s">
        <v>70</v>
      </c>
      <c r="E13" s="127">
        <f>Rates!$C$11+(C13/1000)*Rates!$C$12</f>
        <v>80.569999999999993</v>
      </c>
      <c r="F13" s="127">
        <f>Rates!$E$11+(C13/1000)*Rates!$E$12</f>
        <v>80.731300000000005</v>
      </c>
      <c r="G13" s="132">
        <f t="shared" si="2"/>
        <v>0.16130000000001132</v>
      </c>
      <c r="H13" s="71">
        <f t="shared" si="3"/>
        <v>2.0019858508130983E-3</v>
      </c>
      <c r="I13" s="35"/>
    </row>
    <row r="14" spans="2:11" x14ac:dyDescent="0.25">
      <c r="B14" s="9"/>
      <c r="C14" s="4">
        <v>10000</v>
      </c>
      <c r="D14" s="33" t="s">
        <v>70</v>
      </c>
      <c r="E14" s="127">
        <f>Rates!$C$11+(C14/1000)*Rates!$C$12</f>
        <v>95.550000000000011</v>
      </c>
      <c r="F14" s="127">
        <f>Rates!$E$11+(C14/1000)*Rates!$E$12</f>
        <v>95.741299999999995</v>
      </c>
      <c r="G14" s="132">
        <f t="shared" si="2"/>
        <v>0.19129999999998404</v>
      </c>
      <c r="H14" s="71">
        <f t="shared" si="3"/>
        <v>2.0020931449501204E-3</v>
      </c>
      <c r="I14" s="35"/>
    </row>
    <row r="15" spans="2:11" x14ac:dyDescent="0.25">
      <c r="B15" s="9"/>
      <c r="C15" s="4">
        <v>15000</v>
      </c>
      <c r="D15" s="33" t="s">
        <v>70</v>
      </c>
      <c r="E15" s="127">
        <f>Rates!$C$11+(C15/1000)*Rates!$C$12</f>
        <v>133</v>
      </c>
      <c r="F15" s="127">
        <f>Rates!$E$11+(C15/1000)*Rates!$E$12</f>
        <v>133.2663</v>
      </c>
      <c r="G15" s="132">
        <f t="shared" si="2"/>
        <v>0.26630000000000109</v>
      </c>
      <c r="H15" s="71">
        <f t="shared" si="3"/>
        <v>2.0022556390977527E-3</v>
      </c>
      <c r="I15" s="35"/>
    </row>
    <row r="16" spans="2:11" x14ac:dyDescent="0.25">
      <c r="B16" s="9"/>
      <c r="C16" s="4">
        <v>20000</v>
      </c>
      <c r="D16" s="33" t="s">
        <v>70</v>
      </c>
      <c r="E16" s="127">
        <f>Rates!$C$11+(C16/1000)*Rates!$C$12</f>
        <v>170.45000000000002</v>
      </c>
      <c r="F16" s="127">
        <f>Rates!$E$11+(C16/1000)*Rates!$E$12</f>
        <v>170.79129999999998</v>
      </c>
      <c r="G16" s="132">
        <f t="shared" si="2"/>
        <v>0.3412999999999613</v>
      </c>
      <c r="H16" s="71">
        <f t="shared" si="3"/>
        <v>2.0023467292458858E-3</v>
      </c>
      <c r="I16" s="35"/>
    </row>
    <row r="17" spans="2:15" x14ac:dyDescent="0.25">
      <c r="B17" s="9"/>
      <c r="C17" s="4">
        <v>25000</v>
      </c>
      <c r="D17" s="34" t="s">
        <v>24</v>
      </c>
      <c r="E17" s="127">
        <f>Rates!$C$15+((Bills!C17-5000)/1000)*Rates!$C$16</f>
        <v>208.22000000000003</v>
      </c>
      <c r="F17" s="127">
        <f>Rates!$E$15+((Bills!C17-5000)/1000)*Rates!$E$16</f>
        <v>208.63679999999999</v>
      </c>
      <c r="G17" s="132">
        <f t="shared" si="0"/>
        <v>0.41679999999996653</v>
      </c>
      <c r="H17" s="71">
        <f t="shared" si="1"/>
        <v>2.0017289405434946E-3</v>
      </c>
      <c r="I17" s="35"/>
    </row>
    <row r="18" spans="2:15" x14ac:dyDescent="0.25">
      <c r="B18" s="9"/>
      <c r="C18" s="4">
        <v>30000</v>
      </c>
      <c r="D18" s="34" t="s">
        <v>24</v>
      </c>
      <c r="E18" s="127">
        <f>Rates!$C$15+((Bills!C18-5000)/1000)*Rates!$C$16</f>
        <v>245.67000000000002</v>
      </c>
      <c r="F18" s="127">
        <f>Rates!$E$15+((Bills!C18-5000)/1000)*Rates!$E$16</f>
        <v>246.1618</v>
      </c>
      <c r="G18" s="132">
        <f t="shared" ref="G18:G21" si="4">F18-E18</f>
        <v>0.49179999999998358</v>
      </c>
      <c r="H18" s="71">
        <f t="shared" ref="H18:H21" si="5">G18/E18</f>
        <v>2.0018724304961271E-3</v>
      </c>
      <c r="I18" s="35"/>
      <c r="O18" s="4"/>
    </row>
    <row r="19" spans="2:15" x14ac:dyDescent="0.25">
      <c r="B19" s="9"/>
      <c r="C19" s="4">
        <v>40000</v>
      </c>
      <c r="D19" s="34" t="s">
        <v>24</v>
      </c>
      <c r="E19" s="127">
        <f>Rates!$C$15+((Bills!C19-5000)/1000)*Rates!$C$16</f>
        <v>320.57000000000005</v>
      </c>
      <c r="F19" s="127">
        <f>Rates!$E$15+((Bills!C19-5000)/1000)*Rates!$E$16</f>
        <v>321.21180000000004</v>
      </c>
      <c r="G19" s="132">
        <f t="shared" si="4"/>
        <v>0.64179999999998927</v>
      </c>
      <c r="H19" s="71">
        <f t="shared" si="5"/>
        <v>2.0020588327042117E-3</v>
      </c>
      <c r="I19" s="35"/>
    </row>
    <row r="20" spans="2:15" x14ac:dyDescent="0.25">
      <c r="B20" s="9"/>
      <c r="C20" s="4">
        <v>50000</v>
      </c>
      <c r="D20" s="34" t="s">
        <v>24</v>
      </c>
      <c r="E20" s="127">
        <f>Rates!$C$15+((Bills!C20-5000)/1000)*Rates!$C$16</f>
        <v>395.47</v>
      </c>
      <c r="F20" s="127">
        <f>Rates!$E$15+((Bills!C20-5000)/1000)*Rates!$E$16</f>
        <v>396.26179999999999</v>
      </c>
      <c r="G20" s="132">
        <f t="shared" si="4"/>
        <v>0.79179999999996653</v>
      </c>
      <c r="H20" s="71">
        <f>G20/E20</f>
        <v>2.0021746276581449E-3</v>
      </c>
      <c r="I20" s="35"/>
    </row>
    <row r="21" spans="2:15" x14ac:dyDescent="0.25">
      <c r="B21" s="9"/>
      <c r="C21" s="4">
        <v>75000</v>
      </c>
      <c r="D21" s="34" t="s">
        <v>25</v>
      </c>
      <c r="E21" s="127">
        <f>Rates!$C$23+((Bills!C21-50000)/1000)*Rates!$C$24</f>
        <v>582.82999999999993</v>
      </c>
      <c r="F21" s="127">
        <f>Rates!$E$23+((Bills!C21-50000)/1000)*Rates!$E$24</f>
        <v>583.99620000000004</v>
      </c>
      <c r="G21" s="132">
        <f t="shared" si="4"/>
        <v>1.1662000000001171</v>
      </c>
      <c r="H21" s="71">
        <f t="shared" si="5"/>
        <v>2.0009265137349093E-3</v>
      </c>
      <c r="I21" s="35"/>
    </row>
    <row r="22" spans="2:15" x14ac:dyDescent="0.25">
      <c r="B22" s="9"/>
      <c r="C22" s="4">
        <v>100000</v>
      </c>
      <c r="D22" s="34" t="s">
        <v>25</v>
      </c>
      <c r="E22" s="127">
        <f>Rates!$C$23+((Bills!C22-50000)/1000)*Rates!$C$24</f>
        <v>770.07999999999993</v>
      </c>
      <c r="F22" s="127">
        <f>Rates!$E$23+((Bills!C22-50000)/1000)*Rates!$E$24</f>
        <v>771.62120000000004</v>
      </c>
      <c r="G22" s="132">
        <f t="shared" ref="G22:G24" si="6">F22-E22</f>
        <v>1.5412000000001171</v>
      </c>
      <c r="H22" s="71">
        <f t="shared" ref="H22:H24" si="7">G22/E22</f>
        <v>2.0013505090381743E-3</v>
      </c>
      <c r="I22" s="35"/>
    </row>
    <row r="23" spans="2:15" x14ac:dyDescent="0.25">
      <c r="B23" s="9"/>
      <c r="C23" s="4">
        <v>200000</v>
      </c>
      <c r="D23" s="34" t="s">
        <v>25</v>
      </c>
      <c r="E23" s="127">
        <f>Rates!$C$23+((Bills!C23-50000)/1000)*Rates!$C$24</f>
        <v>1519.08</v>
      </c>
      <c r="F23" s="127">
        <f>Rates!$E$23+((Bills!C23-50000)/1000)*Rates!$E$24</f>
        <v>1522.1212</v>
      </c>
      <c r="G23" s="132">
        <f t="shared" si="6"/>
        <v>3.0412000000001171</v>
      </c>
      <c r="H23" s="71">
        <f t="shared" si="7"/>
        <v>2.0020012112595235E-3</v>
      </c>
      <c r="I23" s="35"/>
    </row>
    <row r="24" spans="2:15" x14ac:dyDescent="0.25">
      <c r="B24" s="9"/>
      <c r="C24" s="4">
        <v>500000</v>
      </c>
      <c r="D24" s="34" t="s">
        <v>25</v>
      </c>
      <c r="E24" s="127">
        <f>Rates!$C$23+((Bills!C24-50000)/1000)*Rates!$C$24</f>
        <v>3766.08</v>
      </c>
      <c r="F24" s="127">
        <f>Rates!$E$23+((Bills!C24-50000)/1000)*Rates!$E$24</f>
        <v>3773.6212</v>
      </c>
      <c r="G24" s="132">
        <f t="shared" si="6"/>
        <v>7.5412000000001171</v>
      </c>
      <c r="H24" s="71">
        <f t="shared" si="7"/>
        <v>2.0024003738635708E-3</v>
      </c>
      <c r="I24" s="35"/>
    </row>
    <row r="25" spans="2:15" ht="6" customHeight="1" x14ac:dyDescent="0.25">
      <c r="B25" s="11"/>
      <c r="C25" s="3"/>
      <c r="D25" s="2"/>
      <c r="E25" s="128"/>
      <c r="F25" s="124"/>
      <c r="G25" s="124"/>
      <c r="H25" s="3"/>
      <c r="I25" s="12"/>
    </row>
    <row r="27" spans="2:15" x14ac:dyDescent="0.25">
      <c r="D27" s="46" t="s">
        <v>87</v>
      </c>
    </row>
  </sheetData>
  <mergeCells count="3">
    <mergeCell ref="C3:I3"/>
    <mergeCell ref="C4:I4"/>
    <mergeCell ref="C2:I2"/>
  </mergeCells>
  <printOptions horizontalCentered="1"/>
  <pageMargins left="0.7" right="0.7" top="1.1000000000000001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SAO</vt:lpstr>
      <vt:lpstr>Wages</vt:lpstr>
      <vt:lpstr>Medical</vt:lpstr>
      <vt:lpstr>Depreciation</vt:lpstr>
      <vt:lpstr>Debt Service</vt:lpstr>
      <vt:lpstr>Capital</vt:lpstr>
      <vt:lpstr>Water Loss </vt:lpstr>
      <vt:lpstr>Rates</vt:lpstr>
      <vt:lpstr>Bills</vt:lpstr>
      <vt:lpstr>BA Input</vt:lpstr>
      <vt:lpstr>ExBA</vt:lpstr>
      <vt:lpstr>PrBA</vt:lpstr>
      <vt:lpstr>Bills!Print_Area</vt:lpstr>
      <vt:lpstr>'Debt Service'!Print_Area</vt:lpstr>
      <vt:lpstr>PrBA!Print_Area</vt:lpstr>
      <vt:lpstr>Rates!Print_Area</vt:lpstr>
      <vt:lpstr>SAO!Print_Area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steve purdy</cp:lastModifiedBy>
  <cp:lastPrinted>2021-08-30T18:19:28Z</cp:lastPrinted>
  <dcterms:created xsi:type="dcterms:W3CDTF">2016-05-18T14:12:06Z</dcterms:created>
  <dcterms:modified xsi:type="dcterms:W3CDTF">2026-07-28T17:56:49Z</dcterms:modified>
</cp:coreProperties>
</file>