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https://aepenergy.sharepoint.com/sites/RegulatoryServices/OPCO/Kentucky Power/Transmission Siting Filings/Allen Station Rebuild/05 Discovery/Staff Set 1/Attachments/"/>
    </mc:Choice>
  </mc:AlternateContent>
  <xr:revisionPtr revIDLastSave="2" documentId="13_ncr:1_{515DA681-F7E8-44C5-B51F-1E086481412C}" xr6:coauthVersionLast="47" xr6:coauthVersionMax="47" xr10:uidLastSave="{94CAE86E-D82E-4B83-8D79-7CD000C0682B}"/>
  <bookViews>
    <workbookView xWindow="-120" yWindow="-120" windowWidth="29040" windowHeight="17520" xr2:uid="{38336BD4-190A-4C85-8BD5-CE01E79E7EF4}"/>
  </bookViews>
  <sheets>
    <sheet name="Summary" sheetId="1" r:id="rId1"/>
    <sheet name="AEP 12CP" sheetId="3" r:id="rId2"/>
    <sheet name="Res Impact" sheetId="8" r:id="rId3"/>
    <sheet name="Source Info&gt;&gt;" sheetId="9" r:id="rId4"/>
    <sheet name="Actual RTEP Expense for 2025" sheetId="4" r:id="rId5"/>
    <sheet name="Zonal Rates" sheetId="5" r:id="rId6"/>
    <sheet name="TransCo PJM Zonal Rates" sheetId="6" r:id="rId7"/>
    <sheet name="AMPT RR" sheetId="7" r:id="rId8"/>
    <sheet name="03,KY" sheetId="10" r:id="rId9"/>
  </sheets>
  <definedNames>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LBL_ACF" hidden="1">#REF!</definedName>
    <definedName name="__123Graph_X" hidden="1">#REF!</definedName>
    <definedName name="_1ASST._S._ENG.">#REF!</definedName>
    <definedName name="_2CONT_CENTER">#REF!</definedName>
    <definedName name="_3KIESE">#REF!</definedName>
    <definedName name="_4WALTON__J.">#REF!</definedName>
    <definedName name="_A1">#REF!</definedName>
    <definedName name="_bdm.FastTrackBookmark.12_14_2005_3_58_56_PM.edm" hidden="1">#REF!</definedName>
    <definedName name="_Fill" hidden="1">#REF!</definedName>
    <definedName name="_Order1" hidden="1">255</definedName>
    <definedName name="_Order2" hidden="1">255</definedName>
    <definedName name="_Table2_In1" hidden="1">#REF!</definedName>
    <definedName name="_Table2_In2" hidden="1">#REF!</definedName>
    <definedName name="_Table2_Out" hidden="1">#REF!</definedName>
    <definedName name="_Table3_In2" hidden="1">#REF!</definedName>
    <definedName name="ActExcessAmt" localSheetId="6">#REF!</definedName>
    <definedName name="ActExcessAmt">#REF!</definedName>
    <definedName name="ActGrTaxAmt" localSheetId="6">#REF!</definedName>
    <definedName name="ActGrTaxAmt">#REF!</definedName>
    <definedName name="ActKWHExcess" localSheetId="6">#REF!</definedName>
    <definedName name="ActKWHExcess">#REF!</definedName>
    <definedName name="ActKWHNotUsed" localSheetId="6">#REF!</definedName>
    <definedName name="ActKWHNotUsed">#REF!</definedName>
    <definedName name="ActKWHRes" localSheetId="6">#REF!</definedName>
    <definedName name="ActKWHRes">#REF!</definedName>
    <definedName name="ActKWHSubTot" localSheetId="6">#REF!</definedName>
    <definedName name="ActKWHSubTot">#REF!</definedName>
    <definedName name="ActKWHTot" localSheetId="6">#REF!</definedName>
    <definedName name="ActKWHTot">#REF!</definedName>
    <definedName name="ActNotUsedAmt" localSheetId="6">#REF!</definedName>
    <definedName name="ActNotUsedAmt">#REF!</definedName>
    <definedName name="ActResAmt" localSheetId="6">#REF!</definedName>
    <definedName name="ActResAmt">#REF!</definedName>
    <definedName name="ActSubTotAmt" localSheetId="6">#REF!</definedName>
    <definedName name="ActSubTotAmt">#REF!</definedName>
    <definedName name="ActTotAmt" localSheetId="6">#REF!</definedName>
    <definedName name="ActTotAmt">#REF!</definedName>
    <definedName name="AdminChg" localSheetId="6">#REF!</definedName>
    <definedName name="AdminChg">#REF!</definedName>
    <definedName name="AEP" localSheetId="6">#REF!</definedName>
    <definedName name="AEP">#REF!</definedName>
    <definedName name="am" localSheetId="7" hidden="1">{#N/A,#N/A,FALSE,"CA-PSC";#N/A,#N/A,FALSE,"SALESFOR";#N/A,#N/A,FALSE,"OPREV";#N/A,#N/A,FALSE,"DETOM";#N/A,#N/A,FALSE,"TAXES";#N/A,#N/A,FALSE,"PP-LEAD";#N/A,#N/A,FALSE,"PLANT";#N/A,#N/A,FALSE,"PROJECTS";#N/A,#N/A,FALSE,"ADCIAC";#N/A,#N/A,FALSE,"CAPSTRUCT"}</definedName>
    <definedName name="am" localSheetId="6" hidden="1">{#N/A,#N/A,FALSE,"CA-PSC";#N/A,#N/A,FALSE,"SALESFOR";#N/A,#N/A,FALSE,"OPREV";#N/A,#N/A,FALSE,"DETOM";#N/A,#N/A,FALSE,"TAXES";#N/A,#N/A,FALSE,"PP-LEAD";#N/A,#N/A,FALSE,"PLANT";#N/A,#N/A,FALSE,"PROJECTS";#N/A,#N/A,FALSE,"ADCIAC";#N/A,#N/A,FALSE,"CAPSTRUCT"}</definedName>
    <definedName name="am" localSheetId="5" hidden="1">{#N/A,#N/A,FALSE,"CA-PSC";#N/A,#N/A,FALSE,"SALESFOR";#N/A,#N/A,FALSE,"OPREV";#N/A,#N/A,FALSE,"DETOM";#N/A,#N/A,FALSE,"TAXES";#N/A,#N/A,FALSE,"PP-LEAD";#N/A,#N/A,FALSE,"PLANT";#N/A,#N/A,FALSE,"PROJECTS";#N/A,#N/A,FALSE,"ADCIAC";#N/A,#N/A,FALSE,"CAPSTRUCT"}</definedName>
    <definedName name="am" hidden="1">{#N/A,#N/A,FALSE,"CA-PSC";#N/A,#N/A,FALSE,"SALESFOR";#N/A,#N/A,FALSE,"OPREV";#N/A,#N/A,FALSE,"DETOM";#N/A,#N/A,FALSE,"TAXES";#N/A,#N/A,FALSE,"PP-LEAD";#N/A,#N/A,FALSE,"PLANT";#N/A,#N/A,FALSE,"PROJECTS";#N/A,#N/A,FALSE,"ADCIAC";#N/A,#N/A,FALSE,"CAPSTRUCT"}</definedName>
    <definedName name="anscount" hidden="1">1</definedName>
    <definedName name="APCO" localSheetId="6">#REF!</definedName>
    <definedName name="APCO">#REF!</definedName>
    <definedName name="as">#REF!</definedName>
    <definedName name="AssumSEComb" localSheetId="7" hidden="1">{"clp_bs_doc",#N/A,FALSE,"CLP";"clp_is_doc",#N/A,FALSE,"CLP";"clp_cf_doc",#N/A,FALSE,"CLP";"clp_fr_doc",#N/A,FALSE,"CLP"}</definedName>
    <definedName name="AssumSEComb" localSheetId="6" hidden="1">{"clp_bs_doc",#N/A,FALSE,"CLP";"clp_is_doc",#N/A,FALSE,"CLP";"clp_cf_doc",#N/A,FALSE,"CLP";"clp_fr_doc",#N/A,FALSE,"CLP"}</definedName>
    <definedName name="AssumSEComb" localSheetId="5" hidden="1">{"clp_bs_doc",#N/A,FALSE,"CLP";"clp_is_doc",#N/A,FALSE,"CLP";"clp_cf_doc",#N/A,FALSE,"CLP";"clp_fr_doc",#N/A,FALSE,"CLP"}</definedName>
    <definedName name="AssumSEComb" hidden="1">{"clp_bs_doc",#N/A,FALSE,"CLP";"clp_is_doc",#N/A,FALSE,"CLP";"clp_cf_doc",#N/A,FALSE,"CLP";"clp_fr_doc",#N/A,FALSE,"CLP"}</definedName>
    <definedName name="AVRGPWRFCTR" localSheetId="6">#REF!</definedName>
    <definedName name="AVRGPWRFCTR">#REF!</definedName>
    <definedName name="B1HRSCRMO" localSheetId="6">#REF!</definedName>
    <definedName name="B1HRSCRMO">#REF!</definedName>
    <definedName name="B2HRSCRMO" localSheetId="6">#REF!</definedName>
    <definedName name="B2HRSCRMO">#REF!</definedName>
    <definedName name="BAILEY">#REF!</definedName>
    <definedName name="BASERATECHG" localSheetId="6">#REF!</definedName>
    <definedName name="BASERATECHG">#REF!</definedName>
    <definedName name="BELLEVILLE">#REF!</definedName>
    <definedName name="BILLKWH" localSheetId="6">#REF!</definedName>
    <definedName name="BILLKWH">#REF!</definedName>
    <definedName name="BIRPCCHG" localSheetId="6">#REF!</definedName>
    <definedName name="BIRPCCHG">#REF!</definedName>
    <definedName name="BIRPDCHG1" localSheetId="6">#REF!</definedName>
    <definedName name="BIRPDCHG1">#REF!</definedName>
    <definedName name="BIRPDCHG2" localSheetId="6">#REF!</definedName>
    <definedName name="BIRPDCHG2">#REF!</definedName>
    <definedName name="BIRPECHG1" localSheetId="6">#REF!</definedName>
    <definedName name="BIRPECHG1">#REF!</definedName>
    <definedName name="BIRPECHGB1" localSheetId="6">#REF!</definedName>
    <definedName name="BIRPECHGB1">#REF!</definedName>
    <definedName name="BIRPECHGB2" localSheetId="6">#REF!</definedName>
    <definedName name="BIRPECHGB2">#REF!</definedName>
    <definedName name="BIRPECHGB3" localSheetId="6">#REF!</definedName>
    <definedName name="BIRPECHGB3">#REF!</definedName>
    <definedName name="BIRPECHGW" localSheetId="6">#REF!</definedName>
    <definedName name="BIRPECHGW">#REF!</definedName>
    <definedName name="BIRPKWH1" localSheetId="6">#REF!</definedName>
    <definedName name="BIRPKWH1">#REF!</definedName>
    <definedName name="BIRPKWHB1" localSheetId="6">#REF!</definedName>
    <definedName name="BIRPKWHB1">#REF!</definedName>
    <definedName name="BIRPKWHB2" localSheetId="6">#REF!</definedName>
    <definedName name="BIRPKWHB2">#REF!</definedName>
    <definedName name="BIRPKWHB3" localSheetId="6">#REF!</definedName>
    <definedName name="BIRPKWHB3">#REF!</definedName>
    <definedName name="BIRPKWHWH" localSheetId="6">#REF!</definedName>
    <definedName name="BIRPKWHWH">#REF!</definedName>
    <definedName name="BIRPMECHG1" localSheetId="6">#REF!</definedName>
    <definedName name="BIRPMECHG1">#REF!</definedName>
    <definedName name="BIRPOFKWH" localSheetId="6">#REF!</definedName>
    <definedName name="BIRPOFKWH">#REF!</definedName>
    <definedName name="BIRPOPKWH" localSheetId="6">#REF!</definedName>
    <definedName name="BIRPOPKWH">#REF!</definedName>
    <definedName name="BIRPP1EC" localSheetId="6">#REF!</definedName>
    <definedName name="BIRPP1EC">#REF!</definedName>
    <definedName name="BIRPP2EC" localSheetId="6">#REF!</definedName>
    <definedName name="BIRPP2EC">#REF!</definedName>
    <definedName name="BIRPP3EC" localSheetId="6">#REF!</definedName>
    <definedName name="BIRPP3EC">#REF!</definedName>
    <definedName name="BIRPP4EC" localSheetId="6">#REF!</definedName>
    <definedName name="BIRPP4EC">#REF!</definedName>
    <definedName name="BIRPP5EC" localSheetId="6">#REF!</definedName>
    <definedName name="BIRPP5EC">#REF!</definedName>
    <definedName name="BIRPPDMDCHG" localSheetId="6">#REF!</definedName>
    <definedName name="BIRPPDMDCHG">#REF!</definedName>
    <definedName name="BIRPRCHG" localSheetId="6">#REF!</definedName>
    <definedName name="BIRPRCHG">#REF!</definedName>
    <definedName name="BIRPXKVA" localSheetId="6">#REF!</definedName>
    <definedName name="BIRPXKVA">#REF!</definedName>
    <definedName name="BIRPXKVAPCT" localSheetId="6">#REF!</definedName>
    <definedName name="BIRPXKVAPCT">#REF!</definedName>
    <definedName name="BIRPXOFKW" localSheetId="6">#REF!</definedName>
    <definedName name="BIRPXOFKW">#REF!</definedName>
    <definedName name="BKUPKWH" localSheetId="6">#REF!</definedName>
    <definedName name="BKUPKWH">#REF!</definedName>
    <definedName name="BLDAMNT" localSheetId="6">#REF!</definedName>
    <definedName name="BLDAMNT">#REF!</definedName>
    <definedName name="BLDDMND" localSheetId="6">#REF!</definedName>
    <definedName name="BLDDMND">#REF!</definedName>
    <definedName name="BLDKWH" localSheetId="6">#REF!</definedName>
    <definedName name="BLDKWH">#REF!</definedName>
    <definedName name="BLDOPDMND" localSheetId="6">#REF!</definedName>
    <definedName name="BLDOPDMND">#REF!</definedName>
    <definedName name="BLNGKWB4EDR" localSheetId="6">#REF!</definedName>
    <definedName name="BLNGKWB4EDR">#REF!</definedName>
    <definedName name="BLNGKWH" localSheetId="6">#REF!</definedName>
    <definedName name="BLNGKWH">#REF!</definedName>
    <definedName name="BLNGKWHTTL" localSheetId="6">#REF!</definedName>
    <definedName name="BLNGKWHTTL">#REF!</definedName>
    <definedName name="BndBlkKwh1" localSheetId="6">#REF!</definedName>
    <definedName name="BndBlkKwh1">#REF!</definedName>
    <definedName name="BndBlkKwh2" localSheetId="6">#REF!</definedName>
    <definedName name="BndBlkKwh2">#REF!</definedName>
    <definedName name="BndBlkKwh3" localSheetId="6">#REF!</definedName>
    <definedName name="BndBlkKwh3">#REF!</definedName>
    <definedName name="BndBlkKwhChg1" localSheetId="6">#REF!</definedName>
    <definedName name="BndBlkKwhChg1">#REF!</definedName>
    <definedName name="BndBlkKwhChg2" localSheetId="6">#REF!</definedName>
    <definedName name="BndBlkKwhChg2">#REF!</definedName>
    <definedName name="BndBlkKwhChg3" localSheetId="6">#REF!</definedName>
    <definedName name="BndBlkKwhChg3">#REF!</definedName>
    <definedName name="BndBlkKwhChgT" localSheetId="6">#REF!</definedName>
    <definedName name="BndBlkKwhChgT">#REF!</definedName>
    <definedName name="BndBlkKwhChgW" localSheetId="6">#REF!</definedName>
    <definedName name="BndBlkKwhChgW">#REF!</definedName>
    <definedName name="BndBlkKwhT" localSheetId="6">#REF!</definedName>
    <definedName name="BndBlkKwhT">#REF!</definedName>
    <definedName name="BndBlkKwhW" localSheetId="6">#REF!</definedName>
    <definedName name="BndBlkKwhW">#REF!</definedName>
    <definedName name="BndCustChg" localSheetId="6">#REF!</definedName>
    <definedName name="BndCustChg">#REF!</definedName>
    <definedName name="BndDmdChg1" localSheetId="6">#REF!</definedName>
    <definedName name="BndDmdChg1">#REF!</definedName>
    <definedName name="BndDmdChg2" localSheetId="6">#REF!</definedName>
    <definedName name="BndDmdChg2">#REF!</definedName>
    <definedName name="BndExcsKvaPct" localSheetId="6">#REF!</definedName>
    <definedName name="BndExcsKvaPct">#REF!</definedName>
    <definedName name="BndMEChg" localSheetId="6">#REF!</definedName>
    <definedName name="BndMEChg">#REF!</definedName>
    <definedName name="BndOffPkKwh" localSheetId="6">#REF!</definedName>
    <definedName name="BndOffPkKwh">#REF!</definedName>
    <definedName name="BndOnPkKwh" localSheetId="6">#REF!</definedName>
    <definedName name="BndOnPkKwh">#REF!</definedName>
    <definedName name="BndPL1Chg" localSheetId="6">#REF!</definedName>
    <definedName name="BndPL1Chg">#REF!</definedName>
    <definedName name="BndPL2Chg" localSheetId="6">#REF!</definedName>
    <definedName name="BndPL2Chg">#REF!</definedName>
    <definedName name="BndPL3Chg" localSheetId="6">#REF!</definedName>
    <definedName name="BndPL3Chg">#REF!</definedName>
    <definedName name="BndPL4Chg" localSheetId="6">#REF!</definedName>
    <definedName name="BndPL4Chg">#REF!</definedName>
    <definedName name="BndPL5Chg" localSheetId="6">#REF!</definedName>
    <definedName name="BndPL5Chg">#REF!</definedName>
    <definedName name="BndReactiveChg" localSheetId="6">#REF!</definedName>
    <definedName name="BndReactiveChg">#REF!</definedName>
    <definedName name="BndXOfpKvaChg" localSheetId="6">#REF!</definedName>
    <definedName name="BndXOfpKvaChg">#REF!</definedName>
    <definedName name="BndXOfpKwChg" localSheetId="6">#REF!</definedName>
    <definedName name="BndXOfpKwChg">#REF!</definedName>
    <definedName name="BORING">#REF!</definedName>
    <definedName name="BTTrueUp" localSheetId="6">#REF!</definedName>
    <definedName name="BTTrueUp">#REF!</definedName>
    <definedName name="BUDGET_Sheet">#REF!</definedName>
    <definedName name="BUNCCHG" localSheetId="6">#REF!</definedName>
    <definedName name="BUNCCHG">#REF!</definedName>
    <definedName name="BUNDCHG1" localSheetId="6">#REF!</definedName>
    <definedName name="BUNDCHG1">#REF!</definedName>
    <definedName name="BUNDCHG2" localSheetId="6">#REF!</definedName>
    <definedName name="BUNDCHG2">#REF!</definedName>
    <definedName name="BUNECHG1" localSheetId="6">#REF!</definedName>
    <definedName name="BUNECHG1">#REF!</definedName>
    <definedName name="BUNECHGB1" localSheetId="6">#REF!</definedName>
    <definedName name="BUNECHGB1">#REF!</definedName>
    <definedName name="BUNECHGB2" localSheetId="6">#REF!</definedName>
    <definedName name="BUNECHGB2">#REF!</definedName>
    <definedName name="BUNECHGB3" localSheetId="6">#REF!</definedName>
    <definedName name="BUNECHGB3">#REF!</definedName>
    <definedName name="BUNECHGW" localSheetId="6">#REF!</definedName>
    <definedName name="BUNECHGW">#REF!</definedName>
    <definedName name="BUNKWH1" localSheetId="6">#REF!</definedName>
    <definedName name="BUNKWH1">#REF!</definedName>
    <definedName name="BUNKWHB1" localSheetId="6">#REF!</definedName>
    <definedName name="BUNKWHB1">#REF!</definedName>
    <definedName name="BUNKWHB2" localSheetId="6">#REF!</definedName>
    <definedName name="BUNKWHB2">#REF!</definedName>
    <definedName name="BUNKWHB3" localSheetId="6">#REF!</definedName>
    <definedName name="BUNKWHB3">#REF!</definedName>
    <definedName name="BUNKWHWH" localSheetId="6">#REF!</definedName>
    <definedName name="BUNKWHWH">#REF!</definedName>
    <definedName name="BUNMECHG1" localSheetId="6">#REF!</definedName>
    <definedName name="BUNMECHG1">#REF!</definedName>
    <definedName name="BUNOFKWH" localSheetId="6">#REF!</definedName>
    <definedName name="BUNOFKWH">#REF!</definedName>
    <definedName name="BUNOPKWH" localSheetId="6">#REF!</definedName>
    <definedName name="BUNOPKWH">#REF!</definedName>
    <definedName name="BUNP1EC" localSheetId="6">#REF!</definedName>
    <definedName name="BUNP1EC">#REF!</definedName>
    <definedName name="BUNP2EC" localSheetId="6">#REF!</definedName>
    <definedName name="BUNP2EC">#REF!</definedName>
    <definedName name="BUNP3EC" localSheetId="6">#REF!</definedName>
    <definedName name="BUNP3EC">#REF!</definedName>
    <definedName name="BUNP4EC" localSheetId="6">#REF!</definedName>
    <definedName name="BUNP4EC">#REF!</definedName>
    <definedName name="BUNP5EC" localSheetId="6">#REF!</definedName>
    <definedName name="BUNP5EC">#REF!</definedName>
    <definedName name="BUNPDMDCHG" localSheetId="6">#REF!</definedName>
    <definedName name="BUNPDMDCHG">#REF!</definedName>
    <definedName name="BUNRCHG" localSheetId="6">#REF!</definedName>
    <definedName name="BUNRCHG">#REF!</definedName>
    <definedName name="BUNXKVA" localSheetId="6">#REF!</definedName>
    <definedName name="BUNXKVA">#REF!</definedName>
    <definedName name="BUNXKVAPCT" localSheetId="6">#REF!</definedName>
    <definedName name="BUNXKVAPCT">#REF!</definedName>
    <definedName name="BUNXOFKW" localSheetId="6">#REF!</definedName>
    <definedName name="BUNXOFKW">#REF!</definedName>
    <definedName name="CALCPFCC" localSheetId="6">#REF!</definedName>
    <definedName name="CALCPFCC">#REF!</definedName>
    <definedName name="CAPDEFA" localSheetId="6">#REF!</definedName>
    <definedName name="CAPDEFA">#REF!</definedName>
    <definedName name="CASSADY">#REF!</definedName>
    <definedName name="CBLKWH" localSheetId="6">#REF!</definedName>
    <definedName name="CBLKWH">#REF!</definedName>
    <definedName name="City" localSheetId="6">#REF!</definedName>
    <definedName name="City">#REF!</definedName>
    <definedName name="CNTRCTDMND" localSheetId="6">#REF!</definedName>
    <definedName name="CNTRCTDMND">#REF!</definedName>
    <definedName name="CONNOLLY">#REF!</definedName>
    <definedName name="CoPhoneLine" localSheetId="6">#REF!</definedName>
    <definedName name="CoPhoneLine">#REF!</definedName>
    <definedName name="CRMOINTRPTHRS" localSheetId="6">#REF!</definedName>
    <definedName name="CRMOINTRPTHRS">#REF!</definedName>
    <definedName name="CRNTMOBTKWH" localSheetId="6">#REF!</definedName>
    <definedName name="CRNTMOBTKWH">#REF!</definedName>
    <definedName name="CRNTMOFPKHRS" localSheetId="6">#REF!</definedName>
    <definedName name="CRNTMOFPKHRS">#REF!</definedName>
    <definedName name="CRNTMONPKHRS" localSheetId="6">#REF!</definedName>
    <definedName name="CRNTMONPKHRS">#REF!</definedName>
    <definedName name="CROSSIN">#REF!</definedName>
    <definedName name="CRTLBLONPKHRS" localSheetId="6">#REF!</definedName>
    <definedName name="CRTLBLONPKHRS">#REF!</definedName>
    <definedName name="CRTLBLONPKKWH" localSheetId="6">#REF!</definedName>
    <definedName name="CRTLBLONPKKWH">#REF!</definedName>
    <definedName name="CSTMRCHG" localSheetId="6">#REF!</definedName>
    <definedName name="CSTMRCHG">#REF!</definedName>
    <definedName name="CurMoAddr1" localSheetId="6">#REF!</definedName>
    <definedName name="CurMoAddr1">#REF!</definedName>
    <definedName name="CurMoAddr2" localSheetId="6">#REF!</definedName>
    <definedName name="CurMoAddr2">#REF!</definedName>
    <definedName name="CurMoBTDetail" localSheetId="6">#REF!</definedName>
    <definedName name="CurMoBTDetail">#REF!</definedName>
    <definedName name="CurMoBuyThrgh_Sheet" localSheetId="6">#REF!</definedName>
    <definedName name="CurMoBuyThrgh_Sheet">#REF!</definedName>
    <definedName name="CurMoCityStZip" localSheetId="6">#REF!</definedName>
    <definedName name="CurMoCityStZip">#REF!</definedName>
    <definedName name="CurMoCustName" localSheetId="6">#REF!</definedName>
    <definedName name="CurMoCustName">#REF!</definedName>
    <definedName name="CurMoExcessAmt" localSheetId="6">#REF!</definedName>
    <definedName name="CurMoExcessAmt">#REF!</definedName>
    <definedName name="CurMoGrTaxAmt" localSheetId="6">#REF!</definedName>
    <definedName name="CurMoGrTaxAmt">#REF!</definedName>
    <definedName name="CurMoKWHExcess" localSheetId="6">#REF!</definedName>
    <definedName name="CurMoKWHExcess">#REF!</definedName>
    <definedName name="CurMoKWHNotUsed" localSheetId="6">#REF!</definedName>
    <definedName name="CurMoKWHNotUsed">#REF!</definedName>
    <definedName name="CurMoKWHRes" localSheetId="6">#REF!</definedName>
    <definedName name="CurMoKWHRes">#REF!</definedName>
    <definedName name="CurMoKWHSubTot" localSheetId="6">#REF!</definedName>
    <definedName name="CurMoKWHSubTot">#REF!</definedName>
    <definedName name="CurMoKWHTot" localSheetId="6">#REF!</definedName>
    <definedName name="CurMoKWHTot">#REF!</definedName>
    <definedName name="CurMoMtrMult" localSheetId="6">#REF!</definedName>
    <definedName name="CurMoMtrMult">#REF!</definedName>
    <definedName name="CurMoNotUsedAmt" localSheetId="6">#REF!</definedName>
    <definedName name="CurMoNotUsedAmt">#REF!</definedName>
    <definedName name="CurMoResAmt" localSheetId="6">#REF!</definedName>
    <definedName name="CurMoResAmt">#REF!</definedName>
    <definedName name="CurMoSubTotAmt" localSheetId="6">#REF!</definedName>
    <definedName name="CurMoSubTotAmt">#REF!</definedName>
    <definedName name="CurMoTotAmt" localSheetId="6">#REF!</definedName>
    <definedName name="CurMoTotAmt">#REF!</definedName>
    <definedName name="CustAddr1" localSheetId="6">#REF!</definedName>
    <definedName name="CustAddr1">#REF!</definedName>
    <definedName name="CustAddr2" localSheetId="6">#REF!</definedName>
    <definedName name="CustAddr2">#REF!</definedName>
    <definedName name="CustCityStZip" localSheetId="6">#REF!</definedName>
    <definedName name="CustCityStZip">#REF!</definedName>
    <definedName name="CustName2" localSheetId="6">#REF!</definedName>
    <definedName name="CustName2">#REF!</definedName>
    <definedName name="CustTable" localSheetId="6">#REF!</definedName>
    <definedName name="CustTable">#REF!</definedName>
    <definedName name="Cwvu.GREY_ALL." hidden="1">#REF!</definedName>
    <definedName name="DARNELL">#REF!</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EAN">#REF!</definedName>
    <definedName name="DetailTotCbl" localSheetId="6">#REF!</definedName>
    <definedName name="DetailTotCbl">#REF!</definedName>
    <definedName name="DetailTotChg" localSheetId="6">#REF!</definedName>
    <definedName name="DetailTotChg">#REF!</definedName>
    <definedName name="DetailTotKw" localSheetId="6">#REF!</definedName>
    <definedName name="DetailTotKw">#REF!</definedName>
    <definedName name="DetailTotMargin" localSheetId="6">#REF!</definedName>
    <definedName name="DetailTotMargin">#REF!</definedName>
    <definedName name="dfs">#REF!</definedName>
    <definedName name="DIRPCCHG" localSheetId="6">#REF!</definedName>
    <definedName name="DIRPCCHG">#REF!</definedName>
    <definedName name="DIRPDCHG1" localSheetId="6">#REF!</definedName>
    <definedName name="DIRPDCHG1">#REF!</definedName>
    <definedName name="DIRPDCHG2" localSheetId="6">#REF!</definedName>
    <definedName name="DIRPDCHG2">#REF!</definedName>
    <definedName name="DIRPECHG1" localSheetId="6">#REF!</definedName>
    <definedName name="DIRPECHG1">#REF!</definedName>
    <definedName name="DIRPECHGB1" localSheetId="6">#REF!</definedName>
    <definedName name="DIRPECHGB1">#REF!</definedName>
    <definedName name="DIRPECHGB2" localSheetId="6">#REF!</definedName>
    <definedName name="DIRPECHGB2">#REF!</definedName>
    <definedName name="DIRPECHGB3" localSheetId="6">#REF!</definedName>
    <definedName name="DIRPECHGB3">#REF!</definedName>
    <definedName name="DIRPMECHG1" localSheetId="6">#REF!</definedName>
    <definedName name="DIRPMECHG1">#REF!</definedName>
    <definedName name="DIRPMINDC" localSheetId="6">#REF!</definedName>
    <definedName name="DIRPMINDC">#REF!</definedName>
    <definedName name="DIRPMINEC" localSheetId="6">#REF!</definedName>
    <definedName name="DIRPMINEC">#REF!</definedName>
    <definedName name="DIRPOFKVA" localSheetId="6">#REF!</definedName>
    <definedName name="DIRPOFKVA">#REF!</definedName>
    <definedName name="DIRPOFKW" localSheetId="6">#REF!</definedName>
    <definedName name="DIRPOFKW">#REF!</definedName>
    <definedName name="DIRPOFKWH" localSheetId="6">#REF!</definedName>
    <definedName name="DIRPOFKWH">#REF!</definedName>
    <definedName name="DIRPOPKWH" localSheetId="6">#REF!</definedName>
    <definedName name="DIRPOPKWH">#REF!</definedName>
    <definedName name="DIRPP1EC" localSheetId="6">#REF!</definedName>
    <definedName name="DIRPP1EC">#REF!</definedName>
    <definedName name="DIRPP2EC" localSheetId="6">#REF!</definedName>
    <definedName name="DIRPP2EC">#REF!</definedName>
    <definedName name="DIRPP3EC" localSheetId="6">#REF!</definedName>
    <definedName name="DIRPP3EC">#REF!</definedName>
    <definedName name="DIRPP4EC" localSheetId="6">#REF!</definedName>
    <definedName name="DIRPP4EC">#REF!</definedName>
    <definedName name="DIRPP5EC" localSheetId="6">#REF!</definedName>
    <definedName name="DIRPP5EC">#REF!</definedName>
    <definedName name="DIRPRCHG" localSheetId="6">#REF!</definedName>
    <definedName name="DIRPRCHG">#REF!</definedName>
    <definedName name="DisBlkKwhChg1" localSheetId="6">#REF!</definedName>
    <definedName name="DisBlkKwhChg1">#REF!</definedName>
    <definedName name="DisBlkKwhChg2" localSheetId="6">#REF!</definedName>
    <definedName name="DisBlkKwhChg2">#REF!</definedName>
    <definedName name="DisBlkKwhChg3" localSheetId="6">#REF!</definedName>
    <definedName name="DisBlkKwhChg3">#REF!</definedName>
    <definedName name="DisBlkKwhChgT" localSheetId="6">#REF!</definedName>
    <definedName name="DisBlkKwhChgT">#REF!</definedName>
    <definedName name="DisCustChg" localSheetId="6">#REF!</definedName>
    <definedName name="DisCustChg">#REF!</definedName>
    <definedName name="DisDmdChg1" localSheetId="6">#REF!</definedName>
    <definedName name="DisDmdChg1">#REF!</definedName>
    <definedName name="DisDmdChg2" localSheetId="6">#REF!</definedName>
    <definedName name="DisDmdChg2">#REF!</definedName>
    <definedName name="DisMEChg" localSheetId="6">#REF!</definedName>
    <definedName name="DisMEChg">#REF!</definedName>
    <definedName name="DisMinDChg" localSheetId="6">#REF!</definedName>
    <definedName name="DisMinDChg">#REF!</definedName>
    <definedName name="DisMinEChg" localSheetId="6">#REF!</definedName>
    <definedName name="DisMinEChg">#REF!</definedName>
    <definedName name="DisOffPkKwh" localSheetId="6">#REF!</definedName>
    <definedName name="DisOffPkKwh">#REF!</definedName>
    <definedName name="DisOnPkKwh" localSheetId="6">#REF!</definedName>
    <definedName name="DisOnPkKwh">#REF!</definedName>
    <definedName name="DisPL1Chg" localSheetId="6">#REF!</definedName>
    <definedName name="DisPL1Chg">#REF!</definedName>
    <definedName name="DisPL2Chg" localSheetId="6">#REF!</definedName>
    <definedName name="DisPL2Chg">#REF!</definedName>
    <definedName name="DisPL3Chg" localSheetId="6">#REF!</definedName>
    <definedName name="DisPL3Chg">#REF!</definedName>
    <definedName name="DisPL4Chg" localSheetId="6">#REF!</definedName>
    <definedName name="DisPL4Chg">#REF!</definedName>
    <definedName name="DisPL5Chg" localSheetId="6">#REF!</definedName>
    <definedName name="DisPL5Chg">#REF!</definedName>
    <definedName name="DisReactiveChg" localSheetId="6">#REF!</definedName>
    <definedName name="DisReactiveChg">#REF!</definedName>
    <definedName name="DisXOfpKvaChg" localSheetId="6">#REF!</definedName>
    <definedName name="DisXOfpKvaChg">#REF!</definedName>
    <definedName name="DisXOfpKwChg" localSheetId="6">#REF!</definedName>
    <definedName name="DisXOfpKwChg">#REF!</definedName>
    <definedName name="DSTCCHG" localSheetId="6">#REF!</definedName>
    <definedName name="DSTCCHG">#REF!</definedName>
    <definedName name="DSTDCHG1" localSheetId="6">#REF!</definedName>
    <definedName name="DSTDCHG1">#REF!</definedName>
    <definedName name="DSTDCHG2" localSheetId="6">#REF!</definedName>
    <definedName name="DSTDCHG2">#REF!</definedName>
    <definedName name="DSTECHG1" localSheetId="6">#REF!</definedName>
    <definedName name="DSTECHG1">#REF!</definedName>
    <definedName name="DSTECHGB1" localSheetId="6">#REF!</definedName>
    <definedName name="DSTECHGB1">#REF!</definedName>
    <definedName name="DSTECHGB2" localSheetId="6">#REF!</definedName>
    <definedName name="DSTECHGB2">#REF!</definedName>
    <definedName name="DSTECHGB3" localSheetId="6">#REF!</definedName>
    <definedName name="DSTECHGB3">#REF!</definedName>
    <definedName name="DSTMECHG1" localSheetId="6">#REF!</definedName>
    <definedName name="DSTMECHG1">#REF!</definedName>
    <definedName name="DSTMINDC" localSheetId="6">#REF!</definedName>
    <definedName name="DSTMINDC">#REF!</definedName>
    <definedName name="DSTMINEC" localSheetId="6">#REF!</definedName>
    <definedName name="DSTMINEC">#REF!</definedName>
    <definedName name="DSTOFKWH" localSheetId="6">#REF!</definedName>
    <definedName name="DSTOFKWH">#REF!</definedName>
    <definedName name="DSTOPKWH" localSheetId="6">#REF!</definedName>
    <definedName name="DSTOPKWH">#REF!</definedName>
    <definedName name="DSTP1EC" localSheetId="6">#REF!</definedName>
    <definedName name="DSTP1EC">#REF!</definedName>
    <definedName name="DSTP2EC" localSheetId="6">#REF!</definedName>
    <definedName name="DSTP2EC">#REF!</definedName>
    <definedName name="DSTP3EC" localSheetId="6">#REF!</definedName>
    <definedName name="DSTP3EC">#REF!</definedName>
    <definedName name="DSTP4EC" localSheetId="6">#REF!</definedName>
    <definedName name="DSTP4EC">#REF!</definedName>
    <definedName name="DSTP5EC" localSheetId="6">#REF!</definedName>
    <definedName name="DSTP5EC">#REF!</definedName>
    <definedName name="DSTRCHG" localSheetId="6">#REF!</definedName>
    <definedName name="DSTRCHG">#REF!</definedName>
    <definedName name="DSTXOFKVA" localSheetId="6">#REF!</definedName>
    <definedName name="DSTXOFKVA">#REF!</definedName>
    <definedName name="DSTXOFKW" localSheetId="6">#REF!</definedName>
    <definedName name="DSTXOFKW">#REF!</definedName>
    <definedName name="edf" localSheetId="7" hidden="1">{"Project List",#N/A,FALSE,"Table 4";"Cash Flows",#N/A,FALSE,"Table 4";"Eligibility Assumptions",#N/A,FALSE,"Table 4";"Funding",#N/A,FALSE,"Table 4"}</definedName>
    <definedName name="edf" localSheetId="6" hidden="1">{"Project List",#N/A,FALSE,"Table 4";"Cash Flows",#N/A,FALSE,"Table 4";"Eligibility Assumptions",#N/A,FALSE,"Table 4";"Funding",#N/A,FALSE,"Table 4"}</definedName>
    <definedName name="edf" localSheetId="5" hidden="1">{"Project List",#N/A,FALSE,"Table 4";"Cash Flows",#N/A,FALSE,"Table 4";"Eligibility Assumptions",#N/A,FALSE,"Table 4";"Funding",#N/A,FALSE,"Table 4"}</definedName>
    <definedName name="edf" hidden="1">{"Project List",#N/A,FALSE,"Table 4";"Cash Flows",#N/A,FALSE,"Table 4";"Eligibility Assumptions",#N/A,FALSE,"Table 4";"Funding",#N/A,FALSE,"Table 4"}</definedName>
    <definedName name="EDRBASE" localSheetId="6">#REF!</definedName>
    <definedName name="EDRBASE">#REF!</definedName>
    <definedName name="EDRDATE" localSheetId="6">#REF!</definedName>
    <definedName name="EDRDATE">#REF!</definedName>
    <definedName name="EDRDSCNT" localSheetId="6">#REF!</definedName>
    <definedName name="EDRDSCNT">#REF!</definedName>
    <definedName name="EDRLVLPCT" localSheetId="6">#REF!</definedName>
    <definedName name="EDRLVLPCT">#REF!</definedName>
    <definedName name="EDRTYPE" localSheetId="6">#REF!</definedName>
    <definedName name="EDRTYPE">#REF!</definedName>
    <definedName name="efeaf" localSheetId="7"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efeaf" localSheetId="6"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efeaf" localSheetId="5"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efeaf"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EffDate" localSheetId="6">#REF!</definedName>
    <definedName name="EffDate">#REF!</definedName>
    <definedName name="ELKMCGN1" localSheetId="6">#REF!</definedName>
    <definedName name="ELKMCGN1">#REF!</definedName>
    <definedName name="ELKMCGN2" localSheetId="6">#REF!</definedName>
    <definedName name="ELKMCGN2">#REF!</definedName>
    <definedName name="ENDDTM" localSheetId="6">#REF!</definedName>
    <definedName name="ENDDTM">#REF!</definedName>
    <definedName name="ENDTIME" localSheetId="6">#REF!</definedName>
    <definedName name="ENDTIME">#REF!</definedName>
    <definedName name="EstExcessAmt" localSheetId="6">#REF!</definedName>
    <definedName name="EstExcessAmt">#REF!</definedName>
    <definedName name="EstGrTaxAmt" localSheetId="6">#REF!</definedName>
    <definedName name="EstGrTaxAmt">#REF!</definedName>
    <definedName name="EstKWHExcess" localSheetId="6">#REF!</definedName>
    <definedName name="EstKWHExcess">#REF!</definedName>
    <definedName name="EstKWHNotUsed" localSheetId="6">#REF!</definedName>
    <definedName name="EstKWHNotUsed">#REF!</definedName>
    <definedName name="EstKWHRes" localSheetId="6">#REF!</definedName>
    <definedName name="EstKWHRes">#REF!</definedName>
    <definedName name="EstKWHSubTot" localSheetId="6">#REF!</definedName>
    <definedName name="EstKWHSubTot">#REF!</definedName>
    <definedName name="EstKWHTot" localSheetId="6">#REF!</definedName>
    <definedName name="EstKWHTot">#REF!</definedName>
    <definedName name="EstNotUsedAmt" localSheetId="6">#REF!</definedName>
    <definedName name="EstNotUsedAmt">#REF!</definedName>
    <definedName name="EstResAmt" localSheetId="6">#REF!</definedName>
    <definedName name="EstResAmt">#REF!</definedName>
    <definedName name="EstSubTotAmt" localSheetId="6">#REF!</definedName>
    <definedName name="EstSubTotAmt">#REF!</definedName>
    <definedName name="EstTotAmt" localSheetId="6">#REF!</definedName>
    <definedName name="EstTotAmt">#REF!</definedName>
    <definedName name="EXCSKVACHG" localSheetId="6">#REF!</definedName>
    <definedName name="EXCSKVACHG">#REF!</definedName>
    <definedName name="EXCSKVADMND" localSheetId="6">#REF!</definedName>
    <definedName name="EXCSKVADMND">#REF!</definedName>
    <definedName name="EXCSKVAR" localSheetId="6">#REF!</definedName>
    <definedName name="EXCSKVAR">#REF!</definedName>
    <definedName name="FIRMKWH" localSheetId="6">#REF!</definedName>
    <definedName name="FIRMKWH">#REF!</definedName>
    <definedName name="FIRSTDAY" localSheetId="6">#REF!</definedName>
    <definedName name="FIRSTDAY">#REF!</definedName>
    <definedName name="FRAZIER">#REF!</definedName>
    <definedName name="FRMCPCT" localSheetId="6">#REF!</definedName>
    <definedName name="FRMCPCT">#REF!</definedName>
    <definedName name="FUELCHG" localSheetId="6">#REF!</definedName>
    <definedName name="FUELCHG">#REF!</definedName>
    <definedName name="FUELRATE" localSheetId="6">#REF!</definedName>
    <definedName name="FUELRATE">#REF!</definedName>
    <definedName name="GenBlkKwhChg1" localSheetId="6">#REF!</definedName>
    <definedName name="GenBlkKwhChg1">#REF!</definedName>
    <definedName name="GenBlkKwhChg2" localSheetId="6">#REF!</definedName>
    <definedName name="GenBlkKwhChg2">#REF!</definedName>
    <definedName name="GenBlkKwhChg3" localSheetId="6">#REF!</definedName>
    <definedName name="GenBlkKwhChg3">#REF!</definedName>
    <definedName name="GenBlkKwhChgT" localSheetId="6">#REF!</definedName>
    <definedName name="GenBlkKwhChgT">#REF!</definedName>
    <definedName name="GENCCHG" localSheetId="6">#REF!</definedName>
    <definedName name="GENCCHG">#REF!</definedName>
    <definedName name="GenCustChg" localSheetId="6">#REF!</definedName>
    <definedName name="GenCustChg">#REF!</definedName>
    <definedName name="GENDCHG1" localSheetId="6">#REF!</definedName>
    <definedName name="GENDCHG1">#REF!</definedName>
    <definedName name="GENDCHG2" localSheetId="6">#REF!</definedName>
    <definedName name="GENDCHG2">#REF!</definedName>
    <definedName name="GenDmdChg1" localSheetId="6">#REF!</definedName>
    <definedName name="GenDmdChg1">#REF!</definedName>
    <definedName name="GenDmdChg2" localSheetId="6">#REF!</definedName>
    <definedName name="GenDmdChg2">#REF!</definedName>
    <definedName name="GENECHG1" localSheetId="6">#REF!</definedName>
    <definedName name="GENECHG1">#REF!</definedName>
    <definedName name="GENECHGB1" localSheetId="6">#REF!</definedName>
    <definedName name="GENECHGB1">#REF!</definedName>
    <definedName name="GENECHGB2" localSheetId="6">#REF!</definedName>
    <definedName name="GENECHGB2">#REF!</definedName>
    <definedName name="GENECHGB3" localSheetId="6">#REF!</definedName>
    <definedName name="GENECHGB3">#REF!</definedName>
    <definedName name="GenMEChg" localSheetId="6">#REF!</definedName>
    <definedName name="GenMEChg">#REF!</definedName>
    <definedName name="GENMECHG1" localSheetId="6">#REF!</definedName>
    <definedName name="GENMECHG1">#REF!</definedName>
    <definedName name="GENMINDC" localSheetId="6">#REF!</definedName>
    <definedName name="GENMINDC">#REF!</definedName>
    <definedName name="GenMinDChg" localSheetId="6">#REF!</definedName>
    <definedName name="GenMinDChg">#REF!</definedName>
    <definedName name="GENMINEC" localSheetId="6">#REF!</definedName>
    <definedName name="GENMINEC">#REF!</definedName>
    <definedName name="GenMinEChg" localSheetId="6">#REF!</definedName>
    <definedName name="GenMinEChg">#REF!</definedName>
    <definedName name="GenOffPkKwh" localSheetId="6">#REF!</definedName>
    <definedName name="GenOffPkKwh">#REF!</definedName>
    <definedName name="GENOFKWH" localSheetId="6">#REF!</definedName>
    <definedName name="GENOFKWH">#REF!</definedName>
    <definedName name="GenOnPkKwh" localSheetId="6">#REF!</definedName>
    <definedName name="GenOnPkKwh">#REF!</definedName>
    <definedName name="GENOPKWH" localSheetId="6">#REF!</definedName>
    <definedName name="GENOPKWH">#REF!</definedName>
    <definedName name="GENP1EC" localSheetId="6">#REF!</definedName>
    <definedName name="GENP1EC">#REF!</definedName>
    <definedName name="GENP2EC" localSheetId="6">#REF!</definedName>
    <definedName name="GENP2EC">#REF!</definedName>
    <definedName name="GENP3EC" localSheetId="6">#REF!</definedName>
    <definedName name="GENP3EC">#REF!</definedName>
    <definedName name="GENP4EC" localSheetId="6">#REF!</definedName>
    <definedName name="GENP4EC">#REF!</definedName>
    <definedName name="GENP5EC" localSheetId="6">#REF!</definedName>
    <definedName name="GENP5EC">#REF!</definedName>
    <definedName name="GenPL1Chg" localSheetId="6">#REF!</definedName>
    <definedName name="GenPL1Chg">#REF!</definedName>
    <definedName name="GenPL2Chg" localSheetId="6">#REF!</definedName>
    <definedName name="GenPL2Chg">#REF!</definedName>
    <definedName name="GenPL3Chg" localSheetId="6">#REF!</definedName>
    <definedName name="GenPL3Chg">#REF!</definedName>
    <definedName name="GenPL4Chg" localSheetId="6">#REF!</definedName>
    <definedName name="GenPL4Chg">#REF!</definedName>
    <definedName name="GenPL5Chg" localSheetId="6">#REF!</definedName>
    <definedName name="GenPL5Chg">#REF!</definedName>
    <definedName name="GENRCHG" localSheetId="6">#REF!</definedName>
    <definedName name="GENRCHG">#REF!</definedName>
    <definedName name="GenReactiveChg" localSheetId="6">#REF!</definedName>
    <definedName name="GenReactiveChg">#REF!</definedName>
    <definedName name="GENXOFKVA" localSheetId="6">#REF!</definedName>
    <definedName name="GENXOFKVA">#REF!</definedName>
    <definedName name="GENXOFKW" localSheetId="6">#REF!</definedName>
    <definedName name="GENXOFKW">#REF!</definedName>
    <definedName name="GenXOfpKvaChg" localSheetId="6">#REF!</definedName>
    <definedName name="GenXOfpKvaChg">#REF!</definedName>
    <definedName name="GenXOfpKwChg" localSheetId="6">#REF!</definedName>
    <definedName name="GenXOfpKwChg">#REF!</definedName>
    <definedName name="GHENT">#REF!</definedName>
    <definedName name="GIRPCCHG" localSheetId="6">#REF!</definedName>
    <definedName name="GIRPCCHG">#REF!</definedName>
    <definedName name="GIRPDCHG1" localSheetId="6">#REF!</definedName>
    <definedName name="GIRPDCHG1">#REF!</definedName>
    <definedName name="GIRPDCHG2" localSheetId="6">#REF!</definedName>
    <definedName name="GIRPDCHG2">#REF!</definedName>
    <definedName name="GIRPECHG1" localSheetId="6">#REF!</definedName>
    <definedName name="GIRPECHG1">#REF!</definedName>
    <definedName name="GIRPECHGB1" localSheetId="6">#REF!</definedName>
    <definedName name="GIRPECHGB1">#REF!</definedName>
    <definedName name="GIRPECHGB2" localSheetId="6">#REF!</definedName>
    <definedName name="GIRPECHGB2">#REF!</definedName>
    <definedName name="GIRPECHGB3" localSheetId="6">#REF!</definedName>
    <definedName name="GIRPECHGB3">#REF!</definedName>
    <definedName name="GIRPMECHG1" localSheetId="6">#REF!</definedName>
    <definedName name="GIRPMECHG1">#REF!</definedName>
    <definedName name="GIRPMINDC" localSheetId="6">#REF!</definedName>
    <definedName name="GIRPMINDC">#REF!</definedName>
    <definedName name="GIRPMINEC" localSheetId="6">#REF!</definedName>
    <definedName name="GIRPMINEC">#REF!</definedName>
    <definedName name="GIRPOFKVA" localSheetId="6">#REF!</definedName>
    <definedName name="GIRPOFKVA">#REF!</definedName>
    <definedName name="GIRPOFKW" localSheetId="6">#REF!</definedName>
    <definedName name="GIRPOFKW">#REF!</definedName>
    <definedName name="GIRPOFKWH" localSheetId="6">#REF!</definedName>
    <definedName name="GIRPOFKWH">#REF!</definedName>
    <definedName name="GIRPOPKWH" localSheetId="6">#REF!</definedName>
    <definedName name="GIRPOPKWH">#REF!</definedName>
    <definedName name="GIRPP1EC" localSheetId="6">#REF!</definedName>
    <definedName name="GIRPP1EC">#REF!</definedName>
    <definedName name="GIRPP2EC" localSheetId="6">#REF!</definedName>
    <definedName name="GIRPP2EC">#REF!</definedName>
    <definedName name="GIRPP3EC" localSheetId="6">#REF!</definedName>
    <definedName name="GIRPP3EC">#REF!</definedName>
    <definedName name="GIRPP4EC" localSheetId="6">#REF!</definedName>
    <definedName name="GIRPP4EC">#REF!</definedName>
    <definedName name="GIRPP5EC" localSheetId="6">#REF!</definedName>
    <definedName name="GIRPP5EC">#REF!</definedName>
    <definedName name="GIRPRCHG" localSheetId="6">#REF!</definedName>
    <definedName name="GIRPRCHG">#REF!</definedName>
    <definedName name="GROUT">#REF!</definedName>
    <definedName name="HEISE">#REF!</definedName>
    <definedName name="HIBBARD">#REF!</definedName>
    <definedName name="HIPREKW" localSheetId="6">#REF!</definedName>
    <definedName name="HIPREKW">#REF!</definedName>
    <definedName name="HRCRDKW" localSheetId="6">#REF!</definedName>
    <definedName name="HRCRDKW">#REF!</definedName>
    <definedName name="HRCRDKWDT" localSheetId="6">#REF!</definedName>
    <definedName name="HRCRDKWDT">#REF!</definedName>
    <definedName name="HRCRDKWTM" localSheetId="6">#REF!</definedName>
    <definedName name="HRCRDKWTM">#REF!</definedName>
    <definedName name="HROFPKDT" localSheetId="6">#REF!</definedName>
    <definedName name="HROFPKDT">#REF!</definedName>
    <definedName name="HROFPKKW" localSheetId="6">#REF!</definedName>
    <definedName name="HROFPKKW">#REF!</definedName>
    <definedName name="HROFPKTM" localSheetId="6">#REF!</definedName>
    <definedName name="HROFPKTM">#REF!</definedName>
    <definedName name="HRONPKDT" localSheetId="6">#REF!</definedName>
    <definedName name="HRONPKDT">#REF!</definedName>
    <definedName name="HRONPKKW" localSheetId="6">#REF!</definedName>
    <definedName name="HRONPKKW">#REF!</definedName>
    <definedName name="HRONPKTM" localSheetId="6">#REF!</definedName>
    <definedName name="HRONPKTM">#REF!</definedName>
    <definedName name="IMCO" localSheetId="6">#REF!</definedName>
    <definedName name="IMCO">#REF!</definedName>
    <definedName name="InterruptCapacity" localSheetId="6">#REF!</definedName>
    <definedName name="InterruptCapacity">#REF!</definedName>
    <definedName name="InterruptOfpCapacity" localSheetId="6">#REF!</definedName>
    <definedName name="InterruptOfpCapacity">#REF!</definedName>
    <definedName name="InterruptType" localSheetId="6">#REF!</definedName>
    <definedName name="InterruptType">#REF!</definedName>
    <definedName name="IntroPrintArea" hidden="1">#REF!</definedName>
    <definedName name="INTRPBLCAP" localSheetId="6">#REF!</definedName>
    <definedName name="INTRPBLCAP">#REF!</definedName>
    <definedName name="Invdetails" localSheetId="6">#REF!</definedName>
    <definedName name="Invdetail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40183.3376388889</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OLENE">#REF!</definedName>
    <definedName name="KWCHG" localSheetId="6">#REF!</definedName>
    <definedName name="KWCHG">#REF!</definedName>
    <definedName name="KWH1NOCMM" localSheetId="6">#REF!</definedName>
    <definedName name="KWH1NOCMM">#REF!</definedName>
    <definedName name="KWH3NOCMM" localSheetId="6">#REF!</definedName>
    <definedName name="KWH3NOCMM">#REF!</definedName>
    <definedName name="KWHCHG" localSheetId="6">#REF!</definedName>
    <definedName name="KWHCHG">#REF!</definedName>
    <definedName name="Last_Row" localSheetId="7">IF('AMPT RR'!Values_Entered,Header_Row+'AMPT RR'!Number_of_Payments,Header_Row)</definedName>
    <definedName name="Last_Row" localSheetId="6">IF('TransCo PJM Zonal Rates'!Values_Entered,Header_Row+'TransCo PJM Zonal Rates'!Number_of_Payments,Header_Row)</definedName>
    <definedName name="Last_Row" localSheetId="5">IF('Zonal Rates'!Values_Entered,Header_Row+'Zonal Rates'!Number_of_Payments,Header_Row)</definedName>
    <definedName name="Last_Row">IF(Values_Entered,Header_Row+Number_of_Payments,Header_Row)</definedName>
    <definedName name="LASTDAY" localSheetId="6">#REF!</definedName>
    <definedName name="LASTDAY">#REF!</definedName>
    <definedName name="LASTFUEL" localSheetId="6">#REF!</definedName>
    <definedName name="LASTFUEL">#REF!</definedName>
    <definedName name="LASTMSRR" localSheetId="6">#REF!</definedName>
    <definedName name="LASTMSRR">#REF!</definedName>
    <definedName name="LASTPFCC" localSheetId="6">#REF!</definedName>
    <definedName name="LASTPFCC">#REF!</definedName>
    <definedName name="LAVECK">#REF!</definedName>
    <definedName name="LDFCTR" localSheetId="6">#REF!</definedName>
    <definedName name="LDFCTR">#REF!</definedName>
    <definedName name="limcount" hidden="1">1</definedName>
    <definedName name="lklk" hidden="1">#REF!</definedName>
    <definedName name="LRCREDIT" localSheetId="6">#REF!</definedName>
    <definedName name="LRCREDIT">#REF!</definedName>
    <definedName name="MACC1" localSheetId="6">#REF!</definedName>
    <definedName name="MACC1">#REF!</definedName>
    <definedName name="MACC2" localSheetId="6">#REF!</definedName>
    <definedName name="MACC2">#REF!</definedName>
    <definedName name="MAHAFFEY">#REF!</definedName>
    <definedName name="MAINTHRSCRMO" localSheetId="6">#REF!</definedName>
    <definedName name="MAINTHRSCRMO">#REF!</definedName>
    <definedName name="MAINTKWH" localSheetId="6">#REF!</definedName>
    <definedName name="MAINTKWH">#REF!</definedName>
    <definedName name="MARSHALL">#REF!</definedName>
    <definedName name="MinBillDem" localSheetId="6">#REF!</definedName>
    <definedName name="MinBillDem">#REF!</definedName>
    <definedName name="MinBillDem2" localSheetId="6">#REF!</definedName>
    <definedName name="MinBillDem2">#REF!</definedName>
    <definedName name="MinBillDmd" localSheetId="6">#REF!</definedName>
    <definedName name="MinBillDmd">#REF!</definedName>
    <definedName name="MSRRBLD" localSheetId="6">#REF!</definedName>
    <definedName name="MSRRBLD">#REF!</definedName>
    <definedName name="MSRRCHG" localSheetId="6">#REF!</definedName>
    <definedName name="MSRRCHG">#REF!</definedName>
    <definedName name="MTRMLTPLR1" localSheetId="6">#REF!</definedName>
    <definedName name="MTRMLTPLR1">#REF!</definedName>
    <definedName name="MTRMLTPLR2" localSheetId="6">#REF!</definedName>
    <definedName name="MTRMLTPLR2">#REF!</definedName>
    <definedName name="NETMRGCHG" localSheetId="6">#REF!</definedName>
    <definedName name="NETMRGCHG">#REF!</definedName>
    <definedName name="NODAYSINPRD" localSheetId="6">#REF!</definedName>
    <definedName name="NODAYSINPRD">#REF!</definedName>
    <definedName name="NODELPOINTS" localSheetId="6">#REF!</definedName>
    <definedName name="NODELPOINTS">#REF!</definedName>
    <definedName name="Number_of_Payments" localSheetId="7">MATCH(0.01,End_Bal,-1)+1</definedName>
    <definedName name="Number_of_Payments" localSheetId="6">MATCH(0.01,End_Bal,-1)+1</definedName>
    <definedName name="Number_of_Payments" localSheetId="5">MATCH(0.01,End_Bal,-1)+1</definedName>
    <definedName name="Number_of_Payments">MATCH(0.01,End_Bal,-1)+1</definedName>
    <definedName name="NvsASD">"V2006-12-31"</definedName>
    <definedName name="NvsAutoDrillOk">"VN"</definedName>
    <definedName name="NvsElapsedTime">0.000231481484661344</definedName>
    <definedName name="NvsEndTime">39091.5909490741</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"%,X,RZF..,CNF.."</definedName>
    <definedName name="NvsPanelBusUnit">"V100"</definedName>
    <definedName name="NvsPanelEffdt">"V2004-06-30"</definedName>
    <definedName name="NvsPanelSetid">"VAEP"</definedName>
    <definedName name="NvsReqBU">"VX999"</definedName>
    <definedName name="NvsReqBUOnly">"VN"</definedName>
    <definedName name="NvsTransLed">"VN"</definedName>
    <definedName name="NvsTreeASD">"V2099-01-01"</definedName>
    <definedName name="NvsValTbl.ACCOUNT">"GL_ACCOUNT_TBL"</definedName>
    <definedName name="NvsValTbl.CURRENCY_CD">"CURRENCY_CD_TBL"</definedName>
    <definedName name="OFPCBLKW" localSheetId="6">#REF!</definedName>
    <definedName name="OFPCBLKW">#REF!</definedName>
    <definedName name="OFPKBILLKWH" localSheetId="6">#REF!</definedName>
    <definedName name="OFPKBILLKWH">#REF!</definedName>
    <definedName name="OFPKCGNKWH" localSheetId="6">#REF!</definedName>
    <definedName name="OFPKCGNKWH">#REF!</definedName>
    <definedName name="OFPKCNTRCTCPCT" localSheetId="6">#REF!</definedName>
    <definedName name="OFPKCNTRCTCPCT">#REF!</definedName>
    <definedName name="OFPKDMPKWH" localSheetId="6">#REF!</definedName>
    <definedName name="OFPKDMPKWH">#REF!</definedName>
    <definedName name="OFPKDSCRKWH" localSheetId="6">#REF!</definedName>
    <definedName name="OFPKDSCRKWH">#REF!</definedName>
    <definedName name="OFPKDT" localSheetId="6">#REF!</definedName>
    <definedName name="OFPKDT">#REF!</definedName>
    <definedName name="OFPKEXCSKW" localSheetId="6">#REF!</definedName>
    <definedName name="OFPKEXCSKW">#REF!</definedName>
    <definedName name="OFPKINCRKWH" localSheetId="6">#REF!</definedName>
    <definedName name="OFPKINCRKWH">#REF!</definedName>
    <definedName name="OFPKKVADT" localSheetId="6">#REF!</definedName>
    <definedName name="OFPKKVADT">#REF!</definedName>
    <definedName name="OFPKKVATM" localSheetId="6">#REF!</definedName>
    <definedName name="OFPKKVATM">#REF!</definedName>
    <definedName name="OFPKKVW" localSheetId="6">#REF!</definedName>
    <definedName name="OFPKKVW">#REF!</definedName>
    <definedName name="OFPKKW" localSheetId="6">#REF!</definedName>
    <definedName name="OFPKKW">#REF!</definedName>
    <definedName name="OFPKKWH1NOCMM" localSheetId="6">#REF!</definedName>
    <definedName name="OFPKKWH1NOCMM">#REF!</definedName>
    <definedName name="OFPKKWH3NOCMM" localSheetId="6">#REF!</definedName>
    <definedName name="OFPKKWH3NOCMM">#REF!</definedName>
    <definedName name="OFPKRCRDKWH" localSheetId="6">#REF!</definedName>
    <definedName name="OFPKRCRDKWH">#REF!</definedName>
    <definedName name="OFPKTM" localSheetId="6">#REF!</definedName>
    <definedName name="OFPKTM">#REF!</definedName>
    <definedName name="OFPXCSKW" localSheetId="6">#REF!</definedName>
    <definedName name="OFPXCSKW">#REF!</definedName>
    <definedName name="OFPXCSKWDT" localSheetId="6">#REF!</definedName>
    <definedName name="OFPXCSKWDT">#REF!</definedName>
    <definedName name="OFPXCSKWH" localSheetId="6">#REF!</definedName>
    <definedName name="OFPXCSKWH">#REF!</definedName>
    <definedName name="OFPXCSKWTM" localSheetId="6">#REF!</definedName>
    <definedName name="OFPXCSKWTM">#REF!</definedName>
    <definedName name="ONPKBILLKWH" localSheetId="6">#REF!</definedName>
    <definedName name="ONPKBILLKWH">#REF!</definedName>
    <definedName name="ONPKCAPB" localSheetId="6">#REF!</definedName>
    <definedName name="ONPKCAPB">#REF!</definedName>
    <definedName name="ONPKCGNKWH" localSheetId="6">#REF!</definedName>
    <definedName name="ONPKCGNKWH">#REF!</definedName>
    <definedName name="ONPKCNTRCTCPCT" localSheetId="6">#REF!</definedName>
    <definedName name="ONPKCNTRCTCPCT">#REF!</definedName>
    <definedName name="ONPKDMPKWH" localSheetId="6">#REF!</definedName>
    <definedName name="ONPKDMPKWH">#REF!</definedName>
    <definedName name="ONPKDSCRKWH" localSheetId="6">#REF!</definedName>
    <definedName name="ONPKDSCRKWH">#REF!</definedName>
    <definedName name="ONPKDT" localSheetId="6">#REF!</definedName>
    <definedName name="ONPKDT">#REF!</definedName>
    <definedName name="ONPKINCRKWH" localSheetId="6">#REF!</definedName>
    <definedName name="ONPKINCRKWH">#REF!</definedName>
    <definedName name="ONPKKVA" localSheetId="6">#REF!</definedName>
    <definedName name="ONPKKVA">#REF!</definedName>
    <definedName name="ONPKKVADT" localSheetId="6">#REF!</definedName>
    <definedName name="ONPKKVADT">#REF!</definedName>
    <definedName name="ONPKKVATM" localSheetId="6">#REF!</definedName>
    <definedName name="ONPKKVATM">#REF!</definedName>
    <definedName name="ONPKKW" localSheetId="6">#REF!</definedName>
    <definedName name="ONPKKW">#REF!</definedName>
    <definedName name="ONPKKWH1NOCMM" localSheetId="6">#REF!</definedName>
    <definedName name="ONPKKWH1NOCMM">#REF!</definedName>
    <definedName name="ONPKKWH3NOCMM" localSheetId="6">#REF!</definedName>
    <definedName name="ONPKKWH3NOCMM">#REF!</definedName>
    <definedName name="ONPKRCRDKWH" localSheetId="6">#REF!</definedName>
    <definedName name="ONPKRCRDKWH">#REF!</definedName>
    <definedName name="ONPKTM" localSheetId="6">#REF!</definedName>
    <definedName name="ONPKTM">#REF!</definedName>
    <definedName name="OPCBLKW" localSheetId="6">#REF!</definedName>
    <definedName name="OPCBLKW">#REF!</definedName>
    <definedName name="OPCO" localSheetId="6">#REF!</definedName>
    <definedName name="OPCO">#REF!</definedName>
    <definedName name="OPXCSKW" localSheetId="6">#REF!</definedName>
    <definedName name="OPXCSKW">#REF!</definedName>
    <definedName name="OPXCSKWDT" localSheetId="6">#REF!</definedName>
    <definedName name="OPXCSKWDT">#REF!</definedName>
    <definedName name="OPXCSKWH" localSheetId="6">#REF!</definedName>
    <definedName name="OPXCSKWH">#REF!</definedName>
    <definedName name="OPXCSKWTM" localSheetId="6">#REF!</definedName>
    <definedName name="OPXCSKWTM">#REF!</definedName>
    <definedName name="OTHRTRNSKWH" localSheetId="6">#REF!</definedName>
    <definedName name="OTHRTRNSKWH">#REF!</definedName>
    <definedName name="OVERTIME">#REF!</definedName>
    <definedName name="P1PENPERC" localSheetId="6">#REF!</definedName>
    <definedName name="P1PENPERC">#REF!</definedName>
    <definedName name="P2PENPERC" localSheetId="6">#REF!</definedName>
    <definedName name="P2PENPERC">#REF!</definedName>
    <definedName name="Page1">#REF!</definedName>
    <definedName name="Page10">#REF!</definedName>
    <definedName name="Page11">#REF!</definedName>
    <definedName name="Page12">#REF!</definedName>
    <definedName name="Page13">#REF!</definedName>
    <definedName name="Page14">#REF!</definedName>
    <definedName name="Page15">#REF!</definedName>
    <definedName name="Page3">#REF!</definedName>
    <definedName name="Page4">#REF!</definedName>
    <definedName name="Page5">#REF!</definedName>
    <definedName name="Page6">#REF!</definedName>
    <definedName name="Payment_Date" localSheetId="7">DATE(YEAR(Loan_Start),MONTH(Loan_Start)+Payment_Number,DAY(Loan_Start))</definedName>
    <definedName name="Payment_Date" localSheetId="6">DATE(YEAR(Loan_Start),MONTH(Loan_Start)+Payment_Number,DAY(Loan_Start))</definedName>
    <definedName name="Payment_Date" localSheetId="5">DATE(YEAR(Loan_Start),MONTH(Loan_Start)+Payment_Number,DAY(Loan_Start))</definedName>
    <definedName name="Payment_Date">DATE(YEAR(Loan_Start),MONTH(Loan_Start)+Payment_Number,DAY(Loan_Start))</definedName>
    <definedName name="PeakDemandChg" localSheetId="6">#REF!</definedName>
    <definedName name="PeakDemandChg">#REF!</definedName>
    <definedName name="PenaltyDays" localSheetId="6">#REF!</definedName>
    <definedName name="PenaltyDays">#REF!</definedName>
    <definedName name="PenaltyPct" localSheetId="6">#REF!</definedName>
    <definedName name="PenaltyPct">#REF!</definedName>
    <definedName name="PENDAYS" localSheetId="6">#REF!</definedName>
    <definedName name="PENDAYS">#REF!</definedName>
    <definedName name="PENDAYS2" localSheetId="6">#REF!</definedName>
    <definedName name="PENDAYS2">#REF!</definedName>
    <definedName name="PFCC" localSheetId="6">#REF!</definedName>
    <definedName name="PFCC">#REF!</definedName>
    <definedName name="PKKVAR" localSheetId="6">#REF!</definedName>
    <definedName name="PKKVAR">#REF!</definedName>
    <definedName name="PKKVARDATE" localSheetId="6">#REF!</definedName>
    <definedName name="PKKVARDATE">#REF!</definedName>
    <definedName name="PKKVARTIME" localSheetId="6">#REF!</definedName>
    <definedName name="PKKVARTIME">#REF!</definedName>
    <definedName name="PLVLKWH1" localSheetId="6">#REF!</definedName>
    <definedName name="PLVLKWH1">#REF!</definedName>
    <definedName name="PLVLKWH1A" localSheetId="6">#REF!</definedName>
    <definedName name="PLVLKWH1A">#REF!</definedName>
    <definedName name="PLVLKWH2" localSheetId="6">#REF!</definedName>
    <definedName name="PLVLKWH2">#REF!</definedName>
    <definedName name="PLVLKWH23A" localSheetId="6">#REF!</definedName>
    <definedName name="PLVLKWH23A">#REF!</definedName>
    <definedName name="PLVLKWH25" localSheetId="6">#REF!</definedName>
    <definedName name="PLVLKWH25">#REF!</definedName>
    <definedName name="PLVLKWH2A" localSheetId="6">#REF!</definedName>
    <definedName name="PLVLKWH2A">#REF!</definedName>
    <definedName name="PLVLKWH3" localSheetId="6">#REF!</definedName>
    <definedName name="PLVLKWH3">#REF!</definedName>
    <definedName name="PLVLKWH3A" localSheetId="6">#REF!</definedName>
    <definedName name="PLVLKWH3A">#REF!</definedName>
    <definedName name="PLVLKWH4" localSheetId="6">#REF!</definedName>
    <definedName name="PLVLKWH4">#REF!</definedName>
    <definedName name="PLVLKWH4A" localSheetId="6">#REF!</definedName>
    <definedName name="PLVLKWH4A">#REF!</definedName>
    <definedName name="PREMIUM">#REF!</definedName>
    <definedName name="PRICEDESIG" localSheetId="6">#REF!</definedName>
    <definedName name="PRICEDESIG">#REF!</definedName>
    <definedName name="PriMoAddr1" localSheetId="6">#REF!</definedName>
    <definedName name="PriMoAddr1">#REF!</definedName>
    <definedName name="PriMoAddr2" localSheetId="6">#REF!</definedName>
    <definedName name="PriMoAddr2">#REF!</definedName>
    <definedName name="PriMoBTDetail" localSheetId="6">#REF!</definedName>
    <definedName name="PriMoBTDetail">#REF!</definedName>
    <definedName name="PriMoBuyThrgh_Sheet" localSheetId="6">#REF!</definedName>
    <definedName name="PriMoBuyThrgh_Sheet">#REF!</definedName>
    <definedName name="PriMoCityStZip" localSheetId="6">#REF!</definedName>
    <definedName name="PriMoCityStZip">#REF!</definedName>
    <definedName name="PriMoCustName" localSheetId="6">#REF!</definedName>
    <definedName name="PriMoCustName">#REF!</definedName>
    <definedName name="PriMoMtrMult" localSheetId="6">#REF!</definedName>
    <definedName name="PriMoMtrMult">#REF!</definedName>
    <definedName name="_xlnm.Print_Area" localSheetId="7">'AMPT RR'!$A$1:$L$165</definedName>
    <definedName name="_xlnm.Print_Area" localSheetId="6">'TransCo PJM Zonal Rates'!$A$1:$S$63</definedName>
    <definedName name="_xlnm.Print_Area" localSheetId="5">'Zonal Rates'!$A$1:$U$71</definedName>
    <definedName name="_xlnm.Print_Area">#REF!</definedName>
    <definedName name="Print_Area_Reset" localSheetId="7">OFFSET(Full_Print,0,0,'AMPT RR'!Last_Row)</definedName>
    <definedName name="Print_Area_Reset" localSheetId="6">OFFSET(Full_Print,0,0,'TransCo PJM Zonal Rates'!Last_Row)</definedName>
    <definedName name="Print_Area_Reset" localSheetId="5">OFFSET(Full_Print,0,0,'Zonal Rates'!Last_Row)</definedName>
    <definedName name="Print_Area_Reset">OFFSET(Full_Print,0,0,Last_Row)</definedName>
    <definedName name="_xlnm.Print_Titles">#N/A</definedName>
    <definedName name="ProjectGrid">#REF!</definedName>
    <definedName name="PRVCNT" localSheetId="6">#REF!</definedName>
    <definedName name="PRVCNT">#REF!</definedName>
    <definedName name="PRVDATE" localSheetId="6">#REF!</definedName>
    <definedName name="PRVDATE">#REF!</definedName>
    <definedName name="PRVFUEL" localSheetId="6">#REF!</definedName>
    <definedName name="PRVFUEL">#REF!</definedName>
    <definedName name="PRVKW" localSheetId="6">#REF!</definedName>
    <definedName name="PRVKW">#REF!</definedName>
    <definedName name="PRVKWH" localSheetId="6">#REF!</definedName>
    <definedName name="PRVKWH">#REF!</definedName>
    <definedName name="PRVMSRR" localSheetId="6">#REF!</definedName>
    <definedName name="PRVMSRR">#REF!</definedName>
    <definedName name="PRVPFCC" localSheetId="6">#REF!</definedName>
    <definedName name="PRVPFCC">#REF!</definedName>
    <definedName name="PVHIOFPCBL" localSheetId="6">#REF!</definedName>
    <definedName name="PVHIOFPCBL">#REF!</definedName>
    <definedName name="PVHIOPCBL" localSheetId="6">#REF!</definedName>
    <definedName name="PVHIOPCBL">#REF!</definedName>
    <definedName name="RatchetFactor" localSheetId="6">#REF!</definedName>
    <definedName name="RatchetFactor">#REF!</definedName>
    <definedName name="RCRDRID" localSheetId="6">#REF!</definedName>
    <definedName name="RCRDRID">#REF!</definedName>
    <definedName name="RCTVHRS" localSheetId="6">#REF!</definedName>
    <definedName name="RCTVHRS">#REF!</definedName>
    <definedName name="RDRBLK1C" localSheetId="6">#REF!</definedName>
    <definedName name="RDRBLK1C">#REF!</definedName>
    <definedName name="RDRBLK1Q" localSheetId="6">#REF!</definedName>
    <definedName name="RDRBLK1Q">#REF!</definedName>
    <definedName name="RDRBLK2C" localSheetId="6">#REF!</definedName>
    <definedName name="RDRBLK2C">#REF!</definedName>
    <definedName name="RDRBLK2Q" localSheetId="6">#REF!</definedName>
    <definedName name="RDRBLK2Q">#REF!</definedName>
    <definedName name="RDRBLK3C" localSheetId="6">#REF!</definedName>
    <definedName name="RDRBLK3C">#REF!</definedName>
    <definedName name="RDRBLK3Q" localSheetId="6">#REF!</definedName>
    <definedName name="RDRBLK3Q">#REF!</definedName>
    <definedName name="RDRBLKTC" localSheetId="6">#REF!</definedName>
    <definedName name="RDRBLKTC">#REF!</definedName>
    <definedName name="RDRBLKTC1" localSheetId="6">#REF!</definedName>
    <definedName name="RDRBLKTC1">#REF!</definedName>
    <definedName name="RDRBLKTC10" localSheetId="6">#REF!</definedName>
    <definedName name="RDRBLKTC10">#REF!</definedName>
    <definedName name="RDRBLKTC11" localSheetId="6">#REF!</definedName>
    <definedName name="RDRBLKTC11">#REF!</definedName>
    <definedName name="RDRBLKTC12" localSheetId="6">#REF!</definedName>
    <definedName name="RDRBLKTC12">#REF!</definedName>
    <definedName name="RDRBLKTC13" localSheetId="6">#REF!</definedName>
    <definedName name="RDRBLKTC13">#REF!</definedName>
    <definedName name="RDRBLKTC14" localSheetId="6">#REF!</definedName>
    <definedName name="RDRBLKTC14">#REF!</definedName>
    <definedName name="RDRBLKTC15" localSheetId="6">#REF!</definedName>
    <definedName name="RDRBLKTC15">#REF!</definedName>
    <definedName name="RDRBLKTC16" localSheetId="6">#REF!</definedName>
    <definedName name="RDRBLKTC16">#REF!</definedName>
    <definedName name="RDRBLKTC17" localSheetId="6">#REF!</definedName>
    <definedName name="RDRBLKTC17">#REF!</definedName>
    <definedName name="RDRBLKTC18" localSheetId="6">#REF!</definedName>
    <definedName name="RDRBLKTC18">#REF!</definedName>
    <definedName name="RDRBLKTC19" localSheetId="6">#REF!</definedName>
    <definedName name="RDRBLKTC19">#REF!</definedName>
    <definedName name="RDRBLKTC2" localSheetId="6">#REF!</definedName>
    <definedName name="RDRBLKTC2">#REF!</definedName>
    <definedName name="RDRBLKTC20" localSheetId="6">#REF!</definedName>
    <definedName name="RDRBLKTC20">#REF!</definedName>
    <definedName name="RDRBLKTC3" localSheetId="6">#REF!</definedName>
    <definedName name="RDRBLKTC3">#REF!</definedName>
    <definedName name="RDRBLKTC4" localSheetId="6">#REF!</definedName>
    <definedName name="RDRBLKTC4">#REF!</definedName>
    <definedName name="RDRBLKTC5" localSheetId="6">#REF!</definedName>
    <definedName name="RDRBLKTC5">#REF!</definedName>
    <definedName name="RDRBLKTC6" localSheetId="6">#REF!</definedName>
    <definedName name="RDRBLKTC6">#REF!</definedName>
    <definedName name="RDRBLKTC7" localSheetId="6">#REF!</definedName>
    <definedName name="RDRBLKTC7">#REF!</definedName>
    <definedName name="RDRBLKTC8" localSheetId="6">#REF!</definedName>
    <definedName name="RDRBLKTC8">#REF!</definedName>
    <definedName name="RDRBLKTC9" localSheetId="6">#REF!</definedName>
    <definedName name="RDRBLKTC9">#REF!</definedName>
    <definedName name="RDRBLKTQ" localSheetId="6">#REF!</definedName>
    <definedName name="RDRBLKTQ">#REF!</definedName>
    <definedName name="RDRCODE" localSheetId="6">#REF!</definedName>
    <definedName name="RDRCODE">#REF!</definedName>
    <definedName name="RDRCYCLE" localSheetId="6">#REF!</definedName>
    <definedName name="RDRCYCLE">#REF!</definedName>
    <definedName name="RDRDATE" localSheetId="6">#REF!</definedName>
    <definedName name="RDRDATE">#REF!</definedName>
    <definedName name="RDRNAME" localSheetId="6">#REF!</definedName>
    <definedName name="RDRNAME">#REF!</definedName>
    <definedName name="RDRRATEB" localSheetId="6">#REF!</definedName>
    <definedName name="RDRRATEB">#REF!</definedName>
    <definedName name="RDRRATEB1" localSheetId="6">#REF!</definedName>
    <definedName name="RDRRATEB1">#REF!</definedName>
    <definedName name="RDRRATEB10" localSheetId="6">#REF!</definedName>
    <definedName name="RDRRATEB10">#REF!</definedName>
    <definedName name="RDRRATEB11" localSheetId="6">#REF!</definedName>
    <definedName name="RDRRATEB11">#REF!</definedName>
    <definedName name="RDRRATEB12" localSheetId="6">#REF!</definedName>
    <definedName name="RDRRATEB12">#REF!</definedName>
    <definedName name="RDRRATEB13" localSheetId="6">#REF!</definedName>
    <definedName name="RDRRATEB13">#REF!</definedName>
    <definedName name="RDRRATEB14" localSheetId="6">#REF!</definedName>
    <definedName name="RDRRATEB14">#REF!</definedName>
    <definedName name="RDRRATEB15" localSheetId="6">#REF!</definedName>
    <definedName name="RDRRATEB15">#REF!</definedName>
    <definedName name="RDRRATEB16" localSheetId="6">#REF!</definedName>
    <definedName name="RDRRATEB16">#REF!</definedName>
    <definedName name="RDRRATEB17" localSheetId="6">#REF!</definedName>
    <definedName name="RDRRATEB17">#REF!</definedName>
    <definedName name="RDRRATEB18" localSheetId="6">#REF!</definedName>
    <definedName name="RDRRATEB18">#REF!</definedName>
    <definedName name="RDRRATEB19" localSheetId="6">#REF!</definedName>
    <definedName name="RDRRATEB19">#REF!</definedName>
    <definedName name="RDRRATEB2" localSheetId="6">#REF!</definedName>
    <definedName name="RDRRATEB2">#REF!</definedName>
    <definedName name="RDRRATEB20" localSheetId="6">#REF!</definedName>
    <definedName name="RDRRATEB20">#REF!</definedName>
    <definedName name="RDRRATEB3" localSheetId="6">#REF!</definedName>
    <definedName name="RDRRATEB3">#REF!</definedName>
    <definedName name="RDRRATEB4" localSheetId="6">#REF!</definedName>
    <definedName name="RDRRATEB4">#REF!</definedName>
    <definedName name="RDRRATEB5" localSheetId="6">#REF!</definedName>
    <definedName name="RDRRATEB5">#REF!</definedName>
    <definedName name="RDRRATEB6" localSheetId="6">#REF!</definedName>
    <definedName name="RDRRATEB6">#REF!</definedName>
    <definedName name="RDRRATEB7" localSheetId="6">#REF!</definedName>
    <definedName name="RDRRATEB7">#REF!</definedName>
    <definedName name="RDRRATEB8" localSheetId="6">#REF!</definedName>
    <definedName name="RDRRATEB8">#REF!</definedName>
    <definedName name="RDRRATEB9" localSheetId="6">#REF!</definedName>
    <definedName name="RDRRATEB9">#REF!</definedName>
    <definedName name="RDRRATED" localSheetId="6">#REF!</definedName>
    <definedName name="RDRRATED">#REF!</definedName>
    <definedName name="RDRRATED1" localSheetId="6">#REF!</definedName>
    <definedName name="RDRRATED1">#REF!</definedName>
    <definedName name="RDRRATED10" localSheetId="6">#REF!</definedName>
    <definedName name="RDRRATED10">#REF!</definedName>
    <definedName name="RDRRATED11" localSheetId="6">#REF!</definedName>
    <definedName name="RDRRATED11">#REF!</definedName>
    <definedName name="RDRRATED12" localSheetId="6">#REF!</definedName>
    <definedName name="RDRRATED12">#REF!</definedName>
    <definedName name="RDRRATED13" localSheetId="6">#REF!</definedName>
    <definedName name="RDRRATED13">#REF!</definedName>
    <definedName name="RDRRATED14" localSheetId="6">#REF!</definedName>
    <definedName name="RDRRATED14">#REF!</definedName>
    <definedName name="RDRRATED15" localSheetId="6">#REF!</definedName>
    <definedName name="RDRRATED15">#REF!</definedName>
    <definedName name="RDRRATED16" localSheetId="6">#REF!</definedName>
    <definedName name="RDRRATED16">#REF!</definedName>
    <definedName name="RDRRATED17" localSheetId="6">#REF!</definedName>
    <definedName name="RDRRATED17">#REF!</definedName>
    <definedName name="RDRRATED18" localSheetId="6">#REF!</definedName>
    <definedName name="RDRRATED18">#REF!</definedName>
    <definedName name="RDRRATED19" localSheetId="6">#REF!</definedName>
    <definedName name="RDRRATED19">#REF!</definedName>
    <definedName name="RDRRATED2" localSheetId="6">#REF!</definedName>
    <definedName name="RDRRATED2">#REF!</definedName>
    <definedName name="RDRRATED20" localSheetId="6">#REF!</definedName>
    <definedName name="RDRRATED20">#REF!</definedName>
    <definedName name="RDRRATED3" localSheetId="6">#REF!</definedName>
    <definedName name="RDRRATED3">#REF!</definedName>
    <definedName name="RDRRATED4" localSheetId="6">#REF!</definedName>
    <definedName name="RDRRATED4">#REF!</definedName>
    <definedName name="RDRRATED5" localSheetId="6">#REF!</definedName>
    <definedName name="RDRRATED5">#REF!</definedName>
    <definedName name="RDRRATED6" localSheetId="6">#REF!</definedName>
    <definedName name="RDRRATED6">#REF!</definedName>
    <definedName name="RDRRATED7" localSheetId="6">#REF!</definedName>
    <definedName name="RDRRATED7">#REF!</definedName>
    <definedName name="RDRRATED8" localSheetId="6">#REF!</definedName>
    <definedName name="RDRRATED8">#REF!</definedName>
    <definedName name="RDRRATED9" localSheetId="6">#REF!</definedName>
    <definedName name="RDRRATED9">#REF!</definedName>
    <definedName name="RDRRATEG" localSheetId="6">#REF!</definedName>
    <definedName name="RDRRATEG">#REF!</definedName>
    <definedName name="RDRRATEG1" localSheetId="6">#REF!</definedName>
    <definedName name="RDRRATEG1">#REF!</definedName>
    <definedName name="RDRRATEG10" localSheetId="6">#REF!</definedName>
    <definedName name="RDRRATEG10">#REF!</definedName>
    <definedName name="RDRRATEG11" localSheetId="6">#REF!</definedName>
    <definedName name="RDRRATEG11">#REF!</definedName>
    <definedName name="RDRRATEG12" localSheetId="6">#REF!</definedName>
    <definedName name="RDRRATEG12">#REF!</definedName>
    <definedName name="RDRRATEG13" localSheetId="6">#REF!</definedName>
    <definedName name="RDRRATEG13">#REF!</definedName>
    <definedName name="RDRRATEG14" localSheetId="6">#REF!</definedName>
    <definedName name="RDRRATEG14">#REF!</definedName>
    <definedName name="RDRRATEG15" localSheetId="6">#REF!</definedName>
    <definedName name="RDRRATEG15">#REF!</definedName>
    <definedName name="RDRRATEG16" localSheetId="6">#REF!</definedName>
    <definedName name="RDRRATEG16">#REF!</definedName>
    <definedName name="RDRRATEG17" localSheetId="6">#REF!</definedName>
    <definedName name="RDRRATEG17">#REF!</definedName>
    <definedName name="RDRRATEG18" localSheetId="6">#REF!</definedName>
    <definedName name="RDRRATEG18">#REF!</definedName>
    <definedName name="RDRRATEG19" localSheetId="6">#REF!</definedName>
    <definedName name="RDRRATEG19">#REF!</definedName>
    <definedName name="RDRRATEG2" localSheetId="6">#REF!</definedName>
    <definedName name="RDRRATEG2">#REF!</definedName>
    <definedName name="RDRRATEG20" localSheetId="6">#REF!</definedName>
    <definedName name="RDRRATEG20">#REF!</definedName>
    <definedName name="RDRRATEG3" localSheetId="6">#REF!</definedName>
    <definedName name="RDRRATEG3">#REF!</definedName>
    <definedName name="RDRRATEG4" localSheetId="6">#REF!</definedName>
    <definedName name="RDRRATEG4">#REF!</definedName>
    <definedName name="RDRRATEG5" localSheetId="6">#REF!</definedName>
    <definedName name="RDRRATEG5">#REF!</definedName>
    <definedName name="RDRRATEG6" localSheetId="6">#REF!</definedName>
    <definedName name="RDRRATEG6">#REF!</definedName>
    <definedName name="RDRRATEG7" localSheetId="6">#REF!</definedName>
    <definedName name="RDRRATEG7">#REF!</definedName>
    <definedName name="RDRRATEG8" localSheetId="6">#REF!</definedName>
    <definedName name="RDRRATEG8">#REF!</definedName>
    <definedName name="RDRRATEG9" localSheetId="6">#REF!</definedName>
    <definedName name="RDRRATEG9">#REF!</definedName>
    <definedName name="RDRRATET" localSheetId="6">#REF!</definedName>
    <definedName name="RDRRATET">#REF!</definedName>
    <definedName name="RDRRATET1" localSheetId="6">#REF!</definedName>
    <definedName name="RDRRATET1">#REF!</definedName>
    <definedName name="RDRRATET10" localSheetId="6">#REF!</definedName>
    <definedName name="RDRRATET10">#REF!</definedName>
    <definedName name="RDRRATET11" localSheetId="6">#REF!</definedName>
    <definedName name="RDRRATET11">#REF!</definedName>
    <definedName name="RDRRATET12" localSheetId="6">#REF!</definedName>
    <definedName name="RDRRATET12">#REF!</definedName>
    <definedName name="RDRRATET13" localSheetId="6">#REF!</definedName>
    <definedName name="RDRRATET13">#REF!</definedName>
    <definedName name="RDRRATET14" localSheetId="6">#REF!</definedName>
    <definedName name="RDRRATET14">#REF!</definedName>
    <definedName name="RDRRATET15" localSheetId="6">#REF!</definedName>
    <definedName name="RDRRATET15">#REF!</definedName>
    <definedName name="RDRRATET16" localSheetId="6">#REF!</definedName>
    <definedName name="RDRRATET16">#REF!</definedName>
    <definedName name="RDRRATET17" localSheetId="6">#REF!</definedName>
    <definedName name="RDRRATET17">#REF!</definedName>
    <definedName name="RDRRATET18" localSheetId="6">#REF!</definedName>
    <definedName name="RDRRATET18">#REF!</definedName>
    <definedName name="RDRRATET19" localSheetId="6">#REF!</definedName>
    <definedName name="RDRRATET19">#REF!</definedName>
    <definedName name="RDRRATET2" localSheetId="6">#REF!</definedName>
    <definedName name="RDRRATET2">#REF!</definedName>
    <definedName name="RDRRATET20" localSheetId="6">#REF!</definedName>
    <definedName name="RDRRATET20">#REF!</definedName>
    <definedName name="RDRRATET3" localSheetId="6">#REF!</definedName>
    <definedName name="RDRRATET3">#REF!</definedName>
    <definedName name="RDRRATET4" localSheetId="6">#REF!</definedName>
    <definedName name="RDRRATET4">#REF!</definedName>
    <definedName name="RDRRATET5" localSheetId="6">#REF!</definedName>
    <definedName name="RDRRATET5">#REF!</definedName>
    <definedName name="RDRRATET6" localSheetId="6">#REF!</definedName>
    <definedName name="RDRRATET6">#REF!</definedName>
    <definedName name="RDRRATET7" localSheetId="6">#REF!</definedName>
    <definedName name="RDRRATET7">#REF!</definedName>
    <definedName name="RDRRATET8" localSheetId="6">#REF!</definedName>
    <definedName name="RDRRATET8">#REF!</definedName>
    <definedName name="RDRRATET9" localSheetId="6">#REF!</definedName>
    <definedName name="RDRRATET9">#REF!</definedName>
    <definedName name="RDRTYPE" localSheetId="6">#REF!</definedName>
    <definedName name="RDRTYPE">#REF!</definedName>
    <definedName name="RDRUNITS" localSheetId="6">#REF!</definedName>
    <definedName name="RDRUNITS">#REF!</definedName>
    <definedName name="_xlnm.Recorder" localSheetId="6">#REF!</definedName>
    <definedName name="_xlnm.Recorder">#REF!</definedName>
    <definedName name="Reserved_Section" localSheetId="6">#REF!</definedName>
    <definedName name="Reserved_Section">#REF!</definedName>
    <definedName name="RIDERS" localSheetId="6">#REF!</definedName>
    <definedName name="RIDERS">#REF!</definedName>
    <definedName name="RITCHIE">#REF!</definedName>
    <definedName name="RKVAHRDNG" localSheetId="6">#REF!</definedName>
    <definedName name="RKVAHRDNG">#REF!</definedName>
    <definedName name="ROBINSON">#REF!</definedName>
    <definedName name="RTCHTCNTRCTCPCT" localSheetId="6">#REF!</definedName>
    <definedName name="RTCHTCNTRCTCPCT">#REF!</definedName>
    <definedName name="RTCHTFCTR" localSheetId="6">#REF!</definedName>
    <definedName name="RTCHTFCTR">#REF!</definedName>
    <definedName name="RTCHTFCTR2" localSheetId="6">#REF!</definedName>
    <definedName name="RTCHTFCTR2">#REF!</definedName>
    <definedName name="RTCHTHIPREVKW" localSheetId="6">#REF!</definedName>
    <definedName name="RTCHTHIPREVKW">#REF!</definedName>
    <definedName name="RTP_Detail" localSheetId="6">#REF!</definedName>
    <definedName name="RTP_Detail">#REF!</definedName>
    <definedName name="RTPLRKW" localSheetId="6">#REF!</definedName>
    <definedName name="RTPLRKW">#REF!</definedName>
    <definedName name="SAPBEXdnldView" hidden="1">"4NC339UO2TFQ0ER0AEYICNVJ3"</definedName>
    <definedName name="SAPBEXsysID" hidden="1">"BWP"</definedName>
    <definedName name="SDI" localSheetId="6">#REF!</definedName>
    <definedName name="SDI">#REF!</definedName>
    <definedName name="sencount" hidden="1">2</definedName>
    <definedName name="SHLDRPKKW" localSheetId="6">#REF!</definedName>
    <definedName name="SHLDRPKKW">#REF!</definedName>
    <definedName name="SHLDRPKKWDT" localSheetId="6">#REF!</definedName>
    <definedName name="SHLDRPKKWDT">#REF!</definedName>
    <definedName name="SHLDRPKKWTM" localSheetId="6">#REF!</definedName>
    <definedName name="SHLDRPKKWTM">#REF!</definedName>
    <definedName name="SHRDTRNSKWH" localSheetId="6">#REF!</definedName>
    <definedName name="SHRDTRNSKWH">#REF!</definedName>
    <definedName name="SLONE">#REF!</definedName>
    <definedName name="solver_ntri" hidden="1">1000</definedName>
    <definedName name="solver_rsmp" hidden="1">2</definedName>
    <definedName name="solver_seed" hidden="1">0</definedName>
    <definedName name="SRPLSKWH" localSheetId="6">#REF!</definedName>
    <definedName name="SRPLSKWH">#REF!</definedName>
    <definedName name="STARTDTM" localSheetId="6">#REF!</definedName>
    <definedName name="STARTDTM">#REF!</definedName>
    <definedName name="State" localSheetId="6">#REF!</definedName>
    <definedName name="State">#REF!</definedName>
    <definedName name="STDKW" localSheetId="6">#REF!</definedName>
    <definedName name="STDKW">#REF!</definedName>
    <definedName name="STDKWDT" localSheetId="6">#REF!</definedName>
    <definedName name="STDKWDT">#REF!</definedName>
    <definedName name="STDKWTM" localSheetId="6">#REF!</definedName>
    <definedName name="STDKWTM">#REF!</definedName>
    <definedName name="STRTTIME" localSheetId="6">#REF!</definedName>
    <definedName name="STRTTIME">#REF!</definedName>
    <definedName name="SYSPKKW" localSheetId="6">#REF!</definedName>
    <definedName name="SYSPKKW">#REF!</definedName>
    <definedName name="SYSPKKWDT" localSheetId="6">#REF!</definedName>
    <definedName name="SYSPKKWDT">#REF!</definedName>
    <definedName name="SYSPKKWTM" localSheetId="6">#REF!</definedName>
    <definedName name="SYSPKKWTM">#REF!</definedName>
    <definedName name="TARIFF1" localSheetId="6">#REF!</definedName>
    <definedName name="TARIFF1">#REF!</definedName>
    <definedName name="TARIFF2" localSheetId="6">#REF!</definedName>
    <definedName name="TARIFF2">#REF!</definedName>
    <definedName name="TariffCode" localSheetId="6">#REF!</definedName>
    <definedName name="TariffCode">#REF!</definedName>
    <definedName name="TariffLongName" localSheetId="6">#REF!</definedName>
    <definedName name="TariffLongName">#REF!</definedName>
    <definedName name="TariffShortName" localSheetId="6">#REF!</definedName>
    <definedName name="TariffShortName">#REF!</definedName>
    <definedName name="TAXDATE" localSheetId="6">#REF!</definedName>
    <definedName name="TAXDATE">#REF!</definedName>
    <definedName name="TAXES" localSheetId="6">#REF!</definedName>
    <definedName name="TAXES">#REF!</definedName>
    <definedName name="TAXNAME" localSheetId="6">#REF!</definedName>
    <definedName name="TAXNAME">#REF!</definedName>
    <definedName name="TAXRATE" localSheetId="6">#REF!</definedName>
    <definedName name="TAXRATE">#REF!</definedName>
    <definedName name="TAXTYPE" localSheetId="6">#REF!</definedName>
    <definedName name="TAXTYPE">#REF!</definedName>
    <definedName name="TCst" localSheetId="6">#REF!</definedName>
    <definedName name="TCst">#REF!</definedName>
    <definedName name="TCst1" localSheetId="6">#REF!</definedName>
    <definedName name="TCst1">#REF!</definedName>
    <definedName name="THOMPSON">#REF!</definedName>
    <definedName name="TIRPCCHG" localSheetId="6">#REF!</definedName>
    <definedName name="TIRPCCHG">#REF!</definedName>
    <definedName name="TIRPDCHG1" localSheetId="6">#REF!</definedName>
    <definedName name="TIRPDCHG1">#REF!</definedName>
    <definedName name="TIRPDCHG2" localSheetId="6">#REF!</definedName>
    <definedName name="TIRPDCHG2">#REF!</definedName>
    <definedName name="TIRPECHG1" localSheetId="6">#REF!</definedName>
    <definedName name="TIRPECHG1">#REF!</definedName>
    <definedName name="TIRPECHGB1" localSheetId="6">#REF!</definedName>
    <definedName name="TIRPECHGB1">#REF!</definedName>
    <definedName name="TIRPECHGB2" localSheetId="6">#REF!</definedName>
    <definedName name="TIRPECHGB2">#REF!</definedName>
    <definedName name="TIRPECHGB3" localSheetId="6">#REF!</definedName>
    <definedName name="TIRPECHGB3">#REF!</definedName>
    <definedName name="TIRPMECHG1" localSheetId="6">#REF!</definedName>
    <definedName name="TIRPMECHG1">#REF!</definedName>
    <definedName name="TIRPMINDC" localSheetId="6">#REF!</definedName>
    <definedName name="TIRPMINDC">#REF!</definedName>
    <definedName name="TIRPMINEC" localSheetId="6">#REF!</definedName>
    <definedName name="TIRPMINEC">#REF!</definedName>
    <definedName name="TIRPOFKVA" localSheetId="6">#REF!</definedName>
    <definedName name="TIRPOFKVA">#REF!</definedName>
    <definedName name="TIRPOFKW" localSheetId="6">#REF!</definedName>
    <definedName name="TIRPOFKW">#REF!</definedName>
    <definedName name="TIRPOFKWH" localSheetId="6">#REF!</definedName>
    <definedName name="TIRPOFKWH">#REF!</definedName>
    <definedName name="TIRPOPKWH" localSheetId="6">#REF!</definedName>
    <definedName name="TIRPOPKWH">#REF!</definedName>
    <definedName name="TIRPP1EC" localSheetId="6">#REF!</definedName>
    <definedName name="TIRPP1EC">#REF!</definedName>
    <definedName name="TIRPP2EC" localSheetId="6">#REF!</definedName>
    <definedName name="TIRPP2EC">#REF!</definedName>
    <definedName name="TIRPP3EC" localSheetId="6">#REF!</definedName>
    <definedName name="TIRPP3EC">#REF!</definedName>
    <definedName name="TIRPP4EC" localSheetId="6">#REF!</definedName>
    <definedName name="TIRPP4EC">#REF!</definedName>
    <definedName name="TIRPP5EC" localSheetId="6">#REF!</definedName>
    <definedName name="TIRPP5EC">#REF!</definedName>
    <definedName name="TIRPRCHG" localSheetId="6">#REF!</definedName>
    <definedName name="TIRPRCHG">#REF!</definedName>
    <definedName name="TLsFctr" localSheetId="6">#REF!</definedName>
    <definedName name="TLsFctr">#REF!</definedName>
    <definedName name="TOC_3">'03,KY'!$I$1</definedName>
    <definedName name="TOC_4">'03,KY'!$I$2</definedName>
    <definedName name="TOC_5">'03,KY'!$A$4</definedName>
    <definedName name="TRCRDKWH" localSheetId="6">#REF!</definedName>
    <definedName name="TRCRDKWH">#REF!</definedName>
    <definedName name="TRCRDKWH2P" localSheetId="6">#REF!</definedName>
    <definedName name="TRCRDKWH2P">#REF!</definedName>
    <definedName name="TRFDATE1" localSheetId="6">#REF!</definedName>
    <definedName name="TRFDATE1">#REF!</definedName>
    <definedName name="TRFDATE2" localSheetId="6">#REF!</definedName>
    <definedName name="TRFDATE2">#REF!</definedName>
    <definedName name="TRFNAME1" localSheetId="6">#REF!</definedName>
    <definedName name="TRFNAME1">#REF!</definedName>
    <definedName name="TRFNAME2" localSheetId="6">#REF!</definedName>
    <definedName name="TRFNAME2">#REF!</definedName>
    <definedName name="TRFSHORTNM1" localSheetId="6">#REF!</definedName>
    <definedName name="TRFSHORTNM1">#REF!</definedName>
    <definedName name="TRFSHORTNM2" localSheetId="6">#REF!</definedName>
    <definedName name="TRFSHORTNM2">#REF!</definedName>
    <definedName name="TrnBlkKwhChg1" localSheetId="6">#REF!</definedName>
    <definedName name="TrnBlkKwhChg1">#REF!</definedName>
    <definedName name="TrnBlkKwhChg2" localSheetId="6">#REF!</definedName>
    <definedName name="TrnBlkKwhChg2">#REF!</definedName>
    <definedName name="TrnBlkKwhChg3" localSheetId="6">#REF!</definedName>
    <definedName name="TrnBlkKwhChg3">#REF!</definedName>
    <definedName name="TrnBlkKwhChgT" localSheetId="6">#REF!</definedName>
    <definedName name="TrnBlkKwhChgT">#REF!</definedName>
    <definedName name="TRNCCHG" localSheetId="6">#REF!</definedName>
    <definedName name="TRNCCHG">#REF!</definedName>
    <definedName name="TrnCustChg" localSheetId="6">#REF!</definedName>
    <definedName name="TrnCustChg">#REF!</definedName>
    <definedName name="TRNDCHG1" localSheetId="6">#REF!</definedName>
    <definedName name="TRNDCHG1">#REF!</definedName>
    <definedName name="TRNDCHG2" localSheetId="6">#REF!</definedName>
    <definedName name="TRNDCHG2">#REF!</definedName>
    <definedName name="TrnDmdChg1" localSheetId="6">#REF!</definedName>
    <definedName name="TrnDmdChg1">#REF!</definedName>
    <definedName name="TrnDmdChg2" localSheetId="6">#REF!</definedName>
    <definedName name="TrnDmdChg2">#REF!</definedName>
    <definedName name="TRNECHG1" localSheetId="6">#REF!</definedName>
    <definedName name="TRNECHG1">#REF!</definedName>
    <definedName name="TRNECHGB1" localSheetId="6">#REF!</definedName>
    <definedName name="TRNECHGB1">#REF!</definedName>
    <definedName name="TRNECHGB2" localSheetId="6">#REF!</definedName>
    <definedName name="TRNECHGB2">#REF!</definedName>
    <definedName name="TRNECHGB3" localSheetId="6">#REF!</definedName>
    <definedName name="TRNECHGB3">#REF!</definedName>
    <definedName name="TrnMEChg" localSheetId="6">#REF!</definedName>
    <definedName name="TrnMEChg">#REF!</definedName>
    <definedName name="TRNMECHG1" localSheetId="6">#REF!</definedName>
    <definedName name="TRNMECHG1">#REF!</definedName>
    <definedName name="TRNMINDC" localSheetId="6">#REF!</definedName>
    <definedName name="TRNMINDC">#REF!</definedName>
    <definedName name="TrnMinDChg" localSheetId="6">#REF!</definedName>
    <definedName name="TrnMinDChg">#REF!</definedName>
    <definedName name="TRNMINEC" localSheetId="6">#REF!</definedName>
    <definedName name="TRNMINEC">#REF!</definedName>
    <definedName name="TrnMinEChg" localSheetId="6">#REF!</definedName>
    <definedName name="TrnMinEChg">#REF!</definedName>
    <definedName name="TrnOffPkKwh" localSheetId="6">#REF!</definedName>
    <definedName name="TrnOffPkKwh">#REF!</definedName>
    <definedName name="TRNOFKWH" localSheetId="6">#REF!</definedName>
    <definedName name="TRNOFKWH">#REF!</definedName>
    <definedName name="TrnOnPkKwh" localSheetId="6">#REF!</definedName>
    <definedName name="TrnOnPkKwh">#REF!</definedName>
    <definedName name="TRNOPKWH" localSheetId="6">#REF!</definedName>
    <definedName name="TRNOPKWH">#REF!</definedName>
    <definedName name="TRNP1EC" localSheetId="6">#REF!</definedName>
    <definedName name="TRNP1EC">#REF!</definedName>
    <definedName name="TRNP2EC" localSheetId="6">#REF!</definedName>
    <definedName name="TRNP2EC">#REF!</definedName>
    <definedName name="TRNP3EC" localSheetId="6">#REF!</definedName>
    <definedName name="TRNP3EC">#REF!</definedName>
    <definedName name="TRNP4EC" localSheetId="6">#REF!</definedName>
    <definedName name="TRNP4EC">#REF!</definedName>
    <definedName name="TRNP5EC" localSheetId="6">#REF!</definedName>
    <definedName name="TRNP5EC">#REF!</definedName>
    <definedName name="TrnPL1Chg" localSheetId="6">#REF!</definedName>
    <definedName name="TrnPL1Chg">#REF!</definedName>
    <definedName name="TrnPL2Chg" localSheetId="6">#REF!</definedName>
    <definedName name="TrnPL2Chg">#REF!</definedName>
    <definedName name="TrnPL3Chg" localSheetId="6">#REF!</definedName>
    <definedName name="TrnPL3Chg">#REF!</definedName>
    <definedName name="TrnPL4Chg" localSheetId="6">#REF!</definedName>
    <definedName name="TrnPL4Chg">#REF!</definedName>
    <definedName name="TrnPL5Chg" localSheetId="6">#REF!</definedName>
    <definedName name="TrnPL5Chg">#REF!</definedName>
    <definedName name="TRNRCHG" localSheetId="6">#REF!</definedName>
    <definedName name="TRNRCHG">#REF!</definedName>
    <definedName name="TrnReactiveChg" localSheetId="6">#REF!</definedName>
    <definedName name="TrnReactiveChg">#REF!</definedName>
    <definedName name="TRNSKWTOFPK" localSheetId="6">#REF!</definedName>
    <definedName name="TRNSKWTOFPK">#REF!</definedName>
    <definedName name="TRNSKWTONPK" localSheetId="6">#REF!</definedName>
    <definedName name="TRNSKWTONPK">#REF!</definedName>
    <definedName name="TRNXOFKVA" localSheetId="6">#REF!</definedName>
    <definedName name="TRNXOFKVA">#REF!</definedName>
    <definedName name="TRNXOFKW" localSheetId="6">#REF!</definedName>
    <definedName name="TRNXOFKW">#REF!</definedName>
    <definedName name="TrnXOfpKvaChg" localSheetId="6">#REF!</definedName>
    <definedName name="TrnXOfpKvaChg">#REF!</definedName>
    <definedName name="TrnXOfpKwChg" localSheetId="6">#REF!</definedName>
    <definedName name="TrnXOfpKwChg">#REF!</definedName>
    <definedName name="TTLBSRATETTL" localSheetId="6">#REF!</definedName>
    <definedName name="TTLBSRATETTL">#REF!</definedName>
    <definedName name="TTLCOGENKWH" localSheetId="6">#REF!</definedName>
    <definedName name="TTLCOGENKWH">#REF!</definedName>
    <definedName name="UHL">#REF!</definedName>
    <definedName name="UNBUNDIND" localSheetId="6">#REF!</definedName>
    <definedName name="UNBUNDIND">#REF!</definedName>
    <definedName name="Values_Entered" localSheetId="7">IF(Loan_Amount*Interest_Rate*Loan_Years*Loan_Start&gt;0,1,0)</definedName>
    <definedName name="Values_Entered" localSheetId="6">IF(Loan_Amount*Interest_Rate*Loan_Years*Loan_Start&gt;0,1,0)</definedName>
    <definedName name="Values_Entered" localSheetId="5">IF(Loan_Amount*Interest_Rate*Loan_Years*Loan_Start&gt;0,1,0)</definedName>
    <definedName name="Values_Entered">IF(Loan_Amount*Interest_Rate*Loan_Years*Loan_Start&gt;0,1,0)</definedName>
    <definedName name="we" localSheetId="7" hidden="1">{"0513 Cashflows Airlines",#N/A,FALSE,"Table 4";"0513 Funding Airlines",#N/A,FALSE,"Table 4"}</definedName>
    <definedName name="we" localSheetId="6" hidden="1">{"0513 Cashflows Airlines",#N/A,FALSE,"Table 4";"0513 Funding Airlines",#N/A,FALSE,"Table 4"}</definedName>
    <definedName name="we" localSheetId="5" hidden="1">{"0513 Cashflows Airlines",#N/A,FALSE,"Table 4";"0513 Funding Airlines",#N/A,FALSE,"Table 4"}</definedName>
    <definedName name="we" hidden="1">{"0513 Cashflows Airlines",#N/A,FALSE,"Table 4";"0513 Funding Airlines",#N/A,FALSE,"Table 4"}</definedName>
    <definedName name="what" localSheetId="7" hidden="1">{#N/A,#N/A,FALSE,"Rollup";#N/A,#N/A,FALSE,"ContCost";#N/A,#N/A,FALSE,"M&amp;S";#N/A,#N/A,FALSE,"MNR";#N/A,#N/A,FALSE,"LabSum";#N/A,#N/A,FALSE,"Benes";#N/A,#N/A,FALSE,"Apr";#N/A,#N/A,FALSE,"May";#N/A,#N/A,FALSE,"Jun";#N/A,#N/A,FALSE,"Jul";#N/A,#N/A,FALSE,"Aug";#N/A,#N/A,FALSE,"Sep";#N/A,#N/A,FALSE,"Oct";#N/A,#N/A,FALSE,"Nov";#N/A,#N/A,FALSE,"Dec";#N/A,#N/A,FALSE,"Jan";#N/A,#N/A,FALSE,"Feb";#N/A,#N/A,FALSE,"Mar"}</definedName>
    <definedName name="what" localSheetId="6" hidden="1">{#N/A,#N/A,FALSE,"Rollup";#N/A,#N/A,FALSE,"ContCost";#N/A,#N/A,FALSE,"M&amp;S";#N/A,#N/A,FALSE,"MNR";#N/A,#N/A,FALSE,"LabSum";#N/A,#N/A,FALSE,"Benes";#N/A,#N/A,FALSE,"Apr";#N/A,#N/A,FALSE,"May";#N/A,#N/A,FALSE,"Jun";#N/A,#N/A,FALSE,"Jul";#N/A,#N/A,FALSE,"Aug";#N/A,#N/A,FALSE,"Sep";#N/A,#N/A,FALSE,"Oct";#N/A,#N/A,FALSE,"Nov";#N/A,#N/A,FALSE,"Dec";#N/A,#N/A,FALSE,"Jan";#N/A,#N/A,FALSE,"Feb";#N/A,#N/A,FALSE,"Mar"}</definedName>
    <definedName name="what" localSheetId="5" hidden="1">{#N/A,#N/A,FALSE,"Rollup";#N/A,#N/A,FALSE,"ContCost";#N/A,#N/A,FALSE,"M&amp;S";#N/A,#N/A,FALSE,"MNR";#N/A,#N/A,FALSE,"LabSum";#N/A,#N/A,FALSE,"Benes";#N/A,#N/A,FALSE,"Apr";#N/A,#N/A,FALSE,"May";#N/A,#N/A,FALSE,"Jun";#N/A,#N/A,FALSE,"Jul";#N/A,#N/A,FALSE,"Aug";#N/A,#N/A,FALSE,"Sep";#N/A,#N/A,FALSE,"Oct";#N/A,#N/A,FALSE,"Nov";#N/A,#N/A,FALSE,"Dec";#N/A,#N/A,FALSE,"Jan";#N/A,#N/A,FALSE,"Feb";#N/A,#N/A,FALSE,"Mar"}</definedName>
    <definedName name="what" hidden="1">{#N/A,#N/A,FALSE,"Rollup";#N/A,#N/A,FALSE,"ContCost";#N/A,#N/A,FALSE,"M&amp;S";#N/A,#N/A,FALSE,"MNR";#N/A,#N/A,FALSE,"LabSum";#N/A,#N/A,FALSE,"Benes";#N/A,#N/A,FALSE,"Apr";#N/A,#N/A,FALSE,"May";#N/A,#N/A,FALSE,"Jun";#N/A,#N/A,FALSE,"Jul";#N/A,#N/A,FALSE,"Aug";#N/A,#N/A,FALSE,"Sep";#N/A,#N/A,FALSE,"Oct";#N/A,#N/A,FALSE,"Nov";#N/A,#N/A,FALSE,"Dec";#N/A,#N/A,FALSE,"Jan";#N/A,#N/A,FALSE,"Feb";#N/A,#N/A,FALSE,"Mar"}</definedName>
    <definedName name="wrn.3cases." localSheetId="7" hidden="1">{#N/A,"Base",FALSE,"Dividend";#N/A,"Conservative",FALSE,"Dividend";#N/A,"Downside",FALSE,"Dividend"}</definedName>
    <definedName name="wrn.3cases." localSheetId="6" hidden="1">{#N/A,"Base",FALSE,"Dividend";#N/A,"Conservative",FALSE,"Dividend";#N/A,"Downside",FALSE,"Dividend"}</definedName>
    <definedName name="wrn.3cases." localSheetId="5" hidden="1">{#N/A,"Base",FALSE,"Dividend";#N/A,"Conservative",FALSE,"Dividend";#N/A,"Downside",FALSE,"Dividend"}</definedName>
    <definedName name="wrn.3cases." hidden="1">{#N/A,"Base",FALSE,"Dividend";#N/A,"Conservative",FALSE,"Dividend";#N/A,"Downside",FALSE,"Dividend"}</definedName>
    <definedName name="wrn.Accretion." localSheetId="7" hidden="1">{"Accretion",#N/A,FALSE,"Assum"}</definedName>
    <definedName name="wrn.Accretion." localSheetId="6" hidden="1">{"Accretion",#N/A,FALSE,"Assum"}</definedName>
    <definedName name="wrn.Accretion." localSheetId="5" hidden="1">{"Accretion",#N/A,FALSE,"Assum"}</definedName>
    <definedName name="wrn.Accretion." hidden="1">{"Accretion",#N/A,FALSE,"Assum"}</definedName>
    <definedName name="wrn.all." localSheetId="7" hidden="1">{#N/A,#N/A,FALSE,"Rollup";#N/A,#N/A,FALSE,"ContCost";#N/A,#N/A,FALSE,"M&amp;S";#N/A,#N/A,FALSE,"MNR";#N/A,#N/A,FALSE,"LabSum";#N/A,#N/A,FALSE,"Benes";#N/A,#N/A,FALSE,"Apr";#N/A,#N/A,FALSE,"May";#N/A,#N/A,FALSE,"Jun";#N/A,#N/A,FALSE,"Jul";#N/A,#N/A,FALSE,"Aug";#N/A,#N/A,FALSE,"Sep";#N/A,#N/A,FALSE,"Oct";#N/A,#N/A,FALSE,"Nov";#N/A,#N/A,FALSE,"Dec";#N/A,#N/A,FALSE,"Jan";#N/A,#N/A,FALSE,"Feb";#N/A,#N/A,FALSE,"Mar"}</definedName>
    <definedName name="wrn.all." localSheetId="6" hidden="1">{#N/A,#N/A,FALSE,"Rollup";#N/A,#N/A,FALSE,"ContCost";#N/A,#N/A,FALSE,"M&amp;S";#N/A,#N/A,FALSE,"MNR";#N/A,#N/A,FALSE,"LabSum";#N/A,#N/A,FALSE,"Benes";#N/A,#N/A,FALSE,"Apr";#N/A,#N/A,FALSE,"May";#N/A,#N/A,FALSE,"Jun";#N/A,#N/A,FALSE,"Jul";#N/A,#N/A,FALSE,"Aug";#N/A,#N/A,FALSE,"Sep";#N/A,#N/A,FALSE,"Oct";#N/A,#N/A,FALSE,"Nov";#N/A,#N/A,FALSE,"Dec";#N/A,#N/A,FALSE,"Jan";#N/A,#N/A,FALSE,"Feb";#N/A,#N/A,FALSE,"Mar"}</definedName>
    <definedName name="wrn.all." localSheetId="5" hidden="1">{#N/A,#N/A,FALSE,"Rollup";#N/A,#N/A,FALSE,"ContCost";#N/A,#N/A,FALSE,"M&amp;S";#N/A,#N/A,FALSE,"MNR";#N/A,#N/A,FALSE,"LabSum";#N/A,#N/A,FALSE,"Benes";#N/A,#N/A,FALSE,"Apr";#N/A,#N/A,FALSE,"May";#N/A,#N/A,FALSE,"Jun";#N/A,#N/A,FALSE,"Jul";#N/A,#N/A,FALSE,"Aug";#N/A,#N/A,FALSE,"Sep";#N/A,#N/A,FALSE,"Oct";#N/A,#N/A,FALSE,"Nov";#N/A,#N/A,FALSE,"Dec";#N/A,#N/A,FALSE,"Jan";#N/A,#N/A,FALSE,"Feb";#N/A,#N/A,FALSE,"Mar"}</definedName>
    <definedName name="wrn.all." hidden="1">{#N/A,#N/A,FALSE,"Rollup";#N/A,#N/A,FALSE,"ContCost";#N/A,#N/A,FALSE,"M&amp;S";#N/A,#N/A,FALSE,"MNR";#N/A,#N/A,FALSE,"LabSum";#N/A,#N/A,FALSE,"Benes";#N/A,#N/A,FALSE,"Apr";#N/A,#N/A,FALSE,"May";#N/A,#N/A,FALSE,"Jun";#N/A,#N/A,FALSE,"Jul";#N/A,#N/A,FALSE,"Aug";#N/A,#N/A,FALSE,"Sep";#N/A,#N/A,FALSE,"Oct";#N/A,#N/A,FALSE,"Nov";#N/A,#N/A,FALSE,"Dec";#N/A,#N/A,FALSE,"Jan";#N/A,#N/A,FALSE,"Feb";#N/A,#N/A,FALSE,"Mar"}</definedName>
    <definedName name="wrn.Assumptions." localSheetId="7" hidden="1">{"Assumptions",#N/A,FALSE,"Assum"}</definedName>
    <definedName name="wrn.Assumptions." localSheetId="6" hidden="1">{"Assumptions",#N/A,FALSE,"Assum"}</definedName>
    <definedName name="wrn.Assumptions." localSheetId="5" hidden="1">{"Assumptions",#N/A,FALSE,"Assum"}</definedName>
    <definedName name="wrn.Assumptions." hidden="1">{"Assumptions",#N/A,FALSE,"Assum"}</definedName>
    <definedName name="wrn.Both._.Halves." localSheetId="7" hidden="1">{"Left Half",#N/A,FALSE,"GO Table";"Right Half",#N/A,FALSE,"GO Table"}</definedName>
    <definedName name="wrn.Both._.Halves." localSheetId="6" hidden="1">{"Left Half",#N/A,FALSE,"GO Table";"Right Half",#N/A,FALSE,"GO Table"}</definedName>
    <definedName name="wrn.Both._.Halves." localSheetId="5" hidden="1">{"Left Half",#N/A,FALSE,"GO Table";"Right Half",#N/A,FALSE,"GO Table"}</definedName>
    <definedName name="wrn.Both._.Halves." hidden="1">{"Left Half",#N/A,FALSE,"GO Table";"Right Half",#N/A,FALSE,"GO Table"}</definedName>
    <definedName name="wrn.clp_detail_doc." localSheetId="7" hidden="1">{"clp_ltd_doc",#N/A,FALSE,"CLP";"clp_om_doc",#N/A,FALSE,"CLP";"clp_ra_doc",#N/A,FALSE,"CLP";"clp_rb_doc",#N/A,FALSE,"CLP";"clp_rev_doc",#N/A,FALSE,"CLP";"clp_tax_doc",#N/A,FALSE,"CLP";"clp_wc_doc",#N/A,FALSE,"CLP";"clp_power_doc",#N/A,FALSE,"CLP"}</definedName>
    <definedName name="wrn.clp_detail_doc." localSheetId="6" hidden="1">{"clp_ltd_doc",#N/A,FALSE,"CLP";"clp_om_doc",#N/A,FALSE,"CLP";"clp_ra_doc",#N/A,FALSE,"CLP";"clp_rb_doc",#N/A,FALSE,"CLP";"clp_rev_doc",#N/A,FALSE,"CLP";"clp_tax_doc",#N/A,FALSE,"CLP";"clp_wc_doc",#N/A,FALSE,"CLP";"clp_power_doc",#N/A,FALSE,"CLP"}</definedName>
    <definedName name="wrn.clp_detail_doc." localSheetId="5" hidden="1">{"clp_ltd_doc",#N/A,FALSE,"CLP";"clp_om_doc",#N/A,FALSE,"CLP";"clp_ra_doc",#N/A,FALSE,"CLP";"clp_rb_doc",#N/A,FALSE,"CLP";"clp_rev_doc",#N/A,FALSE,"CLP";"clp_tax_doc",#N/A,FALSE,"CLP";"clp_wc_doc",#N/A,FALSE,"CLP";"clp_power_doc",#N/A,FALSE,"CLP"}</definedName>
    <definedName name="wrn.clp_detail_doc." hidden="1">{"clp_ltd_doc",#N/A,FALSE,"CLP";"clp_om_doc",#N/A,FALSE,"CLP";"clp_ra_doc",#N/A,FALSE,"CLP";"clp_rb_doc",#N/A,FALSE,"CLP";"clp_rev_doc",#N/A,FALSE,"CLP";"clp_tax_doc",#N/A,FALSE,"CLP";"clp_wc_doc",#N/A,FALSE,"CLP";"clp_power_doc",#N/A,FALSE,"CLP"}</definedName>
    <definedName name="wrn.clp_fs_doc." localSheetId="7" hidden="1">{"clp_bs_doc",#N/A,FALSE,"CLP";"clp_is_doc",#N/A,FALSE,"CLP";"clp_cf_doc",#N/A,FALSE,"CLP";"clp_fr_doc",#N/A,FALSE,"CLP"}</definedName>
    <definedName name="wrn.clp_fs_doc." localSheetId="6" hidden="1">{"clp_bs_doc",#N/A,FALSE,"CLP";"clp_is_doc",#N/A,FALSE,"CLP";"clp_cf_doc",#N/A,FALSE,"CLP";"clp_fr_doc",#N/A,FALSE,"CLP"}</definedName>
    <definedName name="wrn.clp_fs_doc." localSheetId="5" hidden="1">{"clp_bs_doc",#N/A,FALSE,"CLP";"clp_is_doc",#N/A,FALSE,"CLP";"clp_cf_doc",#N/A,FALSE,"CLP";"clp_fr_doc",#N/A,FALSE,"CLP"}</definedName>
    <definedName name="wrn.clp_fs_doc." hidden="1">{"clp_bs_doc",#N/A,FALSE,"CLP";"clp_is_doc",#N/A,FALSE,"CLP";"clp_cf_doc",#N/A,FALSE,"CLP";"clp_fr_doc",#N/A,FALSE,"CLP"}</definedName>
    <definedName name="wrn.Exist." localSheetId="7" hidden="1">{"Exist1",#N/A,FALSE,"Exist";"exist2",#N/A,FALSE,"Exist"}</definedName>
    <definedName name="wrn.Exist." localSheetId="6" hidden="1">{"Exist1",#N/A,FALSE,"Exist";"exist2",#N/A,FALSE,"Exist"}</definedName>
    <definedName name="wrn.Exist." localSheetId="5" hidden="1">{"Exist1",#N/A,FALSE,"Exist";"exist2",#N/A,FALSE,"Exist"}</definedName>
    <definedName name="wrn.Exist." hidden="1">{"Exist1",#N/A,FALSE,"Exist";"exist2",#N/A,FALSE,"Exist"}</definedName>
    <definedName name="wrn.FCB." localSheetId="7" hidden="1">{"FCB_ALL",#N/A,FALSE,"FCB"}</definedName>
    <definedName name="wrn.FCB." localSheetId="6" hidden="1">{"FCB_ALL",#N/A,FALSE,"FCB"}</definedName>
    <definedName name="wrn.FCB." localSheetId="5" hidden="1">{"FCB_ALL",#N/A,FALSE,"FCB"}</definedName>
    <definedName name="wrn.FCB." hidden="1">{"FCB_ALL",#N/A,FALSE,"FCB"}</definedName>
    <definedName name="wrn.fcb2" localSheetId="7" hidden="1">{"FCB_ALL",#N/A,FALSE,"FCB"}</definedName>
    <definedName name="wrn.fcb2" localSheetId="6" hidden="1">{"FCB_ALL",#N/A,FALSE,"FCB"}</definedName>
    <definedName name="wrn.fcb2" localSheetId="5" hidden="1">{"FCB_ALL",#N/A,FALSE,"FCB"}</definedName>
    <definedName name="wrn.fcb2" hidden="1">{"FCB_ALL",#N/A,FALSE,"FCB"}</definedName>
    <definedName name="wrn.Freedom._.FY._.98._.Budget." localSheetId="7"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Freedom._.FY._.98._.Budget." localSheetId="6"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Freedom._.FY._.98._.Budget." localSheetId="5"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Freedom._.FY._.98._.Budget."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Jefferson." localSheetId="7" hidden="1">{#N/A,#N/A,FALSE,"CA-PSC";#N/A,#N/A,FALSE,"SALESFOR";#N/A,#N/A,FALSE,"OPREV";#N/A,#N/A,FALSE,"DETOM";#N/A,#N/A,FALSE,"TAXES";#N/A,#N/A,FALSE,"PP-LEAD";#N/A,#N/A,FALSE,"PLANT";#N/A,#N/A,FALSE,"PROJECTS";#N/A,#N/A,FALSE,"ADCIAC";#N/A,#N/A,FALSE,"CAPSTRUCT"}</definedName>
    <definedName name="wrn.Jefferson." localSheetId="6" hidden="1">{#N/A,#N/A,FALSE,"CA-PSC";#N/A,#N/A,FALSE,"SALESFOR";#N/A,#N/A,FALSE,"OPREV";#N/A,#N/A,FALSE,"DETOM";#N/A,#N/A,FALSE,"TAXES";#N/A,#N/A,FALSE,"PP-LEAD";#N/A,#N/A,FALSE,"PLANT";#N/A,#N/A,FALSE,"PROJECTS";#N/A,#N/A,FALSE,"ADCIAC";#N/A,#N/A,FALSE,"CAPSTRUCT"}</definedName>
    <definedName name="wrn.Jefferson." localSheetId="5" hidden="1">{#N/A,#N/A,FALSE,"CA-PSC";#N/A,#N/A,FALSE,"SALESFOR";#N/A,#N/A,FALSE,"OPREV";#N/A,#N/A,FALSE,"DETOM";#N/A,#N/A,FALSE,"TAXES";#N/A,#N/A,FALSE,"PP-LEAD";#N/A,#N/A,FALSE,"PLANT";#N/A,#N/A,FALSE,"PROJECTS";#N/A,#N/A,FALSE,"ADCIAC";#N/A,#N/A,FALSE,"CAPSTRUCT"}</definedName>
    <definedName name="wrn.Jefferson." hidden="1">{#N/A,#N/A,FALSE,"CA-PSC";#N/A,#N/A,FALSE,"SALESFOR";#N/A,#N/A,FALSE,"OPREV";#N/A,#N/A,FALSE,"DETOM";#N/A,#N/A,FALSE,"TAXES";#N/A,#N/A,FALSE,"PP-LEAD";#N/A,#N/A,FALSE,"PLANT";#N/A,#N/A,FALSE,"PROJECTS";#N/A,#N/A,FALSE,"ADCIAC";#N/A,#N/A,FALSE,"CAPSTRUCT"}</definedName>
    <definedName name="wrn.labor." localSheetId="7" hidden="1">{#N/A,#N/A,FALSE,"Oct";#N/A,#N/A,FALSE,"Nov";#N/A,#N/A,FALSE,"Dec";#N/A,#N/A,FALSE,"Jan";#N/A,#N/A,FALSE,"Feb";#N/A,#N/A,FALSE,"Mar";#N/A,#N/A,FALSE,"Apr";#N/A,#N/A,FALSE,"May";#N/A,#N/A,FALSE,"Jun";#N/A,#N/A,FALSE,"July";#N/A,#N/A,FALSE,"Aug";#N/A,#N/A,FALSE,"Sept"}</definedName>
    <definedName name="wrn.labor." localSheetId="6" hidden="1">{#N/A,#N/A,FALSE,"Oct";#N/A,#N/A,FALSE,"Nov";#N/A,#N/A,FALSE,"Dec";#N/A,#N/A,FALSE,"Jan";#N/A,#N/A,FALSE,"Feb";#N/A,#N/A,FALSE,"Mar";#N/A,#N/A,FALSE,"Apr";#N/A,#N/A,FALSE,"May";#N/A,#N/A,FALSE,"Jun";#N/A,#N/A,FALSE,"July";#N/A,#N/A,FALSE,"Aug";#N/A,#N/A,FALSE,"Sept"}</definedName>
    <definedName name="wrn.labor." localSheetId="5" hidden="1">{#N/A,#N/A,FALSE,"Oct";#N/A,#N/A,FALSE,"Nov";#N/A,#N/A,FALSE,"Dec";#N/A,#N/A,FALSE,"Jan";#N/A,#N/A,FALSE,"Feb";#N/A,#N/A,FALSE,"Mar";#N/A,#N/A,FALSE,"Apr";#N/A,#N/A,FALSE,"May";#N/A,#N/A,FALSE,"Jun";#N/A,#N/A,FALSE,"July";#N/A,#N/A,FALSE,"Aug";#N/A,#N/A,FALSE,"Sept"}</definedName>
    <definedName name="wrn.labor." hidden="1">{#N/A,#N/A,FALSE,"Oct";#N/A,#N/A,FALSE,"Nov";#N/A,#N/A,FALSE,"Dec";#N/A,#N/A,FALSE,"Jan";#N/A,#N/A,FALSE,"Feb";#N/A,#N/A,FALSE,"Mar";#N/A,#N/A,FALSE,"Apr";#N/A,#N/A,FALSE,"May";#N/A,#N/A,FALSE,"Jun";#N/A,#N/A,FALSE,"July";#N/A,#N/A,FALSE,"Aug";#N/A,#N/A,FALSE,"Sept"}</definedName>
    <definedName name="wrn.May._.13th._.Presentation._.Tables." localSheetId="7" hidden="1">{"0513 Cashflows Airlines",#N/A,FALSE,"Table 4";"0513 Funding Airlines",#N/A,FALSE,"Table 4"}</definedName>
    <definedName name="wrn.May._.13th._.Presentation._.Tables." localSheetId="6" hidden="1">{"0513 Cashflows Airlines",#N/A,FALSE,"Table 4";"0513 Funding Airlines",#N/A,FALSE,"Table 4"}</definedName>
    <definedName name="wrn.May._.13th._.Presentation._.Tables." localSheetId="5" hidden="1">{"0513 Cashflows Airlines",#N/A,FALSE,"Table 4";"0513 Funding Airlines",#N/A,FALSE,"Table 4"}</definedName>
    <definedName name="wrn.May._.13th._.Presentation._.Tables." hidden="1">{"0513 Cashflows Airlines",#N/A,FALSE,"Table 4";"0513 Funding Airlines",#N/A,FALSE,"Table 4"}</definedName>
    <definedName name="wrn.print._.all." localSheetId="7" hidden="1">{"os stuff",#N/A,FALSE,"Test Sheet";"calculations",#N/A,FALSE,"Test Sheet";"max ds",#N/A,FALSE,"Test Sheet"}</definedName>
    <definedName name="wrn.print._.all." localSheetId="6" hidden="1">{"os stuff",#N/A,FALSE,"Test Sheet";"calculations",#N/A,FALSE,"Test Sheet";"max ds",#N/A,FALSE,"Test Sheet"}</definedName>
    <definedName name="wrn.print._.all." localSheetId="5" hidden="1">{"os stuff",#N/A,FALSE,"Test Sheet";"calculations",#N/A,FALSE,"Test Sheet";"max ds",#N/A,FALSE,"Test Sheet"}</definedName>
    <definedName name="wrn.print._.all." hidden="1">{"os stuff",#N/A,FALSE,"Test Sheet";"calculations",#N/A,FALSE,"Test Sheet";"max ds",#N/A,FALSE,"Test Sheet"}</definedName>
    <definedName name="wrn.print._.both." localSheetId="7" hidden="1">{"os stuff",#N/A,FALSE,"Test Sheet";"calculations",#N/A,FALSE,"Test Sheet"}</definedName>
    <definedName name="wrn.print._.both." localSheetId="6" hidden="1">{"os stuff",#N/A,FALSE,"Test Sheet";"calculations",#N/A,FALSE,"Test Sheet"}</definedName>
    <definedName name="wrn.print._.both." localSheetId="5" hidden="1">{"os stuff",#N/A,FALSE,"Test Sheet";"calculations",#N/A,FALSE,"Test Sheet"}</definedName>
    <definedName name="wrn.print._.both." hidden="1">{"os stuff",#N/A,FALSE,"Test Sheet";"calculations",#N/A,FALSE,"Test Sheet"}</definedName>
    <definedName name="wrn.print._.graphs." localSheetId="7" hidden="1">{"cap_structure",#N/A,FALSE,"Graph-Mkt Cap";"price",#N/A,FALSE,"Graph-Price";"ebit",#N/A,FALSE,"Graph-EBITDA";"ebitda",#N/A,FALSE,"Graph-EBITDA"}</definedName>
    <definedName name="wrn.print._.graphs." localSheetId="6" hidden="1">{"cap_structure",#N/A,FALSE,"Graph-Mkt Cap";"price",#N/A,FALSE,"Graph-Price";"ebit",#N/A,FALSE,"Graph-EBITDA";"ebitda",#N/A,FALSE,"Graph-EBITDA"}</definedName>
    <definedName name="wrn.print._.graphs." localSheetId="5"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7" hidden="1">{"inputs raw data",#N/A,TRUE,"INPUT"}</definedName>
    <definedName name="wrn.print._.raw._.data._.entry." localSheetId="6" hidden="1">{"inputs raw data",#N/A,TRUE,"INPUT"}</definedName>
    <definedName name="wrn.print._.raw._.data._.entry." localSheetId="5" hidden="1">{"inputs raw data",#N/A,TRUE,"INPUT"}</definedName>
    <definedName name="wrn.print._.raw._.data._.entry." hidden="1">{"inputs raw data",#N/A,TRUE,"INPUT"}</definedName>
    <definedName name="wrn.print._.summary._.sheets." localSheetId="7" hidden="1">{"summary1",#N/A,TRUE,"Comps";"summary2",#N/A,TRUE,"Comps";"summary3",#N/A,TRUE,"Comps"}</definedName>
    <definedName name="wrn.print._.summary._.sheets." localSheetId="6" hidden="1">{"summary1",#N/A,TRUE,"Comps";"summary2",#N/A,TRUE,"Comps";"summary3",#N/A,TRUE,"Comps"}</definedName>
    <definedName name="wrn.print._.summary._.sheets." localSheetId="5" hidden="1">{"summary1",#N/A,TRUE,"Comps";"summary2",#N/A,TRUE,"Comps";"summary3",#N/A,TRUE,"Comps"}</definedName>
    <definedName name="wrn.print._.summary._.sheets." hidden="1">{"summary1",#N/A,TRUE,"Comps";"summary2",#N/A,TRUE,"Comps";"summary3",#N/A,TRUE,"Comps"}</definedName>
    <definedName name="wrn.print._.summary._.sheets.2" localSheetId="7" hidden="1">{"summary1",#N/A,TRUE,"Comps";"summary2",#N/A,TRUE,"Comps";"summary3",#N/A,TRUE,"Comps"}</definedName>
    <definedName name="wrn.print._.summary._.sheets.2" localSheetId="6" hidden="1">{"summary1",#N/A,TRUE,"Comps";"summary2",#N/A,TRUE,"Comps";"summary3",#N/A,TRUE,"Comps"}</definedName>
    <definedName name="wrn.print._.summary._.sheets.2" localSheetId="5" hidden="1">{"summary1",#N/A,TRUE,"Comps";"summary2",#N/A,TRUE,"Comps";"summary3",#N/A,TRUE,"Comps"}</definedName>
    <definedName name="wrn.print._.summary._.sheets.2" hidden="1">{"summary1",#N/A,TRUE,"Comps";"summary2",#N/A,TRUE,"Comps";"summary3",#N/A,TRUE,"Comps"}</definedName>
    <definedName name="wrn.Print_Buyer." localSheetId="7" hidden="1">{#N/A,"DR",FALSE,"increm pf";#N/A,"MAMSI",FALSE,"increm pf";#N/A,"MAXI",FALSE,"increm pf";#N/A,"PCAM",FALSE,"increm pf";#N/A,"PHSV",FALSE,"increm pf";#N/A,"SIE",FALSE,"increm pf"}</definedName>
    <definedName name="wrn.Print_Buyer." localSheetId="6" hidden="1">{#N/A,"DR",FALSE,"increm pf";#N/A,"MAMSI",FALSE,"increm pf";#N/A,"MAXI",FALSE,"increm pf";#N/A,"PCAM",FALSE,"increm pf";#N/A,"PHSV",FALSE,"increm pf";#N/A,"SIE",FALSE,"increm pf"}</definedName>
    <definedName name="wrn.Print_Buyer." localSheetId="5"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7"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6"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5"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oject._.List._.and._.Buildup." localSheetId="7" hidden="1">{"Project List",#N/A,FALSE,"Table 4";"Cash Flows",#N/A,FALSE,"Table 4";"Eligibility Assumptions",#N/A,FALSE,"Table 4";"Funding",#N/A,FALSE,"Table 4"}</definedName>
    <definedName name="wrn.Project._.List._.and._.Buildup." localSheetId="6" hidden="1">{"Project List",#N/A,FALSE,"Table 4";"Cash Flows",#N/A,FALSE,"Table 4";"Eligibility Assumptions",#N/A,FALSE,"Table 4";"Funding",#N/A,FALSE,"Table 4"}</definedName>
    <definedName name="wrn.Project._.List._.and._.Buildup." localSheetId="5" hidden="1">{"Project List",#N/A,FALSE,"Table 4";"Cash Flows",#N/A,FALSE,"Table 4";"Eligibility Assumptions",#N/A,FALSE,"Table 4";"Funding",#N/A,FALSE,"Table 4"}</definedName>
    <definedName name="wrn.Project._.List._.and._.Buildup." hidden="1">{"Project List",#N/A,FALSE,"Table 4";"Cash Flows",#N/A,FALSE,"Table 4";"Eligibility Assumptions",#N/A,FALSE,"Table 4";"Funding",#N/A,FALSE,"Table 4"}</definedName>
    <definedName name="wrn.STAND_ALONE_BOTH." localSheetId="7" hidden="1">{"FCB_ALL",#N/A,FALSE,"FCB";"GREY_ALL",#N/A,FALSE,"GREY"}</definedName>
    <definedName name="wrn.STAND_ALONE_BOTH." localSheetId="6" hidden="1">{"FCB_ALL",#N/A,FALSE,"FCB";"GREY_ALL",#N/A,FALSE,"GREY"}</definedName>
    <definedName name="wrn.STAND_ALONE_BOTH." localSheetId="5" hidden="1">{"FCB_ALL",#N/A,FALSE,"FCB";"GREY_ALL",#N/A,FALSE,"GREY"}</definedName>
    <definedName name="wrn.STAND_ALONE_BOTH." hidden="1">{"FCB_ALL",#N/A,FALSE,"FCB";"GREY_ALL",#N/A,FALSE,"GREY"}</definedName>
    <definedName name="wrn.summary._.tables." localSheetId="7"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wrn.summary._.tables." localSheetId="6"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wrn.summary._.tables." localSheetId="5"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wrn.summary._.tables."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wvu.inputs._.raw._.data." localSheetId="7"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6"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5"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7"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7"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 localSheetId="7" hidden="1">{"clp_bs_doc",#N/A,FALSE,"CLP";"clp_is_doc",#N/A,FALSE,"CLP";"clp_cf_doc",#N/A,FALSE,"CLP";"clp_fr_doc",#N/A,FALSE,"CLP"}</definedName>
    <definedName name="x" localSheetId="6" hidden="1">{"clp_bs_doc",#N/A,FALSE,"CLP";"clp_is_doc",#N/A,FALSE,"CLP";"clp_cf_doc",#N/A,FALSE,"CLP";"clp_fr_doc",#N/A,FALSE,"CLP"}</definedName>
    <definedName name="x" localSheetId="5" hidden="1">{"clp_bs_doc",#N/A,FALSE,"CLP";"clp_is_doc",#N/A,FALSE,"CLP";"clp_cf_doc",#N/A,FALSE,"CLP";"clp_fr_doc",#N/A,FALSE,"CLP"}</definedName>
    <definedName name="x" hidden="1">{"clp_bs_doc",#N/A,FALSE,"CLP";"clp_is_doc",#N/A,FALSE,"CLP";"clp_cf_doc",#N/A,FALSE,"CLP";"clp_fr_doc",#N/A,FALSE,"CLP"}</definedName>
    <definedName name="y" localSheetId="7" hidden="1">{"clp_bs_doc",#N/A,FALSE,"CLP";"clp_is_doc",#N/A,FALSE,"CLP";"clp_cf_doc",#N/A,FALSE,"CLP";"clp_fr_doc",#N/A,FALSE,"CLP"}</definedName>
    <definedName name="y" localSheetId="6" hidden="1">{"clp_bs_doc",#N/A,FALSE,"CLP";"clp_is_doc",#N/A,FALSE,"CLP";"clp_cf_doc",#N/A,FALSE,"CLP";"clp_fr_doc",#N/A,FALSE,"CLP"}</definedName>
    <definedName name="y" localSheetId="5" hidden="1">{"clp_bs_doc",#N/A,FALSE,"CLP";"clp_is_doc",#N/A,FALSE,"CLP";"clp_cf_doc",#N/A,FALSE,"CLP";"clp_fr_doc",#N/A,FALSE,"CLP"}</definedName>
    <definedName name="y" hidden="1">{"clp_bs_doc",#N/A,FALSE,"CLP";"clp_is_doc",#N/A,FALSE,"CLP";"clp_cf_doc",#N/A,FALSE,"CLP";"clp_fr_doc",#N/A,FALSE,"CLP"}</definedName>
    <definedName name="Z_59817C1F_0731_403A_A1D5_70099C98272D_.wvu.PrintArea" localSheetId="5" hidden="1">'Zonal Rates'!$A$1:$U$66</definedName>
    <definedName name="Zip" localSheetId="6">#REF!</definedName>
    <definedName name="Z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N38" i="1" l="1"/>
  <c r="H20" i="8"/>
  <c r="H19" i="8"/>
  <c r="H18" i="8"/>
  <c r="H17" i="8"/>
  <c r="H16" i="8"/>
  <c r="H15" i="8"/>
  <c r="H14" i="8"/>
  <c r="H13" i="8"/>
  <c r="H12" i="8"/>
  <c r="H11" i="8"/>
  <c r="H10" i="8"/>
  <c r="H9" i="8"/>
  <c r="H8" i="8"/>
  <c r="H7" i="8"/>
  <c r="H6" i="8"/>
  <c r="H5" i="8"/>
  <c r="G20" i="8"/>
  <c r="G19" i="8"/>
  <c r="G18" i="8"/>
  <c r="G17" i="8"/>
  <c r="G16" i="8"/>
  <c r="G15" i="8"/>
  <c r="G14" i="8"/>
  <c r="G13" i="8"/>
  <c r="G12" i="8"/>
  <c r="G11" i="8"/>
  <c r="G10" i="8"/>
  <c r="G9" i="8"/>
  <c r="G8" i="8"/>
  <c r="G7" i="8"/>
  <c r="G6" i="8"/>
  <c r="G5" i="8"/>
  <c r="H4" i="8"/>
  <c r="G4" i="8"/>
  <c r="J86" i="10"/>
  <c r="G86" i="10"/>
  <c r="J85" i="10"/>
  <c r="G85" i="10"/>
  <c r="J83" i="10"/>
  <c r="G83" i="10"/>
  <c r="J81" i="10"/>
  <c r="G81" i="10"/>
  <c r="J73" i="10"/>
  <c r="G73" i="10"/>
  <c r="J71" i="10"/>
  <c r="G71" i="10"/>
  <c r="J61" i="10"/>
  <c r="G61" i="10"/>
  <c r="J60" i="10"/>
  <c r="G60" i="10"/>
  <c r="L47" i="10"/>
  <c r="K47" i="10"/>
  <c r="J47" i="10"/>
  <c r="G47" i="10"/>
  <c r="J20" i="10"/>
  <c r="G20" i="10"/>
  <c r="F14" i="8"/>
  <c r="F15" i="8"/>
  <c r="F16" i="8"/>
  <c r="F17" i="8"/>
  <c r="F86" i="10"/>
  <c r="F81" i="10"/>
  <c r="F83" i="10"/>
  <c r="F85" i="10"/>
  <c r="F73" i="10"/>
  <c r="F9" i="8" s="1"/>
  <c r="F71" i="10"/>
  <c r="F8" i="8" s="1"/>
  <c r="F61" i="10"/>
  <c r="F6" i="8" s="1"/>
  <c r="F60" i="10"/>
  <c r="F5" i="8" s="1"/>
  <c r="F47" i="10" l="1"/>
  <c r="F19" i="8" s="1"/>
  <c r="F20" i="10"/>
  <c r="F4" i="8" s="1"/>
  <c r="F20" i="8"/>
  <c r="F18" i="8"/>
  <c r="F13" i="8" l="1"/>
  <c r="F12" i="8"/>
  <c r="F11" i="8"/>
  <c r="F10" i="8"/>
  <c r="F7" i="8"/>
  <c r="C23" i="8"/>
  <c r="C21" i="8"/>
  <c r="D5" i="8" s="1"/>
  <c r="E5" i="8" s="1"/>
  <c r="I5" i="8" s="1"/>
  <c r="J5" i="8" s="1"/>
  <c r="D19" i="8" l="1"/>
  <c r="E19" i="8" s="1"/>
  <c r="I19" i="8" s="1"/>
  <c r="J19" i="8" s="1"/>
  <c r="D6" i="8"/>
  <c r="E6" i="8" s="1"/>
  <c r="I6" i="8" s="1"/>
  <c r="J6" i="8" s="1"/>
  <c r="D18" i="8"/>
  <c r="E18" i="8" s="1"/>
  <c r="I18" i="8" s="1"/>
  <c r="J18" i="8" s="1"/>
  <c r="D15" i="8"/>
  <c r="E15" i="8" s="1"/>
  <c r="I15" i="8" s="1"/>
  <c r="J15" i="8" s="1"/>
  <c r="D14" i="8"/>
  <c r="E14" i="8" s="1"/>
  <c r="I14" i="8" s="1"/>
  <c r="J14" i="8" s="1"/>
  <c r="D17" i="8"/>
  <c r="E17" i="8" s="1"/>
  <c r="I17" i="8" s="1"/>
  <c r="J17" i="8" s="1"/>
  <c r="D16" i="8"/>
  <c r="E16" i="8" s="1"/>
  <c r="I16" i="8" s="1"/>
  <c r="J16" i="8" s="1"/>
  <c r="J10" i="8"/>
  <c r="D13" i="8"/>
  <c r="E13" i="8" s="1"/>
  <c r="I13" i="8" s="1"/>
  <c r="D12" i="8"/>
  <c r="E12" i="8" s="1"/>
  <c r="I12" i="8" s="1"/>
  <c r="J12" i="8" s="1"/>
  <c r="J13" i="8"/>
  <c r="D11" i="8"/>
  <c r="E11" i="8" s="1"/>
  <c r="I11" i="8" s="1"/>
  <c r="J11" i="8" s="1"/>
  <c r="D9" i="8"/>
  <c r="E9" i="8" s="1"/>
  <c r="I9" i="8" s="1"/>
  <c r="J9" i="8" s="1"/>
  <c r="D7" i="8"/>
  <c r="E7" i="8" s="1"/>
  <c r="I7" i="8" s="1"/>
  <c r="J7" i="8" s="1"/>
  <c r="F21" i="8"/>
  <c r="D10" i="8"/>
  <c r="E10" i="8" s="1"/>
  <c r="I10" i="8" s="1"/>
  <c r="D4" i="8"/>
  <c r="E4" i="8" s="1"/>
  <c r="D20" i="8"/>
  <c r="E20" i="8" s="1"/>
  <c r="I20" i="8" s="1"/>
  <c r="J20" i="8" s="1"/>
  <c r="D8" i="8"/>
  <c r="E8" i="8" s="1"/>
  <c r="I8" i="8" s="1"/>
  <c r="J8" i="8" s="1"/>
  <c r="E21" i="8" l="1"/>
  <c r="J4" i="8"/>
  <c r="I4" i="8"/>
  <c r="O41" i="1"/>
  <c r="N41" i="1"/>
  <c r="N40" i="1"/>
  <c r="N39" i="1"/>
  <c r="N37" i="1"/>
  <c r="N36" i="1"/>
  <c r="N35" i="1"/>
  <c r="N33" i="1"/>
  <c r="N30" i="1"/>
  <c r="H27" i="1"/>
  <c r="H19" i="1"/>
  <c r="H18" i="1"/>
  <c r="H17" i="1"/>
  <c r="H16" i="1"/>
  <c r="H15" i="1"/>
  <c r="H14" i="1"/>
  <c r="C19" i="1"/>
  <c r="C18" i="1"/>
  <c r="C17" i="1"/>
  <c r="C16" i="1"/>
  <c r="C15" i="1"/>
  <c r="C14" i="1"/>
  <c r="H20" i="1" l="1"/>
  <c r="H8" i="1"/>
  <c r="I7" i="1" s="1"/>
  <c r="H32" i="1" s="1"/>
  <c r="C26" i="1"/>
  <c r="H26" i="1" s="1"/>
  <c r="C25" i="1"/>
  <c r="H25" i="1" s="1"/>
  <c r="C24" i="1"/>
  <c r="H24" i="1" s="1"/>
  <c r="F127" i="7"/>
  <c r="I126" i="7"/>
  <c r="I127" i="7" s="1"/>
  <c r="K127" i="7" s="1"/>
  <c r="I125" i="7"/>
  <c r="I124" i="7"/>
  <c r="I123" i="7"/>
  <c r="K102" i="7"/>
  <c r="K101" i="7"/>
  <c r="A100" i="7"/>
  <c r="A99" i="7"/>
  <c r="C97" i="7"/>
  <c r="A94" i="7"/>
  <c r="K89" i="7"/>
  <c r="F82" i="7"/>
  <c r="K77" i="7"/>
  <c r="F67" i="7"/>
  <c r="K66" i="7"/>
  <c r="H66" i="7"/>
  <c r="H71" i="7" s="1"/>
  <c r="K65" i="7"/>
  <c r="H65" i="7"/>
  <c r="K63" i="7"/>
  <c r="A63" i="7"/>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H61" i="7"/>
  <c r="H60" i="7"/>
  <c r="F55" i="7"/>
  <c r="K49" i="7"/>
  <c r="K46" i="7"/>
  <c r="K45" i="7"/>
  <c r="K41" i="7"/>
  <c r="F50" i="7"/>
  <c r="K32" i="7"/>
  <c r="K23" i="7"/>
  <c r="H22" i="7"/>
  <c r="A18" i="7"/>
  <c r="A19" i="7" s="1"/>
  <c r="A20" i="7" s="1"/>
  <c r="A21" i="7" s="1"/>
  <c r="A22" i="7" s="1"/>
  <c r="A23" i="7" s="1"/>
  <c r="A24" i="7" s="1"/>
  <c r="A25" i="7" s="1"/>
  <c r="A26" i="7" s="1"/>
  <c r="A27" i="7" s="1"/>
  <c r="A28" i="7" s="1"/>
  <c r="A29" i="7" s="1"/>
  <c r="A30" i="7" s="1"/>
  <c r="A31" i="7" s="1"/>
  <c r="A32" i="7" s="1"/>
  <c r="A33"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K8" i="7"/>
  <c r="A1" i="7"/>
  <c r="S63" i="6"/>
  <c r="M62" i="6"/>
  <c r="I62" i="6"/>
  <c r="I61" i="6"/>
  <c r="I60" i="6"/>
  <c r="I59" i="6"/>
  <c r="I58" i="6"/>
  <c r="G58" i="6"/>
  <c r="S57" i="6"/>
  <c r="Q57" i="6"/>
  <c r="Q63" i="6" s="1"/>
  <c r="O57" i="6"/>
  <c r="O63" i="6" s="1"/>
  <c r="M57" i="6"/>
  <c r="M63" i="6" s="1"/>
  <c r="K57" i="6"/>
  <c r="K63" i="6" s="1"/>
  <c r="I57" i="6"/>
  <c r="I63" i="6" s="1"/>
  <c r="D57" i="6"/>
  <c r="D54" i="6"/>
  <c r="D53" i="6"/>
  <c r="D52" i="6"/>
  <c r="D51" i="6"/>
  <c r="D50" i="6"/>
  <c r="D49" i="6"/>
  <c r="D48" i="6"/>
  <c r="D47" i="6"/>
  <c r="I42" i="6"/>
  <c r="I40" i="6"/>
  <c r="I38" i="6"/>
  <c r="I36" i="6"/>
  <c r="I34" i="6"/>
  <c r="I32" i="6"/>
  <c r="I28" i="6"/>
  <c r="G28" i="6"/>
  <c r="S26" i="6"/>
  <c r="S30" i="6" s="1"/>
  <c r="S44" i="6" s="1"/>
  <c r="S24" i="6"/>
  <c r="Q24" i="6"/>
  <c r="O24" i="6"/>
  <c r="O26" i="6" s="1"/>
  <c r="O30" i="6" s="1"/>
  <c r="O44" i="6" s="1"/>
  <c r="M24" i="6"/>
  <c r="K24" i="6"/>
  <c r="I23" i="6"/>
  <c r="I24" i="6" s="1"/>
  <c r="G23" i="6"/>
  <c r="I22" i="6"/>
  <c r="S19" i="6"/>
  <c r="Q19" i="6"/>
  <c r="Q26" i="6" s="1"/>
  <c r="O19" i="6"/>
  <c r="M19" i="6"/>
  <c r="M26" i="6" s="1"/>
  <c r="M30" i="6" s="1"/>
  <c r="M44" i="6" s="1"/>
  <c r="K19" i="6"/>
  <c r="K26" i="6" s="1"/>
  <c r="K30" i="6" s="1"/>
  <c r="K44" i="6" s="1"/>
  <c r="I19" i="6"/>
  <c r="I17" i="6"/>
  <c r="B17" i="6"/>
  <c r="B19" i="6" s="1"/>
  <c r="I15" i="6"/>
  <c r="A5" i="6"/>
  <c r="A4" i="6"/>
  <c r="M65" i="5"/>
  <c r="I65" i="5"/>
  <c r="I64" i="5"/>
  <c r="I63" i="5"/>
  <c r="I62" i="5"/>
  <c r="I61" i="5"/>
  <c r="G61" i="5"/>
  <c r="D60" i="5"/>
  <c r="D57" i="5"/>
  <c r="D56" i="5"/>
  <c r="D55" i="5"/>
  <c r="D54" i="5"/>
  <c r="D53" i="5"/>
  <c r="D52" i="5"/>
  <c r="D51" i="5"/>
  <c r="D49" i="5"/>
  <c r="I44" i="5"/>
  <c r="I42" i="5"/>
  <c r="I40" i="5"/>
  <c r="I38" i="5"/>
  <c r="I36" i="5"/>
  <c r="I34" i="5"/>
  <c r="I33" i="5"/>
  <c r="D33" i="5"/>
  <c r="I32" i="5"/>
  <c r="G32" i="5"/>
  <c r="D32" i="5"/>
  <c r="U30" i="5"/>
  <c r="U46" i="5" s="1"/>
  <c r="S30" i="5"/>
  <c r="S46" i="5" s="1"/>
  <c r="Q30" i="5"/>
  <c r="Q46" i="5" s="1"/>
  <c r="I28" i="5"/>
  <c r="G28" i="5"/>
  <c r="U26" i="5"/>
  <c r="S26" i="5"/>
  <c r="Q26" i="5"/>
  <c r="M26" i="5"/>
  <c r="M30" i="5" s="1"/>
  <c r="M46" i="5" s="1"/>
  <c r="K26" i="5"/>
  <c r="U24" i="5"/>
  <c r="U60" i="5" s="1"/>
  <c r="U66" i="5" s="1"/>
  <c r="S24" i="5"/>
  <c r="S60" i="5" s="1"/>
  <c r="S66" i="5" s="1"/>
  <c r="Q24" i="5"/>
  <c r="Q60" i="5" s="1"/>
  <c r="Q66" i="5" s="1"/>
  <c r="O24" i="5"/>
  <c r="O60" i="5" s="1"/>
  <c r="O66" i="5" s="1"/>
  <c r="M24" i="5"/>
  <c r="M60" i="5" s="1"/>
  <c r="M66" i="5" s="1"/>
  <c r="K24" i="5"/>
  <c r="K60" i="5" s="1"/>
  <c r="I23" i="5"/>
  <c r="I24" i="5" s="1"/>
  <c r="G23" i="5"/>
  <c r="I22" i="5"/>
  <c r="U19" i="5"/>
  <c r="S19" i="5"/>
  <c r="Q19" i="5"/>
  <c r="O19" i="5"/>
  <c r="O26" i="5" s="1"/>
  <c r="O30" i="5" s="1"/>
  <c r="O46" i="5" s="1"/>
  <c r="M19" i="5"/>
  <c r="K19" i="5"/>
  <c r="I17" i="5"/>
  <c r="B17" i="5"/>
  <c r="B19" i="5" s="1"/>
  <c r="I15" i="5"/>
  <c r="A5" i="5"/>
  <c r="N28" i="4"/>
  <c r="M28" i="4"/>
  <c r="L28" i="4"/>
  <c r="K28" i="4"/>
  <c r="J28" i="4"/>
  <c r="I28" i="4"/>
  <c r="H28" i="4"/>
  <c r="G28" i="4"/>
  <c r="F28" i="4"/>
  <c r="E28" i="4"/>
  <c r="D28" i="4"/>
  <c r="C28" i="4"/>
  <c r="O27" i="4"/>
  <c r="O26" i="4"/>
  <c r="O25" i="4"/>
  <c r="O24" i="4"/>
  <c r="O28" i="4" s="1"/>
  <c r="O32" i="4" s="1"/>
  <c r="O22" i="4"/>
  <c r="O31" i="4" s="1"/>
  <c r="N22" i="4"/>
  <c r="L22" i="4"/>
  <c r="K22" i="4"/>
  <c r="J22" i="4"/>
  <c r="I22" i="4"/>
  <c r="H22" i="4"/>
  <c r="G22" i="4"/>
  <c r="F22" i="4"/>
  <c r="E22" i="4"/>
  <c r="D22" i="4"/>
  <c r="C22" i="4"/>
  <c r="M16" i="4"/>
  <c r="M22" i="4" s="1"/>
  <c r="C20" i="1"/>
  <c r="I19" i="1" s="1"/>
  <c r="B22" i="3"/>
  <c r="B21" i="3"/>
  <c r="B20" i="3"/>
  <c r="B19" i="3"/>
  <c r="B18" i="3"/>
  <c r="B17" i="3"/>
  <c r="M8" i="3"/>
  <c r="L8" i="3"/>
  <c r="K8" i="3"/>
  <c r="J8" i="3"/>
  <c r="I8" i="3"/>
  <c r="H8" i="3"/>
  <c r="G8" i="3"/>
  <c r="F8" i="3"/>
  <c r="E8" i="3"/>
  <c r="D8" i="3"/>
  <c r="C8" i="3"/>
  <c r="B8" i="3"/>
  <c r="B16" i="3" s="1"/>
  <c r="I6" i="1" l="1"/>
  <c r="H29" i="1" s="1"/>
  <c r="I19" i="5"/>
  <c r="I26" i="5"/>
  <c r="I30" i="5" s="1"/>
  <c r="I46" i="5" s="1"/>
  <c r="I15" i="1"/>
  <c r="I16" i="1"/>
  <c r="I14" i="1"/>
  <c r="I17" i="1"/>
  <c r="I18" i="1"/>
  <c r="I80" i="7"/>
  <c r="K80" i="7" s="1"/>
  <c r="K82" i="7" s="1"/>
  <c r="I60" i="7"/>
  <c r="K60" i="7" s="1"/>
  <c r="I44" i="7"/>
  <c r="K44" i="7" s="1"/>
  <c r="I61" i="7"/>
  <c r="K61" i="7" s="1"/>
  <c r="I79" i="7"/>
  <c r="K79" i="7" s="1"/>
  <c r="F69" i="7"/>
  <c r="F73" i="7" s="1"/>
  <c r="K113" i="7"/>
  <c r="K91" i="7"/>
  <c r="Q30" i="6"/>
  <c r="Q44" i="6" s="1"/>
  <c r="I26" i="6"/>
  <c r="I30" i="6" s="1"/>
  <c r="B21" i="6"/>
  <c r="B22" i="6" s="1"/>
  <c r="B23" i="6" s="1"/>
  <c r="B24" i="6" s="1"/>
  <c r="K66" i="5"/>
  <c r="I60" i="5"/>
  <c r="I66" i="5" s="1"/>
  <c r="B21" i="5"/>
  <c r="B22" i="5" s="1"/>
  <c r="B23" i="5" s="1"/>
  <c r="B24" i="5" s="1"/>
  <c r="K30" i="5"/>
  <c r="K46" i="5" s="1"/>
  <c r="C22" i="3"/>
  <c r="C17" i="3"/>
  <c r="C18" i="3"/>
  <c r="C19" i="3"/>
  <c r="C20" i="3"/>
  <c r="C21" i="3"/>
  <c r="B23" i="3"/>
  <c r="I51" i="5" l="1"/>
  <c r="C23" i="1"/>
  <c r="H23" i="1" s="1"/>
  <c r="I43" i="7"/>
  <c r="K43" i="7" s="1"/>
  <c r="I54" i="7"/>
  <c r="K54" i="7" s="1"/>
  <c r="I25" i="7"/>
  <c r="K25" i="7" s="1"/>
  <c r="I42" i="7"/>
  <c r="K42" i="7" s="1"/>
  <c r="K118" i="7"/>
  <c r="I21" i="7"/>
  <c r="K21" i="7" s="1"/>
  <c r="I81" i="7"/>
  <c r="I64" i="7"/>
  <c r="I71" i="7" s="1"/>
  <c r="K71" i="7" s="1"/>
  <c r="I53" i="7"/>
  <c r="K53" i="7" s="1"/>
  <c r="K55" i="7" s="1"/>
  <c r="I24" i="7"/>
  <c r="K24" i="7" s="1"/>
  <c r="I56" i="7"/>
  <c r="K56" i="7" s="1"/>
  <c r="I40" i="7"/>
  <c r="K40" i="7" s="1"/>
  <c r="K50" i="7" s="1"/>
  <c r="I22" i="7"/>
  <c r="K22" i="7" s="1"/>
  <c r="K117" i="7"/>
  <c r="K115" i="7"/>
  <c r="K67" i="7"/>
  <c r="B26" i="6"/>
  <c r="G57" i="6"/>
  <c r="G26" i="6"/>
  <c r="I44" i="6"/>
  <c r="I48" i="6" s="1"/>
  <c r="B26" i="5"/>
  <c r="G60" i="5"/>
  <c r="G26" i="5"/>
  <c r="C23" i="3"/>
  <c r="H33" i="1" l="1"/>
  <c r="I57" i="5"/>
  <c r="I55" i="5"/>
  <c r="I53" i="5"/>
  <c r="I56" i="5"/>
  <c r="I52" i="5"/>
  <c r="I54" i="5"/>
  <c r="K73" i="7"/>
  <c r="K17" i="7" s="1"/>
  <c r="K33" i="7" s="1"/>
  <c r="K36" i="7" s="1"/>
  <c r="K26" i="7"/>
  <c r="K119" i="7"/>
  <c r="K69" i="7"/>
  <c r="I54" i="6"/>
  <c r="I50" i="6"/>
  <c r="I49" i="6"/>
  <c r="I53" i="6"/>
  <c r="I52" i="6"/>
  <c r="I51" i="6"/>
  <c r="I68" i="6"/>
  <c r="B28" i="6"/>
  <c r="B30" i="6" s="1"/>
  <c r="B28" i="5"/>
  <c r="B30" i="5" s="1"/>
  <c r="D19" i="1"/>
  <c r="D18" i="1"/>
  <c r="D17" i="1"/>
  <c r="D16" i="1"/>
  <c r="D15" i="1"/>
  <c r="D14" i="1"/>
  <c r="C8" i="1"/>
  <c r="D7" i="1" s="1"/>
  <c r="C32" i="1" s="1"/>
  <c r="H30" i="1" l="1"/>
  <c r="G30" i="6"/>
  <c r="B32" i="6"/>
  <c r="B44" i="6" s="1"/>
  <c r="G30" i="5"/>
  <c r="B34" i="5"/>
  <c r="B46" i="5" s="1"/>
  <c r="B32" i="5"/>
  <c r="B33" i="5" s="1"/>
  <c r="D6" i="1"/>
  <c r="C29" i="1" s="1"/>
  <c r="C27" i="1"/>
  <c r="C33" i="1" s="1"/>
  <c r="H36" i="1" l="1"/>
  <c r="H35" i="1"/>
  <c r="H37" i="1"/>
  <c r="H38" i="1"/>
  <c r="H40" i="1"/>
  <c r="H39" i="1"/>
  <c r="B47" i="6"/>
  <c r="B48" i="6" s="1"/>
  <c r="G48" i="6"/>
  <c r="G44" i="6"/>
  <c r="B49" i="5"/>
  <c r="B51" i="5" s="1"/>
  <c r="G46" i="5"/>
  <c r="C30" i="1"/>
  <c r="C39" i="1" l="1"/>
  <c r="C38" i="1"/>
  <c r="C37" i="1"/>
  <c r="C36" i="1"/>
  <c r="C40" i="1"/>
  <c r="C35" i="1"/>
  <c r="G51" i="6"/>
  <c r="G54" i="6"/>
  <c r="G50" i="6"/>
  <c r="G53" i="6"/>
  <c r="G49" i="6"/>
  <c r="G52" i="6"/>
  <c r="B49" i="6"/>
  <c r="B50" i="6" s="1"/>
  <c r="B51" i="6" s="1"/>
  <c r="B52" i="6" s="1"/>
  <c r="B53" i="6" s="1"/>
  <c r="B54" i="6" s="1"/>
  <c r="B57" i="6" s="1"/>
  <c r="B58" i="6" s="1"/>
  <c r="B59" i="6" s="1"/>
  <c r="B60" i="6" s="1"/>
  <c r="B61" i="6" s="1"/>
  <c r="B62" i="6" s="1"/>
  <c r="B63" i="6" s="1"/>
  <c r="G57" i="5"/>
  <c r="G53" i="5"/>
  <c r="G56" i="5"/>
  <c r="G52" i="5"/>
  <c r="G55" i="5"/>
  <c r="B52" i="5"/>
  <c r="B53" i="5" s="1"/>
  <c r="B54" i="5" s="1"/>
  <c r="B55" i="5" s="1"/>
  <c r="B56" i="5" s="1"/>
  <c r="B57" i="5" s="1"/>
  <c r="B60" i="5" s="1"/>
  <c r="B61" i="5" s="1"/>
  <c r="B62" i="5" s="1"/>
  <c r="B63" i="5" s="1"/>
  <c r="B64" i="5" s="1"/>
  <c r="B65" i="5" s="1"/>
  <c r="B66" i="5" s="1"/>
  <c r="G54" i="5"/>
  <c r="G51" i="5"/>
  <c r="H42" i="1" l="1"/>
  <c r="C42" i="1"/>
</calcChain>
</file>

<file path=xl/sharedStrings.xml><?xml version="1.0" encoding="utf-8"?>
<sst xmlns="http://schemas.openxmlformats.org/spreadsheetml/2006/main" count="753" uniqueCount="492">
  <si>
    <t>AEP Zone Allocation</t>
  </si>
  <si>
    <t>NSPL</t>
  </si>
  <si>
    <t>MW</t>
  </si>
  <si>
    <t>%</t>
  </si>
  <si>
    <t>AEP (Including CRES)</t>
  </si>
  <si>
    <t>Non-Affiliate</t>
  </si>
  <si>
    <t>AEP LSE Allocation</t>
  </si>
  <si>
    <t>12CP</t>
  </si>
  <si>
    <t>AP - 12CP</t>
  </si>
  <si>
    <t>OP - 12CP</t>
  </si>
  <si>
    <t>IM - 12CP</t>
  </si>
  <si>
    <t>KP - 12CP</t>
  </si>
  <si>
    <t>WPC - 12CP</t>
  </si>
  <si>
    <t>KGP - 12CP</t>
  </si>
  <si>
    <t>Operating Company Sum</t>
  </si>
  <si>
    <t>OpCo ATRR</t>
  </si>
  <si>
    <t>2025 PTRR w/ TU</t>
  </si>
  <si>
    <t>Transco ATRR</t>
  </si>
  <si>
    <t>AMPT ATRR</t>
  </si>
  <si>
    <t>Schedule 12 Expense (RTEP)</t>
  </si>
  <si>
    <t>Total Zonal ATRR</t>
  </si>
  <si>
    <t>Allocated to AEP %</t>
  </si>
  <si>
    <t>Allocated to AEP $</t>
  </si>
  <si>
    <t>Allocated to APCo</t>
  </si>
  <si>
    <t>Allocated to OPCo</t>
  </si>
  <si>
    <t>Allocated to I&amp;M</t>
  </si>
  <si>
    <t xml:space="preserve">Allocated to KPCo </t>
  </si>
  <si>
    <t xml:space="preserve">Allocated to WPCo </t>
  </si>
  <si>
    <t xml:space="preserve">Allocated to KGPCo </t>
  </si>
  <si>
    <t>Total Check</t>
  </si>
  <si>
    <r>
      <t>NITS Expense (</t>
    </r>
    <r>
      <rPr>
        <b/>
        <sz val="12"/>
        <color rgb="FFFF0000"/>
        <rFont val="Times New Roman"/>
        <family val="1"/>
      </rPr>
      <t>2025 Actuals</t>
    </r>
    <r>
      <rPr>
        <b/>
        <sz val="12"/>
        <color theme="1"/>
        <rFont val="Times New Roman"/>
        <family val="1"/>
      </rPr>
      <t>)</t>
    </r>
  </si>
  <si>
    <t>2026 12 CP Percent</t>
  </si>
  <si>
    <t>Load</t>
  </si>
  <si>
    <t>2024-11-21 HE 19</t>
  </si>
  <si>
    <t>2024-12-04 HE 8</t>
  </si>
  <si>
    <t>2025-01-22 HE 8</t>
  </si>
  <si>
    <t>2025-02-20 HE 20</t>
  </si>
  <si>
    <t>2025-03-03 HE 8</t>
  </si>
  <si>
    <t>2025-04-09 HE 8</t>
  </si>
  <si>
    <t>2025-05-15 HE 19</t>
  </si>
  <si>
    <t>2025-06-24 HE 14</t>
  </si>
  <si>
    <t>2025-07-24 HE 16</t>
  </si>
  <si>
    <t>2025-08-12 HE 16</t>
  </si>
  <si>
    <t>2025-09-19 HE 17</t>
  </si>
  <si>
    <t>2025-10-06 HE 18</t>
  </si>
  <si>
    <t>Sum of Loads</t>
  </si>
  <si>
    <t>2026 12 CP</t>
  </si>
  <si>
    <t>Average</t>
  </si>
  <si>
    <t>12 CP Percent</t>
  </si>
  <si>
    <t>Transmission Owner</t>
  </si>
  <si>
    <t>Rate Year</t>
  </si>
  <si>
    <t>2025&gt;1</t>
  </si>
  <si>
    <t>2025&gt;2</t>
  </si>
  <si>
    <t>2025&gt;3</t>
  </si>
  <si>
    <t>2025&gt;4</t>
  </si>
  <si>
    <t>2025&gt;5</t>
  </si>
  <si>
    <t>2025&gt;6</t>
  </si>
  <si>
    <t>2025&gt;7</t>
  </si>
  <si>
    <t>2025&gt;8</t>
  </si>
  <si>
    <t>2025&gt;9</t>
  </si>
  <si>
    <t>2025&gt;10</t>
  </si>
  <si>
    <t>2025&gt;11</t>
  </si>
  <si>
    <t>2025&gt;12</t>
  </si>
  <si>
    <t>AEP East Operating Companies and AEP Transmission Companies</t>
  </si>
  <si>
    <t>Jan 2025 - Dec 2025</t>
  </si>
  <si>
    <t>American Transmission Systems, Inc."</t>
  </si>
  <si>
    <t>Atlantic Electric's Network Customers</t>
  </si>
  <si>
    <t>Jun 2025 - May 2026</t>
  </si>
  <si>
    <t>Baltimore Gas and Electric Company's Network Customers</t>
  </si>
  <si>
    <t>Commonwealth Edison Company's Network Customers</t>
  </si>
  <si>
    <t>Delmarva's Network Customers</t>
  </si>
  <si>
    <t>Dominion Virginia Power's Network Customers</t>
  </si>
  <si>
    <t>Mid-Atlantic Interstate Transmission, LLC"</t>
  </si>
  <si>
    <t>NextEra Energy Transmission MidAtlantic, Inc."</t>
  </si>
  <si>
    <t>Northern Indiana Public Service Company (NIPSCO) in Midcontinent Independent System Operator, Inc. (MISO)"</t>
  </si>
  <si>
    <t>PECO Energy Company</t>
  </si>
  <si>
    <t>PEPCO's Network Customers</t>
  </si>
  <si>
    <t>PPL Electric Utilities Corp. dba PPL Utilities</t>
  </si>
  <si>
    <t>PSE&amp;G's Network Customers</t>
  </si>
  <si>
    <t>South FirstEnergy Operating Companies</t>
  </si>
  <si>
    <t>Trans-Allegheny Interstate Line Company (TrAILCo)</t>
  </si>
  <si>
    <t>Transmission Owners in Midcontinent Independent System Operator, Inc. (MISO)"</t>
  </si>
  <si>
    <t>Transource Maryland, LLC"</t>
  </si>
  <si>
    <t>Transource Pennsylvania, LLC"</t>
  </si>
  <si>
    <t>Transource West Virginia, LLC"</t>
  </si>
  <si>
    <t>Total TE Expense to AEP Zone (Excludes BLI 1115 Credit)</t>
  </si>
  <si>
    <t>AEP Zone Expense from AEP Affiliates</t>
  </si>
  <si>
    <t>AEP Zone Expense from Non-Affiliates</t>
  </si>
  <si>
    <t>Billing Line Item 1115 Credit</t>
  </si>
  <si>
    <t>Prior Period Adjustments</t>
  </si>
  <si>
    <t>Total TE Expense to AEP Zone (Includes BLI 1115 Credit)</t>
  </si>
  <si>
    <t>AEP Zone NSPL (MW)</t>
  </si>
  <si>
    <t>RTEP Rate w/o BLI 1115 Credit &amp; Other Adjs ($/MW-Year)</t>
  </si>
  <si>
    <t>RTEP Rate w/ BLI 1115 Credit &amp; Other Adjs ($/MW-Year)</t>
  </si>
  <si>
    <t>AEP EAST Companies  Transmission Formula Rate Revenue Requirement</t>
  </si>
  <si>
    <t>Forecasted Costs Through December 31, 2025</t>
  </si>
  <si>
    <t xml:space="preserve">AEP Zone Transmission Service Revenue Requirement </t>
  </si>
  <si>
    <t>AEP Annual</t>
  </si>
  <si>
    <t>APCo Annual</t>
  </si>
  <si>
    <t>I&amp;M Annual</t>
  </si>
  <si>
    <t>KPCo Annual</t>
  </si>
  <si>
    <t>KNG Annual</t>
  </si>
  <si>
    <t>OPCo Annual</t>
  </si>
  <si>
    <t>WPCo Annual</t>
  </si>
  <si>
    <t>Line</t>
  </si>
  <si>
    <t>Revenue</t>
  </si>
  <si>
    <t>No.</t>
  </si>
  <si>
    <t>Requirement</t>
  </si>
  <si>
    <t>A.</t>
  </si>
  <si>
    <t>Network Service</t>
  </si>
  <si>
    <t>REVENUE REQUIREMENT (w/o incentives)</t>
  </si>
  <si>
    <t>(TCOS Ln 1 )</t>
  </si>
  <si>
    <t>LESS: REVENUE CREDITS</t>
  </si>
  <si>
    <t>(TCOS Ln 2 )</t>
  </si>
  <si>
    <t>CURRENT YEAR ZONE 1 AEP NETWORK SERVICE REVENUE REQUIREMENT</t>
  </si>
  <si>
    <t>(TCOS Ln 3 )</t>
  </si>
  <si>
    <t xml:space="preserve">LESS:  REVENUE REQUIREMENTS INCLUDED IN LINE 1 FOR: </t>
  </si>
  <si>
    <t xml:space="preserve">      RTEP UPGRADES (W/O INCENTIVES)</t>
  </si>
  <si>
    <t>(TCOS Ln 5)</t>
  </si>
  <si>
    <t xml:space="preserve">      OTHER ZONAL UPGRADES (W/O INCENTIVES)</t>
  </si>
  <si>
    <t xml:space="preserve">      SUBTOTAL</t>
  </si>
  <si>
    <t xml:space="preserve"> </t>
  </si>
  <si>
    <t>EXISTING ZONAL ATRR (W/O INCENTIVES)</t>
  </si>
  <si>
    <t>INCENTIVE REVENUE REQUIREMENT FOR ZONAL PROJECTS</t>
  </si>
  <si>
    <t>EXISTING ZONAL ATRR (W/ INCENTIVES)</t>
  </si>
  <si>
    <t>Input from Prior Year</t>
  </si>
  <si>
    <t>PRIOR YEAR TRUE-UP (2023 including interest)</t>
  </si>
  <si>
    <t>(Worksheet Q)</t>
  </si>
  <si>
    <t>11a</t>
  </si>
  <si>
    <t>Facility Credits under PJM OATT Section 30.9</t>
  </si>
  <si>
    <t>(TCOS Ln 3)</t>
  </si>
  <si>
    <t>11b</t>
  </si>
  <si>
    <t>Adjusments from prior Annual Updates (2021 NOL Refund)</t>
  </si>
  <si>
    <t>11c</t>
  </si>
  <si>
    <t>Adjusments from prior Annual Updates (2019-2022 Rate Relief Refund)</t>
  </si>
  <si>
    <t>11d</t>
  </si>
  <si>
    <t>Adjusments from prior Annual Updates (project b2777 update)</t>
  </si>
  <si>
    <t>11e</t>
  </si>
  <si>
    <t>Adjusments from 2023 ATRR - customer challenge</t>
  </si>
  <si>
    <t xml:space="preserve">EXISTING ZONAL PTRR FOR PJM OATT </t>
  </si>
  <si>
    <t>B.</t>
  </si>
  <si>
    <t>Point-to-Point Service</t>
  </si>
  <si>
    <t>C.</t>
  </si>
  <si>
    <t>PJM Regional Service</t>
  </si>
  <si>
    <t>ADDITIONAL ATRR FOR FERC-APPROVED INCENTIVES ON RTEP</t>
  </si>
  <si>
    <t>TRUE-UP ADJUSTMENT INCLUDING INTEREST</t>
  </si>
  <si>
    <t>2021 NOL REFUND INCLUDING INTEREST</t>
  </si>
  <si>
    <t>RATE RELIEF REFUNDS 2019-2022 INCLUDING INTEREST</t>
  </si>
  <si>
    <t>PROJECT B2777 CORRECTION</t>
  </si>
  <si>
    <t>RTEP PTRR FOR PJM COLLECTION UNDER SCHEDULE 12</t>
  </si>
  <si>
    <t xml:space="preserve">   </t>
  </si>
  <si>
    <t xml:space="preserve">  </t>
  </si>
  <si>
    <t>AEPTCo subsidiaries in PJM - Transmission Formula Rate Revenue Requirement</t>
  </si>
  <si>
    <t>Revenue Requirements for Network and Point-to-Point Transmission Service</t>
  </si>
  <si>
    <t>AEPTCo subsidiaries in PJM</t>
  </si>
  <si>
    <t>APPALACHIAN TRANSMISSION COMPANY</t>
  </si>
  <si>
    <t>INDIANA MICHIGAN TRANSMISSION COMPANY</t>
  </si>
  <si>
    <t>KENTUCKY TRANSMISSION COMPANY</t>
  </si>
  <si>
    <t xml:space="preserve">OHIO TRANSMISSION COMPANY </t>
  </si>
  <si>
    <t>WEST VIRGINIA TRANSMISSION COMPANY</t>
  </si>
  <si>
    <t>Annual Revenue</t>
  </si>
  <si>
    <t>CURRENT YEAR AEPTCo ANNUAL TRANSMISSION REVENUE REQUIREMENT (PTRR)</t>
  </si>
  <si>
    <t xml:space="preserve">      RTEP UPGRADES ATRR (W/O INCENTIVES)</t>
  </si>
  <si>
    <t xml:space="preserve">      OTHER UPGRADES ATRR (W/O INCENTIVES)</t>
  </si>
  <si>
    <t>EXISTING AEPTCo ZONAL PTRR (W/O INCENTIVES)</t>
  </si>
  <si>
    <t>INCREMENTAL APPROVED INCENTIVE PTRR</t>
  </si>
  <si>
    <t>EXISTING AEPTCo ZONAL PTRR (W/ INCENTIVES)</t>
  </si>
  <si>
    <t>PRIOR YEAR TRUE-UP (2022 INCLUDING INTEREST)</t>
  </si>
  <si>
    <t>(Worksheet R)</t>
  </si>
  <si>
    <t>Adjusments from prior Annual Updates (2019-2022 Rate Refund)</t>
  </si>
  <si>
    <t xml:space="preserve">EXISTING AEPTCo PTRR FOR AEP ZONE OF PJM OATT </t>
  </si>
  <si>
    <t>Page 1 of 18</t>
  </si>
  <si>
    <t>AMP Transmission LLC</t>
  </si>
  <si>
    <t>Calculation of Transmission Revenue Requirements</t>
  </si>
  <si>
    <t>AEP Transmission Zone</t>
  </si>
  <si>
    <t>Attachment H-32A</t>
  </si>
  <si>
    <t>Cash-Flow Model</t>
  </si>
  <si>
    <t>Year Ended 12/31/2025</t>
  </si>
  <si>
    <t>Projected</t>
  </si>
  <si>
    <t>AEP-Area</t>
  </si>
  <si>
    <t xml:space="preserve">Line </t>
  </si>
  <si>
    <t>(Note A)</t>
  </si>
  <si>
    <t>Qualifying</t>
  </si>
  <si>
    <t>Cost of Service Item</t>
  </si>
  <si>
    <t>Page, Line, Col.</t>
  </si>
  <si>
    <t>Notes</t>
  </si>
  <si>
    <t>Company Total</t>
  </si>
  <si>
    <t>Allocator</t>
  </si>
  <si>
    <t>Transmission</t>
  </si>
  <si>
    <t>(a)</t>
  </si>
  <si>
    <t>(b)</t>
  </si>
  <si>
    <t>(c)</t>
  </si>
  <si>
    <t>(d)</t>
  </si>
  <si>
    <t>(e)</t>
  </si>
  <si>
    <t>(f)</t>
  </si>
  <si>
    <t>(g)</t>
  </si>
  <si>
    <t xml:space="preserve"> (e) x (f)</t>
  </si>
  <si>
    <t>Allocated</t>
  </si>
  <si>
    <t>Amount</t>
  </si>
  <si>
    <t>GROSS REVENUE REQUIREMENT         (line 54)</t>
  </si>
  <si>
    <t xml:space="preserve">REVENUE CREDITS </t>
  </si>
  <si>
    <t>(Note C)</t>
  </si>
  <si>
    <t>Total</t>
  </si>
  <si>
    <t xml:space="preserve">  Account No. 454</t>
  </si>
  <si>
    <t>WP02</t>
  </si>
  <si>
    <t>TP</t>
  </si>
  <si>
    <t xml:space="preserve">  Account No. 456</t>
  </si>
  <si>
    <t xml:space="preserve">  Revenue Credits Specific to zone</t>
  </si>
  <si>
    <t>D/A</t>
  </si>
  <si>
    <t xml:space="preserve">  Reserved</t>
  </si>
  <si>
    <t xml:space="preserve">  Transmission Enhancement Credit</t>
  </si>
  <si>
    <t>WP07</t>
  </si>
  <si>
    <t>TOTAL REVENUE CREDITS  (sum lines 5-9)</t>
  </si>
  <si>
    <t>TRUE-UP ADJUSTMENT WITH INTEREST (Protocols)</t>
  </si>
  <si>
    <t>(Note D) WP05</t>
  </si>
  <si>
    <t>Adjustments to Net Revenue Requirement (Note G)</t>
  </si>
  <si>
    <t>Interest on Adjustments (Note H)</t>
  </si>
  <si>
    <t>Total Adjustment (line 14 + line 15)</t>
  </si>
  <si>
    <t>NET REVENUE REQUIREMENTS</t>
  </si>
  <si>
    <t>17a</t>
  </si>
  <si>
    <t>DIVISOR</t>
  </si>
  <si>
    <t>17b</t>
  </si>
  <si>
    <t>1 Coincident Peak (CP) (MW) - AEP</t>
  </si>
  <si>
    <t>17c</t>
  </si>
  <si>
    <t>Annual Network Rate ($/MW/Yr)  (Line 17 / Line 17b)</t>
  </si>
  <si>
    <t>/MW/Yr</t>
  </si>
  <si>
    <t>O&amp;M/A&amp;G, DEBT SERVICE &amp; OTHER TAXES</t>
  </si>
  <si>
    <t xml:space="preserve">  Transmission O&amp;M allocable to zone</t>
  </si>
  <si>
    <t>321.112.b and WP09</t>
  </si>
  <si>
    <t>WP09</t>
  </si>
  <si>
    <t xml:space="preserve">  Transmission O&amp;M Specific to zone (Note M)</t>
  </si>
  <si>
    <t>AEP</t>
  </si>
  <si>
    <t xml:space="preserve">     Less Account 565</t>
  </si>
  <si>
    <t>321.96.b</t>
  </si>
  <si>
    <t>Form 1</t>
  </si>
  <si>
    <t xml:space="preserve">     Less: Account 561.2 Load Dispatch - Monitor and Operate Trans System through Schedule 1A</t>
  </si>
  <si>
    <t>321.86.b</t>
  </si>
  <si>
    <t xml:space="preserve">  A&amp;G allocable to zone (Note M)</t>
  </si>
  <si>
    <t>323.197.b and WP09</t>
  </si>
  <si>
    <t>W&amp;S</t>
  </si>
  <si>
    <t xml:space="preserve">  A&amp;G Specific to zone (Note M)</t>
  </si>
  <si>
    <t xml:space="preserve">  Other Amortizations - ATSI (Note N)</t>
  </si>
  <si>
    <t>WP03</t>
  </si>
  <si>
    <t xml:space="preserve">  Other Amortizations - AEP Zone (Note N)</t>
  </si>
  <si>
    <t xml:space="preserve">  Other Amortizations - All zones</t>
  </si>
  <si>
    <t xml:space="preserve">  Amortization of Start-Up Costs to zone (Note N)</t>
  </si>
  <si>
    <t>TOTAL O&amp;M  (sum lines 21, 22, 25-30, less lines 23 and 24)</t>
  </si>
  <si>
    <t>DEBT SERVICE</t>
  </si>
  <si>
    <t xml:space="preserve">   Debt Service (Note L)</t>
  </si>
  <si>
    <t>WP06</t>
  </si>
  <si>
    <t xml:space="preserve">   Amortization of premium or discount  (Note E)</t>
  </si>
  <si>
    <t>TOTAL DEBT SERVICE (Sum lines 34 and 35 )</t>
  </si>
  <si>
    <t>Interest for Working Capital needs</t>
  </si>
  <si>
    <t>WP06b</t>
  </si>
  <si>
    <t>TAXES OTHER THAN INCOME TAXES   (Note F)</t>
  </si>
  <si>
    <t xml:space="preserve">  LABOR RELATED</t>
  </si>
  <si>
    <t xml:space="preserve">          Payroll</t>
  </si>
  <si>
    <t>263.i</t>
  </si>
  <si>
    <t xml:space="preserve">          Highway and vehicle</t>
  </si>
  <si>
    <t xml:space="preserve">  PLANT RELATED</t>
  </si>
  <si>
    <t xml:space="preserve">         Property specific to zone (Note M)</t>
  </si>
  <si>
    <t xml:space="preserve">         Property allocable to zone (Note M)</t>
  </si>
  <si>
    <t>263.i and WP09</t>
  </si>
  <si>
    <t xml:space="preserve">         Other</t>
  </si>
  <si>
    <t xml:space="preserve">         State Franchise Tax</t>
  </si>
  <si>
    <t>TOTAL OTHER TAXES  (sum lines 41 through 47)</t>
  </si>
  <si>
    <t>Subtotal (lines 31 + 36 + 37 + 48)</t>
  </si>
  <si>
    <t>Margin factor</t>
  </si>
  <si>
    <r>
      <t xml:space="preserve">MARGIN REQUIREMENT  (Note I) </t>
    </r>
    <r>
      <rPr>
        <u/>
        <sz val="12"/>
        <color rgb="FFFF0000"/>
        <rFont val="Arial"/>
        <family val="2"/>
      </rPr>
      <t>(WP10)</t>
    </r>
  </si>
  <si>
    <t>40% of Debt Service</t>
  </si>
  <si>
    <t>REV. REQUIREMENT  (sum lines 50 and 52)</t>
  </si>
  <si>
    <t>GROSS PLANT IN SERVICE</t>
  </si>
  <si>
    <t xml:space="preserve">  Production</t>
  </si>
  <si>
    <t>NA</t>
  </si>
  <si>
    <t xml:space="preserve">  Transmission   (Note B)</t>
  </si>
  <si>
    <t xml:space="preserve">207.58.g </t>
  </si>
  <si>
    <t>WP01/04</t>
  </si>
  <si>
    <t xml:space="preserve">  Distribution</t>
  </si>
  <si>
    <t>N/A</t>
  </si>
  <si>
    <t xml:space="preserve">  General &amp; Intangible</t>
  </si>
  <si>
    <t xml:space="preserve">205.5.g &amp; 207.99.g </t>
  </si>
  <si>
    <t>WP01</t>
  </si>
  <si>
    <t xml:space="preserve">  Other </t>
  </si>
  <si>
    <t>TOTAL GROSS PLANT  (sum lines 57 - 62)</t>
  </si>
  <si>
    <t>TRANSMISSION PLANT % INCLUDED IN PJM COST OF SERVICE</t>
  </si>
  <si>
    <t xml:space="preserve">Total transmission plant </t>
  </si>
  <si>
    <t>WP04</t>
  </si>
  <si>
    <t>Less Non-Qualifying Transmission Plant</t>
  </si>
  <si>
    <t xml:space="preserve">Less transmission plant included in OATT Ancillary Services  </t>
  </si>
  <si>
    <t>Total Qualifying Transmission Plant in Service (line 67 - 68 - 69)</t>
  </si>
  <si>
    <t>Percentage of PJM Qualifying transmission plant included in Cost of Service (line 70 / line 67)</t>
  </si>
  <si>
    <t>TP=</t>
  </si>
  <si>
    <t>Page 2 of 18</t>
  </si>
  <si>
    <t xml:space="preserve">TRANSMISSION EXPENSES </t>
  </si>
  <si>
    <t>Total transmission expenses    (line 21+22 Column e)</t>
  </si>
  <si>
    <t>Less transmission expenses included in OATT Ancillary Services   (Note J)</t>
  </si>
  <si>
    <t>Included transmission expenses (line 76 less line 77)</t>
  </si>
  <si>
    <t>Percentage of transmission expenses after adjustment (line 78 divided by line 76)</t>
  </si>
  <si>
    <t>Percentage of transmission plant included in ISO Rates (line 72)</t>
  </si>
  <si>
    <t>Percentage of transmission expenses included in ISO Rates (line 80 times line 81)</t>
  </si>
  <si>
    <t>TE=</t>
  </si>
  <si>
    <t>WAGES &amp; SALARY ALLOCATOR   (W&amp;S) (Note K)</t>
  </si>
  <si>
    <t>$</t>
  </si>
  <si>
    <t>Allocation</t>
  </si>
  <si>
    <t xml:space="preserve">  Production </t>
  </si>
  <si>
    <t xml:space="preserve">  Transmission (WP04)</t>
  </si>
  <si>
    <t xml:space="preserve">  Distribution </t>
  </si>
  <si>
    <t>W&amp;S Allocator</t>
  </si>
  <si>
    <t xml:space="preserve">  Other</t>
  </si>
  <si>
    <t>($ / Allocation)</t>
  </si>
  <si>
    <t xml:space="preserve">  Total  (sum lines 86-89)</t>
  </si>
  <si>
    <t>=</t>
  </si>
  <si>
    <t>= WS</t>
  </si>
  <si>
    <t xml:space="preserve">     Rate Formula Template</t>
  </si>
  <si>
    <t xml:space="preserve"> Utilizing Informational FERC Form 1 Data</t>
  </si>
  <si>
    <t>General Note:  References to pages in this formulary rate are indicated as:  (page#, line#, col.#)</t>
  </si>
  <si>
    <t>References to data from Informational FERC Form 1 are indicated as:   #.y.x  (page, line, column)</t>
  </si>
  <si>
    <t>A</t>
  </si>
  <si>
    <t>AMPT will maintain and post with informational filings an Informational FERC Form 1.</t>
  </si>
  <si>
    <t>B</t>
  </si>
  <si>
    <t>Beginning/End year balances will match Form 1.  13-Month average balances shown on WP-01.  Qualifying zonal transmission investment shown on WP04.  Excluding any Transmission AROs</t>
  </si>
  <si>
    <t>C</t>
  </si>
  <si>
    <t>The revenues credited on page 1 lines 5-9 shall include only the amounts received directly (in the case of grandfathered agreements)</t>
  </si>
  <si>
    <t xml:space="preserve">or from the ISO (for service under this tariff) reflecting the Transmission Owner's integrated transmission facilities.  They do not </t>
  </si>
  <si>
    <t xml:space="preserve">include revenues associated with FERC annual charges, gross receipts taxes, ancillary services, facilities not included in this </t>
  </si>
  <si>
    <t>template (e.g., direct assignment facilities and GSUs) which are not recovered under this Rate Formula Template.</t>
  </si>
  <si>
    <t>D</t>
  </si>
  <si>
    <r>
      <t>The True-Up adjustment is the difference between (1) the revenues received for the 12-Month</t>
    </r>
    <r>
      <rPr>
        <u/>
        <sz val="12"/>
        <color rgb="FFFF0000"/>
        <rFont val="Arial"/>
        <family val="2"/>
      </rPr>
      <t xml:space="preserve"> </t>
    </r>
    <r>
      <rPr>
        <sz val="12"/>
        <rFont val="Arial"/>
        <family val="2"/>
      </rPr>
      <t>period and (2) the ATRR for that 12-Month period after it is known, with interest</t>
    </r>
  </si>
  <si>
    <t>Over Recoveries are entered as negative to reduce the net revenue.  Under recoveries are entered as Positive to increase the net revenue.</t>
  </si>
  <si>
    <t>E</t>
  </si>
  <si>
    <t>Includes amounts recorded to accounts 428 and 429.</t>
  </si>
  <si>
    <t>F</t>
  </si>
  <si>
    <t xml:space="preserve">Includes only FICA, unemployment, highway, property, gross receipts, PILOT, and other assessments charged in the current year.  Taxes related to income are excluded.  </t>
  </si>
  <si>
    <t>Gross receipts taxes are not included in transmission revenue requirement in the Rate Formula Template, since they are recovered elsewhere.</t>
  </si>
  <si>
    <t>G</t>
  </si>
  <si>
    <t xml:space="preserve">Adjustments required pursuant to Section 6 of the AMPT Protocols.  Refunds shall be entered as a negative number to reduce the net revenue requirement.  </t>
  </si>
  <si>
    <t>Surcharges shall be entered as a positive number to increase the net revenue requirement.</t>
  </si>
  <si>
    <t>H</t>
  </si>
  <si>
    <t>Interest required pursuant to Section 2(c) of Protocols.  Interest on any refunds shall be entered as a negative number to reduce the net revenue</t>
  </si>
  <si>
    <t>requirement.  Interest on surcharge shall be entered as a positive number to increase the net revenue requirement.</t>
  </si>
  <si>
    <t>I</t>
  </si>
  <si>
    <t>Margin Factor equals .40 or 40% of debt service.  Margin Requirement is the dollar amount that results from applying the Margin Factor to annual debt service.</t>
  </si>
  <si>
    <t>The Margin Factor can only be changed by Order of the Commission</t>
  </si>
  <si>
    <t>J</t>
  </si>
  <si>
    <t>Removes dollar amount of transmission expenses included in the OATT ancillary services rates, including all of Account No. 561.1, 561.2,</t>
  </si>
  <si>
    <t xml:space="preserve">  561.3 and 561.BA.</t>
  </si>
  <si>
    <t>K</t>
  </si>
  <si>
    <t>AMPT will have no wages and salaries.  However, all A&amp;G expense incurred by AMPT will be 100% related to AMPT Transmission</t>
  </si>
  <si>
    <t>L</t>
  </si>
  <si>
    <t>PTRR debt service projections for zone are shown on WP06.  Actual ATRR debt service (for True-up template) will be from AMPT accounting records</t>
  </si>
  <si>
    <t>With respect to purchased assets, principal and interest payments related to borrowings in excess of the seller's net book value will not be included in the PTRR or ATRR debt service.</t>
  </si>
  <si>
    <t>M</t>
  </si>
  <si>
    <t>O&amp;M and A&amp;G and Property Other Taxes values taken from the column in WP09 that corresponds to the zone</t>
  </si>
  <si>
    <t>N</t>
  </si>
  <si>
    <t>Includes amortization of pre-commercial Start-Up costs booked in account 182.3, approved by the Commission and amortized through Account 566.</t>
  </si>
  <si>
    <t>2025 with BLI 1115 Refund</t>
  </si>
  <si>
    <t>Allocated to Non-Affiliate</t>
  </si>
  <si>
    <t>AEP (Including CRES)*</t>
  </si>
  <si>
    <t>*CRES refers to Competitive Retail Electric Service providers.  These are entities that serve retail load in service territories where retail competition exists.  For Transmission Settlements purposes, CRES loads are assigned to the retail jurisdiction in which they operate.</t>
  </si>
  <si>
    <t>Baseline</t>
  </si>
  <si>
    <t>With Allen Station Costs</t>
  </si>
  <si>
    <t>2025 PTRR w/ true up (TU)</t>
  </si>
  <si>
    <t>Total Change</t>
  </si>
  <si>
    <t>Difference</t>
  </si>
  <si>
    <t>Check</t>
  </si>
  <si>
    <t>Injection = Capital * Net Plant Carrying Charge of 15.35%</t>
  </si>
  <si>
    <t>Res</t>
  </si>
  <si>
    <t>GS Sec</t>
  </si>
  <si>
    <t>GS Pri</t>
  </si>
  <si>
    <t>GS Sub</t>
  </si>
  <si>
    <t>LGS Sec</t>
  </si>
  <si>
    <t>LGS Pri</t>
  </si>
  <si>
    <t>LGS Sub</t>
  </si>
  <si>
    <t>LGS Tran</t>
  </si>
  <si>
    <t>PS Sec</t>
  </si>
  <si>
    <t>PS Pri</t>
  </si>
  <si>
    <t>IGS Sec</t>
  </si>
  <si>
    <t>IGS Pri</t>
  </si>
  <si>
    <t>IGS Sub</t>
  </si>
  <si>
    <t>IGS Tran</t>
  </si>
  <si>
    <t>OL</t>
  </si>
  <si>
    <t>SL</t>
  </si>
  <si>
    <t>Tariff</t>
  </si>
  <si>
    <t>Allen Station Rebuild KPCo Incremental Share</t>
  </si>
  <si>
    <t>American Electric Power</t>
  </si>
  <si>
    <t>TARIFF SUMMARY REVENUE - ALL REVENUE CLASSES</t>
  </si>
  <si>
    <t xml:space="preserve">
															</t>
  </si>
  <si>
    <t>KENTUCKY POWER COMPANY</t>
  </si>
  <si>
    <t>12 MONTHS BILLED AND ACCRUED - MCSR0162 - FINAL</t>
  </si>
  <si>
    <t>Prepared:</t>
  </si>
  <si>
    <r>
      <rPr>
        <b/>
        <sz val="8"/>
        <color rgb="FF222222"/>
        <rFont val="Andale WT"/>
        <family val="2"/>
      </rPr>
      <t>09/09/2026</t>
    </r>
    <r>
      <rPr>
        <sz val="10"/>
        <color rgb="FF222222"/>
        <rFont val="Andale WT"/>
        <family val="2"/>
      </rPr>
      <t xml:space="preserve"> </t>
    </r>
    <r>
      <rPr>
        <b/>
        <sz val="8"/>
        <color rgb="FF222222"/>
        <rFont val="Andale WT"/>
        <family val="2"/>
      </rPr>
      <t>01:01:32 AM</t>
    </r>
  </si>
  <si>
    <t>Go To TOC</t>
  </si>
  <si>
    <t xml:space="preserve">State : </t>
  </si>
  <si>
    <t>KY</t>
  </si>
  <si>
    <t>August 2026</t>
  </si>
  <si>
    <t>Realization</t>
  </si>
  <si>
    <t>Fuel Clause</t>
  </si>
  <si>
    <t>Revenue Excl Fuel Clause</t>
  </si>
  <si>
    <t>Metered KWH</t>
  </si>
  <si>
    <t>Off Pk KWH</t>
  </si>
  <si>
    <t>Billing Demand</t>
  </si>
  <si>
    <t># Of Cust Incl</t>
  </si>
  <si>
    <t># Of Cust Excl</t>
  </si>
  <si>
    <t># Of Lamps</t>
  </si>
  <si>
    <t>Incl Fuel</t>
  </si>
  <si>
    <t>Excl Fuel</t>
  </si>
  <si>
    <t>Facility Charge</t>
  </si>
  <si>
    <t xml:space="preserve">RSW-LMWH </t>
  </si>
  <si>
    <t xml:space="preserve">RSW-A    </t>
  </si>
  <si>
    <t xml:space="preserve">RSW-B    </t>
  </si>
  <si>
    <t xml:space="preserve">RSW-C    </t>
  </si>
  <si>
    <t xml:space="preserve">RS       </t>
  </si>
  <si>
    <t xml:space="preserve">RS EMP   </t>
  </si>
  <si>
    <t>RS-DEMAND</t>
  </si>
  <si>
    <t xml:space="preserve">RS-RS    </t>
  </si>
  <si>
    <t>AORH-W ON</t>
  </si>
  <si>
    <t xml:space="preserve">RSW-ONPK </t>
  </si>
  <si>
    <t xml:space="preserve">RS LM-ON </t>
  </si>
  <si>
    <t xml:space="preserve">AORH-ON  </t>
  </si>
  <si>
    <t>RS-TOD-ON</t>
  </si>
  <si>
    <t>OL 175 MV</t>
  </si>
  <si>
    <t>OL 100 HP</t>
  </si>
  <si>
    <t>OL 400 MV</t>
  </si>
  <si>
    <t>OL 200 HP</t>
  </si>
  <si>
    <t>OL 400 HP</t>
  </si>
  <si>
    <t>OL175 MVP</t>
  </si>
  <si>
    <t>OL 250 HP</t>
  </si>
  <si>
    <t>OL 200HPF</t>
  </si>
  <si>
    <t>OL400 HPF</t>
  </si>
  <si>
    <t>OL 250 MH</t>
  </si>
  <si>
    <t>OL100 HPP</t>
  </si>
  <si>
    <t>OL 150 HP</t>
  </si>
  <si>
    <t>OL 400 MH</t>
  </si>
  <si>
    <t>OL 250HPP</t>
  </si>
  <si>
    <t>OL150 HPP</t>
  </si>
  <si>
    <t>OL 400HPP</t>
  </si>
  <si>
    <t>OL 250MON</t>
  </si>
  <si>
    <t>OL 1000MH</t>
  </si>
  <si>
    <t>OL 400MON</t>
  </si>
  <si>
    <t>55W LEDOL</t>
  </si>
  <si>
    <t>100WLEDOL</t>
  </si>
  <si>
    <t>175WLEDOL</t>
  </si>
  <si>
    <t>300WLEDOL</t>
  </si>
  <si>
    <t>64W LEDOL</t>
  </si>
  <si>
    <t>146WLEDOL</t>
  </si>
  <si>
    <t>297WLEDOL</t>
  </si>
  <si>
    <t xml:space="preserve">GS-MTRD  </t>
  </si>
  <si>
    <t xml:space="preserve">GS SEC   </t>
  </si>
  <si>
    <t xml:space="preserve">GS-UMR   </t>
  </si>
  <si>
    <t xml:space="preserve">GS - AF  </t>
  </si>
  <si>
    <t xml:space="preserve">GS PRI   </t>
  </si>
  <si>
    <t xml:space="preserve">GSCC PRI </t>
  </si>
  <si>
    <t xml:space="preserve">GS LM ON </t>
  </si>
  <si>
    <t>GS LM TOD</t>
  </si>
  <si>
    <t>EXP GSTOD</t>
  </si>
  <si>
    <t xml:space="preserve">GS-TOD   </t>
  </si>
  <si>
    <t xml:space="preserve">GSCC SUB </t>
  </si>
  <si>
    <t xml:space="preserve">LGS SEC  </t>
  </si>
  <si>
    <t>LGS M SEC</t>
  </si>
  <si>
    <t xml:space="preserve">LGS PRI  </t>
  </si>
  <si>
    <t>LGS M PRI</t>
  </si>
  <si>
    <t xml:space="preserve">LGS SUB  </t>
  </si>
  <si>
    <t xml:space="preserve">LGS TRAN </t>
  </si>
  <si>
    <t>LGS-LM-TD</t>
  </si>
  <si>
    <t>LGSSECTOD</t>
  </si>
  <si>
    <t>LGSPRITOD</t>
  </si>
  <si>
    <t xml:space="preserve">PS SEC   </t>
  </si>
  <si>
    <t xml:space="preserve">PS PRI   </t>
  </si>
  <si>
    <t>CS-IRP PR</t>
  </si>
  <si>
    <t>CS-IRP ST</t>
  </si>
  <si>
    <t>CS-IRP TR</t>
  </si>
  <si>
    <t xml:space="preserve">CS-IRP   </t>
  </si>
  <si>
    <t xml:space="preserve">IGS SEC  </t>
  </si>
  <si>
    <t xml:space="preserve">IGS PRI  </t>
  </si>
  <si>
    <t xml:space="preserve">IGS SUB  </t>
  </si>
  <si>
    <t xml:space="preserve">IGS      </t>
  </si>
  <si>
    <t xml:space="preserve">SL       </t>
  </si>
  <si>
    <t xml:space="preserve">MW       </t>
  </si>
  <si>
    <r>
      <rPr>
        <b/>
        <sz val="9"/>
        <color theme="1"/>
        <rFont val="Andale WT"/>
        <family val="2"/>
      </rPr>
      <t>KY</t>
    </r>
    <r>
      <rPr>
        <b/>
        <sz val="9"/>
        <color theme="1"/>
        <rFont val="Andale WT"/>
        <family val="2"/>
      </rPr>
      <t xml:space="preserve"> - </t>
    </r>
    <r>
      <rPr>
        <b/>
        <sz val="9"/>
        <color theme="1"/>
        <rFont val="Andale WT"/>
        <family val="2"/>
      </rPr>
      <t>Summary</t>
    </r>
  </si>
  <si>
    <t>AEP Internal</t>
  </si>
  <si>
    <r>
      <rPr>
        <sz val="8"/>
        <color rgb="FF222222"/>
        <rFont val="Andale WT"/>
        <family val="2"/>
      </rPr>
      <t xml:space="preserve">Page </t>
    </r>
    <r>
      <rPr>
        <sz val="8"/>
        <color rgb="FF222222"/>
        <rFont val="Andale WT"/>
        <family val="2"/>
      </rPr>
      <t>4</t>
    </r>
    <r>
      <rPr>
        <sz val="8"/>
        <color rgb="FF222222"/>
        <rFont val="Andale WT"/>
        <family val="2"/>
      </rPr>
      <t xml:space="preserve"> of </t>
    </r>
    <r>
      <rPr>
        <sz val="8"/>
        <color rgb="FF222222"/>
        <rFont val="Andale WT"/>
        <family val="2"/>
      </rPr>
      <t>19</t>
    </r>
  </si>
  <si>
    <t>Residential</t>
  </si>
  <si>
    <t>Allen Station Allocated $</t>
  </si>
  <si>
    <t>Percentage Increase</t>
  </si>
  <si>
    <t>Monthly Increase</t>
  </si>
  <si>
    <t>CPT*</t>
  </si>
  <si>
    <t>*CPT = Coincident Peak at Transmission Level from 2025 Base rate Case</t>
  </si>
  <si>
    <t>CPT Allocation Factor</t>
  </si>
  <si>
    <t>Revenues</t>
  </si>
  <si>
    <t>kWh</t>
  </si>
  <si>
    <t>Customer Count</t>
  </si>
  <si>
    <t>12-Mos Ended August 2026 (Billed and Accrued)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</si>
</sst>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 #,##0.0_);_(* \(#,##0.0\);_(* &quot;-&quot;??_);_(@_)"/>
    <numFmt numFmtId="166" formatCode="0.000%"/>
    <numFmt numFmtId="167" formatCode="_(&quot;$&quot;* #,##0_);_(&quot;$&quot;* \(#,##0\);_(&quot;$&quot;* &quot;-&quot;??_);_(@_)"/>
    <numFmt numFmtId="168" formatCode="0.000"/>
    <numFmt numFmtId="169" formatCode="0.00000"/>
    <numFmt numFmtId="170" formatCode="#0;&quot;-&quot;#0;#0;_(@_)"/>
    <numFmt numFmtId="171" formatCode="&quot;$&quot;* #,##0.00_);&quot;$&quot;* \(#,##0.00\);&quot;$&quot;* #,##0.00_);_(@_)"/>
    <numFmt numFmtId="172" formatCode="&quot;$&quot;#,##0.00"/>
    <numFmt numFmtId="173" formatCode="&quot;$&quot;#,##0"/>
    <numFmt numFmtId="174" formatCode="[$-409]mmm\-yy;@"/>
    <numFmt numFmtId="175" formatCode="&quot;$&quot;#,##0.00000"/>
    <numFmt numFmtId="176" formatCode="_(&quot;$&quot;* #,##0.00_);_(&quot;$&quot;* \(#,##0.00\);_(&quot;$&quot;* &quot;-&quot;_);_(@_)"/>
    <numFmt numFmtId="177" formatCode="0.0%"/>
    <numFmt numFmtId="178" formatCode="_(* #,##0.00000_);_(* \(#,##0.00000\);_(* &quot;-&quot;??_);_(@_)"/>
    <numFmt numFmtId="179" formatCode="#,##0.00000"/>
    <numFmt numFmtId="180" formatCode="0.0000%"/>
    <numFmt numFmtId="181" formatCode="0.0000"/>
    <numFmt numFmtId="182" formatCode="mm/dd/yyyy"/>
    <numFmt numFmtId="183" formatCode="#0;\-#0;\0\0\0"/>
    <numFmt numFmtId="184" formatCode="#,##0.00;&quot;-&quot;#,##0.00;\0\.\0\0"/>
    <numFmt numFmtId="185" formatCode="#,##0;&quot;-&quot;#,##0;\0"/>
    <numFmt numFmtId="186" formatCode="#,##0.0;&quot;-&quot;#,##0.0;\0\.\0"/>
  </numFmts>
  <fonts count="64">
    <font>
      <sz val="11"/>
      <color theme="1"/>
      <name val="Aptos Narrow"/>
      <family val="2"/>
      <scheme val="minor"/>
    </font>
    <font>
      <sz val="11"/>
      <color theme="1"/>
      <name val="Aptos Narrow"/>
      <family val="2"/>
      <scheme val="minor"/>
    </font>
    <font>
      <sz val="12"/>
      <color theme="1"/>
      <name val="Times New Roman"/>
      <family val="1"/>
    </font>
    <font>
      <sz val="12"/>
      <name val="Times New Roman"/>
      <family val="1"/>
    </font>
    <font>
      <b/>
      <sz val="12"/>
      <color theme="1"/>
      <name val="Times New Roman"/>
      <family val="1"/>
    </font>
    <font>
      <b/>
      <sz val="12"/>
      <name val="Times New Roman"/>
      <family val="1"/>
    </font>
    <font>
      <b/>
      <sz val="12"/>
      <color rgb="FFFF0000"/>
      <name val="Times New Roman"/>
      <family val="1"/>
    </font>
    <font>
      <sz val="10"/>
      <name val="Arial"/>
      <family val="2"/>
    </font>
    <font>
      <sz val="10"/>
      <color rgb="FF000000"/>
      <name val="Arial"/>
      <family val="2"/>
    </font>
    <font>
      <sz val="12"/>
      <name val="Arial MT"/>
    </font>
    <font>
      <b/>
      <sz val="12"/>
      <color indexed="12"/>
      <name val="Times New Roman"/>
      <family val="1"/>
    </font>
    <font>
      <b/>
      <u/>
      <sz val="12"/>
      <name val="Times New Roman"/>
      <family val="1"/>
    </font>
    <font>
      <sz val="12"/>
      <color indexed="12"/>
      <name val="Times New Roman"/>
      <family val="1"/>
    </font>
    <font>
      <sz val="12"/>
      <color rgb="FF000000"/>
      <name val="Times New Roman"/>
      <family val="1"/>
    </font>
    <font>
      <b/>
      <sz val="12"/>
      <color indexed="8"/>
      <name val="Times New Roman"/>
      <family val="1"/>
    </font>
    <font>
      <sz val="12"/>
      <color rgb="FF0000FF"/>
      <name val="Times New Roman"/>
      <family val="1"/>
    </font>
    <font>
      <sz val="11"/>
      <color theme="1"/>
      <name val="Calibri"/>
      <family val="2"/>
    </font>
    <font>
      <b/>
      <sz val="16"/>
      <name val="Aptos Narrow"/>
      <family val="2"/>
      <scheme val="minor"/>
    </font>
    <font>
      <sz val="16"/>
      <name val="Times New Roman"/>
      <family val="1"/>
    </font>
    <font>
      <b/>
      <sz val="14"/>
      <name val="Arial"/>
      <family val="2"/>
    </font>
    <font>
      <b/>
      <sz val="18"/>
      <name val="Arial"/>
      <family val="2"/>
    </font>
    <font>
      <b/>
      <sz val="18"/>
      <name val="Times New Roman"/>
      <family val="1"/>
    </font>
    <font>
      <b/>
      <sz val="16"/>
      <name val="Arial"/>
      <family val="2"/>
    </font>
    <font>
      <sz val="12"/>
      <name val="Arial"/>
      <family val="2"/>
    </font>
    <font>
      <b/>
      <sz val="12"/>
      <name val="Arial"/>
      <family val="2"/>
    </font>
    <font>
      <b/>
      <u/>
      <sz val="12"/>
      <name val="Arial"/>
      <family val="2"/>
    </font>
    <font>
      <sz val="12"/>
      <color rgb="FF00B0F0"/>
      <name val="Arial"/>
      <family val="2"/>
    </font>
    <font>
      <u/>
      <sz val="14"/>
      <name val="Arial"/>
      <family val="2"/>
    </font>
    <font>
      <b/>
      <u/>
      <sz val="14"/>
      <name val="Arial"/>
      <family val="2"/>
    </font>
    <font>
      <b/>
      <sz val="12"/>
      <color rgb="FFFF0000"/>
      <name val="Arial"/>
      <family val="2"/>
    </font>
    <font>
      <sz val="12"/>
      <color rgb="FF0000CC"/>
      <name val="Arial"/>
      <family val="2"/>
    </font>
    <font>
      <sz val="12"/>
      <color rgb="FF0000CC"/>
      <name val="Times New Roman"/>
      <family val="1"/>
    </font>
    <font>
      <u/>
      <sz val="12"/>
      <color rgb="FF0000CC"/>
      <name val="Arial"/>
      <family val="2"/>
    </font>
    <font>
      <u val="singleAccounting"/>
      <sz val="12"/>
      <name val="Arial"/>
      <family val="2"/>
    </font>
    <font>
      <u val="singleAccounting"/>
      <sz val="12"/>
      <color rgb="FF0000CC"/>
      <name val="Arial"/>
      <family val="2"/>
    </font>
    <font>
      <u/>
      <sz val="12"/>
      <name val="Arial"/>
      <family val="2"/>
    </font>
    <font>
      <u/>
      <sz val="12"/>
      <color rgb="FFFF0000"/>
      <name val="Arial"/>
      <family val="2"/>
    </font>
    <font>
      <sz val="14"/>
      <name val="Arial"/>
      <family val="2"/>
    </font>
    <font>
      <sz val="11"/>
      <color theme="1"/>
      <name val="Arial"/>
      <family val="2"/>
    </font>
    <font>
      <sz val="12"/>
      <color theme="1"/>
      <name val="Arial"/>
      <family val="2"/>
    </font>
    <font>
      <sz val="12"/>
      <color indexed="10"/>
      <name val="Arial"/>
      <family val="2"/>
    </font>
    <font>
      <sz val="12"/>
      <color indexed="10"/>
      <name val="Times New Roman"/>
      <family val="1"/>
    </font>
    <font>
      <b/>
      <sz val="11"/>
      <name val="Times New Roman"/>
      <family val="1"/>
    </font>
    <font>
      <sz val="11"/>
      <color theme="1"/>
      <name val="Times New Roman"/>
      <family val="1"/>
    </font>
    <font>
      <b/>
      <sz val="12"/>
      <color theme="0"/>
      <name val="Times New Roman"/>
      <family val="1"/>
    </font>
    <font>
      <sz val="10"/>
      <color theme="1"/>
      <name val="Tahoma"/>
      <family val="2"/>
    </font>
    <font>
      <b/>
      <sz val="10"/>
      <color rgb="FF222222"/>
      <name val="Andale WT"/>
      <family val="2"/>
    </font>
    <font>
      <sz val="10"/>
      <color rgb="FF222222"/>
      <name val="Andale WT"/>
      <family val="2"/>
    </font>
    <font>
      <b/>
      <sz val="8"/>
      <color rgb="FF222222"/>
      <name val="Andale WT"/>
      <family val="2"/>
    </font>
    <font>
      <b/>
      <u/>
      <sz val="10"/>
      <color rgb="FF0000FF"/>
      <name val="Andale WT"/>
      <family val="2"/>
    </font>
    <font>
      <b/>
      <sz val="10"/>
      <color theme="1"/>
      <name val="Andale WT"/>
      <family val="2"/>
    </font>
    <font>
      <sz val="9"/>
      <color rgb="FF222222"/>
      <name val="Andale WT"/>
      <family val="2"/>
    </font>
    <font>
      <b/>
      <sz val="9"/>
      <color theme="1"/>
      <name val="Andale WT"/>
      <family val="2"/>
    </font>
    <font>
      <sz val="8"/>
      <color rgb="FFC23A3A"/>
      <name val="Andale WT"/>
      <family val="2"/>
    </font>
    <font>
      <sz val="8"/>
      <color rgb="FF222222"/>
      <name val="Andale WT"/>
      <family val="2"/>
    </font>
    <font>
      <b/>
      <sz val="9"/>
      <color rgb="FF222222"/>
      <name val="Andale WT"/>
    </font>
    <font>
      <b/>
      <sz val="10"/>
      <name val="Times New Roman"/>
      <family val="1"/>
    </font>
    <font>
      <sz val="10"/>
      <color theme="1"/>
      <name val="Times New Roman"/>
      <family val="1"/>
    </font>
    <font>
      <i/>
      <sz val="10"/>
      <color theme="1"/>
      <name val="Times New Roman"/>
      <family val="1"/>
    </font>
    <font>
      <b/>
      <sz val="10"/>
      <color theme="1"/>
      <name val="Times New Roman"/>
      <family val="1"/>
    </font>
    <font>
      <sz val="10"/>
      <name val="Times New Roman"/>
      <family val="1"/>
    </font>
    <font>
      <b/>
      <sz val="10"/>
      <color rgb="FFFF0000"/>
      <name val="Times New Roman"/>
      <family val="1"/>
    </font>
    <font>
      <b/>
      <sz val="11"/>
      <color theme="0"/>
      <name val="Times New Roman"/>
      <family val="1"/>
    </font>
    <font>
      <sz val="11"/>
      <color theme="0"/>
      <name val="Times New Roman"/>
      <family val="1"/>
    </font>
  </fonts>
  <fills count="21">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bgColor indexed="64"/>
      </patternFill>
    </fill>
    <fill>
      <patternFill patternType="solid">
        <fgColor rgb="FFCCFFCC"/>
        <bgColor indexed="64"/>
      </patternFill>
    </fill>
    <fill>
      <patternFill patternType="solid">
        <fgColor indexed="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rgb="FFFFFFFF"/>
      </patternFill>
    </fill>
    <fill>
      <patternFill patternType="solid">
        <fgColor rgb="FFCCFFFF"/>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rgb="FFFF0000"/>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style="thin">
        <color indexed="64"/>
      </top>
      <bottom style="medium">
        <color indexed="64"/>
      </bottom>
      <diagonal/>
    </border>
    <border>
      <left style="medium">
        <color rgb="FFC0C0C0"/>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rgb="FFC0C0C0"/>
      </left>
      <right style="medium">
        <color rgb="FFC0C0C0"/>
      </right>
      <top/>
      <bottom/>
      <diagonal/>
    </border>
    <border>
      <left/>
      <right style="medium">
        <color rgb="FFC0C0C0"/>
      </right>
      <top/>
      <bottom/>
      <diagonal/>
    </border>
    <border>
      <left style="medium">
        <color rgb="FFC0C0C0"/>
      </left>
      <right/>
      <top style="medium">
        <color auto="1"/>
      </top>
      <bottom style="medium">
        <color rgb="FFC0C0C0"/>
      </bottom>
      <diagonal/>
    </border>
    <border>
      <left/>
      <right/>
      <top style="medium">
        <color auto="1"/>
      </top>
      <bottom style="medium">
        <color rgb="FFC0C0C0"/>
      </bottom>
      <diagonal/>
    </border>
    <border>
      <left/>
      <right style="medium">
        <color rgb="FFC0C0C0"/>
      </right>
      <top style="medium">
        <color auto="1"/>
      </top>
      <bottom style="medium">
        <color rgb="FFC0C0C0"/>
      </bottom>
      <diagonal/>
    </border>
    <border>
      <left style="medium">
        <color rgb="FFC0C0C0"/>
      </left>
      <right style="medium">
        <color rgb="FFC0C0C0"/>
      </right>
      <top style="medium">
        <color auto="1"/>
      </top>
      <bottom style="medium">
        <color rgb="FFC0C0C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8" fillId="0" borderId="0" applyBorder="0">
      <alignment wrapText="1"/>
    </xf>
    <xf numFmtId="43" fontId="7" fillId="0" borderId="0" applyFont="0" applyFill="0" applyBorder="0" applyAlignment="0" applyProtection="0"/>
    <xf numFmtId="172" fontId="9" fillId="0" borderId="0" applyProtection="0"/>
    <xf numFmtId="44" fontId="7"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5" fillId="0" borderId="0"/>
  </cellStyleXfs>
  <cellXfs count="409">
    <xf numFmtId="0" fontId="0" fillId="0" borderId="0" xfId="0"/>
    <xf numFmtId="0" fontId="2" fillId="0" borderId="4" xfId="0" applyFont="1" applyBorder="1"/>
    <xf numFmtId="0" fontId="2" fillId="0" borderId="5" xfId="0" applyFont="1" applyBorder="1" applyAlignment="1">
      <alignment horizontal="center"/>
    </xf>
    <xf numFmtId="10" fontId="3" fillId="0" borderId="0" xfId="3" applyNumberFormat="1" applyFont="1" applyFill="1" applyBorder="1"/>
    <xf numFmtId="10" fontId="2" fillId="0" borderId="5" xfId="3" applyNumberFormat="1" applyFont="1" applyFill="1" applyBorder="1"/>
    <xf numFmtId="10" fontId="2" fillId="0" borderId="0" xfId="3" applyNumberFormat="1" applyFont="1" applyFill="1" applyBorder="1"/>
    <xf numFmtId="164" fontId="2" fillId="0" borderId="0" xfId="1" applyNumberFormat="1" applyFont="1" applyFill="1" applyBorder="1"/>
    <xf numFmtId="0" fontId="2" fillId="0" borderId="5" xfId="0" applyFont="1" applyBorder="1"/>
    <xf numFmtId="166" fontId="2" fillId="0" borderId="0" xfId="3" applyNumberFormat="1" applyFont="1" applyFill="1" applyBorder="1"/>
    <xf numFmtId="0" fontId="4" fillId="0" borderId="4" xfId="0" applyFont="1" applyBorder="1"/>
    <xf numFmtId="167" fontId="2" fillId="0" borderId="0" xfId="2" applyNumberFormat="1" applyFont="1" applyFill="1" applyBorder="1"/>
    <xf numFmtId="0" fontId="2" fillId="0" borderId="7" xfId="0" applyFont="1" applyBorder="1"/>
    <xf numFmtId="0" fontId="2" fillId="0" borderId="0" xfId="0" applyFont="1" applyAlignment="1">
      <alignment horizontal="center"/>
    </xf>
    <xf numFmtId="0" fontId="2" fillId="0" borderId="0" xfId="0" applyFont="1"/>
    <xf numFmtId="164" fontId="2" fillId="0" borderId="0" xfId="0" applyNumberFormat="1" applyFont="1"/>
    <xf numFmtId="10" fontId="2" fillId="0" borderId="0" xfId="0" applyNumberFormat="1" applyFont="1"/>
    <xf numFmtId="10" fontId="2" fillId="0" borderId="0" xfId="0" applyNumberFormat="1" applyFont="1" applyAlignment="1">
      <alignment horizontal="center"/>
    </xf>
    <xf numFmtId="0" fontId="7" fillId="0" borderId="0" xfId="5"/>
    <xf numFmtId="164" fontId="3" fillId="0" borderId="0" xfId="1" applyNumberFormat="1" applyFont="1" applyFill="1" applyBorder="1"/>
    <xf numFmtId="165" fontId="2" fillId="0" borderId="0" xfId="1" applyNumberFormat="1" applyFont="1" applyFill="1" applyBorder="1"/>
    <xf numFmtId="0" fontId="8" fillId="0" borderId="0" xfId="7">
      <alignment wrapText="1"/>
    </xf>
    <xf numFmtId="0" fontId="8" fillId="0" borderId="0" xfId="5" applyFont="1" applyAlignment="1">
      <alignment horizontal="center" wrapText="1"/>
    </xf>
    <xf numFmtId="170" fontId="8" fillId="0" borderId="0" xfId="5" applyNumberFormat="1" applyFont="1" applyAlignment="1">
      <alignment horizontal="center" wrapText="1"/>
    </xf>
    <xf numFmtId="171" fontId="8" fillId="0" borderId="0" xfId="5" applyNumberFormat="1" applyFont="1" applyAlignment="1">
      <alignment wrapText="1"/>
    </xf>
    <xf numFmtId="171" fontId="8" fillId="0" borderId="17" xfId="5" applyNumberFormat="1" applyFont="1" applyBorder="1" applyAlignment="1">
      <alignment wrapText="1"/>
    </xf>
    <xf numFmtId="171" fontId="8" fillId="0" borderId="18" xfId="5" applyNumberFormat="1" applyFont="1" applyBorder="1" applyAlignment="1">
      <alignment wrapText="1"/>
    </xf>
    <xf numFmtId="0" fontId="7" fillId="0" borderId="6" xfId="5" applyBorder="1"/>
    <xf numFmtId="171" fontId="8" fillId="0" borderId="6" xfId="5" applyNumberFormat="1" applyFont="1" applyBorder="1" applyAlignment="1">
      <alignment wrapText="1"/>
    </xf>
    <xf numFmtId="165" fontId="8" fillId="0" borderId="0" xfId="8" applyNumberFormat="1" applyFont="1" applyFill="1" applyAlignment="1">
      <alignment wrapText="1"/>
    </xf>
    <xf numFmtId="44" fontId="7" fillId="0" borderId="0" xfId="5" applyNumberFormat="1"/>
    <xf numFmtId="0" fontId="7" fillId="0" borderId="0" xfId="5" applyAlignment="1">
      <alignment horizontal="right"/>
    </xf>
    <xf numFmtId="43" fontId="0" fillId="0" borderId="0" xfId="8" applyFont="1" applyFill="1" applyBorder="1"/>
    <xf numFmtId="43" fontId="7" fillId="0" borderId="0" xfId="5" applyNumberFormat="1"/>
    <xf numFmtId="0" fontId="3" fillId="0" borderId="0" xfId="5" applyFont="1"/>
    <xf numFmtId="172" fontId="3" fillId="0" borderId="0" xfId="9" applyFont="1"/>
    <xf numFmtId="0" fontId="3" fillId="0" borderId="0" xfId="9" applyNumberFormat="1" applyFont="1" applyAlignment="1" applyProtection="1">
      <alignment horizontal="right"/>
      <protection locked="0"/>
    </xf>
    <xf numFmtId="0" fontId="3" fillId="0" borderId="0" xfId="9" applyNumberFormat="1" applyFont="1"/>
    <xf numFmtId="172" fontId="3" fillId="0" borderId="0" xfId="9" applyFont="1" applyProtection="1">
      <protection locked="0"/>
    </xf>
    <xf numFmtId="0" fontId="3" fillId="0" borderId="0" xfId="5" applyFont="1" applyAlignment="1">
      <alignment horizontal="center"/>
    </xf>
    <xf numFmtId="0" fontId="3" fillId="0" borderId="0" xfId="9" applyNumberFormat="1" applyFont="1" applyAlignment="1" applyProtection="1">
      <alignment horizontal="center"/>
      <protection locked="0"/>
    </xf>
    <xf numFmtId="0" fontId="3" fillId="0" borderId="0" xfId="9" applyNumberFormat="1" applyFont="1" applyProtection="1">
      <protection locked="0"/>
    </xf>
    <xf numFmtId="49" fontId="3" fillId="0" borderId="0" xfId="9" applyNumberFormat="1" applyFont="1" applyProtection="1">
      <protection locked="0"/>
    </xf>
    <xf numFmtId="49" fontId="3" fillId="0" borderId="0" xfId="9" applyNumberFormat="1" applyFont="1" applyAlignment="1" applyProtection="1">
      <alignment horizontal="center"/>
      <protection locked="0"/>
    </xf>
    <xf numFmtId="172" fontId="5" fillId="0" borderId="0" xfId="9" applyFont="1" applyAlignment="1">
      <alignment horizontal="center"/>
    </xf>
    <xf numFmtId="0" fontId="5" fillId="0" borderId="0" xfId="9" applyNumberFormat="1" applyFont="1" applyAlignment="1" applyProtection="1">
      <alignment horizontal="center"/>
      <protection locked="0"/>
    </xf>
    <xf numFmtId="0" fontId="3" fillId="0" borderId="8" xfId="9" applyNumberFormat="1" applyFont="1" applyBorder="1" applyAlignment="1" applyProtection="1">
      <alignment horizontal="center"/>
      <protection locked="0"/>
    </xf>
    <xf numFmtId="0" fontId="11" fillId="0" borderId="0" xfId="9" applyNumberFormat="1" applyFont="1" applyAlignment="1" applyProtection="1">
      <alignment horizontal="left"/>
      <protection locked="0"/>
    </xf>
    <xf numFmtId="173" fontId="3" fillId="0" borderId="0" xfId="8" applyNumberFormat="1" applyFont="1" applyAlignment="1"/>
    <xf numFmtId="173" fontId="3" fillId="0" borderId="0" xfId="9" applyNumberFormat="1" applyFont="1" applyProtection="1">
      <protection locked="0"/>
    </xf>
    <xf numFmtId="173" fontId="12" fillId="5" borderId="0" xfId="9" applyNumberFormat="1" applyFont="1" applyFill="1"/>
    <xf numFmtId="173" fontId="12" fillId="0" borderId="0" xfId="9" applyNumberFormat="1" applyFont="1" applyProtection="1">
      <protection locked="0"/>
    </xf>
    <xf numFmtId="173" fontId="12" fillId="6" borderId="0" xfId="9" applyNumberFormat="1" applyFont="1" applyFill="1"/>
    <xf numFmtId="173" fontId="12" fillId="0" borderId="0" xfId="9" applyNumberFormat="1" applyFont="1"/>
    <xf numFmtId="173" fontId="3" fillId="0" borderId="6" xfId="9" applyNumberFormat="1" applyFont="1" applyBorder="1"/>
    <xf numFmtId="173" fontId="3" fillId="0" borderId="0" xfId="9" applyNumberFormat="1" applyFont="1"/>
    <xf numFmtId="1" fontId="3" fillId="0" borderId="0" xfId="9" applyNumberFormat="1" applyFont="1" applyAlignment="1" applyProtection="1">
      <alignment horizontal="center"/>
      <protection locked="0"/>
    </xf>
    <xf numFmtId="173" fontId="3" fillId="4" borderId="0" xfId="9" applyNumberFormat="1" applyFont="1" applyFill="1"/>
    <xf numFmtId="173" fontId="3" fillId="4" borderId="0" xfId="9" applyNumberFormat="1" applyFont="1" applyFill="1" applyProtection="1">
      <protection locked="0"/>
    </xf>
    <xf numFmtId="173" fontId="12" fillId="4" borderId="0" xfId="9" applyNumberFormat="1" applyFont="1" applyFill="1"/>
    <xf numFmtId="173" fontId="12" fillId="4" borderId="0" xfId="9" applyNumberFormat="1" applyFont="1" applyFill="1" applyProtection="1">
      <protection locked="0"/>
    </xf>
    <xf numFmtId="173" fontId="3" fillId="4" borderId="6" xfId="9" applyNumberFormat="1" applyFont="1" applyFill="1" applyBorder="1"/>
    <xf numFmtId="173" fontId="3" fillId="4" borderId="6" xfId="8" applyNumberFormat="1" applyFont="1" applyFill="1" applyBorder="1" applyAlignment="1" applyProtection="1">
      <protection locked="0"/>
    </xf>
    <xf numFmtId="173" fontId="3" fillId="4" borderId="0" xfId="8" applyNumberFormat="1" applyFont="1" applyFill="1" applyAlignment="1" applyProtection="1">
      <protection locked="0"/>
    </xf>
    <xf numFmtId="0" fontId="3" fillId="0" borderId="0" xfId="5" applyFont="1" applyAlignment="1">
      <alignment horizontal="right"/>
    </xf>
    <xf numFmtId="173" fontId="3" fillId="0" borderId="6" xfId="8" applyNumberFormat="1" applyFont="1" applyBorder="1" applyAlignment="1"/>
    <xf numFmtId="173" fontId="3" fillId="0" borderId="6" xfId="8" applyNumberFormat="1" applyFont="1" applyBorder="1" applyAlignment="1" applyProtection="1">
      <protection locked="0"/>
    </xf>
    <xf numFmtId="173" fontId="3" fillId="0" borderId="0" xfId="8" applyNumberFormat="1" applyFont="1" applyAlignment="1" applyProtection="1">
      <protection locked="0"/>
    </xf>
    <xf numFmtId="173" fontId="3" fillId="0" borderId="6" xfId="8" applyNumberFormat="1" applyFont="1" applyFill="1" applyBorder="1" applyAlignment="1" applyProtection="1">
      <protection locked="0"/>
    </xf>
    <xf numFmtId="173" fontId="3" fillId="0" borderId="0" xfId="8" applyNumberFormat="1" applyFont="1" applyFill="1" applyAlignment="1" applyProtection="1">
      <protection locked="0"/>
    </xf>
    <xf numFmtId="173" fontId="12" fillId="6" borderId="0" xfId="8" applyNumberFormat="1" applyFont="1" applyFill="1" applyAlignment="1" applyProtection="1">
      <protection locked="0"/>
    </xf>
    <xf numFmtId="173" fontId="12" fillId="0" borderId="0" xfId="8" applyNumberFormat="1" applyFont="1" applyAlignment="1" applyProtection="1">
      <protection locked="0"/>
    </xf>
    <xf numFmtId="172" fontId="3" fillId="0" borderId="0" xfId="9" applyFont="1" applyAlignment="1" applyProtection="1">
      <alignment horizontal="center"/>
      <protection locked="0"/>
    </xf>
    <xf numFmtId="173" fontId="3" fillId="0" borderId="0" xfId="8" applyNumberFormat="1" applyFont="1" applyFill="1" applyAlignment="1"/>
    <xf numFmtId="173" fontId="3" fillId="0" borderId="6" xfId="8" applyNumberFormat="1" applyFont="1" applyFill="1" applyBorder="1" applyAlignment="1"/>
    <xf numFmtId="173" fontId="12" fillId="6" borderId="6" xfId="8" applyNumberFormat="1" applyFont="1" applyFill="1" applyBorder="1" applyAlignment="1" applyProtection="1">
      <protection locked="0"/>
    </xf>
    <xf numFmtId="5" fontId="3" fillId="0" borderId="0" xfId="8" applyNumberFormat="1" applyFont="1" applyFill="1" applyAlignment="1"/>
    <xf numFmtId="172" fontId="3" fillId="0" borderId="0" xfId="9" applyFont="1" applyAlignment="1">
      <alignment horizontal="center"/>
    </xf>
    <xf numFmtId="5" fontId="3" fillId="0" borderId="0" xfId="8" applyNumberFormat="1" applyFont="1" applyAlignment="1" applyProtection="1">
      <protection locked="0"/>
    </xf>
    <xf numFmtId="0" fontId="5" fillId="0" borderId="19" xfId="5" applyFont="1" applyBorder="1"/>
    <xf numFmtId="0" fontId="3" fillId="0" borderId="20" xfId="9" applyNumberFormat="1" applyFont="1" applyBorder="1" applyProtection="1">
      <protection locked="0"/>
    </xf>
    <xf numFmtId="172" fontId="3" fillId="0" borderId="20" xfId="9" applyFont="1" applyBorder="1"/>
    <xf numFmtId="1" fontId="3" fillId="0" borderId="20" xfId="9" applyNumberFormat="1" applyFont="1" applyBorder="1" applyAlignment="1" applyProtection="1">
      <alignment horizontal="right"/>
      <protection locked="0"/>
    </xf>
    <xf numFmtId="172" fontId="3" fillId="0" borderId="20" xfId="9" applyFont="1" applyBorder="1" applyProtection="1">
      <protection locked="0"/>
    </xf>
    <xf numFmtId="173" fontId="5" fillId="0" borderId="21" xfId="9" applyNumberFormat="1" applyFont="1" applyBorder="1" applyProtection="1">
      <protection locked="0"/>
    </xf>
    <xf numFmtId="174" fontId="3" fillId="0" borderId="0" xfId="5" applyNumberFormat="1" applyFont="1"/>
    <xf numFmtId="10" fontId="3" fillId="0" borderId="0" xfId="5" applyNumberFormat="1" applyFont="1"/>
    <xf numFmtId="0" fontId="13" fillId="0" borderId="0" xfId="5" applyFont="1"/>
    <xf numFmtId="173" fontId="12" fillId="0" borderId="0" xfId="8" applyNumberFormat="1" applyFont="1" applyFill="1" applyBorder="1" applyAlignment="1" applyProtection="1">
      <protection locked="0"/>
    </xf>
    <xf numFmtId="165" fontId="12" fillId="4" borderId="0" xfId="8" applyNumberFormat="1" applyFont="1" applyFill="1" applyAlignment="1" applyProtection="1">
      <protection locked="0"/>
    </xf>
    <xf numFmtId="0" fontId="3" fillId="0" borderId="0" xfId="5" applyFont="1" applyAlignment="1">
      <alignment horizontal="left"/>
    </xf>
    <xf numFmtId="0" fontId="5" fillId="0" borderId="0" xfId="5" applyFont="1" applyAlignment="1">
      <alignment horizontal="right"/>
    </xf>
    <xf numFmtId="166" fontId="5" fillId="0" borderId="0" xfId="5" applyNumberFormat="1" applyFont="1" applyAlignment="1">
      <alignment horizontal="center"/>
    </xf>
    <xf numFmtId="164" fontId="3" fillId="0" borderId="0" xfId="9" applyNumberFormat="1" applyFont="1"/>
    <xf numFmtId="164" fontId="3" fillId="0" borderId="0" xfId="5" applyNumberFormat="1" applyFont="1"/>
    <xf numFmtId="164" fontId="3" fillId="0" borderId="0" xfId="8" applyNumberFormat="1" applyFont="1" applyAlignment="1" applyProtection="1">
      <protection locked="0"/>
    </xf>
    <xf numFmtId="164" fontId="3" fillId="0" borderId="0" xfId="8" applyNumberFormat="1" applyFont="1" applyFill="1" applyAlignment="1" applyProtection="1">
      <protection locked="0"/>
    </xf>
    <xf numFmtId="164" fontId="3" fillId="0" borderId="0" xfId="8" applyNumberFormat="1" applyFont="1" applyFill="1"/>
    <xf numFmtId="172" fontId="14" fillId="0" borderId="19" xfId="9" applyFont="1" applyBorder="1"/>
    <xf numFmtId="0" fontId="3" fillId="0" borderId="20" xfId="5" applyFont="1" applyBorder="1"/>
    <xf numFmtId="167" fontId="5" fillId="0" borderId="21" xfId="10" applyNumberFormat="1" applyFont="1" applyBorder="1"/>
    <xf numFmtId="164" fontId="3" fillId="0" borderId="22" xfId="5" applyNumberFormat="1" applyFont="1" applyBorder="1"/>
    <xf numFmtId="175" fontId="3" fillId="0" borderId="0" xfId="5" applyNumberFormat="1" applyFont="1"/>
    <xf numFmtId="43" fontId="3" fillId="0" borderId="0" xfId="9" applyNumberFormat="1" applyFont="1"/>
    <xf numFmtId="42" fontId="3" fillId="0" borderId="0" xfId="5" applyNumberFormat="1" applyFont="1"/>
    <xf numFmtId="172" fontId="3" fillId="0" borderId="0" xfId="9" quotePrefix="1" applyFont="1"/>
    <xf numFmtId="172" fontId="5" fillId="0" borderId="0" xfId="9" applyFont="1" applyAlignment="1">
      <alignment horizontal="center" vertical="center" wrapText="1"/>
    </xf>
    <xf numFmtId="0" fontId="3" fillId="0" borderId="0" xfId="9" applyNumberFormat="1" applyFont="1" applyAlignment="1" applyProtection="1">
      <alignment vertical="center"/>
      <protection locked="0"/>
    </xf>
    <xf numFmtId="0" fontId="5" fillId="0" borderId="0" xfId="9" applyNumberFormat="1" applyFont="1" applyAlignment="1" applyProtection="1">
      <alignment horizontal="center" vertical="center" wrapText="1"/>
      <protection locked="0"/>
    </xf>
    <xf numFmtId="0" fontId="5" fillId="0" borderId="0" xfId="9" applyNumberFormat="1" applyFont="1" applyAlignment="1" applyProtection="1">
      <alignment horizontal="center" vertical="center"/>
      <protection locked="0"/>
    </xf>
    <xf numFmtId="172" fontId="3" fillId="0" borderId="0" xfId="9" applyFont="1" applyAlignment="1">
      <alignment vertical="center"/>
    </xf>
    <xf numFmtId="173" fontId="15" fillId="6" borderId="0" xfId="9" applyNumberFormat="1" applyFont="1" applyFill="1"/>
    <xf numFmtId="173" fontId="15" fillId="0" borderId="0" xfId="9" applyNumberFormat="1" applyFont="1" applyProtection="1">
      <protection locked="0"/>
    </xf>
    <xf numFmtId="173" fontId="15" fillId="0" borderId="0" xfId="9" applyNumberFormat="1" applyFont="1"/>
    <xf numFmtId="9" fontId="3" fillId="0" borderId="0" xfId="6" applyFont="1" applyAlignment="1"/>
    <xf numFmtId="173" fontId="15" fillId="6" borderId="0" xfId="8" applyNumberFormat="1" applyFont="1" applyFill="1" applyAlignment="1" applyProtection="1">
      <protection locked="0"/>
    </xf>
    <xf numFmtId="173" fontId="15" fillId="0" borderId="0" xfId="8" applyNumberFormat="1" applyFont="1" applyAlignment="1" applyProtection="1">
      <protection locked="0"/>
    </xf>
    <xf numFmtId="173" fontId="3" fillId="6" borderId="0" xfId="8" applyNumberFormat="1" applyFont="1" applyFill="1" applyBorder="1" applyAlignment="1" applyProtection="1">
      <protection locked="0"/>
    </xf>
    <xf numFmtId="173" fontId="3" fillId="6" borderId="0" xfId="8" applyNumberFormat="1" applyFont="1" applyFill="1" applyAlignment="1" applyProtection="1">
      <protection locked="0"/>
    </xf>
    <xf numFmtId="173" fontId="3" fillId="0" borderId="0" xfId="8" applyNumberFormat="1" applyFont="1" applyBorder="1" applyAlignment="1" applyProtection="1">
      <protection locked="0"/>
    </xf>
    <xf numFmtId="1" fontId="3" fillId="0" borderId="20" xfId="9" applyNumberFormat="1" applyFont="1" applyBorder="1" applyAlignment="1" applyProtection="1">
      <alignment horizontal="center"/>
      <protection locked="0"/>
    </xf>
    <xf numFmtId="10" fontId="3" fillId="0" borderId="0" xfId="6" applyNumberFormat="1" applyFont="1" applyBorder="1" applyAlignment="1" applyProtection="1">
      <protection locked="0"/>
    </xf>
    <xf numFmtId="43" fontId="3" fillId="0" borderId="0" xfId="5" applyNumberFormat="1" applyFont="1"/>
    <xf numFmtId="43" fontId="3" fillId="0" borderId="0" xfId="8" applyFont="1"/>
    <xf numFmtId="164" fontId="3" fillId="0" borderId="0" xfId="8" applyNumberFormat="1" applyFont="1"/>
    <xf numFmtId="0" fontId="17" fillId="0" borderId="0" xfId="11" applyFont="1" applyAlignment="1">
      <alignment horizontal="left" vertical="center"/>
    </xf>
    <xf numFmtId="0" fontId="18" fillId="0" borderId="0" xfId="11" applyFont="1" applyAlignment="1">
      <alignment horizontal="left"/>
    </xf>
    <xf numFmtId="0" fontId="3" fillId="0" borderId="0" xfId="11" applyFont="1" applyAlignment="1">
      <alignment horizontal="centerContinuous"/>
    </xf>
    <xf numFmtId="0" fontId="19" fillId="0" borderId="0" xfId="11" applyFont="1" applyAlignment="1">
      <alignment horizontal="centerContinuous"/>
    </xf>
    <xf numFmtId="0" fontId="3" fillId="0" borderId="0" xfId="11" applyFont="1"/>
    <xf numFmtId="0" fontId="16" fillId="0" borderId="0" xfId="11"/>
    <xf numFmtId="0" fontId="20" fillId="0" borderId="0" xfId="11" applyFont="1" applyAlignment="1">
      <alignment horizontal="centerContinuous"/>
    </xf>
    <xf numFmtId="0" fontId="21" fillId="0" borderId="0" xfId="11" applyFont="1" applyAlignment="1">
      <alignment horizontal="centerContinuous"/>
    </xf>
    <xf numFmtId="0" fontId="3" fillId="0" borderId="0" xfId="11" quotePrefix="1" applyFont="1" applyAlignment="1">
      <alignment horizontal="centerContinuous"/>
    </xf>
    <xf numFmtId="0" fontId="20" fillId="0" borderId="0" xfId="11" applyFont="1" applyAlignment="1" applyProtection="1">
      <alignment horizontal="centerContinuous"/>
      <protection locked="0"/>
    </xf>
    <xf numFmtId="0" fontId="21" fillId="0" borderId="0" xfId="11" applyFont="1" applyAlignment="1" applyProtection="1">
      <alignment horizontal="centerContinuous"/>
      <protection locked="0"/>
    </xf>
    <xf numFmtId="0" fontId="22" fillId="7" borderId="0" xfId="11" applyFont="1" applyFill="1" applyAlignment="1">
      <alignment horizontal="centerContinuous"/>
    </xf>
    <xf numFmtId="0" fontId="3" fillId="7" borderId="0" xfId="11" applyFont="1" applyFill="1" applyAlignment="1">
      <alignment horizontal="centerContinuous"/>
    </xf>
    <xf numFmtId="0" fontId="3" fillId="7" borderId="0" xfId="11" quotePrefix="1" applyFont="1" applyFill="1" applyAlignment="1">
      <alignment horizontal="centerContinuous"/>
    </xf>
    <xf numFmtId="0" fontId="23" fillId="7" borderId="0" xfId="11" applyFont="1" applyFill="1" applyAlignment="1">
      <alignment horizontal="right"/>
    </xf>
    <xf numFmtId="0" fontId="23" fillId="0" borderId="0" xfId="11" applyFont="1" applyAlignment="1">
      <alignment horizontal="left"/>
    </xf>
    <xf numFmtId="0" fontId="23" fillId="0" borderId="0" xfId="11" applyFont="1" applyAlignment="1">
      <alignment horizontal="centerContinuous"/>
    </xf>
    <xf numFmtId="0" fontId="23" fillId="7" borderId="0" xfId="11" applyFont="1" applyFill="1" applyAlignment="1">
      <alignment horizontal="centerContinuous"/>
    </xf>
    <xf numFmtId="0" fontId="3" fillId="0" borderId="0" xfId="11" applyFont="1" applyAlignment="1">
      <alignment horizontal="left"/>
    </xf>
    <xf numFmtId="0" fontId="3" fillId="0" borderId="0" xfId="11" applyFont="1" applyAlignment="1">
      <alignment horizontal="center"/>
    </xf>
    <xf numFmtId="3" fontId="3" fillId="0" borderId="0" xfId="11" applyNumberFormat="1" applyFont="1"/>
    <xf numFmtId="49" fontId="3" fillId="0" borderId="0" xfId="11" applyNumberFormat="1" applyFont="1" applyAlignment="1">
      <alignment horizontal="left"/>
    </xf>
    <xf numFmtId="0" fontId="24" fillId="7" borderId="0" xfId="11" applyFont="1" applyFill="1" applyAlignment="1" applyProtection="1">
      <alignment horizontal="center"/>
      <protection locked="0"/>
    </xf>
    <xf numFmtId="0" fontId="23" fillId="0" borderId="0" xfId="11" applyFont="1"/>
    <xf numFmtId="3" fontId="24" fillId="0" borderId="0" xfId="11" applyNumberFormat="1" applyFont="1" applyAlignment="1">
      <alignment horizontal="center"/>
    </xf>
    <xf numFmtId="0" fontId="24" fillId="7" borderId="0" xfId="11" applyFont="1" applyFill="1" applyAlignment="1">
      <alignment horizontal="center"/>
    </xf>
    <xf numFmtId="3" fontId="23" fillId="0" borderId="0" xfId="11" applyNumberFormat="1" applyFont="1"/>
    <xf numFmtId="0" fontId="23" fillId="0" borderId="0" xfId="11" applyFont="1" applyAlignment="1">
      <alignment horizontal="center"/>
    </xf>
    <xf numFmtId="0" fontId="24" fillId="0" borderId="0" xfId="11" applyFont="1" applyAlignment="1">
      <alignment horizontal="center"/>
    </xf>
    <xf numFmtId="0" fontId="7" fillId="0" borderId="0" xfId="11" quotePrefix="1" applyFont="1" applyAlignment="1" applyProtection="1">
      <alignment horizontal="center"/>
      <protection locked="0"/>
    </xf>
    <xf numFmtId="0" fontId="25" fillId="0" borderId="0" xfId="11" applyFont="1" applyAlignment="1">
      <alignment horizontal="center"/>
    </xf>
    <xf numFmtId="0" fontId="25" fillId="0" borderId="6" xfId="11" applyFont="1" applyBorder="1" applyAlignment="1">
      <alignment horizontal="center"/>
    </xf>
    <xf numFmtId="0" fontId="24" fillId="0" borderId="6" xfId="11" applyFont="1" applyBorder="1" applyAlignment="1">
      <alignment horizontal="center"/>
    </xf>
    <xf numFmtId="0" fontId="7" fillId="0" borderId="0" xfId="11" applyFont="1"/>
    <xf numFmtId="0" fontId="7" fillId="0" borderId="0" xfId="11" quotePrefix="1" applyFont="1" applyAlignment="1" applyProtection="1">
      <alignment horizontal="centerContinuous"/>
      <protection locked="0"/>
    </xf>
    <xf numFmtId="3" fontId="7" fillId="0" borderId="0" xfId="11" applyNumberFormat="1" applyFont="1"/>
    <xf numFmtId="0" fontId="7" fillId="0" borderId="0" xfId="11" applyFont="1" applyAlignment="1">
      <alignment horizontal="centerContinuous"/>
    </xf>
    <xf numFmtId="0" fontId="23" fillId="0" borderId="0" xfId="11" quotePrefix="1" applyFont="1" applyAlignment="1" applyProtection="1">
      <alignment horizontal="center"/>
      <protection locked="0"/>
    </xf>
    <xf numFmtId="49" fontId="23" fillId="0" borderId="0" xfId="11" applyNumberFormat="1" applyFont="1"/>
    <xf numFmtId="0" fontId="23" fillId="0" borderId="0" xfId="11" applyFont="1" applyAlignment="1" applyProtection="1">
      <alignment horizontal="center"/>
      <protection locked="0"/>
    </xf>
    <xf numFmtId="0" fontId="23" fillId="0" borderId="8" xfId="11" applyFont="1" applyBorder="1" applyAlignment="1" applyProtection="1">
      <alignment horizontal="center"/>
      <protection locked="0"/>
    </xf>
    <xf numFmtId="0" fontId="6" fillId="0" borderId="0" xfId="11" applyFont="1"/>
    <xf numFmtId="42" fontId="23" fillId="0" borderId="0" xfId="11" applyNumberFormat="1" applyFont="1"/>
    <xf numFmtId="3" fontId="26" fillId="0" borderId="0" xfId="11" applyNumberFormat="1" applyFont="1"/>
    <xf numFmtId="0" fontId="23" fillId="0" borderId="8" xfId="11" applyFont="1" applyBorder="1" applyAlignment="1" applyProtection="1">
      <alignment horizontal="centerContinuous"/>
      <protection locked="0"/>
    </xf>
    <xf numFmtId="167" fontId="23" fillId="0" borderId="0" xfId="12" applyNumberFormat="1" applyFont="1" applyAlignment="1"/>
    <xf numFmtId="169" fontId="23" fillId="0" borderId="0" xfId="11" applyNumberFormat="1" applyFont="1"/>
    <xf numFmtId="167" fontId="23" fillId="7" borderId="0" xfId="12" applyNumberFormat="1" applyFont="1" applyFill="1"/>
    <xf numFmtId="167" fontId="23" fillId="0" borderId="0" xfId="12" applyNumberFormat="1" applyFont="1" applyBorder="1" applyAlignment="1"/>
    <xf numFmtId="0" fontId="23" fillId="0" borderId="0" xfId="11" quotePrefix="1" applyFont="1"/>
    <xf numFmtId="167" fontId="23" fillId="0" borderId="0" xfId="12" applyNumberFormat="1" applyFont="1" applyFill="1"/>
    <xf numFmtId="167" fontId="23" fillId="0" borderId="8" xfId="12" applyNumberFormat="1" applyFont="1" applyBorder="1" applyAlignment="1"/>
    <xf numFmtId="3" fontId="23" fillId="0" borderId="0" xfId="11" applyNumberFormat="1" applyFont="1" applyAlignment="1">
      <alignment horizontal="fill"/>
    </xf>
    <xf numFmtId="167" fontId="23" fillId="0" borderId="0" xfId="12" applyNumberFormat="1" applyFont="1" applyFill="1" applyAlignment="1"/>
    <xf numFmtId="167" fontId="23" fillId="0" borderId="23" xfId="12" applyNumberFormat="1" applyFont="1" applyBorder="1" applyAlignment="1"/>
    <xf numFmtId="0" fontId="24" fillId="0" borderId="0" xfId="11" applyFont="1"/>
    <xf numFmtId="176" fontId="24" fillId="0" borderId="22" xfId="11" applyNumberFormat="1" applyFont="1" applyBorder="1"/>
    <xf numFmtId="165" fontId="23" fillId="0" borderId="0" xfId="13" applyNumberFormat="1" applyFont="1" applyFill="1" applyAlignment="1"/>
    <xf numFmtId="44" fontId="24" fillId="0" borderId="0" xfId="12" applyFont="1" applyAlignment="1"/>
    <xf numFmtId="0" fontId="27" fillId="0" borderId="0" xfId="11" applyFont="1"/>
    <xf numFmtId="0" fontId="28" fillId="0" borderId="0" xfId="11" applyFont="1"/>
    <xf numFmtId="166" fontId="23" fillId="0" borderId="0" xfId="14" applyNumberFormat="1" applyFont="1" applyFill="1" applyAlignment="1"/>
    <xf numFmtId="166" fontId="23" fillId="0" borderId="0" xfId="11" applyNumberFormat="1" applyFont="1" applyAlignment="1">
      <alignment horizontal="left"/>
    </xf>
    <xf numFmtId="0" fontId="29" fillId="0" borderId="0" xfId="11" applyFont="1"/>
    <xf numFmtId="3" fontId="23" fillId="7" borderId="0" xfId="11" applyNumberFormat="1" applyFont="1" applyFill="1"/>
    <xf numFmtId="167" fontId="23" fillId="7" borderId="0" xfId="12" applyNumberFormat="1" applyFont="1" applyFill="1" applyAlignment="1"/>
    <xf numFmtId="3" fontId="29" fillId="0" borderId="0" xfId="11" applyNumberFormat="1" applyFont="1" applyAlignment="1">
      <alignment horizontal="left"/>
    </xf>
    <xf numFmtId="167" fontId="23" fillId="0" borderId="8" xfId="12" applyNumberFormat="1" applyFont="1" applyFill="1" applyBorder="1" applyAlignment="1"/>
    <xf numFmtId="3" fontId="29" fillId="0" borderId="0" xfId="11" applyNumberFormat="1" applyFont="1"/>
    <xf numFmtId="0" fontId="30" fillId="0" borderId="0" xfId="11" applyFont="1" applyAlignment="1">
      <alignment horizontal="center"/>
    </xf>
    <xf numFmtId="0" fontId="30" fillId="0" borderId="0" xfId="11" applyFont="1"/>
    <xf numFmtId="0" fontId="31" fillId="0" borderId="0" xfId="11" applyFont="1"/>
    <xf numFmtId="0" fontId="32" fillId="0" borderId="0" xfId="11" applyFont="1" applyAlignment="1">
      <alignment horizontal="center"/>
    </xf>
    <xf numFmtId="167" fontId="33" fillId="7" borderId="0" xfId="12" applyNumberFormat="1" applyFont="1" applyFill="1" applyAlignment="1"/>
    <xf numFmtId="167" fontId="33" fillId="0" borderId="0" xfId="12" applyNumberFormat="1" applyFont="1" applyFill="1" applyAlignment="1"/>
    <xf numFmtId="167" fontId="30" fillId="0" borderId="0" xfId="12" applyNumberFormat="1" applyFont="1" applyFill="1" applyAlignment="1"/>
    <xf numFmtId="167" fontId="34" fillId="0" borderId="0" xfId="12" applyNumberFormat="1" applyFont="1" applyFill="1" applyAlignment="1"/>
    <xf numFmtId="166" fontId="23" fillId="0" borderId="0" xfId="11" applyNumberFormat="1" applyFont="1" applyAlignment="1">
      <alignment horizontal="center"/>
    </xf>
    <xf numFmtId="167" fontId="30" fillId="0" borderId="0" xfId="11" applyNumberFormat="1" applyFont="1"/>
    <xf numFmtId="167" fontId="23" fillId="7" borderId="8" xfId="12" applyNumberFormat="1" applyFont="1" applyFill="1" applyBorder="1" applyAlignment="1"/>
    <xf numFmtId="0" fontId="35" fillId="0" borderId="0" xfId="11" applyFont="1" applyAlignment="1">
      <alignment horizontal="center"/>
    </xf>
    <xf numFmtId="177" fontId="23" fillId="0" borderId="0" xfId="14" applyNumberFormat="1" applyFont="1" applyFill="1" applyAlignment="1"/>
    <xf numFmtId="166" fontId="23" fillId="7" borderId="0" xfId="14" applyNumberFormat="1" applyFont="1" applyFill="1" applyAlignment="1"/>
    <xf numFmtId="167" fontId="23" fillId="0" borderId="0" xfId="12" applyNumberFormat="1" applyFont="1" applyFill="1" applyBorder="1" applyAlignment="1"/>
    <xf numFmtId="164" fontId="29" fillId="0" borderId="0" xfId="11" applyNumberFormat="1" applyFont="1"/>
    <xf numFmtId="178" fontId="23" fillId="0" borderId="0" xfId="13" applyNumberFormat="1" applyFont="1" applyFill="1" applyAlignment="1"/>
    <xf numFmtId="167" fontId="23" fillId="0" borderId="0" xfId="11" applyNumberFormat="1" applyFont="1"/>
    <xf numFmtId="167" fontId="33" fillId="0" borderId="0" xfId="12" applyNumberFormat="1" applyFont="1" applyFill="1" applyBorder="1" applyAlignment="1"/>
    <xf numFmtId="0" fontId="23" fillId="0" borderId="0" xfId="11" applyFont="1" applyProtection="1">
      <protection locked="0"/>
    </xf>
    <xf numFmtId="3" fontId="24" fillId="0" borderId="0" xfId="11" applyNumberFormat="1" applyFont="1"/>
    <xf numFmtId="166" fontId="23" fillId="0" borderId="0" xfId="14" applyNumberFormat="1" applyFont="1" applyFill="1" applyAlignment="1">
      <alignment horizontal="right"/>
    </xf>
    <xf numFmtId="0" fontId="37" fillId="0" borderId="0" xfId="11" applyFont="1" applyProtection="1">
      <protection locked="0"/>
    </xf>
    <xf numFmtId="0" fontId="19" fillId="0" borderId="0" xfId="11" applyFont="1" applyProtection="1">
      <protection locked="0"/>
    </xf>
    <xf numFmtId="0" fontId="23" fillId="0" borderId="8" xfId="11" applyFont="1" applyBorder="1" applyProtection="1">
      <protection locked="0"/>
    </xf>
    <xf numFmtId="3" fontId="23" fillId="0" borderId="0" xfId="11" applyNumberFormat="1" applyFont="1" applyAlignment="1">
      <alignment horizontal="center"/>
    </xf>
    <xf numFmtId="49" fontId="23" fillId="0" borderId="0" xfId="11" applyNumberFormat="1" applyFont="1" applyAlignment="1">
      <alignment horizontal="center"/>
    </xf>
    <xf numFmtId="10" fontId="23" fillId="0" borderId="0" xfId="14" applyNumberFormat="1" applyFont="1" applyFill="1" applyAlignment="1">
      <alignment horizontal="right"/>
    </xf>
    <xf numFmtId="10" fontId="26" fillId="0" borderId="0" xfId="14" applyNumberFormat="1" applyFont="1"/>
    <xf numFmtId="0" fontId="5" fillId="0" borderId="0" xfId="11" applyFont="1"/>
    <xf numFmtId="9" fontId="23" fillId="0" borderId="0" xfId="14" applyFont="1" applyFill="1" applyAlignment="1">
      <alignment horizontal="right"/>
    </xf>
    <xf numFmtId="0" fontId="38" fillId="0" borderId="0" xfId="11" applyFont="1"/>
    <xf numFmtId="0" fontId="23" fillId="0" borderId="8" xfId="11" applyFont="1" applyBorder="1"/>
    <xf numFmtId="3" fontId="23" fillId="0" borderId="8" xfId="11" applyNumberFormat="1" applyFont="1" applyBorder="1"/>
    <xf numFmtId="3" fontId="23" fillId="7" borderId="8" xfId="11" applyNumberFormat="1" applyFont="1" applyFill="1" applyBorder="1"/>
    <xf numFmtId="179" fontId="23" fillId="0" borderId="0" xfId="11" applyNumberFormat="1" applyFont="1"/>
    <xf numFmtId="167" fontId="23" fillId="0" borderId="8" xfId="12" applyNumberFormat="1" applyFont="1" applyFill="1" applyBorder="1" applyAlignment="1">
      <alignment horizontal="center"/>
    </xf>
    <xf numFmtId="3" fontId="23" fillId="0" borderId="8" xfId="11" applyNumberFormat="1" applyFont="1" applyBorder="1" applyAlignment="1">
      <alignment horizontal="center"/>
    </xf>
    <xf numFmtId="10" fontId="23" fillId="0" borderId="0" xfId="14" applyNumberFormat="1" applyFont="1" applyFill="1" applyAlignment="1"/>
    <xf numFmtId="4" fontId="23" fillId="0" borderId="0" xfId="11" applyNumberFormat="1" applyFont="1"/>
    <xf numFmtId="10" fontId="23" fillId="7" borderId="0" xfId="14" applyNumberFormat="1" applyFont="1" applyFill="1" applyAlignment="1"/>
    <xf numFmtId="180" fontId="23" fillId="0" borderId="0" xfId="14" applyNumberFormat="1" applyFont="1" applyFill="1" applyAlignment="1"/>
    <xf numFmtId="3" fontId="23" fillId="0" borderId="0" xfId="11" quotePrefix="1" applyNumberFormat="1" applyFont="1"/>
    <xf numFmtId="0" fontId="25" fillId="0" borderId="0" xfId="11" applyFont="1" applyProtection="1">
      <protection locked="0"/>
    </xf>
    <xf numFmtId="167" fontId="23" fillId="0" borderId="0" xfId="12" applyNumberFormat="1" applyFont="1" applyFill="1" applyBorder="1" applyAlignment="1">
      <alignment horizontal="center"/>
    </xf>
    <xf numFmtId="177" fontId="23" fillId="0" borderId="0" xfId="11" applyNumberFormat="1" applyFont="1"/>
    <xf numFmtId="10" fontId="23" fillId="0" borderId="0" xfId="11" applyNumberFormat="1" applyFont="1"/>
    <xf numFmtId="181" fontId="23" fillId="0" borderId="0" xfId="11" applyNumberFormat="1" applyFont="1"/>
    <xf numFmtId="10" fontId="23" fillId="0" borderId="0" xfId="14" applyNumberFormat="1" applyFont="1" applyFill="1" applyBorder="1" applyAlignment="1"/>
    <xf numFmtId="167" fontId="3" fillId="0" borderId="0" xfId="12" applyNumberFormat="1" applyFont="1" applyAlignment="1"/>
    <xf numFmtId="167" fontId="3" fillId="0" borderId="0" xfId="11" applyNumberFormat="1" applyFont="1"/>
    <xf numFmtId="173" fontId="23" fillId="0" borderId="0" xfId="11" applyNumberFormat="1" applyFont="1"/>
    <xf numFmtId="0" fontId="23" fillId="0" borderId="0" xfId="11" quotePrefix="1" applyFont="1" applyAlignment="1">
      <alignment horizontal="right"/>
    </xf>
    <xf numFmtId="3" fontId="23" fillId="0" borderId="0" xfId="11" applyNumberFormat="1" applyFont="1" applyAlignment="1">
      <alignment horizontal="left"/>
    </xf>
    <xf numFmtId="172" fontId="23" fillId="0" borderId="0" xfId="11" applyNumberFormat="1" applyFont="1" applyAlignment="1">
      <alignment horizontal="left"/>
    </xf>
    <xf numFmtId="173" fontId="23" fillId="0" borderId="0" xfId="11" applyNumberFormat="1" applyFont="1" applyAlignment="1">
      <alignment horizontal="left"/>
    </xf>
    <xf numFmtId="0" fontId="23" fillId="0" borderId="0" xfId="11" applyFont="1" applyAlignment="1">
      <alignment horizontal="center" vertical="top"/>
    </xf>
    <xf numFmtId="0" fontId="23" fillId="0" borderId="0" xfId="11" applyFont="1" applyAlignment="1">
      <alignment horizontal="left" vertical="top"/>
    </xf>
    <xf numFmtId="0" fontId="23" fillId="0" borderId="0" xfId="11" applyFont="1" applyAlignment="1" applyProtection="1">
      <alignment vertical="top"/>
      <protection locked="0"/>
    </xf>
    <xf numFmtId="0" fontId="23" fillId="0" borderId="0" xfId="11" applyFont="1" applyAlignment="1" applyProtection="1">
      <alignment horizontal="center" vertical="top" wrapText="1"/>
      <protection locked="0"/>
    </xf>
    <xf numFmtId="0" fontId="23" fillId="0" borderId="0" xfId="11" applyFont="1" applyAlignment="1">
      <alignment vertical="top" wrapText="1"/>
    </xf>
    <xf numFmtId="0" fontId="39" fillId="0" borderId="0" xfId="11" applyFont="1"/>
    <xf numFmtId="0" fontId="23" fillId="0" borderId="0" xfId="11" applyFont="1" applyAlignment="1">
      <alignment vertical="top"/>
    </xf>
    <xf numFmtId="0" fontId="23" fillId="0" borderId="0" xfId="11" applyFont="1" applyAlignment="1" applyProtection="1">
      <alignment horizontal="left" vertical="top"/>
      <protection locked="0"/>
    </xf>
    <xf numFmtId="10" fontId="23" fillId="0" borderId="0" xfId="11" applyNumberFormat="1" applyFont="1" applyAlignment="1" applyProtection="1">
      <alignment vertical="top"/>
      <protection locked="0"/>
    </xf>
    <xf numFmtId="3" fontId="23" fillId="0" borderId="0" xfId="11" applyNumberFormat="1" applyFont="1" applyAlignment="1">
      <alignment vertical="top"/>
    </xf>
    <xf numFmtId="0" fontId="9" fillId="0" borderId="0" xfId="11" applyFont="1" applyProtection="1">
      <protection locked="0"/>
    </xf>
    <xf numFmtId="0" fontId="23" fillId="0" borderId="0" xfId="11" applyFont="1" applyAlignment="1">
      <alignment horizontal="center" vertical="top" wrapText="1"/>
    </xf>
    <xf numFmtId="0" fontId="40" fillId="0" borderId="0" xfId="11" applyFont="1"/>
    <xf numFmtId="0" fontId="41" fillId="0" borderId="0" xfId="11" applyFont="1"/>
    <xf numFmtId="10" fontId="40" fillId="0" borderId="0" xfId="11" applyNumberFormat="1" applyFont="1"/>
    <xf numFmtId="0" fontId="40" fillId="0" borderId="0" xfId="11" applyFont="1" applyProtection="1">
      <protection locked="0"/>
    </xf>
    <xf numFmtId="3" fontId="40" fillId="0" borderId="0" xfId="11" applyNumberFormat="1" applyFont="1"/>
    <xf numFmtId="0" fontId="3" fillId="0" borderId="0" xfId="11" applyFont="1" applyAlignment="1" applyProtection="1">
      <alignment horizontal="center"/>
      <protection locked="0"/>
    </xf>
    <xf numFmtId="167" fontId="2" fillId="0" borderId="6" xfId="2" applyNumberFormat="1" applyFont="1" applyFill="1" applyBorder="1"/>
    <xf numFmtId="0" fontId="2" fillId="0" borderId="0" xfId="0" applyFont="1" applyAlignment="1">
      <alignment horizontal="left"/>
    </xf>
    <xf numFmtId="164" fontId="2" fillId="8" borderId="0" xfId="0" applyNumberFormat="1" applyFont="1" applyFill="1"/>
    <xf numFmtId="167" fontId="2" fillId="0" borderId="0" xfId="2" applyNumberFormat="1" applyFont="1" applyBorder="1"/>
    <xf numFmtId="167" fontId="2" fillId="0" borderId="0" xfId="0" applyNumberFormat="1" applyFont="1"/>
    <xf numFmtId="0" fontId="43" fillId="0" borderId="0" xfId="0" applyFont="1"/>
    <xf numFmtId="167" fontId="2" fillId="0" borderId="5" xfId="0" applyNumberFormat="1" applyFont="1" applyBorder="1"/>
    <xf numFmtId="167" fontId="2" fillId="0" borderId="9" xfId="0" applyNumberFormat="1" applyFont="1" applyBorder="1"/>
    <xf numFmtId="167" fontId="2" fillId="0" borderId="0" xfId="2" applyNumberFormat="1" applyFont="1"/>
    <xf numFmtId="0" fontId="4" fillId="0" borderId="0" xfId="0" applyFont="1"/>
    <xf numFmtId="167" fontId="4" fillId="0" borderId="0" xfId="0" applyNumberFormat="1" applyFont="1"/>
    <xf numFmtId="0" fontId="45" fillId="0" borderId="0" xfId="15"/>
    <xf numFmtId="0" fontId="46" fillId="0" borderId="0" xfId="15" applyFont="1" applyAlignment="1">
      <alignment horizontal="left" vertical="top"/>
    </xf>
    <xf numFmtId="0" fontId="46" fillId="0" borderId="0" xfId="15" applyFont="1" applyAlignment="1">
      <alignment horizontal="center" vertical="top"/>
    </xf>
    <xf numFmtId="0" fontId="47" fillId="0" borderId="0" xfId="15" applyFont="1" applyAlignment="1">
      <alignment horizontal="right" vertical="top"/>
    </xf>
    <xf numFmtId="182" fontId="48" fillId="0" borderId="0" xfId="15" applyNumberFormat="1" applyFont="1" applyAlignment="1">
      <alignment horizontal="left" vertical="top"/>
    </xf>
    <xf numFmtId="0" fontId="50" fillId="10" borderId="0" xfId="15" applyFont="1" applyFill="1" applyAlignment="1">
      <alignment horizontal="left" vertical="top"/>
    </xf>
    <xf numFmtId="0" fontId="45" fillId="11" borderId="26" xfId="15" applyFill="1" applyBorder="1"/>
    <xf numFmtId="0" fontId="50" fillId="11" borderId="27" xfId="15" applyFont="1" applyFill="1" applyBorder="1" applyAlignment="1">
      <alignment horizontal="center" vertical="top"/>
    </xf>
    <xf numFmtId="0" fontId="45" fillId="11" borderId="27" xfId="15" applyFill="1" applyBorder="1"/>
    <xf numFmtId="0" fontId="45" fillId="0" borderId="30" xfId="15" applyBorder="1"/>
    <xf numFmtId="0" fontId="51" fillId="0" borderId="29" xfId="15" applyFont="1" applyBorder="1" applyAlignment="1">
      <alignment horizontal="left" vertical="top"/>
    </xf>
    <xf numFmtId="184" fontId="51" fillId="0" borderId="29" xfId="15" applyNumberFormat="1" applyFont="1" applyBorder="1" applyAlignment="1">
      <alignment horizontal="right" vertical="top"/>
    </xf>
    <xf numFmtId="185" fontId="51" fillId="0" borderId="29" xfId="15" applyNumberFormat="1" applyFont="1" applyBorder="1" applyAlignment="1">
      <alignment horizontal="right" vertical="top"/>
    </xf>
    <xf numFmtId="186" fontId="51" fillId="0" borderId="29" xfId="15" applyNumberFormat="1" applyFont="1" applyBorder="1" applyAlignment="1">
      <alignment horizontal="right" vertical="top"/>
    </xf>
    <xf numFmtId="184" fontId="52" fillId="10" borderId="34" xfId="15" applyNumberFormat="1" applyFont="1" applyFill="1" applyBorder="1" applyAlignment="1">
      <alignment horizontal="right" vertical="top"/>
    </xf>
    <xf numFmtId="185" fontId="52" fillId="10" borderId="34" xfId="15" applyNumberFormat="1" applyFont="1" applyFill="1" applyBorder="1" applyAlignment="1">
      <alignment horizontal="right" vertical="top"/>
    </xf>
    <xf numFmtId="186" fontId="52" fillId="10" borderId="34" xfId="15" applyNumberFormat="1" applyFont="1" applyFill="1" applyBorder="1" applyAlignment="1">
      <alignment horizontal="right" vertical="top"/>
    </xf>
    <xf numFmtId="184" fontId="51" fillId="12" borderId="29" xfId="15" applyNumberFormat="1" applyFont="1" applyFill="1" applyBorder="1" applyAlignment="1">
      <alignment horizontal="right" vertical="top"/>
    </xf>
    <xf numFmtId="184" fontId="51" fillId="8" borderId="29" xfId="15" applyNumberFormat="1" applyFont="1" applyFill="1" applyBorder="1" applyAlignment="1">
      <alignment horizontal="right" vertical="top"/>
    </xf>
    <xf numFmtId="184" fontId="51" fillId="13" borderId="29" xfId="15" applyNumberFormat="1" applyFont="1" applyFill="1" applyBorder="1" applyAlignment="1">
      <alignment horizontal="right" vertical="top"/>
    </xf>
    <xf numFmtId="184" fontId="51" fillId="7" borderId="29" xfId="15" applyNumberFormat="1" applyFont="1" applyFill="1" applyBorder="1" applyAlignment="1">
      <alignment horizontal="right" vertical="top"/>
    </xf>
    <xf numFmtId="184" fontId="51" fillId="14" borderId="29" xfId="15" applyNumberFormat="1" applyFont="1" applyFill="1" applyBorder="1" applyAlignment="1">
      <alignment horizontal="right" vertical="top"/>
    </xf>
    <xf numFmtId="183" fontId="55" fillId="0" borderId="29" xfId="15" applyNumberFormat="1" applyFont="1" applyBorder="1" applyAlignment="1">
      <alignment horizontal="left" vertical="top"/>
    </xf>
    <xf numFmtId="184" fontId="51" fillId="15" borderId="29" xfId="15" applyNumberFormat="1" applyFont="1" applyFill="1" applyBorder="1" applyAlignment="1">
      <alignment horizontal="right" vertical="top"/>
    </xf>
    <xf numFmtId="184" fontId="55" fillId="12" borderId="29" xfId="15" applyNumberFormat="1" applyFont="1" applyFill="1" applyBorder="1" applyAlignment="1">
      <alignment horizontal="right" vertical="top"/>
    </xf>
    <xf numFmtId="184" fontId="55" fillId="15" borderId="29" xfId="15" applyNumberFormat="1" applyFont="1" applyFill="1" applyBorder="1" applyAlignment="1">
      <alignment horizontal="right" vertical="top"/>
    </xf>
    <xf numFmtId="184" fontId="55" fillId="8" borderId="29" xfId="15" applyNumberFormat="1" applyFont="1" applyFill="1" applyBorder="1" applyAlignment="1">
      <alignment horizontal="right" vertical="top"/>
    </xf>
    <xf numFmtId="184" fontId="55" fillId="7" borderId="29" xfId="15" applyNumberFormat="1" applyFont="1" applyFill="1" applyBorder="1" applyAlignment="1">
      <alignment horizontal="right" vertical="top"/>
    </xf>
    <xf numFmtId="184" fontId="55" fillId="14" borderId="29" xfId="15" applyNumberFormat="1" applyFont="1" applyFill="1" applyBorder="1" applyAlignment="1">
      <alignment horizontal="right" vertical="top"/>
    </xf>
    <xf numFmtId="184" fontId="55" fillId="16" borderId="29" xfId="15" applyNumberFormat="1" applyFont="1" applyFill="1" applyBorder="1" applyAlignment="1">
      <alignment horizontal="right" vertical="top"/>
    </xf>
    <xf numFmtId="184" fontId="51" fillId="17" borderId="29" xfId="15" applyNumberFormat="1" applyFont="1" applyFill="1" applyBorder="1" applyAlignment="1">
      <alignment horizontal="right" vertical="top"/>
    </xf>
    <xf numFmtId="184" fontId="55" fillId="17" borderId="29" xfId="15" applyNumberFormat="1" applyFont="1" applyFill="1" applyBorder="1" applyAlignment="1">
      <alignment horizontal="right" vertical="top"/>
    </xf>
    <xf numFmtId="184" fontId="55" fillId="18" borderId="29" xfId="15" applyNumberFormat="1" applyFont="1" applyFill="1" applyBorder="1" applyAlignment="1">
      <alignment horizontal="right" vertical="top"/>
    </xf>
    <xf numFmtId="184" fontId="51" fillId="18" borderId="29" xfId="15" applyNumberFormat="1" applyFont="1" applyFill="1" applyBorder="1" applyAlignment="1">
      <alignment horizontal="right" vertical="top"/>
    </xf>
    <xf numFmtId="184" fontId="55" fillId="19" borderId="29" xfId="15" applyNumberFormat="1" applyFont="1" applyFill="1" applyBorder="1" applyAlignment="1">
      <alignment horizontal="right" vertical="top"/>
    </xf>
    <xf numFmtId="184" fontId="51" fillId="19" borderId="29" xfId="15" applyNumberFormat="1" applyFont="1" applyFill="1" applyBorder="1" applyAlignment="1">
      <alignment horizontal="right" vertical="top"/>
    </xf>
    <xf numFmtId="0" fontId="56" fillId="0" borderId="0" xfId="0" applyFont="1" applyAlignment="1">
      <alignment horizontal="center" vertical="center" wrapText="1"/>
    </xf>
    <xf numFmtId="0" fontId="56" fillId="0" borderId="0" xfId="0" applyFont="1" applyAlignment="1">
      <alignment horizontal="left" vertical="center"/>
    </xf>
    <xf numFmtId="0" fontId="56" fillId="0" borderId="10" xfId="0" applyFont="1" applyBorder="1" applyAlignment="1">
      <alignment horizontal="center" vertical="center" wrapText="1"/>
    </xf>
    <xf numFmtId="0" fontId="57" fillId="0" borderId="0" xfId="0" applyFont="1"/>
    <xf numFmtId="0" fontId="59" fillId="0" borderId="0" xfId="0" applyFont="1" applyAlignment="1">
      <alignment horizontal="center" vertical="center" wrapText="1"/>
    </xf>
    <xf numFmtId="0" fontId="59" fillId="2" borderId="0" xfId="0" applyFont="1" applyFill="1" applyAlignment="1">
      <alignment horizontal="center" vertical="center" wrapText="1"/>
    </xf>
    <xf numFmtId="0" fontId="59" fillId="2" borderId="38" xfId="0" applyFont="1" applyFill="1" applyBorder="1" applyAlignment="1">
      <alignment horizontal="center" vertical="center" wrapText="1"/>
    </xf>
    <xf numFmtId="0" fontId="59" fillId="2" borderId="6" xfId="0" applyFont="1" applyFill="1" applyBorder="1" applyAlignment="1">
      <alignment horizontal="center" vertical="center" wrapText="1"/>
    </xf>
    <xf numFmtId="0" fontId="59" fillId="2" borderId="15" xfId="0" applyFont="1" applyFill="1" applyBorder="1" applyAlignment="1">
      <alignment horizontal="center" vertical="center" wrapText="1"/>
    </xf>
    <xf numFmtId="3" fontId="57" fillId="0" borderId="10" xfId="0" applyNumberFormat="1" applyFont="1" applyBorder="1"/>
    <xf numFmtId="177" fontId="57" fillId="0" borderId="10" xfId="3" applyNumberFormat="1" applyFont="1" applyBorder="1"/>
    <xf numFmtId="167" fontId="57" fillId="0" borderId="10" xfId="0" applyNumberFormat="1" applyFont="1" applyBorder="1"/>
    <xf numFmtId="164" fontId="57" fillId="0" borderId="10" xfId="1" applyNumberFormat="1" applyFont="1" applyBorder="1"/>
    <xf numFmtId="10" fontId="57" fillId="0" borderId="10" xfId="3" applyNumberFormat="1" applyFont="1" applyBorder="1" applyAlignment="1">
      <alignment horizontal="center"/>
    </xf>
    <xf numFmtId="44" fontId="57" fillId="0" borderId="10" xfId="2" applyFont="1" applyBorder="1"/>
    <xf numFmtId="3" fontId="57" fillId="0" borderId="0" xfId="0" applyNumberFormat="1" applyFont="1"/>
    <xf numFmtId="167" fontId="57" fillId="0" borderId="0" xfId="0" applyNumberFormat="1" applyFont="1"/>
    <xf numFmtId="167" fontId="57" fillId="0" borderId="0" xfId="2" applyNumberFormat="1" applyFont="1"/>
    <xf numFmtId="184" fontId="51" fillId="20" borderId="29" xfId="15" applyNumberFormat="1" applyFont="1" applyFill="1" applyBorder="1" applyAlignment="1">
      <alignment horizontal="right" vertical="top"/>
    </xf>
    <xf numFmtId="184" fontId="55" fillId="20" borderId="29" xfId="15" applyNumberFormat="1" applyFont="1" applyFill="1" applyBorder="1" applyAlignment="1">
      <alignment horizontal="right" vertical="top"/>
    </xf>
    <xf numFmtId="0" fontId="56" fillId="3" borderId="10" xfId="5" applyFont="1" applyFill="1" applyBorder="1" applyAlignment="1">
      <alignment horizontal="left" textRotation="90" wrapText="1"/>
    </xf>
    <xf numFmtId="14" fontId="56" fillId="3" borderId="10" xfId="5" applyNumberFormat="1" applyFont="1" applyFill="1" applyBorder="1" applyAlignment="1">
      <alignment textRotation="90" wrapText="1"/>
    </xf>
    <xf numFmtId="0" fontId="56" fillId="3" borderId="10" xfId="5" applyFont="1" applyFill="1" applyBorder="1" applyAlignment="1">
      <alignment textRotation="90" wrapText="1"/>
    </xf>
    <xf numFmtId="0" fontId="60" fillId="0" borderId="0" xfId="5" applyFont="1"/>
    <xf numFmtId="0" fontId="60" fillId="4" borderId="11" xfId="5" applyFont="1" applyFill="1" applyBorder="1"/>
    <xf numFmtId="168" fontId="60" fillId="4" borderId="11" xfId="5" applyNumberFormat="1" applyFont="1" applyFill="1" applyBorder="1"/>
    <xf numFmtId="0" fontId="60" fillId="4" borderId="12" xfId="5" applyFont="1" applyFill="1" applyBorder="1"/>
    <xf numFmtId="168" fontId="60" fillId="4" borderId="12" xfId="5" applyNumberFormat="1" applyFont="1" applyFill="1" applyBorder="1"/>
    <xf numFmtId="168" fontId="60" fillId="0" borderId="12" xfId="5" applyNumberFormat="1" applyFont="1" applyBorder="1"/>
    <xf numFmtId="0" fontId="60" fillId="4" borderId="13" xfId="5" applyFont="1" applyFill="1" applyBorder="1"/>
    <xf numFmtId="168" fontId="60" fillId="4" borderId="13" xfId="5" applyNumberFormat="1" applyFont="1" applyFill="1" applyBorder="1"/>
    <xf numFmtId="0" fontId="60" fillId="4" borderId="10" xfId="5" applyFont="1" applyFill="1" applyBorder="1"/>
    <xf numFmtId="168" fontId="60" fillId="4" borderId="10" xfId="5" applyNumberFormat="1" applyFont="1" applyFill="1" applyBorder="1"/>
    <xf numFmtId="168" fontId="60" fillId="0" borderId="0" xfId="5" applyNumberFormat="1" applyFont="1"/>
    <xf numFmtId="0" fontId="61" fillId="0" borderId="0" xfId="5" applyFont="1"/>
    <xf numFmtId="10" fontId="60" fillId="0" borderId="0" xfId="5" applyNumberFormat="1" applyFont="1"/>
    <xf numFmtId="0" fontId="60" fillId="4" borderId="16" xfId="5" applyFont="1" applyFill="1" applyBorder="1"/>
    <xf numFmtId="166" fontId="60" fillId="4" borderId="14" xfId="5" applyNumberFormat="1" applyFont="1" applyFill="1" applyBorder="1"/>
    <xf numFmtId="10" fontId="43" fillId="0" borderId="0" xfId="6" applyNumberFormat="1" applyFont="1"/>
    <xf numFmtId="9" fontId="43" fillId="0" borderId="0" xfId="6" applyFont="1"/>
    <xf numFmtId="169" fontId="60" fillId="0" borderId="0" xfId="5" applyNumberFormat="1" applyFont="1"/>
    <xf numFmtId="166" fontId="43" fillId="0" borderId="0" xfId="6" applyNumberFormat="1" applyFont="1"/>
    <xf numFmtId="166" fontId="60" fillId="4" borderId="15" xfId="5" applyNumberFormat="1" applyFont="1" applyFill="1" applyBorder="1"/>
    <xf numFmtId="0" fontId="60" fillId="0" borderId="13" xfId="5" applyFont="1" applyBorder="1"/>
    <xf numFmtId="168" fontId="60" fillId="0" borderId="13" xfId="5" applyNumberFormat="1" applyFont="1" applyBorder="1"/>
    <xf numFmtId="166" fontId="60" fillId="0" borderId="13" xfId="5" applyNumberFormat="1" applyFont="1" applyBorder="1"/>
    <xf numFmtId="0" fontId="63" fillId="0" borderId="0" xfId="0" applyFont="1"/>
    <xf numFmtId="0" fontId="43" fillId="0" borderId="4" xfId="0" applyFont="1" applyBorder="1"/>
    <xf numFmtId="164" fontId="43" fillId="0" borderId="0" xfId="0" applyNumberFormat="1" applyFont="1"/>
    <xf numFmtId="0" fontId="43" fillId="0" borderId="5" xfId="0" applyFont="1" applyBorder="1"/>
    <xf numFmtId="44" fontId="43" fillId="0" borderId="8" xfId="0" applyNumberFormat="1" applyFont="1" applyBorder="1"/>
    <xf numFmtId="0" fontId="43" fillId="0" borderId="8" xfId="0" applyFont="1" applyBorder="1"/>
    <xf numFmtId="0" fontId="43" fillId="0" borderId="9" xfId="0" applyFont="1" applyBorder="1"/>
    <xf numFmtId="0" fontId="43" fillId="8" borderId="4" xfId="0" applyFont="1" applyFill="1" applyBorder="1" applyAlignment="1">
      <alignment horizontal="center" wrapText="1"/>
    </xf>
    <xf numFmtId="0" fontId="44" fillId="9" borderId="1" xfId="0" applyFont="1" applyFill="1" applyBorder="1" applyAlignment="1">
      <alignment horizontal="center"/>
    </xf>
    <xf numFmtId="0" fontId="44" fillId="9" borderId="3" xfId="0" applyFont="1" applyFill="1" applyBorder="1" applyAlignment="1">
      <alignment horizontal="center"/>
    </xf>
    <xf numFmtId="0" fontId="43" fillId="0" borderId="0" xfId="0" applyFont="1" applyAlignment="1">
      <alignment horizontal="left" wrapText="1"/>
    </xf>
    <xf numFmtId="0" fontId="42" fillId="2" borderId="1" xfId="0" applyFont="1" applyFill="1" applyBorder="1" applyAlignment="1">
      <alignment horizontal="center"/>
    </xf>
    <xf numFmtId="0" fontId="42" fillId="2" borderId="2" xfId="0" applyFont="1" applyFill="1" applyBorder="1" applyAlignment="1">
      <alignment horizontal="center"/>
    </xf>
    <xf numFmtId="0" fontId="42" fillId="2" borderId="3" xfId="0" applyFont="1" applyFill="1" applyBorder="1" applyAlignment="1">
      <alignment horizontal="center"/>
    </xf>
    <xf numFmtId="0" fontId="2" fillId="0" borderId="0" xfId="0" applyFont="1" applyAlignment="1">
      <alignment horizontal="center"/>
    </xf>
    <xf numFmtId="0" fontId="6" fillId="0" borderId="6" xfId="0" applyFont="1" applyBorder="1" applyAlignment="1">
      <alignment horizontal="center"/>
    </xf>
    <xf numFmtId="0" fontId="4" fillId="2" borderId="4" xfId="0"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62" fillId="9" borderId="8" xfId="0" applyFont="1" applyFill="1" applyBorder="1" applyAlignment="1">
      <alignment horizontal="center"/>
    </xf>
    <xf numFmtId="0" fontId="58" fillId="0" borderId="35" xfId="0" applyFont="1" applyBorder="1" applyAlignment="1">
      <alignment horizontal="center"/>
    </xf>
    <xf numFmtId="0" fontId="58" fillId="0" borderId="36" xfId="0" applyFont="1" applyBorder="1" applyAlignment="1">
      <alignment horizontal="center"/>
    </xf>
    <xf numFmtId="0" fontId="58" fillId="0" borderId="37" xfId="0" applyFont="1" applyBorder="1" applyAlignment="1">
      <alignment horizontal="center"/>
    </xf>
    <xf numFmtId="0" fontId="3" fillId="0" borderId="0" xfId="5" applyFont="1" applyAlignment="1">
      <alignment horizontal="center"/>
    </xf>
    <xf numFmtId="3" fontId="3" fillId="0" borderId="0" xfId="5" applyNumberFormat="1" applyFont="1" applyAlignment="1">
      <alignment horizontal="center"/>
    </xf>
    <xf numFmtId="49" fontId="10" fillId="0" borderId="0" xfId="9" applyNumberFormat="1" applyFont="1" applyAlignment="1" applyProtection="1">
      <alignment horizontal="center"/>
      <protection locked="0"/>
    </xf>
    <xf numFmtId="0" fontId="3" fillId="0" borderId="0" xfId="5" applyFont="1" applyAlignment="1">
      <alignment wrapText="1"/>
    </xf>
    <xf numFmtId="0" fontId="5" fillId="0" borderId="0" xfId="5" applyFont="1" applyAlignment="1">
      <alignment horizontal="center"/>
    </xf>
    <xf numFmtId="0" fontId="23" fillId="0" borderId="0" xfId="11" applyFont="1" applyAlignment="1">
      <alignment vertical="top" wrapText="1"/>
    </xf>
    <xf numFmtId="0" fontId="49" fillId="0" borderId="0" xfId="15" applyFont="1" applyAlignment="1">
      <alignment horizontal="left" vertical="center"/>
    </xf>
    <xf numFmtId="0" fontId="45" fillId="0" borderId="0" xfId="15"/>
    <xf numFmtId="0" fontId="46" fillId="0" borderId="0" xfId="15" applyFont="1" applyAlignment="1">
      <alignment horizontal="left" vertical="top"/>
    </xf>
    <xf numFmtId="0" fontId="46" fillId="0" borderId="0" xfId="15" applyFont="1" applyAlignment="1">
      <alignment horizontal="center" vertical="top"/>
    </xf>
    <xf numFmtId="183" fontId="51" fillId="0" borderId="29" xfId="15" applyNumberFormat="1" applyFont="1" applyBorder="1" applyAlignment="1">
      <alignment horizontal="left" vertical="top"/>
    </xf>
    <xf numFmtId="0" fontId="45" fillId="0" borderId="30" xfId="15" applyBorder="1"/>
    <xf numFmtId="0" fontId="50" fillId="10" borderId="0" xfId="15" applyFont="1" applyFill="1" applyAlignment="1">
      <alignment horizontal="left" vertical="top"/>
    </xf>
    <xf numFmtId="0" fontId="45" fillId="10" borderId="0" xfId="15" applyFill="1"/>
    <xf numFmtId="0" fontId="45" fillId="11" borderId="24" xfId="15" applyFill="1" applyBorder="1"/>
    <xf numFmtId="0" fontId="45" fillId="11" borderId="25" xfId="15" applyFill="1" applyBorder="1"/>
    <xf numFmtId="0" fontId="50" fillId="11" borderId="26" xfId="15" applyFont="1" applyFill="1" applyBorder="1" applyAlignment="1">
      <alignment horizontal="center" vertical="top"/>
    </xf>
    <xf numFmtId="0" fontId="50" fillId="11" borderId="27" xfId="15" applyFont="1" applyFill="1" applyBorder="1" applyAlignment="1">
      <alignment horizontal="center" vertical="top"/>
    </xf>
    <xf numFmtId="0" fontId="45" fillId="11" borderId="28" xfId="15" applyFill="1" applyBorder="1"/>
    <xf numFmtId="0" fontId="54" fillId="0" borderId="0" xfId="15" applyFont="1" applyAlignment="1">
      <alignment horizontal="right" vertical="top"/>
    </xf>
    <xf numFmtId="0" fontId="52" fillId="10" borderId="31" xfId="15" applyFont="1" applyFill="1" applyBorder="1" applyAlignment="1">
      <alignment horizontal="left" vertical="top"/>
    </xf>
    <xf numFmtId="0" fontId="45" fillId="10" borderId="32" xfId="15" applyFill="1" applyBorder="1"/>
    <xf numFmtId="0" fontId="45" fillId="10" borderId="33" xfId="15" applyFill="1" applyBorder="1"/>
    <xf numFmtId="0" fontId="53" fillId="0" borderId="0" xfId="15" applyFont="1" applyAlignment="1">
      <alignment horizontal="left" vertical="top"/>
    </xf>
    <xf numFmtId="0" fontId="2" fillId="8" borderId="4" xfId="0" applyFont="1" applyFill="1" applyBorder="1"/>
    <xf numFmtId="167" fontId="2" fillId="8" borderId="5" xfId="0" applyNumberFormat="1" applyFont="1" applyFill="1" applyBorder="1"/>
  </cellXfs>
  <cellStyles count="16">
    <cellStyle name="Comma" xfId="1" builtinId="3"/>
    <cellStyle name="Comma 2" xfId="8" xr:uid="{4BD4BF9A-8241-471E-A86D-FF857E619B24}"/>
    <cellStyle name="Comma 3" xfId="13" xr:uid="{D912DFB2-60A1-485B-91D1-676C67C3333D}"/>
    <cellStyle name="Currency" xfId="2" builtinId="4"/>
    <cellStyle name="Currency 2" xfId="10" xr:uid="{9146FC3F-E57F-4C4E-8EDC-AC12D19AB855}"/>
    <cellStyle name="Currency 3" xfId="12" xr:uid="{8C115E67-90D8-4D09-BB57-61D4A5EEB4B7}"/>
    <cellStyle name="Normal" xfId="0" builtinId="0"/>
    <cellStyle name="Normal 2" xfId="5" xr:uid="{72F6E280-8EF2-471B-A568-32E4F2FEA725}"/>
    <cellStyle name="Normal 3" xfId="4" xr:uid="{B4206B8A-D727-415B-A8F2-C71C6D616D39}"/>
    <cellStyle name="Normal 4" xfId="11" xr:uid="{F1048111-3DBA-45E1-AFF2-FF2D7D8E4090}"/>
    <cellStyle name="Normal 5" xfId="15" xr:uid="{96B11DD7-454F-4466-BF42-9264083364C2}"/>
    <cellStyle name="Normal_FN1 Ratebase Draft SPP template (6-11-04) v2" xfId="9" xr:uid="{52BD63E8-5279-4A0D-8D2B-ABE17D69A169}"/>
    <cellStyle name="Percent" xfId="3" builtinId="5"/>
    <cellStyle name="Percent 2" xfId="6" xr:uid="{C76B14F9-E266-4A19-827E-1327E6EAAEFE}"/>
    <cellStyle name="Percent 3" xfId="14" xr:uid="{D3EFB5BE-C0CD-4D6C-9B19-98F97A502F40}"/>
    <cellStyle name="Table (Normal)" xfId="7" xr:uid="{ED8C361F-42D2-426F-812E-BD505FC2CB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23812</xdr:colOff>
      <xdr:row>26</xdr:row>
      <xdr:rowOff>95250</xdr:rowOff>
    </xdr:from>
    <xdr:to>
      <xdr:col>10</xdr:col>
      <xdr:colOff>-1</xdr:colOff>
      <xdr:row>26</xdr:row>
      <xdr:rowOff>107157</xdr:rowOff>
    </xdr:to>
    <xdr:cxnSp macro="">
      <xdr:nvCxnSpPr>
        <xdr:cNvPr id="3" name="Straight Arrow Connector 2">
          <a:extLst>
            <a:ext uri="{FF2B5EF4-FFF2-40B4-BE49-F238E27FC236}">
              <a16:creationId xmlns:a16="http://schemas.microsoft.com/office/drawing/2014/main" id="{9F678672-9612-EAD1-5B5E-F3D9C39B38A2}"/>
            </a:ext>
          </a:extLst>
        </xdr:cNvPr>
        <xdr:cNvCxnSpPr/>
      </xdr:nvCxnSpPr>
      <xdr:spPr>
        <a:xfrm flipH="1">
          <a:off x="10334625" y="5345906"/>
          <a:ext cx="1881187" cy="1190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38175" cy="638175"/>
    <xdr:pic>
      <xdr:nvPicPr>
        <xdr:cNvPr id="2" name="AEP+Enterprise+Reporting.jpg.jpeg">
          <a:extLst>
            <a:ext uri="{FF2B5EF4-FFF2-40B4-BE49-F238E27FC236}">
              <a16:creationId xmlns:a16="http://schemas.microsoft.com/office/drawing/2014/main" id="{B1DF809B-8AEF-4DE8-841A-5BD54F4FC938}"/>
            </a:ext>
          </a:extLst>
        </xdr:cNvPr>
        <xdr:cNvPicPr>
          <a:picLocks noChangeAspect="1"/>
        </xdr:cNvPicPr>
      </xdr:nvPicPr>
      <xdr:blipFill>
        <a:blip xmlns:r="http://schemas.openxmlformats.org/officeDocument/2006/relationships" r:embed="rId1"/>
        <a:stretch>
          <a:fillRect/>
        </a:stretch>
      </xdr:blipFill>
      <xdr:spPr>
        <a:xfrm>
          <a:off x="0" y="0"/>
          <a:ext cx="638175" cy="638175"/>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9A8B4-69D6-49DF-A05A-771B2591C58A}">
  <dimension ref="B2:Q48"/>
  <sheetViews>
    <sheetView tabSelected="1" topLeftCell="A3" zoomScale="80" zoomScaleNormal="80" workbookViewId="0">
      <selection activeCell="N38" sqref="N38"/>
    </sheetView>
  </sheetViews>
  <sheetFormatPr defaultRowHeight="15"/>
  <cols>
    <col min="1" max="1" width="9.140625" style="272"/>
    <col min="2" max="2" width="29.7109375" style="272" bestFit="1" customWidth="1"/>
    <col min="3" max="3" width="24.28515625" style="272" customWidth="1"/>
    <col min="4" max="4" width="19.42578125" style="272" customWidth="1"/>
    <col min="5" max="6" width="9.140625" style="272"/>
    <col min="7" max="7" width="29.7109375" style="272" bestFit="1" customWidth="1"/>
    <col min="8" max="8" width="24.28515625" style="272" customWidth="1"/>
    <col min="9" max="9" width="19.42578125" style="272" customWidth="1"/>
    <col min="10" max="10" width="9.140625" style="272"/>
    <col min="11" max="11" width="33.5703125" style="272" customWidth="1"/>
    <col min="12" max="12" width="9.140625" style="272"/>
    <col min="13" max="13" width="29.7109375" style="272" customWidth="1"/>
    <col min="14" max="14" width="16.85546875" style="272" bestFit="1" customWidth="1"/>
    <col min="15" max="15" width="9.140625" style="272"/>
    <col min="16" max="16" width="19.85546875" style="272" customWidth="1"/>
    <col min="17" max="17" width="12.28515625" style="272" bestFit="1" customWidth="1"/>
    <col min="18" max="16384" width="9.140625" style="272"/>
  </cols>
  <sheetData>
    <row r="2" spans="2:10" ht="15.75" thickBot="1">
      <c r="B2" s="379" t="s">
        <v>359</v>
      </c>
      <c r="C2" s="379"/>
      <c r="D2" s="379"/>
      <c r="E2" s="379"/>
      <c r="F2" s="360"/>
      <c r="G2" s="379" t="s">
        <v>360</v>
      </c>
      <c r="H2" s="379"/>
      <c r="I2" s="379"/>
      <c r="J2" s="379"/>
    </row>
    <row r="3" spans="2:10">
      <c r="B3" s="371" t="s">
        <v>0</v>
      </c>
      <c r="C3" s="372"/>
      <c r="D3" s="372"/>
      <c r="E3" s="373"/>
      <c r="G3" s="371" t="s">
        <v>0</v>
      </c>
      <c r="H3" s="372"/>
      <c r="I3" s="372"/>
      <c r="J3" s="373"/>
    </row>
    <row r="4" spans="2:10" ht="15.75">
      <c r="B4" s="1"/>
      <c r="C4" s="374"/>
      <c r="D4" s="374"/>
      <c r="E4" s="2"/>
      <c r="G4" s="1"/>
      <c r="H4" s="374"/>
      <c r="I4" s="374"/>
      <c r="J4" s="2"/>
    </row>
    <row r="5" spans="2:10" ht="15.75">
      <c r="B5" s="1" t="s">
        <v>1</v>
      </c>
      <c r="C5" s="12" t="s">
        <v>2</v>
      </c>
      <c r="D5" s="12" t="s">
        <v>3</v>
      </c>
      <c r="E5" s="2"/>
      <c r="G5" s="1" t="s">
        <v>1</v>
      </c>
      <c r="H5" s="12" t="s">
        <v>2</v>
      </c>
      <c r="I5" s="12" t="s">
        <v>3</v>
      </c>
      <c r="J5" s="2"/>
    </row>
    <row r="6" spans="2:10" ht="15.75">
      <c r="B6" s="1" t="s">
        <v>357</v>
      </c>
      <c r="C6" s="18">
        <v>19158.900000000001</v>
      </c>
      <c r="D6" s="3">
        <f>C6/C8</f>
        <v>0.85845057800878222</v>
      </c>
      <c r="E6" s="4"/>
      <c r="G6" s="1" t="s">
        <v>4</v>
      </c>
      <c r="H6" s="18">
        <v>19158.900000000001</v>
      </c>
      <c r="I6" s="3">
        <f>H6/H8</f>
        <v>0.85845057800878222</v>
      </c>
      <c r="J6" s="4"/>
    </row>
    <row r="7" spans="2:10" ht="15.75">
      <c r="B7" s="1" t="s">
        <v>5</v>
      </c>
      <c r="C7" s="18">
        <v>3159.1</v>
      </c>
      <c r="D7" s="5">
        <f>C7/C8</f>
        <v>0.14154942199121784</v>
      </c>
      <c r="E7" s="4"/>
      <c r="G7" s="1" t="s">
        <v>5</v>
      </c>
      <c r="H7" s="18">
        <v>3159.1</v>
      </c>
      <c r="I7" s="5">
        <f>H7/H8</f>
        <v>0.14154942199121784</v>
      </c>
      <c r="J7" s="4"/>
    </row>
    <row r="8" spans="2:10" ht="15.75">
      <c r="B8" s="1"/>
      <c r="C8" s="19">
        <f>SUM(C6:C7)</f>
        <v>22318</v>
      </c>
      <c r="D8" s="5"/>
      <c r="E8" s="7"/>
      <c r="G8" s="1"/>
      <c r="H8" s="19">
        <f>SUM(H6:H7)</f>
        <v>22318</v>
      </c>
      <c r="I8" s="5"/>
      <c r="J8" s="7"/>
    </row>
    <row r="9" spans="2:10" ht="15.75">
      <c r="B9" s="1"/>
      <c r="C9" s="13"/>
      <c r="D9" s="13"/>
      <c r="E9" s="7"/>
      <c r="G9" s="1"/>
      <c r="H9" s="13"/>
      <c r="I9" s="13"/>
      <c r="J9" s="7"/>
    </row>
    <row r="10" spans="2:10" ht="15.75">
      <c r="B10" s="376" t="s">
        <v>6</v>
      </c>
      <c r="C10" s="377"/>
      <c r="D10" s="377"/>
      <c r="E10" s="378"/>
      <c r="G10" s="376" t="s">
        <v>6</v>
      </c>
      <c r="H10" s="377"/>
      <c r="I10" s="377"/>
      <c r="J10" s="378"/>
    </row>
    <row r="11" spans="2:10" ht="15.75">
      <c r="B11" s="1"/>
      <c r="C11" s="13"/>
      <c r="D11" s="13"/>
      <c r="E11" s="7"/>
      <c r="G11" s="1"/>
      <c r="H11" s="13"/>
      <c r="I11" s="13"/>
      <c r="J11" s="7"/>
    </row>
    <row r="12" spans="2:10" ht="15.75">
      <c r="B12" s="1"/>
      <c r="C12" s="375" t="s">
        <v>31</v>
      </c>
      <c r="D12" s="375"/>
      <c r="E12" s="7"/>
      <c r="G12" s="1"/>
      <c r="H12" s="375" t="s">
        <v>31</v>
      </c>
      <c r="I12" s="375"/>
      <c r="J12" s="7"/>
    </row>
    <row r="13" spans="2:10" ht="15.75">
      <c r="B13" s="1" t="s">
        <v>7</v>
      </c>
      <c r="C13" s="12" t="s">
        <v>2</v>
      </c>
      <c r="D13" s="12" t="s">
        <v>3</v>
      </c>
      <c r="E13" s="7"/>
      <c r="G13" s="1" t="s">
        <v>7</v>
      </c>
      <c r="H13" s="12" t="s">
        <v>2</v>
      </c>
      <c r="I13" s="12" t="s">
        <v>3</v>
      </c>
      <c r="J13" s="7"/>
    </row>
    <row r="14" spans="2:10" ht="15.75">
      <c r="B14" s="1" t="s">
        <v>8</v>
      </c>
      <c r="C14" s="6">
        <f>'AEP 12CP'!B17</f>
        <v>4601.3606666666665</v>
      </c>
      <c r="D14" s="8">
        <f>C14/$C$20</f>
        <v>0.26233637355261413</v>
      </c>
      <c r="E14" s="7"/>
      <c r="G14" s="1" t="s">
        <v>8</v>
      </c>
      <c r="H14" s="6">
        <f>'AEP 12CP'!B17</f>
        <v>4601.3606666666665</v>
      </c>
      <c r="I14" s="8">
        <f>H14/$C$20</f>
        <v>0.26233637355261413</v>
      </c>
      <c r="J14" s="7"/>
    </row>
    <row r="15" spans="2:10" ht="15.75">
      <c r="B15" s="1" t="s">
        <v>9</v>
      </c>
      <c r="C15" s="6">
        <f>'AEP 12CP'!B18</f>
        <v>8151.8123333333324</v>
      </c>
      <c r="D15" s="8">
        <f t="shared" ref="D15:D19" si="0">C15/$C$20</f>
        <v>0.46475750116700409</v>
      </c>
      <c r="E15" s="7"/>
      <c r="G15" s="1" t="s">
        <v>9</v>
      </c>
      <c r="H15" s="6">
        <f>'AEP 12CP'!B18</f>
        <v>8151.8123333333324</v>
      </c>
      <c r="I15" s="8">
        <f t="shared" ref="I15:I19" si="1">H15/$C$20</f>
        <v>0.46475750116700409</v>
      </c>
      <c r="J15" s="7"/>
    </row>
    <row r="16" spans="2:10" ht="15.75">
      <c r="B16" s="1" t="s">
        <v>10</v>
      </c>
      <c r="C16" s="6">
        <f>'AEP 12CP'!B19</f>
        <v>2954.0729999999999</v>
      </c>
      <c r="D16" s="8">
        <f t="shared" si="0"/>
        <v>0.16841992057777361</v>
      </c>
      <c r="E16" s="7"/>
      <c r="G16" s="1" t="s">
        <v>10</v>
      </c>
      <c r="H16" s="6">
        <f>'AEP 12CP'!B19</f>
        <v>2954.0729999999999</v>
      </c>
      <c r="I16" s="8">
        <f t="shared" si="1"/>
        <v>0.16841992057777361</v>
      </c>
      <c r="J16" s="7"/>
    </row>
    <row r="17" spans="2:17" ht="15.75">
      <c r="B17" s="1" t="s">
        <v>11</v>
      </c>
      <c r="C17" s="6">
        <f>'AEP 12CP'!B20</f>
        <v>903.05700000000013</v>
      </c>
      <c r="D17" s="8">
        <f t="shared" si="0"/>
        <v>5.1485792063094761E-2</v>
      </c>
      <c r="E17" s="7"/>
      <c r="G17" s="1" t="s">
        <v>11</v>
      </c>
      <c r="H17" s="6">
        <f>'AEP 12CP'!B20</f>
        <v>903.05700000000013</v>
      </c>
      <c r="I17" s="8">
        <f t="shared" si="1"/>
        <v>5.1485792063094761E-2</v>
      </c>
      <c r="J17" s="7"/>
    </row>
    <row r="18" spans="2:17" ht="15.75">
      <c r="B18" s="1" t="s">
        <v>12</v>
      </c>
      <c r="C18" s="6">
        <f>'AEP 12CP'!B21</f>
        <v>631.69425000000012</v>
      </c>
      <c r="D18" s="8">
        <f t="shared" si="0"/>
        <v>3.6014646697775002E-2</v>
      </c>
      <c r="E18" s="7"/>
      <c r="G18" s="1" t="s">
        <v>12</v>
      </c>
      <c r="H18" s="6">
        <f>'AEP 12CP'!B21</f>
        <v>631.69425000000012</v>
      </c>
      <c r="I18" s="8">
        <f t="shared" si="1"/>
        <v>3.6014646697775002E-2</v>
      </c>
      <c r="J18" s="7"/>
    </row>
    <row r="19" spans="2:17" ht="15.75">
      <c r="B19" s="1" t="s">
        <v>13</v>
      </c>
      <c r="C19" s="6">
        <f>'AEP 12CP'!B22</f>
        <v>297.92908333333332</v>
      </c>
      <c r="D19" s="8">
        <f t="shared" si="0"/>
        <v>1.6985765941738371E-2</v>
      </c>
      <c r="E19" s="7"/>
      <c r="G19" s="1" t="s">
        <v>13</v>
      </c>
      <c r="H19" s="6">
        <f>'AEP 12CP'!B22</f>
        <v>297.92908333333332</v>
      </c>
      <c r="I19" s="8">
        <f t="shared" si="1"/>
        <v>1.6985765941738371E-2</v>
      </c>
      <c r="J19" s="7"/>
    </row>
    <row r="20" spans="2:17" ht="15.75">
      <c r="B20" s="1" t="s">
        <v>14</v>
      </c>
      <c r="C20" s="6">
        <f>SUM(C14:C19)</f>
        <v>17539.926333333333</v>
      </c>
      <c r="D20" s="8">
        <v>0.99999999999999989</v>
      </c>
      <c r="E20" s="7"/>
      <c r="G20" s="1" t="s">
        <v>14</v>
      </c>
      <c r="H20" s="6">
        <f>SUM(H14:H19)</f>
        <v>17539.926333333333</v>
      </c>
      <c r="I20" s="8">
        <v>0.99999999999999989</v>
      </c>
      <c r="J20" s="7"/>
    </row>
    <row r="21" spans="2:17" ht="15.75">
      <c r="B21" s="361"/>
      <c r="E21" s="7"/>
      <c r="G21" s="361"/>
      <c r="J21" s="7"/>
    </row>
    <row r="22" spans="2:17" ht="15.75">
      <c r="B22" s="9" t="s">
        <v>30</v>
      </c>
      <c r="C22" s="13"/>
      <c r="D22" s="13"/>
      <c r="E22" s="7"/>
      <c r="G22" s="9" t="s">
        <v>30</v>
      </c>
      <c r="H22" s="13"/>
      <c r="I22" s="13"/>
      <c r="J22" s="7"/>
    </row>
    <row r="23" spans="2:17" ht="15.75">
      <c r="B23" s="1" t="s">
        <v>15</v>
      </c>
      <c r="C23" s="10">
        <f>+'Zonal Rates'!I46</f>
        <v>1252733679.6804433</v>
      </c>
      <c r="D23" s="13" t="s">
        <v>361</v>
      </c>
      <c r="E23" s="7"/>
      <c r="G23" s="1" t="s">
        <v>15</v>
      </c>
      <c r="H23" s="10">
        <f>C23</f>
        <v>1252733679.6804433</v>
      </c>
      <c r="I23" s="13"/>
      <c r="J23" s="7"/>
    </row>
    <row r="24" spans="2:17" ht="15.75">
      <c r="B24" s="1" t="s">
        <v>17</v>
      </c>
      <c r="C24" s="10">
        <f>+'TransCo PJM Zonal Rates'!I44</f>
        <v>1650145419.0534956</v>
      </c>
      <c r="D24" s="13" t="s">
        <v>16</v>
      </c>
      <c r="E24" s="7"/>
      <c r="G24" s="1" t="s">
        <v>17</v>
      </c>
      <c r="H24" s="10">
        <f>C24</f>
        <v>1650145419.0534956</v>
      </c>
      <c r="I24" s="13"/>
      <c r="J24" s="7"/>
    </row>
    <row r="25" spans="2:17" ht="15.75">
      <c r="B25" s="1" t="s">
        <v>18</v>
      </c>
      <c r="C25" s="10">
        <f>+'AMPT RR'!K33</f>
        <v>3021458.577858801</v>
      </c>
      <c r="D25" s="13" t="s">
        <v>16</v>
      </c>
      <c r="E25" s="7"/>
      <c r="G25" s="1" t="s">
        <v>18</v>
      </c>
      <c r="H25" s="10">
        <f>C25</f>
        <v>3021458.577858801</v>
      </c>
      <c r="I25" s="13"/>
      <c r="J25" s="7"/>
    </row>
    <row r="26" spans="2:17" ht="15.75">
      <c r="B26" s="9" t="s">
        <v>19</v>
      </c>
      <c r="C26" s="267">
        <f>+'Actual RTEP Expense for 2025'!O28</f>
        <v>169270118.12956592</v>
      </c>
      <c r="D26" s="268" t="s">
        <v>355</v>
      </c>
      <c r="E26" s="7"/>
      <c r="G26" s="9" t="s">
        <v>19</v>
      </c>
      <c r="H26" s="10">
        <f>C26</f>
        <v>169270118.12956592</v>
      </c>
      <c r="I26" s="268"/>
      <c r="J26" s="7"/>
    </row>
    <row r="27" spans="2:17" ht="16.5" thickBot="1">
      <c r="B27" s="1" t="s">
        <v>20</v>
      </c>
      <c r="C27" s="14">
        <f>SUM(C23:C26)</f>
        <v>3075170675.4413638</v>
      </c>
      <c r="D27" s="13"/>
      <c r="E27" s="7"/>
      <c r="G27" s="1" t="s">
        <v>20</v>
      </c>
      <c r="H27" s="269">
        <f>SUM(H23:H26)+(49700000*0.1535)</f>
        <v>3082799625.4413638</v>
      </c>
      <c r="I27" s="13"/>
      <c r="J27" s="7"/>
      <c r="K27" s="367" t="s">
        <v>365</v>
      </c>
      <c r="M27" s="13"/>
      <c r="N27" s="275"/>
      <c r="Q27" s="362"/>
    </row>
    <row r="28" spans="2:17" ht="15.75">
      <c r="B28" s="1"/>
      <c r="C28" s="12"/>
      <c r="D28" s="12"/>
      <c r="E28" s="363"/>
      <c r="G28" s="1"/>
      <c r="H28" s="12"/>
      <c r="I28" s="12"/>
      <c r="J28" s="363"/>
      <c r="K28" s="367"/>
      <c r="M28" s="368" t="s">
        <v>363</v>
      </c>
      <c r="N28" s="369"/>
    </row>
    <row r="29" spans="2:17" ht="15.75">
      <c r="B29" s="1" t="s">
        <v>21</v>
      </c>
      <c r="C29" s="15">
        <f>+D6</f>
        <v>0.85845057800878222</v>
      </c>
      <c r="D29" s="15"/>
      <c r="E29" s="363"/>
      <c r="G29" s="1" t="s">
        <v>21</v>
      </c>
      <c r="H29" s="15">
        <f>+I6</f>
        <v>0.85845057800878222</v>
      </c>
      <c r="I29" s="15"/>
      <c r="J29" s="363"/>
      <c r="M29" s="1"/>
      <c r="N29" s="7"/>
    </row>
    <row r="30" spans="2:17" ht="15.75">
      <c r="B30" s="1" t="s">
        <v>22</v>
      </c>
      <c r="C30" s="10">
        <f>C27*C29</f>
        <v>2639882043.8082962</v>
      </c>
      <c r="D30" s="14"/>
      <c r="E30" s="363"/>
      <c r="G30" s="1" t="s">
        <v>22</v>
      </c>
      <c r="H30" s="10">
        <f>H27*H29</f>
        <v>2646431120.345396</v>
      </c>
      <c r="I30" s="271"/>
      <c r="J30" s="363"/>
      <c r="M30" s="1" t="s">
        <v>22</v>
      </c>
      <c r="N30" s="273">
        <f>H30-C30</f>
        <v>6549076.5370998383</v>
      </c>
    </row>
    <row r="31" spans="2:17" ht="15.75">
      <c r="B31" s="1"/>
      <c r="C31" s="10"/>
      <c r="D31" s="14"/>
      <c r="E31" s="363"/>
      <c r="G31" s="1"/>
      <c r="H31" s="10"/>
      <c r="I31" s="271"/>
      <c r="J31" s="363"/>
      <c r="M31" s="1"/>
      <c r="N31" s="7"/>
    </row>
    <row r="32" spans="2:17" ht="15.75">
      <c r="B32" s="1" t="s">
        <v>356</v>
      </c>
      <c r="C32" s="15">
        <f>D7</f>
        <v>0.14154942199121784</v>
      </c>
      <c r="D32" s="14"/>
      <c r="E32" s="363"/>
      <c r="G32" s="1" t="s">
        <v>356</v>
      </c>
      <c r="H32" s="15">
        <f>I7</f>
        <v>0.14154942199121784</v>
      </c>
      <c r="I32" s="271"/>
      <c r="J32" s="363"/>
      <c r="M32" s="1"/>
      <c r="N32" s="7"/>
    </row>
    <row r="33" spans="2:15" ht="15.75">
      <c r="B33" s="1" t="s">
        <v>356</v>
      </c>
      <c r="C33" s="270">
        <f>C32*C27</f>
        <v>435288631.63306803</v>
      </c>
      <c r="D33" s="13"/>
      <c r="E33" s="363"/>
      <c r="G33" s="1" t="s">
        <v>356</v>
      </c>
      <c r="H33" s="270">
        <f>H32*H27</f>
        <v>436368505.09596789</v>
      </c>
      <c r="I33" s="271"/>
      <c r="J33" s="363"/>
      <c r="M33" s="1" t="s">
        <v>356</v>
      </c>
      <c r="N33" s="273">
        <f>H33-C33</f>
        <v>1079873.4628998637</v>
      </c>
    </row>
    <row r="34" spans="2:15" ht="15.75">
      <c r="B34" s="1"/>
      <c r="C34" s="15"/>
      <c r="D34" s="16"/>
      <c r="E34" s="363"/>
      <c r="G34" s="1"/>
      <c r="H34" s="15"/>
      <c r="I34" s="271"/>
      <c r="J34" s="363"/>
      <c r="M34" s="1"/>
      <c r="N34" s="7"/>
    </row>
    <row r="35" spans="2:15" ht="15.75">
      <c r="B35" s="1" t="s">
        <v>23</v>
      </c>
      <c r="C35" s="10">
        <f t="shared" ref="C35:C40" si="2">$C$30*D14</f>
        <v>692537081.97933161</v>
      </c>
      <c r="D35" s="14"/>
      <c r="E35" s="363"/>
      <c r="G35" s="1" t="s">
        <v>23</v>
      </c>
      <c r="H35" s="10">
        <f>$H$30*I14</f>
        <v>694255142.96819293</v>
      </c>
      <c r="I35" s="271"/>
      <c r="J35" s="363"/>
      <c r="M35" s="1" t="s">
        <v>23</v>
      </c>
      <c r="N35" s="273">
        <f>H35-C35</f>
        <v>1718060.9888613224</v>
      </c>
    </row>
    <row r="36" spans="2:15" ht="15.75">
      <c r="B36" s="1" t="s">
        <v>24</v>
      </c>
      <c r="C36" s="10">
        <f t="shared" si="2"/>
        <v>1226904982.0559874</v>
      </c>
      <c r="D36" s="14"/>
      <c r="E36" s="363"/>
      <c r="G36" s="1" t="s">
        <v>24</v>
      </c>
      <c r="H36" s="10">
        <f t="shared" ref="H36:H40" si="3">$H$30*I15</f>
        <v>1229948714.5023212</v>
      </c>
      <c r="I36" s="271"/>
      <c r="J36" s="363"/>
      <c r="M36" s="1" t="s">
        <v>24</v>
      </c>
      <c r="N36" s="273">
        <f t="shared" ref="N36:N40" si="4">H36-C36</f>
        <v>3043732.4463338852</v>
      </c>
    </row>
    <row r="37" spans="2:15" ht="15.75">
      <c r="B37" s="1" t="s">
        <v>25</v>
      </c>
      <c r="C37" s="10">
        <f t="shared" si="2"/>
        <v>444608724.15288389</v>
      </c>
      <c r="D37" s="14"/>
      <c r="E37" s="363"/>
      <c r="G37" s="1" t="s">
        <v>25</v>
      </c>
      <c r="H37" s="10">
        <f t="shared" si="3"/>
        <v>445711719.10312003</v>
      </c>
      <c r="I37" s="271"/>
      <c r="J37" s="363"/>
      <c r="M37" s="1" t="s">
        <v>25</v>
      </c>
      <c r="N37" s="273">
        <f t="shared" si="4"/>
        <v>1102994.9502361417</v>
      </c>
    </row>
    <row r="38" spans="2:15" ht="15.75">
      <c r="B38" s="1" t="s">
        <v>26</v>
      </c>
      <c r="C38" s="10">
        <f t="shared" si="2"/>
        <v>135916417.97861156</v>
      </c>
      <c r="D38" s="14"/>
      <c r="E38" s="363"/>
      <c r="G38" s="1" t="s">
        <v>26</v>
      </c>
      <c r="H38" s="10">
        <f t="shared" si="3"/>
        <v>136253602.37140596</v>
      </c>
      <c r="I38" s="271"/>
      <c r="J38" s="363"/>
      <c r="M38" s="407" t="s">
        <v>26</v>
      </c>
      <c r="N38" s="408">
        <f>H38-C38</f>
        <v>337184.39279440045</v>
      </c>
    </row>
    <row r="39" spans="2:15" ht="15.75">
      <c r="B39" s="1" t="s">
        <v>27</v>
      </c>
      <c r="C39" s="10">
        <f t="shared" si="2"/>
        <v>95074419.131555974</v>
      </c>
      <c r="D39" s="14"/>
      <c r="E39" s="363"/>
      <c r="G39" s="1" t="s">
        <v>27</v>
      </c>
      <c r="H39" s="10">
        <f t="shared" si="3"/>
        <v>95310281.809236318</v>
      </c>
      <c r="I39" s="271"/>
      <c r="J39" s="363"/>
      <c r="M39" s="1" t="s">
        <v>27</v>
      </c>
      <c r="N39" s="273">
        <f t="shared" si="4"/>
        <v>235862.67768034339</v>
      </c>
    </row>
    <row r="40" spans="2:15" ht="16.5" thickBot="1">
      <c r="B40" s="1" t="s">
        <v>28</v>
      </c>
      <c r="C40" s="10">
        <f t="shared" si="2"/>
        <v>44840418.509925641</v>
      </c>
      <c r="D40" s="14"/>
      <c r="E40" s="363"/>
      <c r="G40" s="1" t="s">
        <v>28</v>
      </c>
      <c r="H40" s="10">
        <f t="shared" si="3"/>
        <v>44951659.591119349</v>
      </c>
      <c r="I40" s="271"/>
      <c r="J40" s="363"/>
      <c r="M40" s="11" t="s">
        <v>28</v>
      </c>
      <c r="N40" s="274">
        <f t="shared" si="4"/>
        <v>111241.08119370788</v>
      </c>
      <c r="O40" s="272" t="s">
        <v>364</v>
      </c>
    </row>
    <row r="41" spans="2:15" ht="15.75">
      <c r="B41" s="9"/>
      <c r="C41" s="6"/>
      <c r="D41" s="13"/>
      <c r="E41" s="363"/>
      <c r="G41" s="9"/>
      <c r="H41" s="6"/>
      <c r="I41" s="271"/>
      <c r="J41" s="363"/>
      <c r="M41" s="276" t="s">
        <v>362</v>
      </c>
      <c r="N41" s="277">
        <f>SUM(N33:N40)</f>
        <v>7628949.9999996647</v>
      </c>
      <c r="O41" s="362">
        <f>(H27-C27)-N41</f>
        <v>3.3527612686157227E-7</v>
      </c>
    </row>
    <row r="42" spans="2:15" ht="15.75">
      <c r="B42" s="1" t="s">
        <v>29</v>
      </c>
      <c r="C42" s="14">
        <f>C30-SUM(C35:C40)</f>
        <v>0</v>
      </c>
      <c r="D42" s="13"/>
      <c r="E42" s="363"/>
      <c r="G42" s="1" t="s">
        <v>29</v>
      </c>
      <c r="H42" s="14">
        <f>H30-SUM(H35:H40)</f>
        <v>0</v>
      </c>
      <c r="I42" s="271"/>
      <c r="J42" s="363"/>
      <c r="M42" s="13"/>
      <c r="N42" s="13"/>
    </row>
    <row r="43" spans="2:15" ht="16.5" thickBot="1">
      <c r="B43" s="11"/>
      <c r="C43" s="364"/>
      <c r="D43" s="365"/>
      <c r="E43" s="366"/>
      <c r="G43" s="11"/>
      <c r="H43" s="364"/>
      <c r="I43" s="365"/>
      <c r="J43" s="366"/>
    </row>
    <row r="47" spans="2:15">
      <c r="B47" s="370" t="s">
        <v>358</v>
      </c>
      <c r="C47" s="370"/>
      <c r="D47" s="370"/>
      <c r="E47" s="370"/>
      <c r="F47" s="370"/>
      <c r="G47" s="370"/>
      <c r="H47" s="370"/>
      <c r="I47" s="370"/>
      <c r="J47" s="370"/>
    </row>
    <row r="48" spans="2:15">
      <c r="B48" s="370"/>
      <c r="C48" s="370"/>
      <c r="D48" s="370"/>
      <c r="E48" s="370"/>
      <c r="F48" s="370"/>
      <c r="G48" s="370"/>
      <c r="H48" s="370"/>
      <c r="I48" s="370"/>
      <c r="J48" s="370"/>
    </row>
  </sheetData>
  <mergeCells count="13">
    <mergeCell ref="B2:E2"/>
    <mergeCell ref="G3:J3"/>
    <mergeCell ref="H4:I4"/>
    <mergeCell ref="G10:J10"/>
    <mergeCell ref="H12:I12"/>
    <mergeCell ref="G2:J2"/>
    <mergeCell ref="K27:K28"/>
    <mergeCell ref="M28:N28"/>
    <mergeCell ref="B47:J48"/>
    <mergeCell ref="B3:E3"/>
    <mergeCell ref="C4:D4"/>
    <mergeCell ref="C12:D12"/>
    <mergeCell ref="B10:E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1200E-5BBF-4DF4-9E9E-299016ECCA50}">
  <dimension ref="A1:AB23"/>
  <sheetViews>
    <sheetView zoomScaleNormal="100" workbookViewId="0">
      <selection activeCell="B11" sqref="B11"/>
    </sheetView>
  </sheetViews>
  <sheetFormatPr defaultRowHeight="12.75"/>
  <cols>
    <col min="1" max="1" width="32.28515625" style="337" bestFit="1" customWidth="1"/>
    <col min="2" max="2" width="9.5703125" style="337" bestFit="1" customWidth="1"/>
    <col min="3" max="3" width="9.28515625" style="337" customWidth="1"/>
    <col min="4" max="5" width="9.5703125" style="337" bestFit="1" customWidth="1"/>
    <col min="6" max="6" width="10.5703125" style="337" bestFit="1" customWidth="1"/>
    <col min="7" max="13" width="9.5703125" style="337" bestFit="1" customWidth="1"/>
    <col min="14" max="14" width="12" style="337" bestFit="1" customWidth="1"/>
    <col min="15" max="16384" width="9.140625" style="337"/>
  </cols>
  <sheetData>
    <row r="1" spans="1:28" ht="90" customHeight="1">
      <c r="A1" s="334" t="s">
        <v>32</v>
      </c>
      <c r="B1" s="335" t="s">
        <v>33</v>
      </c>
      <c r="C1" s="336" t="s">
        <v>34</v>
      </c>
      <c r="D1" s="336" t="s">
        <v>35</v>
      </c>
      <c r="E1" s="336" t="s">
        <v>36</v>
      </c>
      <c r="F1" s="336" t="s">
        <v>37</v>
      </c>
      <c r="G1" s="336" t="s">
        <v>38</v>
      </c>
      <c r="H1" s="336" t="s">
        <v>39</v>
      </c>
      <c r="I1" s="336" t="s">
        <v>40</v>
      </c>
      <c r="J1" s="336" t="s">
        <v>41</v>
      </c>
      <c r="K1" s="336" t="s">
        <v>42</v>
      </c>
      <c r="L1" s="336" t="s">
        <v>43</v>
      </c>
      <c r="M1" s="336" t="s">
        <v>44</v>
      </c>
    </row>
    <row r="2" spans="1:28">
      <c r="A2" s="338" t="s">
        <v>8</v>
      </c>
      <c r="B2" s="339">
        <v>4164.6189999999997</v>
      </c>
      <c r="C2" s="339">
        <v>5590.5159999999996</v>
      </c>
      <c r="D2" s="339">
        <v>6632.165</v>
      </c>
      <c r="E2" s="339">
        <v>5515.5370000000003</v>
      </c>
      <c r="F2" s="339">
        <v>5003.37</v>
      </c>
      <c r="G2" s="339">
        <v>4085.9340000000002</v>
      </c>
      <c r="H2" s="339">
        <v>3532.509</v>
      </c>
      <c r="I2" s="339">
        <v>4713.5879999999997</v>
      </c>
      <c r="J2" s="339">
        <v>4418.7470000000003</v>
      </c>
      <c r="K2" s="339">
        <v>4387.97</v>
      </c>
      <c r="L2" s="339">
        <v>3774.4859999999999</v>
      </c>
      <c r="M2" s="339">
        <v>3396.8870000000002</v>
      </c>
    </row>
    <row r="3" spans="1:28">
      <c r="A3" s="340" t="s">
        <v>9</v>
      </c>
      <c r="B3" s="341">
        <v>6714.5060000000003</v>
      </c>
      <c r="C3" s="341">
        <v>7188.3869999999997</v>
      </c>
      <c r="D3" s="341">
        <v>8278.5810000000001</v>
      </c>
      <c r="E3" s="341">
        <v>7705.0929999999998</v>
      </c>
      <c r="F3" s="341">
        <v>7199.0249999999996</v>
      </c>
      <c r="G3" s="341">
        <v>6793.4989999999998</v>
      </c>
      <c r="H3" s="341">
        <v>7633.3249999999998</v>
      </c>
      <c r="I3" s="341">
        <v>9775.2160000000003</v>
      </c>
      <c r="J3" s="341">
        <v>9661.3340000000007</v>
      </c>
      <c r="K3" s="341">
        <v>10159.057000000001</v>
      </c>
      <c r="L3" s="341">
        <v>8802.4580000000005</v>
      </c>
      <c r="M3" s="341">
        <v>7911.2669999999998</v>
      </c>
    </row>
    <row r="4" spans="1:28">
      <c r="A4" s="340" t="s">
        <v>10</v>
      </c>
      <c r="B4" s="342">
        <v>2512.973</v>
      </c>
      <c r="C4" s="342">
        <v>2718.3249999999998</v>
      </c>
      <c r="D4" s="342">
        <v>3020.25</v>
      </c>
      <c r="E4" s="342">
        <v>2676.0410000000002</v>
      </c>
      <c r="F4" s="342">
        <v>2561.3470000000002</v>
      </c>
      <c r="G4" s="342">
        <v>2446.1219999999998</v>
      </c>
      <c r="H4" s="342">
        <v>2658.3270000000002</v>
      </c>
      <c r="I4" s="342">
        <v>3602.973</v>
      </c>
      <c r="J4" s="342">
        <v>3726.1860000000001</v>
      </c>
      <c r="K4" s="342">
        <v>3352.3339999999998</v>
      </c>
      <c r="L4" s="342">
        <v>3162.3180000000002</v>
      </c>
      <c r="M4" s="342">
        <v>3011.68</v>
      </c>
    </row>
    <row r="5" spans="1:28">
      <c r="A5" s="340" t="s">
        <v>11</v>
      </c>
      <c r="B5" s="341">
        <v>810.11199999999997</v>
      </c>
      <c r="C5" s="341">
        <v>1030.0809999999999</v>
      </c>
      <c r="D5" s="341">
        <v>1319.383</v>
      </c>
      <c r="E5" s="341">
        <v>1043.194</v>
      </c>
      <c r="F5" s="341">
        <v>972.34699999999998</v>
      </c>
      <c r="G5" s="341">
        <v>862.46100000000001</v>
      </c>
      <c r="H5" s="341">
        <v>757.79700000000003</v>
      </c>
      <c r="I5" s="341">
        <v>921.48299999999995</v>
      </c>
      <c r="J5" s="341">
        <v>906.56899999999996</v>
      </c>
      <c r="K5" s="341">
        <v>859.13800000000003</v>
      </c>
      <c r="L5" s="341">
        <v>711.76199999999994</v>
      </c>
      <c r="M5" s="341">
        <v>642.35699999999997</v>
      </c>
    </row>
    <row r="6" spans="1:28">
      <c r="A6" s="340" t="s">
        <v>12</v>
      </c>
      <c r="B6" s="341">
        <v>575.12099999999998</v>
      </c>
      <c r="C6" s="341">
        <v>619.53599999999994</v>
      </c>
      <c r="D6" s="341">
        <v>637.47</v>
      </c>
      <c r="E6" s="341">
        <v>643.52700000000004</v>
      </c>
      <c r="F6" s="341">
        <v>676.05399999999997</v>
      </c>
      <c r="G6" s="341">
        <v>607.94399999999996</v>
      </c>
      <c r="H6" s="341">
        <v>615.20600000000002</v>
      </c>
      <c r="I6" s="341">
        <v>632.77300000000002</v>
      </c>
      <c r="J6" s="341">
        <v>662.49</v>
      </c>
      <c r="K6" s="341">
        <v>631.43499999999995</v>
      </c>
      <c r="L6" s="341">
        <v>663.67200000000003</v>
      </c>
      <c r="M6" s="341">
        <v>615.10299999999995</v>
      </c>
    </row>
    <row r="7" spans="1:28">
      <c r="A7" s="343" t="s">
        <v>13</v>
      </c>
      <c r="B7" s="344">
        <v>239.76900000000001</v>
      </c>
      <c r="C7" s="344">
        <v>389.87299999999999</v>
      </c>
      <c r="D7" s="344">
        <v>468.791</v>
      </c>
      <c r="E7" s="344">
        <v>337.048</v>
      </c>
      <c r="F7" s="344">
        <v>308.51799999999997</v>
      </c>
      <c r="G7" s="344">
        <v>254.84800000000001</v>
      </c>
      <c r="H7" s="344">
        <v>240.291</v>
      </c>
      <c r="I7" s="344">
        <v>298.45299999999997</v>
      </c>
      <c r="J7" s="344">
        <v>273.01</v>
      </c>
      <c r="K7" s="344">
        <v>258.08800000000002</v>
      </c>
      <c r="L7" s="344">
        <v>262.58999999999997</v>
      </c>
      <c r="M7" s="344">
        <v>243.87</v>
      </c>
    </row>
    <row r="8" spans="1:28">
      <c r="A8" s="345" t="s">
        <v>45</v>
      </c>
      <c r="B8" s="346">
        <f>SUM(B2:B7)</f>
        <v>15017.099999999999</v>
      </c>
      <c r="C8" s="346">
        <f>SUM(C2:C7)</f>
        <v>17536.717999999997</v>
      </c>
      <c r="D8" s="346">
        <f>SUM(D2:D7)</f>
        <v>20356.640000000003</v>
      </c>
      <c r="E8" s="346">
        <f>SUM(E2:E7)</f>
        <v>17920.439999999999</v>
      </c>
      <c r="F8" s="346">
        <f>SUM(F2:F7)</f>
        <v>16720.661</v>
      </c>
      <c r="G8" s="346">
        <f t="shared" ref="G8:M8" si="0">SUM(G2:G7)</f>
        <v>15050.807999999999</v>
      </c>
      <c r="H8" s="346">
        <f t="shared" si="0"/>
        <v>15437.455</v>
      </c>
      <c r="I8" s="346">
        <f>SUM(I2:I7)</f>
        <v>19944.486000000004</v>
      </c>
      <c r="J8" s="346">
        <f t="shared" si="0"/>
        <v>19648.336000000003</v>
      </c>
      <c r="K8" s="346">
        <f t="shared" si="0"/>
        <v>19648.022000000001</v>
      </c>
      <c r="L8" s="346">
        <f t="shared" si="0"/>
        <v>17377.285999999996</v>
      </c>
      <c r="M8" s="346">
        <f t="shared" si="0"/>
        <v>15821.164000000001</v>
      </c>
    </row>
    <row r="11" spans="1:28">
      <c r="J11" s="347"/>
    </row>
    <row r="12" spans="1:28">
      <c r="Q12" s="347"/>
      <c r="R12" s="347"/>
      <c r="S12" s="347"/>
      <c r="T12" s="347"/>
      <c r="U12" s="347"/>
      <c r="V12" s="347"/>
      <c r="W12" s="347"/>
      <c r="X12" s="347"/>
      <c r="Y12" s="347"/>
      <c r="Z12" s="347"/>
      <c r="AA12" s="347"/>
      <c r="AB12" s="347"/>
    </row>
    <row r="13" spans="1:28">
      <c r="B13" s="347"/>
      <c r="C13" s="347"/>
      <c r="D13" s="347"/>
      <c r="E13" s="347"/>
      <c r="F13" s="347"/>
      <c r="G13" s="347"/>
      <c r="H13" s="347"/>
      <c r="I13" s="347"/>
      <c r="J13" s="347"/>
      <c r="K13" s="347"/>
      <c r="L13" s="347"/>
      <c r="M13" s="347"/>
    </row>
    <row r="14" spans="1:28">
      <c r="A14" s="348"/>
      <c r="B14" s="347"/>
      <c r="C14" s="347"/>
      <c r="D14" s="347"/>
      <c r="E14" s="347"/>
      <c r="F14" s="347"/>
      <c r="G14" s="347"/>
      <c r="H14" s="347"/>
      <c r="I14" s="347"/>
      <c r="J14" s="347"/>
      <c r="K14" s="347"/>
      <c r="L14" s="347"/>
      <c r="M14" s="347"/>
    </row>
    <row r="15" spans="1:28" ht="70.5" customHeight="1">
      <c r="A15" s="334" t="s">
        <v>46</v>
      </c>
      <c r="B15" s="336" t="s">
        <v>47</v>
      </c>
      <c r="C15" s="336" t="s">
        <v>48</v>
      </c>
      <c r="I15" s="349"/>
    </row>
    <row r="16" spans="1:28">
      <c r="A16" s="345" t="s">
        <v>45</v>
      </c>
      <c r="B16" s="346">
        <f>SUM(B8:M8)/12</f>
        <v>17539.926333333333</v>
      </c>
      <c r="C16" s="350"/>
    </row>
    <row r="17" spans="1:8" ht="15">
      <c r="A17" s="340" t="s">
        <v>8</v>
      </c>
      <c r="B17" s="339">
        <f t="shared" ref="B17:B22" si="1">AVERAGE(B2:M2)</f>
        <v>4601.3606666666665</v>
      </c>
      <c r="C17" s="351">
        <f t="shared" ref="C17:C22" si="2">B17/$B$16</f>
        <v>0.26233637355261413</v>
      </c>
      <c r="D17" s="352"/>
      <c r="E17" s="353"/>
      <c r="G17" s="354"/>
      <c r="H17" s="355"/>
    </row>
    <row r="18" spans="1:8" ht="15">
      <c r="A18" s="340" t="s">
        <v>9</v>
      </c>
      <c r="B18" s="341">
        <f t="shared" si="1"/>
        <v>8151.8123333333324</v>
      </c>
      <c r="C18" s="351">
        <f t="shared" si="2"/>
        <v>0.46475750116700409</v>
      </c>
      <c r="D18" s="352"/>
      <c r="E18" s="353"/>
      <c r="G18" s="354"/>
      <c r="H18" s="355"/>
    </row>
    <row r="19" spans="1:8" ht="15">
      <c r="A19" s="340" t="s">
        <v>10</v>
      </c>
      <c r="B19" s="341">
        <f t="shared" si="1"/>
        <v>2954.0729999999999</v>
      </c>
      <c r="C19" s="351">
        <f t="shared" si="2"/>
        <v>0.16841992057777361</v>
      </c>
      <c r="D19" s="352"/>
      <c r="E19" s="353"/>
      <c r="G19" s="354"/>
      <c r="H19" s="355"/>
    </row>
    <row r="20" spans="1:8" ht="15">
      <c r="A20" s="340" t="s">
        <v>11</v>
      </c>
      <c r="B20" s="341">
        <f t="shared" si="1"/>
        <v>903.05700000000013</v>
      </c>
      <c r="C20" s="351">
        <f t="shared" si="2"/>
        <v>5.1485792063094761E-2</v>
      </c>
      <c r="D20" s="352"/>
      <c r="E20" s="353"/>
      <c r="G20" s="354"/>
      <c r="H20" s="355"/>
    </row>
    <row r="21" spans="1:8" ht="15">
      <c r="A21" s="340" t="s">
        <v>12</v>
      </c>
      <c r="B21" s="341">
        <f t="shared" si="1"/>
        <v>631.69425000000012</v>
      </c>
      <c r="C21" s="351">
        <f t="shared" si="2"/>
        <v>3.6014646697775002E-2</v>
      </c>
      <c r="D21" s="352"/>
      <c r="E21" s="353"/>
      <c r="G21" s="354"/>
      <c r="H21" s="355"/>
    </row>
    <row r="22" spans="1:8" ht="15">
      <c r="A22" s="343" t="s">
        <v>13</v>
      </c>
      <c r="B22" s="344">
        <f t="shared" si="1"/>
        <v>297.92908333333332</v>
      </c>
      <c r="C22" s="356">
        <f t="shared" si="2"/>
        <v>1.6985765941738371E-2</v>
      </c>
      <c r="D22" s="352"/>
      <c r="E22" s="353"/>
      <c r="G22" s="354"/>
      <c r="H22" s="355"/>
    </row>
    <row r="23" spans="1:8" ht="15">
      <c r="A23" s="357" t="s">
        <v>14</v>
      </c>
      <c r="B23" s="358">
        <f>SUM(B17:B22)</f>
        <v>17539.926333333333</v>
      </c>
      <c r="C23" s="359">
        <f>SUM(C17:C22)</f>
        <v>1</v>
      </c>
      <c r="E23" s="353"/>
      <c r="G23" s="354"/>
      <c r="H23" s="355"/>
    </row>
  </sheetData>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3648-15C8-4151-894F-A0978CCAB09A}">
  <dimension ref="B2:J24"/>
  <sheetViews>
    <sheetView showGridLines="0" workbookViewId="0">
      <selection activeCell="B23" sqref="B23"/>
    </sheetView>
  </sheetViews>
  <sheetFormatPr defaultRowHeight="12.75"/>
  <cols>
    <col min="1" max="1" width="9.140625" style="317"/>
    <col min="2" max="2" width="13.28515625" style="317" customWidth="1"/>
    <col min="3" max="3" width="12.5703125" style="317" bestFit="1" customWidth="1"/>
    <col min="4" max="4" width="14" style="317" customWidth="1"/>
    <col min="5" max="5" width="15.7109375" style="317" customWidth="1"/>
    <col min="6" max="6" width="15.42578125" style="317" bestFit="1" customWidth="1"/>
    <col min="7" max="7" width="15.7109375" style="317" customWidth="1"/>
    <col min="8" max="8" width="16.42578125" style="317" customWidth="1"/>
    <col min="9" max="9" width="12.42578125" style="317" customWidth="1"/>
    <col min="10" max="10" width="14.42578125" style="317" customWidth="1"/>
    <col min="11" max="16384" width="9.140625" style="317"/>
  </cols>
  <sheetData>
    <row r="2" spans="2:10" ht="14.25" customHeight="1">
      <c r="F2" s="380" t="s">
        <v>491</v>
      </c>
      <c r="G2" s="381"/>
      <c r="H2" s="382"/>
    </row>
    <row r="3" spans="2:10" s="318" customFormat="1" ht="46.5" customHeight="1">
      <c r="B3" s="319" t="s">
        <v>382</v>
      </c>
      <c r="C3" s="319" t="s">
        <v>485</v>
      </c>
      <c r="D3" s="319" t="s">
        <v>487</v>
      </c>
      <c r="E3" s="319" t="s">
        <v>482</v>
      </c>
      <c r="F3" s="320" t="s">
        <v>488</v>
      </c>
      <c r="G3" s="321" t="s">
        <v>489</v>
      </c>
      <c r="H3" s="322" t="s">
        <v>490</v>
      </c>
      <c r="I3" s="319" t="s">
        <v>483</v>
      </c>
      <c r="J3" s="319" t="s">
        <v>484</v>
      </c>
    </row>
    <row r="4" spans="2:10">
      <c r="B4" s="316" t="s">
        <v>366</v>
      </c>
      <c r="C4" s="323">
        <v>463260.37140410999</v>
      </c>
      <c r="D4" s="324">
        <f>C4/$C$21</f>
        <v>0.49034291711412858</v>
      </c>
      <c r="E4" s="325">
        <f t="shared" ref="E4:E20" si="0">D4*$C$23</f>
        <v>165335.97876816249</v>
      </c>
      <c r="F4" s="325">
        <f>'03,KY'!F20</f>
        <v>314668763.46999997</v>
      </c>
      <c r="G4" s="326">
        <f>'03,KY'!G20</f>
        <v>1850260469</v>
      </c>
      <c r="H4" s="326">
        <f>'03,KY'!J20</f>
        <v>129831.33333333333</v>
      </c>
      <c r="I4" s="327">
        <f>E4/F4</f>
        <v>5.2542863468532793E-4</v>
      </c>
      <c r="J4" s="328">
        <f>(E4/G4)*1000</f>
        <v>8.9358218228334466E-2</v>
      </c>
    </row>
    <row r="5" spans="2:10">
      <c r="B5" s="316" t="s">
        <v>367</v>
      </c>
      <c r="C5" s="323">
        <v>117186.86062666691</v>
      </c>
      <c r="D5" s="324">
        <f t="shared" ref="D5:D20" si="1">C5/$C$21</f>
        <v>0.12403769161813713</v>
      </c>
      <c r="E5" s="325">
        <f t="shared" si="0"/>
        <v>41823.573731880664</v>
      </c>
      <c r="F5" s="325">
        <f>'03,KY'!F60</f>
        <v>113147598.19</v>
      </c>
      <c r="G5" s="326">
        <f>'03,KY'!G60</f>
        <v>604917637</v>
      </c>
      <c r="H5" s="326">
        <f>'03,KY'!J60</f>
        <v>30820.083333333303</v>
      </c>
      <c r="I5" s="327">
        <f t="shared" ref="I5:I20" si="2">E5/F5</f>
        <v>3.6963730915126961E-4</v>
      </c>
      <c r="J5" s="328">
        <f t="shared" ref="J5:J20" si="3">(F5/H5/12)*I5</f>
        <v>0.11308528186945392</v>
      </c>
    </row>
    <row r="6" spans="2:10">
      <c r="B6" s="316" t="s">
        <v>368</v>
      </c>
      <c r="C6" s="323">
        <v>1370.0926453154623</v>
      </c>
      <c r="D6" s="324">
        <f t="shared" si="1"/>
        <v>1.4501892799169754E-3</v>
      </c>
      <c r="E6" s="325">
        <f t="shared" si="0"/>
        <v>488.98119178575416</v>
      </c>
      <c r="F6" s="325">
        <f>'03,KY'!F61</f>
        <v>1155149.28</v>
      </c>
      <c r="G6" s="326">
        <f>'03,KY'!G61</f>
        <v>6907917</v>
      </c>
      <c r="H6" s="326">
        <f>'03,KY'!J61</f>
        <v>68.416666666666003</v>
      </c>
      <c r="I6" s="327">
        <f t="shared" si="2"/>
        <v>4.2330562833035239E-4</v>
      </c>
      <c r="J6" s="328">
        <f t="shared" si="3"/>
        <v>0.59559219462333612</v>
      </c>
    </row>
    <row r="7" spans="2:10">
      <c r="B7" s="316" t="s">
        <v>369</v>
      </c>
      <c r="C7" s="323">
        <v>33.752927111266708</v>
      </c>
      <c r="D7" s="324">
        <f t="shared" si="1"/>
        <v>3.5726148322844088E-5</v>
      </c>
      <c r="E7" s="325">
        <f t="shared" si="0"/>
        <v>12.046299629120872</v>
      </c>
      <c r="F7" s="325">
        <f>'03,KY'!F62</f>
        <v>41415.85</v>
      </c>
      <c r="G7" s="326">
        <f>'03,KY'!G62</f>
        <v>138114</v>
      </c>
      <c r="H7" s="326">
        <f>'03,KY'!J62</f>
        <v>3.833333333333</v>
      </c>
      <c r="I7" s="327">
        <f t="shared" si="2"/>
        <v>2.9086206438165275E-4</v>
      </c>
      <c r="J7" s="328">
        <f t="shared" si="3"/>
        <v>0.26187607889395481</v>
      </c>
    </row>
    <row r="8" spans="2:10">
      <c r="B8" s="316" t="s">
        <v>370</v>
      </c>
      <c r="C8" s="323">
        <v>49032.452731524718</v>
      </c>
      <c r="D8" s="324">
        <f t="shared" si="1"/>
        <v>5.189892636999071E-2</v>
      </c>
      <c r="E8" s="325">
        <f t="shared" si="0"/>
        <v>17499.507974746615</v>
      </c>
      <c r="F8" s="325">
        <f>'03,KY'!F71</f>
        <v>44971468.719999999</v>
      </c>
      <c r="G8" s="326">
        <f>'03,KY'!G71</f>
        <v>292037957</v>
      </c>
      <c r="H8" s="326">
        <f>'03,KY'!J71</f>
        <v>359.5</v>
      </c>
      <c r="I8" s="327">
        <f t="shared" si="2"/>
        <v>3.8912467110428442E-4</v>
      </c>
      <c r="J8" s="328">
        <f t="shared" si="3"/>
        <v>4.0564459839468281</v>
      </c>
    </row>
    <row r="9" spans="2:10">
      <c r="B9" s="316" t="s">
        <v>371</v>
      </c>
      <c r="C9" s="323">
        <v>13964.201831856233</v>
      </c>
      <c r="D9" s="324">
        <f t="shared" si="1"/>
        <v>1.4780559452234847E-2</v>
      </c>
      <c r="E9" s="325">
        <f t="shared" si="0"/>
        <v>4983.7739640633436</v>
      </c>
      <c r="F9" s="325">
        <f>'03,KY'!F73</f>
        <v>10829989.009999998</v>
      </c>
      <c r="G9" s="326">
        <f>'03,KY'!G73</f>
        <v>74896030</v>
      </c>
      <c r="H9" s="326">
        <f>'03,KY'!J73</f>
        <v>58.916666666666003</v>
      </c>
      <c r="I9" s="327">
        <f t="shared" si="2"/>
        <v>4.6018273513126533E-4</v>
      </c>
      <c r="J9" s="328">
        <f t="shared" si="3"/>
        <v>7.0491852391278629</v>
      </c>
    </row>
    <row r="10" spans="2:10">
      <c r="B10" s="316" t="s">
        <v>372</v>
      </c>
      <c r="C10" s="323">
        <v>1105.0639150130628</v>
      </c>
      <c r="D10" s="324">
        <f t="shared" si="1"/>
        <v>1.1696667730130333E-3</v>
      </c>
      <c r="E10" s="325">
        <f t="shared" si="0"/>
        <v>394.39338063018545</v>
      </c>
      <c r="F10" s="325">
        <f>'03,KY'!F67</f>
        <v>754718.01</v>
      </c>
      <c r="G10" s="326">
        <f>'03,KY'!G67</f>
        <v>6982268</v>
      </c>
      <c r="H10" s="326">
        <f>'03,KY'!J67</f>
        <v>7</v>
      </c>
      <c r="I10" s="327">
        <f t="shared" si="2"/>
        <v>5.2257051694073846E-4</v>
      </c>
      <c r="J10" s="328">
        <f t="shared" si="3"/>
        <v>4.6951592932164932</v>
      </c>
    </row>
    <row r="11" spans="2:10">
      <c r="B11" s="316" t="s">
        <v>373</v>
      </c>
      <c r="C11" s="323">
        <v>233.25950781334311</v>
      </c>
      <c r="D11" s="324">
        <f t="shared" si="1"/>
        <v>2.4689603205025143E-4</v>
      </c>
      <c r="E11" s="325">
        <f t="shared" si="0"/>
        <v>83.249488650210864</v>
      </c>
      <c r="F11" s="325">
        <f>'03,KY'!F68</f>
        <v>141602.37</v>
      </c>
      <c r="G11" s="326">
        <f>'03,KY'!G68</f>
        <v>1157508</v>
      </c>
      <c r="H11" s="326">
        <f>'03,KY'!J68</f>
        <v>1</v>
      </c>
      <c r="I11" s="327">
        <f t="shared" si="2"/>
        <v>5.8791027756252144E-4</v>
      </c>
      <c r="J11" s="328">
        <f t="shared" si="3"/>
        <v>6.937457387517572</v>
      </c>
    </row>
    <row r="12" spans="2:10">
      <c r="B12" s="316" t="s">
        <v>374</v>
      </c>
      <c r="C12" s="323">
        <v>13308.741150201182</v>
      </c>
      <c r="D12" s="324">
        <f t="shared" si="1"/>
        <v>1.4086780051846657E-2</v>
      </c>
      <c r="E12" s="325">
        <f t="shared" si="0"/>
        <v>4749.8423782101881</v>
      </c>
      <c r="F12" s="325">
        <f>'03,KY'!F74</f>
        <v>13766197.15</v>
      </c>
      <c r="G12" s="326">
        <f>'03,KY'!G74</f>
        <v>81165370</v>
      </c>
      <c r="H12" s="326">
        <f>'03,KY'!J75</f>
        <v>1</v>
      </c>
      <c r="I12" s="327">
        <f t="shared" si="2"/>
        <v>3.4503663767521939E-4</v>
      </c>
      <c r="J12" s="328">
        <f t="shared" si="3"/>
        <v>395.82019818418235</v>
      </c>
    </row>
    <row r="13" spans="2:10">
      <c r="B13" s="316" t="s">
        <v>375</v>
      </c>
      <c r="C13" s="323">
        <v>321.27787684068511</v>
      </c>
      <c r="D13" s="324">
        <f t="shared" si="1"/>
        <v>3.400600203656825E-4</v>
      </c>
      <c r="E13" s="325">
        <f t="shared" si="0"/>
        <v>114.66293148065411</v>
      </c>
      <c r="F13" s="325">
        <f>'03,KY'!F75</f>
        <v>284496.83</v>
      </c>
      <c r="G13" s="326">
        <f>'03,KY'!G75</f>
        <v>1989264</v>
      </c>
      <c r="H13" s="326">
        <f>'03,KY'!J76</f>
        <v>1.833333333333</v>
      </c>
      <c r="I13" s="327">
        <f t="shared" si="2"/>
        <v>4.030376418628429E-4</v>
      </c>
      <c r="J13" s="328">
        <f t="shared" si="3"/>
        <v>5.211951430939771</v>
      </c>
    </row>
    <row r="14" spans="2:10">
      <c r="B14" s="316" t="s">
        <v>376</v>
      </c>
      <c r="C14" s="323">
        <v>2945.3943168610617</v>
      </c>
      <c r="D14" s="324">
        <f t="shared" si="1"/>
        <v>3.1175842582943105E-3</v>
      </c>
      <c r="E14" s="325">
        <f t="shared" si="0"/>
        <v>1051.2007551183483</v>
      </c>
      <c r="F14" s="325">
        <f>'03,KY'!F81</f>
        <v>2602120.9</v>
      </c>
      <c r="G14" s="326">
        <f>'03,KY'!G81</f>
        <v>22864609</v>
      </c>
      <c r="H14" s="326">
        <f>'03,KY'!J81</f>
        <v>6</v>
      </c>
      <c r="I14" s="327">
        <f t="shared" si="2"/>
        <v>4.0397844509006034E-4</v>
      </c>
      <c r="J14" s="328">
        <f t="shared" si="3"/>
        <v>14.600010487754837</v>
      </c>
    </row>
    <row r="15" spans="2:10">
      <c r="B15" s="316" t="s">
        <v>377</v>
      </c>
      <c r="C15" s="323">
        <v>32109.965235431464</v>
      </c>
      <c r="D15" s="324">
        <f t="shared" si="1"/>
        <v>3.3987137674334283E-2</v>
      </c>
      <c r="E15" s="325">
        <f t="shared" si="0"/>
        <v>11459.932379540098</v>
      </c>
      <c r="F15" s="325">
        <f>'03,KY'!F83</f>
        <v>28234819.010000002</v>
      </c>
      <c r="G15" s="326">
        <f>'03,KY'!G83</f>
        <v>237802061</v>
      </c>
      <c r="H15" s="326">
        <f>'03,KY'!J83</f>
        <v>33.499999999998998</v>
      </c>
      <c r="I15" s="327">
        <f t="shared" si="2"/>
        <v>4.0587943473203433E-4</v>
      </c>
      <c r="J15" s="328">
        <f t="shared" si="3"/>
        <v>28.507294476468754</v>
      </c>
    </row>
    <row r="16" spans="2:10">
      <c r="B16" s="316" t="s">
        <v>378</v>
      </c>
      <c r="C16" s="323">
        <v>214450.83752240264</v>
      </c>
      <c r="D16" s="324">
        <f t="shared" si="1"/>
        <v>0.22698779291133214</v>
      </c>
      <c r="E16" s="325">
        <f t="shared" si="0"/>
        <v>76536.741124548644</v>
      </c>
      <c r="F16" s="325">
        <f>'03,KY'!F85</f>
        <v>122471317.14999999</v>
      </c>
      <c r="G16" s="326">
        <f>'03,KY'!G85</f>
        <v>1649394645</v>
      </c>
      <c r="H16" s="326">
        <f>'03,KY'!J85</f>
        <v>16.916666666666</v>
      </c>
      <c r="I16" s="327">
        <f t="shared" si="2"/>
        <v>6.2493604956341119E-4</v>
      </c>
      <c r="J16" s="328">
        <f t="shared" si="3"/>
        <v>377.02828140173233</v>
      </c>
    </row>
    <row r="17" spans="2:10">
      <c r="B17" s="316" t="s">
        <v>379</v>
      </c>
      <c r="C17" s="323">
        <v>33643.284229813027</v>
      </c>
      <c r="D17" s="324">
        <f t="shared" si="1"/>
        <v>3.561009563702975E-2</v>
      </c>
      <c r="E17" s="325">
        <f t="shared" si="0"/>
        <v>12007.168474722404</v>
      </c>
      <c r="F17" s="325">
        <f>'03,KY'!F86</f>
        <v>19205061.329999998</v>
      </c>
      <c r="G17" s="326">
        <f>'03,KY'!G86</f>
        <v>239923189</v>
      </c>
      <c r="H17" s="326">
        <f>'03,KY'!J86</f>
        <v>3</v>
      </c>
      <c r="I17" s="327">
        <f t="shared" si="2"/>
        <v>6.2520854624744933E-4</v>
      </c>
      <c r="J17" s="328">
        <f t="shared" si="3"/>
        <v>333.53245763117792</v>
      </c>
    </row>
    <row r="18" spans="2:10">
      <c r="B18" s="316" t="s">
        <v>2</v>
      </c>
      <c r="C18" s="323">
        <v>232.03523456660335</v>
      </c>
      <c r="D18" s="324">
        <f t="shared" si="1"/>
        <v>2.4560018687935618E-4</v>
      </c>
      <c r="E18" s="325">
        <f t="shared" si="0"/>
        <v>82.812549883106996</v>
      </c>
      <c r="F18" s="325">
        <f>'03,KY'!F92</f>
        <v>254297.39</v>
      </c>
      <c r="G18" s="326">
        <f>'03,KY'!G92</f>
        <v>1701693</v>
      </c>
      <c r="H18" s="326">
        <f>'03,KY'!J92</f>
        <v>8</v>
      </c>
      <c r="I18" s="327">
        <f t="shared" si="2"/>
        <v>3.2565237843419073E-4</v>
      </c>
      <c r="J18" s="328">
        <f t="shared" si="3"/>
        <v>0.86263072794903128</v>
      </c>
    </row>
    <row r="19" spans="2:10">
      <c r="B19" s="316" t="s">
        <v>380</v>
      </c>
      <c r="C19" s="323">
        <v>1258.141341417625</v>
      </c>
      <c r="D19" s="324">
        <f t="shared" si="1"/>
        <v>1.3316932195662609E-3</v>
      </c>
      <c r="E19" s="325">
        <f t="shared" si="0"/>
        <v>449.02616962786988</v>
      </c>
      <c r="F19" s="325">
        <f>'03,KY'!F47</f>
        <v>9871495.3000000007</v>
      </c>
      <c r="G19" s="326">
        <f>'03,KY'!G47</f>
        <v>29840579</v>
      </c>
      <c r="H19" s="326">
        <f>'03,KY'!L47</f>
        <v>54838.499999999964</v>
      </c>
      <c r="I19" s="327">
        <f t="shared" si="2"/>
        <v>4.5487148196066082E-5</v>
      </c>
      <c r="J19" s="328">
        <f t="shared" si="3"/>
        <v>6.823462981115307E-4</v>
      </c>
    </row>
    <row r="20" spans="2:10">
      <c r="B20" s="316" t="s">
        <v>381</v>
      </c>
      <c r="C20" s="323">
        <v>312.41900525116347</v>
      </c>
      <c r="D20" s="324">
        <f t="shared" si="1"/>
        <v>3.3068325255716151E-4</v>
      </c>
      <c r="E20" s="325">
        <f t="shared" si="0"/>
        <v>111.50123172076387</v>
      </c>
      <c r="F20" s="325">
        <f>'03,KY'!F91</f>
        <v>2125961.23</v>
      </c>
      <c r="G20" s="326">
        <f>'03,KY'!G91</f>
        <v>7343784</v>
      </c>
      <c r="H20" s="326">
        <f>'03,KY'!J91</f>
        <v>53.166666666666003</v>
      </c>
      <c r="I20" s="327">
        <f t="shared" si="2"/>
        <v>5.2447443606845018E-5</v>
      </c>
      <c r="J20" s="328">
        <f t="shared" si="3"/>
        <v>0.17476682087894241</v>
      </c>
    </row>
    <row r="21" spans="2:10">
      <c r="C21" s="329">
        <f>SUM(C4:C20)</f>
        <v>944768.15150219644</v>
      </c>
      <c r="E21" s="330">
        <f>SUM(E4:E20)-C23</f>
        <v>0</v>
      </c>
      <c r="F21" s="330">
        <f>SUM(F4:F20)-'03,KY'!F93</f>
        <v>0</v>
      </c>
    </row>
    <row r="23" spans="2:10" ht="51">
      <c r="B23" s="314" t="s">
        <v>383</v>
      </c>
      <c r="C23" s="331">
        <f>Summary!N38</f>
        <v>337184.39279440045</v>
      </c>
    </row>
    <row r="24" spans="2:10">
      <c r="B24" s="315" t="s">
        <v>486</v>
      </c>
    </row>
  </sheetData>
  <mergeCells count="1">
    <mergeCell ref="F2:H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0156F-2BBE-4155-A7BB-17EB21347EE8}">
  <sheetPr>
    <tabColor theme="1"/>
  </sheetPr>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0A64D-B3D6-42FB-9459-AADEA6984475}">
  <dimension ref="A1:O51"/>
  <sheetViews>
    <sheetView zoomScale="80" zoomScaleNormal="80" workbookViewId="0">
      <pane xSplit="2" ySplit="1" topLeftCell="C2" activePane="bottomRight" state="frozen"/>
      <selection pane="topRight"/>
      <selection pane="bottomLeft"/>
      <selection pane="bottomRight" activeCell="L33" sqref="L33"/>
    </sheetView>
  </sheetViews>
  <sheetFormatPr defaultColWidth="13.7109375" defaultRowHeight="12.75"/>
  <cols>
    <col min="1" max="1" width="58.85546875" style="17" customWidth="1"/>
    <col min="2" max="2" width="20.140625" style="17" customWidth="1"/>
    <col min="3" max="11" width="19.140625" style="17" customWidth="1"/>
    <col min="12" max="12" width="19.7109375" style="17" customWidth="1"/>
    <col min="13" max="14" width="19.140625" style="17" customWidth="1"/>
    <col min="15" max="15" width="17.5703125" style="17" customWidth="1"/>
    <col min="16" max="16384" width="13.7109375" style="17"/>
  </cols>
  <sheetData>
    <row r="1" spans="1:15" ht="15" customHeight="1">
      <c r="A1" s="20" t="s">
        <v>49</v>
      </c>
      <c r="B1" s="21" t="s">
        <v>50</v>
      </c>
      <c r="C1" s="21" t="s">
        <v>51</v>
      </c>
      <c r="D1" s="21" t="s">
        <v>52</v>
      </c>
      <c r="E1" s="21" t="s">
        <v>53</v>
      </c>
      <c r="F1" s="21" t="s">
        <v>54</v>
      </c>
      <c r="G1" s="21" t="s">
        <v>55</v>
      </c>
      <c r="H1" s="21" t="s">
        <v>56</v>
      </c>
      <c r="I1" s="21" t="s">
        <v>57</v>
      </c>
      <c r="J1" s="21" t="s">
        <v>58</v>
      </c>
      <c r="K1" s="21" t="s">
        <v>59</v>
      </c>
      <c r="L1" s="21" t="s">
        <v>60</v>
      </c>
      <c r="M1" s="21" t="s">
        <v>61</v>
      </c>
      <c r="N1" s="21" t="s">
        <v>62</v>
      </c>
      <c r="O1" s="22">
        <v>2025</v>
      </c>
    </row>
    <row r="2" spans="1:15" ht="26.65" customHeight="1">
      <c r="A2" s="20" t="s">
        <v>63</v>
      </c>
      <c r="B2" s="20" t="s">
        <v>64</v>
      </c>
      <c r="C2" s="23">
        <v>9616011.9719539993</v>
      </c>
      <c r="D2" s="23">
        <v>9616011.9719539993</v>
      </c>
      <c r="E2" s="23">
        <v>9616011.9719539993</v>
      </c>
      <c r="F2" s="23">
        <v>9616011.9719539993</v>
      </c>
      <c r="G2" s="23">
        <v>9616011.9719539993</v>
      </c>
      <c r="H2" s="23">
        <v>9616011.9719539993</v>
      </c>
      <c r="I2" s="23">
        <v>9616011.9719539993</v>
      </c>
      <c r="J2" s="23">
        <v>9616011.9719539993</v>
      </c>
      <c r="K2" s="23">
        <v>9616011.9719539993</v>
      </c>
      <c r="L2" s="23">
        <v>9616011.9719539993</v>
      </c>
      <c r="M2" s="23">
        <v>9616011.9719539993</v>
      </c>
      <c r="N2" s="23">
        <v>9616011.9719539993</v>
      </c>
      <c r="O2" s="23">
        <v>115392143.66344801</v>
      </c>
    </row>
    <row r="3" spans="1:15" ht="15" customHeight="1">
      <c r="A3" s="20" t="s">
        <v>65</v>
      </c>
      <c r="B3" s="20" t="s">
        <v>64</v>
      </c>
      <c r="C3" s="23">
        <v>2649.914158</v>
      </c>
      <c r="D3" s="23">
        <v>2649.914158</v>
      </c>
      <c r="E3" s="23">
        <v>2649.914158</v>
      </c>
      <c r="F3" s="23">
        <v>2649.914158</v>
      </c>
      <c r="G3" s="23">
        <v>2649.914158</v>
      </c>
      <c r="H3" s="23">
        <v>2649.914158</v>
      </c>
      <c r="I3" s="23">
        <v>2649.914158</v>
      </c>
      <c r="J3" s="23">
        <v>2649.914158</v>
      </c>
      <c r="K3" s="23">
        <v>2649.914158</v>
      </c>
      <c r="L3" s="23">
        <v>2649.914158</v>
      </c>
      <c r="M3" s="23">
        <v>2649.914158</v>
      </c>
      <c r="N3" s="23">
        <v>2649.914158</v>
      </c>
      <c r="O3" s="23">
        <v>31798.969895999999</v>
      </c>
    </row>
    <row r="4" spans="1:15" ht="15" customHeight="1">
      <c r="A4" s="20" t="s">
        <v>66</v>
      </c>
      <c r="B4" s="20" t="s">
        <v>67</v>
      </c>
      <c r="C4" s="23">
        <v>12858.329315999999</v>
      </c>
      <c r="D4" s="23">
        <v>12858.329315999999</v>
      </c>
      <c r="E4" s="23">
        <v>12858.329315999999</v>
      </c>
      <c r="F4" s="23">
        <v>12858.329315999999</v>
      </c>
      <c r="G4" s="23">
        <v>12858.329315999999</v>
      </c>
      <c r="H4" s="23">
        <v>12493.803723000001</v>
      </c>
      <c r="I4" s="23">
        <v>12493.803723000001</v>
      </c>
      <c r="J4" s="23">
        <v>12493.803723000001</v>
      </c>
      <c r="K4" s="23">
        <v>12493.803723000001</v>
      </c>
      <c r="L4" s="23">
        <v>12493.803723000001</v>
      </c>
      <c r="M4" s="23">
        <v>12493.803723000001</v>
      </c>
      <c r="N4" s="23">
        <v>12493.803723000001</v>
      </c>
      <c r="O4" s="23">
        <v>151748.27264099999</v>
      </c>
    </row>
    <row r="5" spans="1:15" ht="15" customHeight="1">
      <c r="A5" s="20" t="s">
        <v>68</v>
      </c>
      <c r="B5" s="20" t="s">
        <v>67</v>
      </c>
      <c r="C5" s="23">
        <v>23318.304366</v>
      </c>
      <c r="D5" s="23">
        <v>23318.304366</v>
      </c>
      <c r="E5" s="23">
        <v>23318.304366</v>
      </c>
      <c r="F5" s="23">
        <v>23318.304366</v>
      </c>
      <c r="G5" s="23">
        <v>23318.304366</v>
      </c>
      <c r="H5" s="23">
        <v>24168.620691</v>
      </c>
      <c r="I5" s="23">
        <v>24168.620691</v>
      </c>
      <c r="J5" s="23">
        <v>24168.620691</v>
      </c>
      <c r="K5" s="23">
        <v>24168.620691</v>
      </c>
      <c r="L5" s="23">
        <v>24168.620691</v>
      </c>
      <c r="M5" s="23">
        <v>24168.620691</v>
      </c>
      <c r="N5" s="23">
        <v>24168.620691</v>
      </c>
      <c r="O5" s="23">
        <v>285771.86666699999</v>
      </c>
    </row>
    <row r="6" spans="1:15" ht="15" customHeight="1">
      <c r="A6" s="20" t="s">
        <v>69</v>
      </c>
      <c r="B6" s="20" t="s">
        <v>67</v>
      </c>
      <c r="C6" s="23">
        <v>113104.830241</v>
      </c>
      <c r="D6" s="23">
        <v>113104.830241</v>
      </c>
      <c r="E6" s="23">
        <v>113104.830241</v>
      </c>
      <c r="F6" s="23">
        <v>113104.830241</v>
      </c>
      <c r="G6" s="23">
        <v>113104.830241</v>
      </c>
      <c r="H6" s="23">
        <v>124345.479268</v>
      </c>
      <c r="I6" s="23">
        <v>124345.479268</v>
      </c>
      <c r="J6" s="23">
        <v>124345.479268</v>
      </c>
      <c r="K6" s="23">
        <v>124345.479268</v>
      </c>
      <c r="L6" s="23">
        <v>124345.479268</v>
      </c>
      <c r="M6" s="23">
        <v>124345.479268</v>
      </c>
      <c r="N6" s="23">
        <v>124345.479268</v>
      </c>
      <c r="O6" s="23">
        <v>1435942.506081</v>
      </c>
    </row>
    <row r="7" spans="1:15" ht="15" customHeight="1">
      <c r="A7" s="20" t="s">
        <v>70</v>
      </c>
      <c r="B7" s="20" t="s">
        <v>67</v>
      </c>
      <c r="C7" s="23">
        <v>3043.3636230000002</v>
      </c>
      <c r="D7" s="23">
        <v>3043.3636230000002</v>
      </c>
      <c r="E7" s="23">
        <v>3043.3636230000002</v>
      </c>
      <c r="F7" s="23">
        <v>3043.3636230000002</v>
      </c>
      <c r="G7" s="23">
        <v>3043.3636230000002</v>
      </c>
      <c r="H7" s="23">
        <v>2974.1336070000002</v>
      </c>
      <c r="I7" s="23">
        <v>2974.1336070000002</v>
      </c>
      <c r="J7" s="23">
        <v>2974.1336070000002</v>
      </c>
      <c r="K7" s="23">
        <v>2974.1336070000002</v>
      </c>
      <c r="L7" s="23">
        <v>2974.1336070000002</v>
      </c>
      <c r="M7" s="23">
        <v>2974.1336070000002</v>
      </c>
      <c r="N7" s="23">
        <v>2974.1336070000002</v>
      </c>
      <c r="O7" s="23">
        <v>36035.753363999997</v>
      </c>
    </row>
    <row r="8" spans="1:15" ht="15" customHeight="1">
      <c r="A8" s="20" t="s">
        <v>71</v>
      </c>
      <c r="B8" s="20" t="s">
        <v>64</v>
      </c>
      <c r="C8" s="23">
        <v>2311405.343287</v>
      </c>
      <c r="D8" s="23">
        <v>2439097.988533</v>
      </c>
      <c r="E8" s="23">
        <v>2439097.988533</v>
      </c>
      <c r="F8" s="23">
        <v>2439097.988533</v>
      </c>
      <c r="G8" s="23">
        <v>2439097.988533</v>
      </c>
      <c r="H8" s="23">
        <v>2439097.988533</v>
      </c>
      <c r="I8" s="23">
        <v>2424483.277731</v>
      </c>
      <c r="J8" s="23">
        <v>2424483.277731</v>
      </c>
      <c r="K8" s="23">
        <v>2424483.277731</v>
      </c>
      <c r="L8" s="23">
        <v>2424483.277731</v>
      </c>
      <c r="M8" s="23">
        <v>2424483.277731</v>
      </c>
      <c r="N8" s="23">
        <v>2424483.277731</v>
      </c>
      <c r="O8" s="23">
        <v>29053794.952337999</v>
      </c>
    </row>
    <row r="9" spans="1:15" ht="15" customHeight="1">
      <c r="A9" s="20" t="s">
        <v>72</v>
      </c>
      <c r="B9" s="20" t="s">
        <v>64</v>
      </c>
      <c r="C9" s="23">
        <v>50572.184607000003</v>
      </c>
      <c r="D9" s="23">
        <v>50572.184607000003</v>
      </c>
      <c r="E9" s="23">
        <v>50572.184607000003</v>
      </c>
      <c r="F9" s="23">
        <v>50572.184607000003</v>
      </c>
      <c r="G9" s="23">
        <v>50572.184607000003</v>
      </c>
      <c r="H9" s="23">
        <v>50572.184607000003</v>
      </c>
      <c r="I9" s="23">
        <v>50572.184607000003</v>
      </c>
      <c r="J9" s="23">
        <v>50572.184607000003</v>
      </c>
      <c r="K9" s="23">
        <v>50572.184607000003</v>
      </c>
      <c r="L9" s="23">
        <v>50572.184607000003</v>
      </c>
      <c r="M9" s="23">
        <v>50572.184607000003</v>
      </c>
      <c r="N9" s="23">
        <v>50572.184607000003</v>
      </c>
      <c r="O9" s="23">
        <v>606866.21528400003</v>
      </c>
    </row>
    <row r="10" spans="1:15" ht="15" customHeight="1">
      <c r="A10" s="20" t="s">
        <v>73</v>
      </c>
      <c r="B10" s="20" t="s">
        <v>67</v>
      </c>
      <c r="C10" s="23">
        <v>0</v>
      </c>
      <c r="D10" s="23">
        <v>0</v>
      </c>
      <c r="E10" s="23">
        <v>0</v>
      </c>
      <c r="F10" s="23">
        <v>0</v>
      </c>
      <c r="G10" s="23">
        <v>0</v>
      </c>
      <c r="H10" s="23">
        <v>56414.262879000002</v>
      </c>
      <c r="I10" s="23">
        <v>56414.262879000002</v>
      </c>
      <c r="J10" s="23">
        <v>56414.262879000002</v>
      </c>
      <c r="K10" s="23">
        <v>56414.262879000002</v>
      </c>
      <c r="L10" s="23">
        <v>56414.262879000002</v>
      </c>
      <c r="M10" s="23">
        <v>56414.262879000002</v>
      </c>
      <c r="N10" s="23">
        <v>56414.262879000002</v>
      </c>
      <c r="O10" s="23">
        <v>394899.84015300003</v>
      </c>
    </row>
    <row r="11" spans="1:15" ht="26.65" customHeight="1">
      <c r="A11" s="20" t="s">
        <v>74</v>
      </c>
      <c r="B11" s="20" t="s">
        <v>64</v>
      </c>
      <c r="C11" s="23">
        <v>31082.591441</v>
      </c>
      <c r="D11" s="23">
        <v>31082.591441</v>
      </c>
      <c r="E11" s="23">
        <v>30305.977791000001</v>
      </c>
      <c r="F11" s="23">
        <v>31082.591441</v>
      </c>
      <c r="G11" s="23">
        <v>31082.591441</v>
      </c>
      <c r="H11" s="23">
        <v>31082.591441</v>
      </c>
      <c r="I11" s="23">
        <v>31082.591441</v>
      </c>
      <c r="J11" s="23">
        <v>31082.591441</v>
      </c>
      <c r="K11" s="23">
        <v>31082.591441</v>
      </c>
      <c r="L11" s="23">
        <v>31082.591441</v>
      </c>
      <c r="M11" s="23">
        <v>32453.403057</v>
      </c>
      <c r="N11" s="23">
        <v>22494.263318000001</v>
      </c>
      <c r="O11" s="23">
        <v>364996.96713499998</v>
      </c>
    </row>
    <row r="12" spans="1:15" ht="15" customHeight="1">
      <c r="A12" s="20" t="s">
        <v>75</v>
      </c>
      <c r="B12" s="20" t="s">
        <v>67</v>
      </c>
      <c r="C12" s="23">
        <v>42066.902759999997</v>
      </c>
      <c r="D12" s="23">
        <v>42066.902759999997</v>
      </c>
      <c r="E12" s="23">
        <v>42066.902759999997</v>
      </c>
      <c r="F12" s="23">
        <v>42066.902759999997</v>
      </c>
      <c r="G12" s="23">
        <v>42066.902759999997</v>
      </c>
      <c r="H12" s="23">
        <v>42968.458089</v>
      </c>
      <c r="I12" s="23">
        <v>42968.458089</v>
      </c>
      <c r="J12" s="23">
        <v>42968.458089</v>
      </c>
      <c r="K12" s="23">
        <v>42968.458089</v>
      </c>
      <c r="L12" s="23">
        <v>42968.458089</v>
      </c>
      <c r="M12" s="23">
        <v>42968.458089</v>
      </c>
      <c r="N12" s="23">
        <v>42968.458089</v>
      </c>
      <c r="O12" s="23">
        <v>511113.72042299999</v>
      </c>
    </row>
    <row r="13" spans="1:15" ht="15" customHeight="1">
      <c r="A13" s="20" t="s">
        <v>76</v>
      </c>
      <c r="B13" s="20" t="s">
        <v>67</v>
      </c>
      <c r="C13" s="23">
        <v>3430.505232</v>
      </c>
      <c r="D13" s="23">
        <v>3430.505232</v>
      </c>
      <c r="E13" s="23">
        <v>3430.505232</v>
      </c>
      <c r="F13" s="23">
        <v>3430.505232</v>
      </c>
      <c r="G13" s="23">
        <v>3430.505232</v>
      </c>
      <c r="H13" s="23">
        <v>4327.2571379999999</v>
      </c>
      <c r="I13" s="23">
        <v>4327.2571379999999</v>
      </c>
      <c r="J13" s="23">
        <v>4327.2571379999999</v>
      </c>
      <c r="K13" s="23">
        <v>4327.2571379999999</v>
      </c>
      <c r="L13" s="23">
        <v>4327.2571379999999</v>
      </c>
      <c r="M13" s="23">
        <v>4327.2571379999999</v>
      </c>
      <c r="N13" s="23">
        <v>4327.2571379999999</v>
      </c>
      <c r="O13" s="23">
        <v>47443.326126</v>
      </c>
    </row>
    <row r="14" spans="1:15" ht="15" customHeight="1">
      <c r="A14" s="20" t="s">
        <v>77</v>
      </c>
      <c r="B14" s="20" t="s">
        <v>64</v>
      </c>
      <c r="C14" s="23">
        <v>401873.09037300001</v>
      </c>
      <c r="D14" s="23">
        <v>401873.09037300001</v>
      </c>
      <c r="E14" s="23">
        <v>401873.09037300001</v>
      </c>
      <c r="F14" s="23">
        <v>401873.09037300001</v>
      </c>
      <c r="G14" s="23">
        <v>401873.09037300001</v>
      </c>
      <c r="H14" s="23">
        <v>401873.09037300001</v>
      </c>
      <c r="I14" s="23">
        <v>401873.09037300001</v>
      </c>
      <c r="J14" s="23">
        <v>401873.09037300001</v>
      </c>
      <c r="K14" s="23">
        <v>401873.09037300001</v>
      </c>
      <c r="L14" s="23">
        <v>401873.09037300001</v>
      </c>
      <c r="M14" s="23">
        <v>401873.09037300001</v>
      </c>
      <c r="N14" s="23">
        <v>401873.09037300001</v>
      </c>
      <c r="O14" s="23">
        <v>4822477.0844759997</v>
      </c>
    </row>
    <row r="15" spans="1:15" ht="15" customHeight="1">
      <c r="A15" s="20" t="s">
        <v>78</v>
      </c>
      <c r="B15" s="20" t="s">
        <v>64</v>
      </c>
      <c r="C15" s="23">
        <v>780145.07519700006</v>
      </c>
      <c r="D15" s="23">
        <v>780145.07519700006</v>
      </c>
      <c r="E15" s="23">
        <v>780145.07519700006</v>
      </c>
      <c r="F15" s="23">
        <v>780145.07519700006</v>
      </c>
      <c r="G15" s="23">
        <v>780145.07519700006</v>
      </c>
      <c r="H15" s="23">
        <v>780145.07519700006</v>
      </c>
      <c r="I15" s="23">
        <v>780145.07519700006</v>
      </c>
      <c r="J15" s="23">
        <v>780145.07519700006</v>
      </c>
      <c r="K15" s="23">
        <v>780145.07519700006</v>
      </c>
      <c r="L15" s="23">
        <v>780145.07519700006</v>
      </c>
      <c r="M15" s="23">
        <v>780145.07519700006</v>
      </c>
      <c r="N15" s="23">
        <v>780145.07519700006</v>
      </c>
      <c r="O15" s="23">
        <v>9361740.9023640007</v>
      </c>
    </row>
    <row r="16" spans="1:15" ht="15" customHeight="1">
      <c r="A16" s="20" t="s">
        <v>79</v>
      </c>
      <c r="B16" s="20" t="s">
        <v>64</v>
      </c>
      <c r="C16" s="23">
        <v>49533.618429000002</v>
      </c>
      <c r="D16" s="23">
        <v>49533.618429000002</v>
      </c>
      <c r="E16" s="23">
        <v>49533.618429000002</v>
      </c>
      <c r="F16" s="23">
        <v>49533.618429000002</v>
      </c>
      <c r="G16" s="23">
        <v>49533.618429000002</v>
      </c>
      <c r="H16" s="23">
        <v>49533.618429000002</v>
      </c>
      <c r="I16" s="23">
        <v>49533.618429000002</v>
      </c>
      <c r="J16" s="23">
        <v>49533.618429000002</v>
      </c>
      <c r="K16" s="23">
        <v>49533.618429000002</v>
      </c>
      <c r="L16" s="23">
        <v>49533.618429000002</v>
      </c>
      <c r="M16" s="23">
        <f>17839.06-1143211.36</f>
        <v>-1125372.3</v>
      </c>
      <c r="N16" s="23">
        <v>17839.058429000001</v>
      </c>
      <c r="O16" s="23">
        <v>-612197.05881898</v>
      </c>
    </row>
    <row r="17" spans="1:15" ht="15" customHeight="1">
      <c r="A17" s="20" t="s">
        <v>80</v>
      </c>
      <c r="B17" s="20" t="s">
        <v>67</v>
      </c>
      <c r="C17" s="23">
        <v>913358.23957199999</v>
      </c>
      <c r="D17" s="23">
        <v>913358.23957199999</v>
      </c>
      <c r="E17" s="23">
        <v>913358.23957199999</v>
      </c>
      <c r="F17" s="23">
        <v>913358.23957199999</v>
      </c>
      <c r="G17" s="23">
        <v>913358.23957199999</v>
      </c>
      <c r="H17" s="23">
        <v>788559.90469800006</v>
      </c>
      <c r="I17" s="23">
        <v>788559.90469800006</v>
      </c>
      <c r="J17" s="23">
        <v>788559.90469800006</v>
      </c>
      <c r="K17" s="23">
        <v>788559.90469800006</v>
      </c>
      <c r="L17" s="23">
        <v>788559.90469800006</v>
      </c>
      <c r="M17" s="23">
        <v>788559.90469800006</v>
      </c>
      <c r="N17" s="23">
        <v>788559.90469800006</v>
      </c>
      <c r="O17" s="23">
        <v>10086710.530746</v>
      </c>
    </row>
    <row r="18" spans="1:15" ht="26.65" customHeight="1">
      <c r="A18" s="20" t="s">
        <v>81</v>
      </c>
      <c r="B18" s="20" t="s">
        <v>67</v>
      </c>
      <c r="C18" s="23">
        <v>3519.8438430000001</v>
      </c>
      <c r="D18" s="23">
        <v>3519.8438430000001</v>
      </c>
      <c r="E18" s="23">
        <v>3467.2759879999999</v>
      </c>
      <c r="F18" s="23">
        <v>3519.8438430000001</v>
      </c>
      <c r="G18" s="23">
        <v>3519.8438430000001</v>
      </c>
      <c r="H18" s="23">
        <v>2689.6889430000001</v>
      </c>
      <c r="I18" s="23">
        <v>2689.6889430000001</v>
      </c>
      <c r="J18" s="23">
        <v>2689.6889430000001</v>
      </c>
      <c r="K18" s="23">
        <v>2689.6889430000001</v>
      </c>
      <c r="L18" s="23">
        <v>2689.6889430000001</v>
      </c>
      <c r="M18" s="23">
        <v>2689.6889430000001</v>
      </c>
      <c r="N18" s="23">
        <v>2689.6889430000001</v>
      </c>
      <c r="O18" s="23">
        <v>36374.473961000003</v>
      </c>
    </row>
    <row r="19" spans="1:15" ht="15" customHeight="1">
      <c r="A19" s="20" t="s">
        <v>82</v>
      </c>
      <c r="B19" s="20" t="s">
        <v>64</v>
      </c>
      <c r="C19" s="23">
        <v>10620.742587999999</v>
      </c>
      <c r="D19" s="23">
        <v>10620.742587999999</v>
      </c>
      <c r="E19" s="23">
        <v>10620.742587999999</v>
      </c>
      <c r="F19" s="23">
        <v>10620.742587999999</v>
      </c>
      <c r="G19" s="23">
        <v>10620.742587999999</v>
      </c>
      <c r="H19" s="23">
        <v>10620.742587999999</v>
      </c>
      <c r="I19" s="23">
        <v>10620.742587999999</v>
      </c>
      <c r="J19" s="23">
        <v>10620.742587999999</v>
      </c>
      <c r="K19" s="23">
        <v>10620.742587999999</v>
      </c>
      <c r="L19" s="23">
        <v>10620.742587999999</v>
      </c>
      <c r="M19" s="23">
        <v>10620.742587999999</v>
      </c>
      <c r="N19" s="23">
        <v>10620.742587999999</v>
      </c>
      <c r="O19" s="23">
        <v>127448.911056</v>
      </c>
    </row>
    <row r="20" spans="1:15" ht="15" customHeight="1">
      <c r="A20" s="20" t="s">
        <v>83</v>
      </c>
      <c r="B20" s="20" t="s">
        <v>64</v>
      </c>
      <c r="C20" s="23">
        <v>70584.349363000001</v>
      </c>
      <c r="D20" s="23">
        <v>70584.349363000001</v>
      </c>
      <c r="E20" s="23">
        <v>70584.349363000001</v>
      </c>
      <c r="F20" s="23">
        <v>70584.349363000001</v>
      </c>
      <c r="G20" s="23">
        <v>70584.349363000001</v>
      </c>
      <c r="H20" s="23">
        <v>70584.349363000001</v>
      </c>
      <c r="I20" s="23">
        <v>70584.349363000001</v>
      </c>
      <c r="J20" s="23">
        <v>70584.349363000001</v>
      </c>
      <c r="K20" s="23">
        <v>70584.349363000001</v>
      </c>
      <c r="L20" s="23">
        <v>70584.349363000001</v>
      </c>
      <c r="M20" s="23">
        <v>70584.349363000001</v>
      </c>
      <c r="N20" s="23">
        <v>70584.349363000001</v>
      </c>
      <c r="O20" s="23">
        <v>847012.19235599996</v>
      </c>
    </row>
    <row r="21" spans="1:15" ht="15" customHeight="1">
      <c r="A21" s="20" t="s">
        <v>84</v>
      </c>
      <c r="B21" s="20" t="s">
        <v>64</v>
      </c>
      <c r="C21" s="24">
        <v>778911.78</v>
      </c>
      <c r="D21" s="24">
        <v>778911.78</v>
      </c>
      <c r="E21" s="24">
        <v>778911.78</v>
      </c>
      <c r="F21" s="24">
        <v>778911.78</v>
      </c>
      <c r="G21" s="24">
        <v>778911.78</v>
      </c>
      <c r="H21" s="24">
        <v>778911.78</v>
      </c>
      <c r="I21" s="24">
        <v>778911.78</v>
      </c>
      <c r="J21" s="24">
        <v>778911.78</v>
      </c>
      <c r="K21" s="24">
        <v>778911.78</v>
      </c>
      <c r="L21" s="24">
        <v>778911.78</v>
      </c>
      <c r="M21" s="24">
        <v>778911.78</v>
      </c>
      <c r="N21" s="24">
        <v>778911.78</v>
      </c>
      <c r="O21" s="24">
        <v>9346941.3599999994</v>
      </c>
    </row>
    <row r="22" spans="1:15" ht="15" customHeight="1">
      <c r="A22" s="20" t="s">
        <v>85</v>
      </c>
      <c r="C22" s="25">
        <f>SUM(C2:C21)</f>
        <v>15218090.980349999</v>
      </c>
      <c r="D22" s="25">
        <f t="shared" ref="D22:O22" si="0">SUM(D2:D21)</f>
        <v>15345783.625595998</v>
      </c>
      <c r="E22" s="25">
        <f t="shared" si="0"/>
        <v>15344954.444090998</v>
      </c>
      <c r="F22" s="25">
        <f t="shared" si="0"/>
        <v>15345783.625595998</v>
      </c>
      <c r="G22" s="25">
        <f t="shared" si="0"/>
        <v>15345783.625595998</v>
      </c>
      <c r="H22" s="25">
        <f t="shared" si="0"/>
        <v>15290024.915678995</v>
      </c>
      <c r="I22" s="25">
        <f t="shared" si="0"/>
        <v>15275410.204876995</v>
      </c>
      <c r="J22" s="25">
        <f t="shared" si="0"/>
        <v>15275410.204876995</v>
      </c>
      <c r="K22" s="25">
        <f t="shared" si="0"/>
        <v>15275410.204876995</v>
      </c>
      <c r="L22" s="25">
        <f t="shared" si="0"/>
        <v>15275410.204876995</v>
      </c>
      <c r="M22" s="25">
        <f t="shared" si="0"/>
        <v>14101875.098063994</v>
      </c>
      <c r="N22" s="25">
        <f t="shared" si="0"/>
        <v>15235127.316753997</v>
      </c>
      <c r="O22" s="25">
        <f t="shared" si="0"/>
        <v>182329064.44969606</v>
      </c>
    </row>
    <row r="23" spans="1:15" ht="15" customHeight="1"/>
    <row r="24" spans="1:15" ht="15" customHeight="1">
      <c r="A24" s="20" t="s">
        <v>86</v>
      </c>
      <c r="C24" s="23">
        <v>10476128.843905</v>
      </c>
      <c r="D24" s="23">
        <v>10476128.843905</v>
      </c>
      <c r="E24" s="23">
        <v>10476128.843905</v>
      </c>
      <c r="F24" s="23">
        <v>10476128.843905</v>
      </c>
      <c r="G24" s="23">
        <v>10476128.843905</v>
      </c>
      <c r="H24" s="23">
        <v>10476128.843905</v>
      </c>
      <c r="I24" s="23">
        <v>10476128.843905</v>
      </c>
      <c r="J24" s="23">
        <v>10476128.843905</v>
      </c>
      <c r="K24" s="23">
        <v>10476128.843905</v>
      </c>
      <c r="L24" s="23">
        <v>10476128.843905</v>
      </c>
      <c r="M24" s="23">
        <v>10476128.843905</v>
      </c>
      <c r="N24" s="23">
        <v>10476128.843905</v>
      </c>
      <c r="O24" s="23">
        <f>SUM(C24:N24)</f>
        <v>125713546.12686001</v>
      </c>
    </row>
    <row r="25" spans="1:15" ht="15" customHeight="1">
      <c r="A25" s="20" t="s">
        <v>87</v>
      </c>
      <c r="C25" s="23">
        <v>4741962.1364449998</v>
      </c>
      <c r="D25" s="23">
        <v>4869654.7816909999</v>
      </c>
      <c r="E25" s="23">
        <v>4868825.6001859996</v>
      </c>
      <c r="F25" s="23">
        <v>4869654.7816909999</v>
      </c>
      <c r="G25" s="23">
        <v>4869654.7816909999</v>
      </c>
      <c r="H25" s="23">
        <v>4813896.0717739901</v>
      </c>
      <c r="I25" s="23">
        <v>4799281.36097199</v>
      </c>
      <c r="J25" s="23">
        <v>4799281.36097199</v>
      </c>
      <c r="K25" s="23">
        <v>4799281.36097199</v>
      </c>
      <c r="L25" s="23">
        <v>4799281.36097199</v>
      </c>
      <c r="M25" s="23">
        <v>3625746.2526210202</v>
      </c>
      <c r="N25" s="23">
        <v>4758998.4728490002</v>
      </c>
      <c r="O25" s="23">
        <f t="shared" ref="O25:O26" si="1">SUM(C25:N25)</f>
        <v>56615518.322835952</v>
      </c>
    </row>
    <row r="26" spans="1:15" ht="15" customHeight="1">
      <c r="A26" s="20" t="s">
        <v>88</v>
      </c>
      <c r="C26" s="23">
        <v>-1097741.8999999999</v>
      </c>
      <c r="D26" s="23">
        <v>-1097741.8999999999</v>
      </c>
      <c r="E26" s="23">
        <v>-1097741.8999999999</v>
      </c>
      <c r="F26" s="23">
        <v>-1097741.8999999999</v>
      </c>
      <c r="G26" s="23">
        <v>-1097741.8999999999</v>
      </c>
      <c r="H26" s="23">
        <v>-1097741.8999999999</v>
      </c>
      <c r="I26" s="23">
        <v>-1097741.8999999999</v>
      </c>
      <c r="J26" s="23">
        <v>-1097741.8999999999</v>
      </c>
      <c r="K26" s="23">
        <v>-1097741.8999999999</v>
      </c>
      <c r="L26" s="23">
        <v>-1097741.8999999999</v>
      </c>
      <c r="M26" s="23">
        <v>-1097741.8999999999</v>
      </c>
      <c r="N26" s="23">
        <v>-1097741.8999999999</v>
      </c>
      <c r="O26" s="23">
        <f t="shared" si="1"/>
        <v>-13172902.800000003</v>
      </c>
    </row>
    <row r="27" spans="1:15" ht="15" customHeight="1">
      <c r="A27" s="20" t="s">
        <v>89</v>
      </c>
      <c r="C27" s="26"/>
      <c r="D27" s="26"/>
      <c r="E27" s="26"/>
      <c r="F27" s="26"/>
      <c r="G27" s="26"/>
      <c r="H27" s="26"/>
      <c r="I27" s="27">
        <v>-87688.264811999994</v>
      </c>
      <c r="J27" s="26"/>
      <c r="K27" s="26"/>
      <c r="L27" s="26"/>
      <c r="M27" s="27">
        <v>7925.5912500000004</v>
      </c>
      <c r="N27" s="27">
        <v>193719.15343199999</v>
      </c>
      <c r="O27" s="27">
        <f>SUM(C27:N27)</f>
        <v>113956.47987</v>
      </c>
    </row>
    <row r="28" spans="1:15" ht="15" customHeight="1">
      <c r="A28" s="20" t="s">
        <v>90</v>
      </c>
      <c r="C28" s="23">
        <f>SUM(C24:C27)</f>
        <v>14120349.080349999</v>
      </c>
      <c r="D28" s="23">
        <f t="shared" ref="D28:O28" si="2">SUM(D24:D27)</f>
        <v>14248041.725596</v>
      </c>
      <c r="E28" s="23">
        <f t="shared" si="2"/>
        <v>14247212.544090999</v>
      </c>
      <c r="F28" s="23">
        <f t="shared" si="2"/>
        <v>14248041.725596</v>
      </c>
      <c r="G28" s="23">
        <f t="shared" si="2"/>
        <v>14248041.725596</v>
      </c>
      <c r="H28" s="23">
        <f t="shared" si="2"/>
        <v>14192283.015678989</v>
      </c>
      <c r="I28" s="23">
        <f t="shared" si="2"/>
        <v>14089980.040064989</v>
      </c>
      <c r="J28" s="23">
        <f t="shared" si="2"/>
        <v>14177668.304876989</v>
      </c>
      <c r="K28" s="23">
        <f t="shared" si="2"/>
        <v>14177668.304876989</v>
      </c>
      <c r="L28" s="23">
        <f t="shared" si="2"/>
        <v>14177668.304876989</v>
      </c>
      <c r="M28" s="23">
        <f t="shared" si="2"/>
        <v>13012058.787776019</v>
      </c>
      <c r="N28" s="23">
        <f t="shared" si="2"/>
        <v>14331104.570186</v>
      </c>
      <c r="O28" s="23">
        <f t="shared" si="2"/>
        <v>169270118.12956592</v>
      </c>
    </row>
    <row r="29" spans="1:15" ht="15" customHeight="1"/>
    <row r="30" spans="1:15" ht="15" customHeight="1">
      <c r="A30" s="20" t="s">
        <v>91</v>
      </c>
      <c r="O30" s="28">
        <v>22318</v>
      </c>
    </row>
    <row r="31" spans="1:15" ht="15" customHeight="1">
      <c r="A31" s="20" t="s">
        <v>92</v>
      </c>
      <c r="O31" s="23">
        <f>+O22/O30</f>
        <v>8169.5969374359738</v>
      </c>
    </row>
    <row r="32" spans="1:15" ht="15" customHeight="1">
      <c r="A32" s="20" t="s">
        <v>93</v>
      </c>
      <c r="M32" s="29"/>
      <c r="O32" s="23">
        <f>+O28/O30</f>
        <v>7584.4662662230448</v>
      </c>
    </row>
    <row r="33" spans="5:14" ht="15" customHeight="1">
      <c r="L33" s="29"/>
    </row>
    <row r="34" spans="5:14" ht="15" customHeight="1">
      <c r="E34" s="20"/>
      <c r="L34" s="30"/>
      <c r="M34" s="31"/>
      <c r="N34" s="31"/>
    </row>
    <row r="35" spans="5:14" ht="15" customHeight="1">
      <c r="L35" s="30"/>
      <c r="M35" s="31"/>
      <c r="N35" s="32"/>
    </row>
    <row r="36" spans="5:14" ht="15" customHeight="1">
      <c r="M36" s="32"/>
      <c r="N36" s="32"/>
    </row>
    <row r="37" spans="5:14" ht="15" customHeight="1"/>
    <row r="38" spans="5:14" ht="15" customHeight="1">
      <c r="L38" s="30"/>
      <c r="M38" s="31"/>
      <c r="N38" s="31"/>
    </row>
    <row r="39" spans="5:14" ht="15" customHeight="1">
      <c r="M39" s="32"/>
      <c r="N39" s="32"/>
    </row>
    <row r="40" spans="5:14" ht="15" customHeight="1">
      <c r="M40" s="32"/>
      <c r="N40" s="32"/>
    </row>
    <row r="41" spans="5:14" ht="15" customHeight="1">
      <c r="M41" s="32"/>
    </row>
    <row r="42" spans="5:14" ht="15" customHeight="1"/>
    <row r="43" spans="5:14" ht="15" customHeight="1"/>
    <row r="44" spans="5:14" ht="15" customHeight="1"/>
    <row r="45" spans="5:14" ht="15" customHeight="1"/>
    <row r="46" spans="5:14" ht="15" customHeight="1"/>
    <row r="47" spans="5:14" ht="15" customHeight="1"/>
    <row r="48" spans="5:14" ht="15" customHeight="1"/>
    <row r="49" ht="15" customHeight="1"/>
    <row r="50" ht="15" customHeight="1"/>
    <row r="51" ht="15" customHeight="1"/>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13A8-CF87-400C-8168-ACB6ECC7498B}">
  <sheetPr>
    <pageSetUpPr fitToPage="1"/>
  </sheetPr>
  <dimension ref="A1:AB137"/>
  <sheetViews>
    <sheetView zoomScale="50" zoomScaleNormal="50" workbookViewId="0">
      <selection activeCell="Y51" sqref="Y51"/>
    </sheetView>
  </sheetViews>
  <sheetFormatPr defaultColWidth="11.42578125" defaultRowHeight="15.75"/>
  <cols>
    <col min="1" max="1" width="4.140625" style="34" customWidth="1"/>
    <col min="2" max="2" width="5.85546875" style="34" bestFit="1" customWidth="1"/>
    <col min="3" max="3" width="2" style="34" customWidth="1"/>
    <col min="4" max="4" width="62.5703125" style="34" customWidth="1"/>
    <col min="5" max="5" width="16.28515625" style="34" customWidth="1"/>
    <col min="6" max="6" width="8.5703125" style="34" customWidth="1"/>
    <col min="7" max="7" width="18.5703125" style="34" customWidth="1"/>
    <col min="8" max="8" width="4.42578125" style="34" customWidth="1"/>
    <col min="9" max="9" width="22.140625" style="34" bestFit="1" customWidth="1"/>
    <col min="10" max="10" width="5.5703125" style="34" bestFit="1" customWidth="1"/>
    <col min="11" max="11" width="20.85546875" style="34" bestFit="1" customWidth="1"/>
    <col min="12" max="12" width="3.42578125" style="34" customWidth="1"/>
    <col min="13" max="13" width="19.85546875" style="34" bestFit="1" customWidth="1"/>
    <col min="14" max="14" width="3.85546875" style="34" customWidth="1"/>
    <col min="15" max="15" width="19.85546875" style="34" bestFit="1" customWidth="1"/>
    <col min="16" max="16" width="4.85546875" style="34" customWidth="1"/>
    <col min="17" max="17" width="19" style="34" bestFit="1" customWidth="1"/>
    <col min="18" max="18" width="4.140625" style="34" customWidth="1"/>
    <col min="19" max="19" width="20.42578125" style="34" bestFit="1" customWidth="1"/>
    <col min="20" max="20" width="3.42578125" style="34" customWidth="1"/>
    <col min="21" max="21" width="20.140625" style="34" bestFit="1" customWidth="1"/>
    <col min="22" max="22" width="7.28515625" style="34" bestFit="1" customWidth="1"/>
    <col min="23" max="23" width="11.42578125" style="34" customWidth="1"/>
    <col min="24" max="24" width="14.7109375" style="34" bestFit="1" customWidth="1"/>
    <col min="25" max="25" width="9.85546875" style="34" customWidth="1"/>
    <col min="26" max="26" width="10.5703125" style="34" bestFit="1" customWidth="1"/>
    <col min="27" max="27" width="10.85546875" style="34" bestFit="1" customWidth="1"/>
    <col min="28" max="28" width="10.42578125" style="34" bestFit="1" customWidth="1"/>
    <col min="29" max="16384" width="11.42578125" style="34"/>
  </cols>
  <sheetData>
    <row r="1" spans="1:22">
      <c r="A1" s="33"/>
      <c r="B1" s="33"/>
      <c r="C1" s="33"/>
      <c r="D1" s="33"/>
      <c r="E1" s="33"/>
      <c r="F1" s="33"/>
      <c r="G1" s="33"/>
      <c r="H1" s="33"/>
      <c r="J1" s="33"/>
      <c r="K1" s="33"/>
      <c r="L1" s="33"/>
      <c r="U1" s="35"/>
      <c r="V1" s="36">
        <v>2025</v>
      </c>
    </row>
    <row r="2" spans="1:22">
      <c r="B2" s="37"/>
      <c r="C2" s="37"/>
      <c r="D2" s="37"/>
      <c r="E2" s="37"/>
      <c r="F2" s="37"/>
      <c r="G2" s="37"/>
      <c r="H2" s="37"/>
      <c r="J2" s="37"/>
      <c r="K2" s="37"/>
      <c r="L2" s="37"/>
      <c r="U2" s="35"/>
    </row>
    <row r="3" spans="1:22">
      <c r="A3" s="383" t="s">
        <v>94</v>
      </c>
      <c r="B3" s="383"/>
      <c r="C3" s="383"/>
      <c r="D3" s="383"/>
      <c r="E3" s="383"/>
      <c r="F3" s="383"/>
      <c r="G3" s="383"/>
      <c r="H3" s="383"/>
      <c r="I3" s="383"/>
      <c r="J3" s="383"/>
      <c r="K3" s="383"/>
      <c r="L3" s="383"/>
      <c r="M3" s="383"/>
      <c r="N3" s="383"/>
      <c r="O3" s="383"/>
      <c r="P3" s="383"/>
      <c r="Q3" s="383"/>
      <c r="R3" s="383"/>
      <c r="S3" s="383"/>
      <c r="T3" s="383"/>
      <c r="U3" s="383"/>
    </row>
    <row r="4" spans="1:22">
      <c r="A4" s="384" t="s">
        <v>95</v>
      </c>
      <c r="B4" s="384"/>
      <c r="C4" s="384"/>
      <c r="D4" s="384"/>
      <c r="E4" s="384"/>
      <c r="F4" s="384"/>
      <c r="G4" s="384"/>
      <c r="H4" s="384"/>
      <c r="I4" s="384"/>
      <c r="J4" s="384"/>
      <c r="K4" s="384"/>
      <c r="L4" s="384"/>
      <c r="M4" s="384"/>
      <c r="N4" s="384"/>
      <c r="O4" s="384"/>
      <c r="P4" s="384"/>
      <c r="Q4" s="384"/>
      <c r="R4" s="384"/>
      <c r="S4" s="384"/>
      <c r="T4" s="384"/>
      <c r="U4" s="384"/>
    </row>
    <row r="5" spans="1:22">
      <c r="A5" s="383" t="str">
        <f>"For rates effective January 1, 2025"</f>
        <v>For rates effective January 1, 2025</v>
      </c>
      <c r="B5" s="383"/>
      <c r="C5" s="383"/>
      <c r="D5" s="383"/>
      <c r="E5" s="383"/>
      <c r="F5" s="383"/>
      <c r="G5" s="383"/>
      <c r="H5" s="383"/>
      <c r="I5" s="383"/>
      <c r="J5" s="383"/>
      <c r="K5" s="383"/>
      <c r="L5" s="383"/>
      <c r="M5" s="383"/>
      <c r="N5" s="383"/>
      <c r="O5" s="383"/>
      <c r="P5" s="383"/>
      <c r="Q5" s="383"/>
      <c r="R5" s="383"/>
      <c r="S5" s="383"/>
      <c r="T5" s="383"/>
      <c r="U5" s="383"/>
    </row>
    <row r="6" spans="1:22">
      <c r="A6" s="38"/>
      <c r="B6" s="38"/>
      <c r="C6" s="38"/>
      <c r="D6" s="38"/>
      <c r="E6" s="38"/>
      <c r="F6" s="38"/>
      <c r="G6" s="38"/>
      <c r="H6" s="38"/>
      <c r="I6" s="38"/>
      <c r="J6" s="38"/>
      <c r="K6" s="38"/>
      <c r="L6" s="38"/>
      <c r="M6" s="38"/>
      <c r="N6" s="38"/>
      <c r="O6" s="38"/>
      <c r="P6" s="38"/>
      <c r="Q6" s="38"/>
      <c r="R6" s="38"/>
      <c r="S6" s="38"/>
      <c r="T6" s="38"/>
      <c r="U6" s="38"/>
    </row>
    <row r="7" spans="1:22">
      <c r="A7" s="38"/>
      <c r="B7" s="38"/>
      <c r="C7" s="38"/>
      <c r="D7" s="38"/>
      <c r="E7" s="38"/>
      <c r="F7" s="38"/>
      <c r="G7" s="38"/>
      <c r="H7" s="38"/>
      <c r="I7" s="38"/>
      <c r="J7" s="38"/>
      <c r="K7" s="38"/>
      <c r="L7" s="38"/>
      <c r="M7" s="38"/>
      <c r="N7" s="38"/>
      <c r="O7" s="38"/>
      <c r="P7" s="38"/>
      <c r="Q7" s="38"/>
      <c r="R7" s="38"/>
      <c r="S7" s="38"/>
      <c r="T7" s="38"/>
      <c r="U7" s="38"/>
    </row>
    <row r="8" spans="1:22">
      <c r="A8" s="385" t="s">
        <v>96</v>
      </c>
      <c r="B8" s="385"/>
      <c r="C8" s="385"/>
      <c r="D8" s="385"/>
      <c r="E8" s="385"/>
      <c r="F8" s="385"/>
      <c r="G8" s="385"/>
      <c r="H8" s="385"/>
      <c r="I8" s="385"/>
      <c r="J8" s="385"/>
      <c r="K8" s="385"/>
      <c r="L8" s="385"/>
      <c r="M8" s="385"/>
      <c r="N8" s="385"/>
      <c r="O8" s="385"/>
      <c r="P8" s="385"/>
      <c r="Q8" s="385"/>
      <c r="R8" s="385"/>
      <c r="S8" s="385"/>
      <c r="T8" s="385"/>
      <c r="U8" s="385"/>
    </row>
    <row r="9" spans="1:22">
      <c r="B9" s="39"/>
      <c r="C9" s="39"/>
      <c r="D9" s="40"/>
      <c r="E9" s="40"/>
      <c r="G9" s="41"/>
      <c r="H9" s="40"/>
      <c r="J9" s="40"/>
      <c r="K9" s="40"/>
      <c r="L9" s="40"/>
    </row>
    <row r="10" spans="1:22">
      <c r="B10" s="39"/>
      <c r="C10" s="39"/>
      <c r="D10" s="40"/>
      <c r="E10" s="40"/>
      <c r="F10" s="42"/>
      <c r="G10" s="41"/>
      <c r="H10" s="40"/>
      <c r="I10" s="43" t="s">
        <v>97</v>
      </c>
      <c r="J10" s="40"/>
      <c r="K10" s="44" t="s">
        <v>98</v>
      </c>
      <c r="L10" s="44"/>
      <c r="M10" s="44" t="s">
        <v>99</v>
      </c>
      <c r="O10" s="44" t="s">
        <v>100</v>
      </c>
      <c r="Q10" s="44" t="s">
        <v>101</v>
      </c>
      <c r="S10" s="44" t="s">
        <v>102</v>
      </c>
      <c r="U10" s="44" t="s">
        <v>103</v>
      </c>
    </row>
    <row r="11" spans="1:22">
      <c r="B11" s="39" t="s">
        <v>104</v>
      </c>
      <c r="C11" s="39"/>
      <c r="D11" s="40"/>
      <c r="E11" s="40"/>
      <c r="F11" s="40"/>
      <c r="G11" s="41"/>
      <c r="H11" s="40"/>
      <c r="I11" s="43" t="s">
        <v>105</v>
      </c>
      <c r="J11" s="40"/>
      <c r="K11" s="44" t="s">
        <v>105</v>
      </c>
      <c r="L11" s="44"/>
      <c r="M11" s="44" t="s">
        <v>105</v>
      </c>
      <c r="O11" s="44" t="s">
        <v>105</v>
      </c>
      <c r="Q11" s="44" t="s">
        <v>105</v>
      </c>
      <c r="S11" s="44" t="s">
        <v>105</v>
      </c>
      <c r="U11" s="44" t="s">
        <v>105</v>
      </c>
    </row>
    <row r="12" spans="1:22" ht="16.5" thickBot="1">
      <c r="B12" s="45" t="s">
        <v>106</v>
      </c>
      <c r="C12" s="39"/>
      <c r="D12" s="40"/>
      <c r="E12" s="39"/>
      <c r="F12" s="40"/>
      <c r="G12" s="40"/>
      <c r="H12" s="40"/>
      <c r="I12" s="43" t="s">
        <v>107</v>
      </c>
      <c r="J12" s="40"/>
      <c r="K12" s="43" t="s">
        <v>107</v>
      </c>
      <c r="L12" s="44"/>
      <c r="M12" s="43" t="s">
        <v>107</v>
      </c>
      <c r="O12" s="43" t="s">
        <v>107</v>
      </c>
      <c r="Q12" s="43" t="s">
        <v>107</v>
      </c>
      <c r="S12" s="43" t="s">
        <v>107</v>
      </c>
      <c r="U12" s="43" t="s">
        <v>107</v>
      </c>
    </row>
    <row r="13" spans="1:22">
      <c r="B13" s="39"/>
      <c r="C13" s="39"/>
      <c r="D13" s="40"/>
      <c r="E13" s="39"/>
      <c r="F13" s="40"/>
      <c r="G13" s="40"/>
      <c r="H13" s="40"/>
      <c r="J13" s="40"/>
      <c r="L13" s="40"/>
    </row>
    <row r="14" spans="1:22">
      <c r="A14" s="43" t="s">
        <v>108</v>
      </c>
      <c r="B14" s="46" t="s">
        <v>109</v>
      </c>
      <c r="C14" s="39"/>
      <c r="D14" s="40"/>
      <c r="E14" s="39"/>
      <c r="F14" s="40"/>
      <c r="G14" s="40"/>
      <c r="H14" s="40"/>
      <c r="J14" s="40"/>
      <c r="L14" s="40"/>
    </row>
    <row r="15" spans="1:22">
      <c r="A15" s="43"/>
      <c r="B15" s="39">
        <v>1</v>
      </c>
      <c r="C15" s="39"/>
      <c r="D15" s="33" t="s">
        <v>110</v>
      </c>
      <c r="E15" s="39"/>
      <c r="F15" s="40"/>
      <c r="G15" s="39" t="s">
        <v>111</v>
      </c>
      <c r="H15" s="40"/>
      <c r="I15" s="47">
        <f>SUM(K15,M15,O15,Q15,S15,U15)</f>
        <v>1410917338.9231982</v>
      </c>
      <c r="J15" s="48"/>
      <c r="K15" s="49">
        <v>559565773.72390115</v>
      </c>
      <c r="L15" s="50"/>
      <c r="M15" s="51">
        <v>222506652.50003731</v>
      </c>
      <c r="N15" s="52"/>
      <c r="O15" s="51">
        <v>107521697.0843986</v>
      </c>
      <c r="P15" s="52"/>
      <c r="Q15" s="51">
        <v>7766130.9145399369</v>
      </c>
      <c r="R15" s="52"/>
      <c r="S15" s="51">
        <v>497505783.43546569</v>
      </c>
      <c r="T15" s="52"/>
      <c r="U15" s="51">
        <v>16051301.264855489</v>
      </c>
    </row>
    <row r="16" spans="1:22">
      <c r="A16" s="43"/>
      <c r="B16" s="39"/>
      <c r="C16" s="39"/>
      <c r="D16" s="33"/>
      <c r="E16" s="39"/>
      <c r="F16" s="40"/>
      <c r="G16" s="40"/>
      <c r="H16" s="40"/>
      <c r="I16" s="47"/>
      <c r="J16" s="48"/>
      <c r="K16" s="52"/>
      <c r="L16" s="50"/>
      <c r="M16" s="52"/>
      <c r="N16" s="52"/>
      <c r="O16" s="52"/>
      <c r="P16" s="52"/>
      <c r="Q16" s="52"/>
      <c r="R16" s="52"/>
      <c r="S16" s="52"/>
      <c r="T16" s="52"/>
      <c r="U16" s="52"/>
    </row>
    <row r="17" spans="1:21">
      <c r="A17" s="43"/>
      <c r="B17" s="39">
        <f>+B15+1</f>
        <v>2</v>
      </c>
      <c r="C17" s="39"/>
      <c r="D17" s="40" t="s">
        <v>112</v>
      </c>
      <c r="E17" s="39"/>
      <c r="F17" s="40"/>
      <c r="G17" s="39" t="s">
        <v>113</v>
      </c>
      <c r="H17" s="40"/>
      <c r="I17" s="47">
        <f>SUM(K17,M17,O17,Q17,S17,U17)</f>
        <v>43836733.882830665</v>
      </c>
      <c r="J17" s="48"/>
      <c r="K17" s="51">
        <v>11605027.657431023</v>
      </c>
      <c r="L17" s="50"/>
      <c r="M17" s="51">
        <v>8288694.3466460332</v>
      </c>
      <c r="N17" s="52"/>
      <c r="O17" s="51">
        <v>514669.88577375311</v>
      </c>
      <c r="P17" s="52"/>
      <c r="Q17" s="51">
        <v>291874.18416688824</v>
      </c>
      <c r="R17" s="52"/>
      <c r="S17" s="51">
        <v>19212762.272064421</v>
      </c>
      <c r="T17" s="52"/>
      <c r="U17" s="51">
        <v>3923705.5367485438</v>
      </c>
    </row>
    <row r="18" spans="1:21">
      <c r="A18" s="43"/>
      <c r="B18" s="46"/>
      <c r="C18" s="39"/>
      <c r="D18" s="40"/>
      <c r="E18" s="39"/>
      <c r="F18" s="40"/>
      <c r="G18" s="40"/>
      <c r="H18" s="40"/>
      <c r="I18" s="53"/>
      <c r="J18" s="48"/>
      <c r="K18" s="53"/>
      <c r="L18" s="48"/>
      <c r="M18" s="53"/>
      <c r="N18" s="54"/>
      <c r="O18" s="53"/>
      <c r="P18" s="54"/>
      <c r="Q18" s="53"/>
      <c r="R18" s="54"/>
      <c r="S18" s="53"/>
      <c r="T18" s="54"/>
      <c r="U18" s="53"/>
    </row>
    <row r="19" spans="1:21" ht="33.75" customHeight="1">
      <c r="B19" s="39">
        <f>+B17+1</f>
        <v>3</v>
      </c>
      <c r="C19" s="39"/>
      <c r="D19" s="386" t="s">
        <v>114</v>
      </c>
      <c r="E19" s="386"/>
      <c r="F19" s="55"/>
      <c r="G19" s="39" t="s">
        <v>115</v>
      </c>
      <c r="H19" s="37"/>
      <c r="I19" s="54">
        <f>SUM(K19,M19,O19,Q19,S19,U19)</f>
        <v>1367080605.0403676</v>
      </c>
      <c r="J19" s="48"/>
      <c r="K19" s="48">
        <f>+K15-K17</f>
        <v>547960746.06647015</v>
      </c>
      <c r="L19" s="48"/>
      <c r="M19" s="48">
        <f>+M15-M17</f>
        <v>214217958.15339127</v>
      </c>
      <c r="N19" s="54"/>
      <c r="O19" s="48">
        <f>+O15-O17</f>
        <v>107007027.19862485</v>
      </c>
      <c r="P19" s="54"/>
      <c r="Q19" s="48">
        <f>+Q15-Q17</f>
        <v>7474256.7303730492</v>
      </c>
      <c r="R19" s="54"/>
      <c r="S19" s="48">
        <f>+S15-S17</f>
        <v>478293021.16340125</v>
      </c>
      <c r="T19" s="54"/>
      <c r="U19" s="48">
        <f>+U15-U17</f>
        <v>12127595.728106946</v>
      </c>
    </row>
    <row r="20" spans="1:21">
      <c r="B20" s="39"/>
      <c r="C20" s="39"/>
      <c r="D20" s="33"/>
      <c r="E20" s="40"/>
      <c r="F20" s="55"/>
      <c r="G20" s="37"/>
      <c r="H20" s="37"/>
      <c r="I20" s="54"/>
      <c r="J20" s="48"/>
      <c r="K20" s="48"/>
      <c r="L20" s="48"/>
      <c r="M20" s="48"/>
      <c r="N20" s="54"/>
      <c r="O20" s="48"/>
      <c r="P20" s="54"/>
      <c r="Q20" s="48"/>
      <c r="R20" s="54"/>
      <c r="S20" s="48"/>
      <c r="T20" s="54"/>
      <c r="U20" s="48"/>
    </row>
    <row r="21" spans="1:21">
      <c r="B21" s="39">
        <f>+B19+1</f>
        <v>4</v>
      </c>
      <c r="C21" s="39"/>
      <c r="D21" s="33" t="s">
        <v>116</v>
      </c>
      <c r="E21" s="40"/>
      <c r="F21" s="55"/>
      <c r="G21" s="37"/>
      <c r="H21" s="37"/>
      <c r="I21" s="54"/>
      <c r="J21" s="48"/>
      <c r="K21" s="54"/>
      <c r="L21" s="48"/>
      <c r="M21" s="54"/>
      <c r="N21" s="54"/>
      <c r="O21" s="54"/>
      <c r="P21" s="54"/>
      <c r="Q21" s="54"/>
      <c r="R21" s="54"/>
      <c r="S21" s="54"/>
      <c r="T21" s="54"/>
      <c r="U21" s="54"/>
    </row>
    <row r="22" spans="1:21">
      <c r="B22" s="39">
        <f>+B21+1</f>
        <v>5</v>
      </c>
      <c r="C22" s="39"/>
      <c r="D22" s="33" t="s">
        <v>117</v>
      </c>
      <c r="E22" s="40"/>
      <c r="F22" s="55"/>
      <c r="G22" s="39" t="s">
        <v>118</v>
      </c>
      <c r="H22" s="37"/>
      <c r="I22" s="56">
        <f>SUM(K22,M22,O22,Q22,S22,U22)</f>
        <v>43924196.57904157</v>
      </c>
      <c r="J22" s="57"/>
      <c r="K22" s="58">
        <v>27589930.064909387</v>
      </c>
      <c r="L22" s="59"/>
      <c r="M22" s="58">
        <v>7354071.1877318174</v>
      </c>
      <c r="N22" s="58"/>
      <c r="O22" s="58">
        <v>0</v>
      </c>
      <c r="P22" s="58"/>
      <c r="Q22" s="58">
        <v>0</v>
      </c>
      <c r="R22" s="58"/>
      <c r="S22" s="58">
        <v>8871135.4438028429</v>
      </c>
      <c r="T22" s="58"/>
      <c r="U22" s="58">
        <v>109059.8825975317</v>
      </c>
    </row>
    <row r="23" spans="1:21">
      <c r="B23" s="39">
        <f>+B22+1</f>
        <v>6</v>
      </c>
      <c r="C23" s="39"/>
      <c r="D23" s="33" t="s">
        <v>119</v>
      </c>
      <c r="E23" s="40"/>
      <c r="F23" s="55"/>
      <c r="G23" s="39" t="str">
        <f>"(Worksheet J)"</f>
        <v>(Worksheet J)</v>
      </c>
      <c r="H23" s="37"/>
      <c r="I23" s="60">
        <f>SUM(K23,M23,O23,Q23,S23,U23)</f>
        <v>0</v>
      </c>
      <c r="J23" s="57"/>
      <c r="K23" s="61">
        <v>0</v>
      </c>
      <c r="L23" s="62"/>
      <c r="M23" s="61">
        <v>0</v>
      </c>
      <c r="N23" s="56"/>
      <c r="O23" s="61">
        <v>0</v>
      </c>
      <c r="P23" s="56"/>
      <c r="Q23" s="61">
        <v>0</v>
      </c>
      <c r="R23" s="56"/>
      <c r="S23" s="61">
        <v>0</v>
      </c>
      <c r="T23" s="56"/>
      <c r="U23" s="61">
        <v>0</v>
      </c>
    </row>
    <row r="24" spans="1:21">
      <c r="B24" s="39">
        <f>+B23+1</f>
        <v>7</v>
      </c>
      <c r="C24" s="39"/>
      <c r="D24" s="63" t="s">
        <v>120</v>
      </c>
      <c r="E24" s="40" t="s">
        <v>121</v>
      </c>
      <c r="F24" s="55"/>
      <c r="G24" s="37"/>
      <c r="H24" s="37"/>
      <c r="I24" s="62">
        <f>+I23+I22</f>
        <v>43924196.57904157</v>
      </c>
      <c r="J24" s="57"/>
      <c r="K24" s="62">
        <f>+K23+K22</f>
        <v>27589930.064909387</v>
      </c>
      <c r="L24" s="62"/>
      <c r="M24" s="62">
        <f>+M23+M22</f>
        <v>7354071.1877318174</v>
      </c>
      <c r="N24" s="56"/>
      <c r="O24" s="62">
        <f>+O23+O22</f>
        <v>0</v>
      </c>
      <c r="P24" s="56"/>
      <c r="Q24" s="62">
        <f>+Q23+Q22</f>
        <v>0</v>
      </c>
      <c r="R24" s="56"/>
      <c r="S24" s="62">
        <f>+S23+S22</f>
        <v>8871135.4438028429</v>
      </c>
      <c r="T24" s="56"/>
      <c r="U24" s="62">
        <f>+U23+U22</f>
        <v>109059.8825975317</v>
      </c>
    </row>
    <row r="25" spans="1:21">
      <c r="B25" s="39"/>
      <c r="C25" s="39"/>
      <c r="D25" s="33"/>
      <c r="E25" s="40"/>
      <c r="F25" s="55"/>
      <c r="G25" s="37"/>
      <c r="H25" s="37"/>
      <c r="I25" s="64"/>
      <c r="J25" s="48"/>
      <c r="K25" s="65"/>
      <c r="L25" s="66"/>
      <c r="M25" s="65"/>
      <c r="N25" s="54"/>
      <c r="O25" s="65"/>
      <c r="P25" s="54"/>
      <c r="Q25" s="65"/>
      <c r="R25" s="54"/>
      <c r="S25" s="67"/>
      <c r="T25" s="54"/>
      <c r="U25" s="65"/>
    </row>
    <row r="26" spans="1:21">
      <c r="B26" s="39">
        <f>+B24+1</f>
        <v>8</v>
      </c>
      <c r="C26" s="39"/>
      <c r="D26" s="33" t="s">
        <v>122</v>
      </c>
      <c r="E26" s="40"/>
      <c r="G26" s="55" t="str">
        <f>"(Ln "&amp;B19&amp;"- Ln "&amp;B24&amp;")"</f>
        <v>(Ln 3- Ln 7)</v>
      </c>
      <c r="H26" s="37"/>
      <c r="I26" s="54">
        <f>SUM(K26,M26,O26,Q26,S26,U26)</f>
        <v>1323156408.4613261</v>
      </c>
      <c r="J26" s="48"/>
      <c r="K26" s="66">
        <f>+K19-K24</f>
        <v>520370816.00156075</v>
      </c>
      <c r="L26" s="66"/>
      <c r="M26" s="66">
        <f>+M19-M24</f>
        <v>206863886.96565944</v>
      </c>
      <c r="N26" s="54"/>
      <c r="O26" s="66">
        <f>+O19-O24</f>
        <v>107007027.19862485</v>
      </c>
      <c r="P26" s="54"/>
      <c r="Q26" s="66">
        <f>+Q19-Q24</f>
        <v>7474256.7303730492</v>
      </c>
      <c r="R26" s="54"/>
      <c r="S26" s="68">
        <f>+S19-S24</f>
        <v>469421885.71959841</v>
      </c>
      <c r="T26" s="54"/>
      <c r="U26" s="66">
        <f>+U19-U24</f>
        <v>12018535.845509414</v>
      </c>
    </row>
    <row r="27" spans="1:21">
      <c r="C27" s="39"/>
      <c r="E27" s="40"/>
      <c r="G27" s="37"/>
      <c r="H27" s="37"/>
      <c r="I27" s="54"/>
      <c r="J27" s="48"/>
      <c r="K27" s="54"/>
      <c r="L27" s="54"/>
      <c r="M27" s="54"/>
      <c r="N27" s="54"/>
      <c r="O27" s="54"/>
      <c r="P27" s="54"/>
      <c r="Q27" s="54"/>
      <c r="R27" s="54"/>
      <c r="S27" s="54"/>
      <c r="T27" s="54"/>
      <c r="U27" s="54"/>
    </row>
    <row r="28" spans="1:21">
      <c r="B28" s="39">
        <f>+B26+1</f>
        <v>9</v>
      </c>
      <c r="C28" s="39"/>
      <c r="D28" s="33" t="s">
        <v>123</v>
      </c>
      <c r="E28" s="40"/>
      <c r="F28" s="55"/>
      <c r="G28" s="39" t="str">
        <f>"(Worksheet J)"</f>
        <v>(Worksheet J)</v>
      </c>
      <c r="H28" s="37"/>
      <c r="I28" s="47">
        <f>SUM(K28,M28,O28,Q28,S28,U28)</f>
        <v>0</v>
      </c>
      <c r="J28" s="48"/>
      <c r="K28" s="69">
        <v>0</v>
      </c>
      <c r="L28" s="70"/>
      <c r="M28" s="69">
        <v>0</v>
      </c>
      <c r="N28" s="52"/>
      <c r="O28" s="69">
        <v>0</v>
      </c>
      <c r="P28" s="52"/>
      <c r="Q28" s="69">
        <v>0</v>
      </c>
      <c r="R28" s="52"/>
      <c r="S28" s="69">
        <v>0</v>
      </c>
      <c r="T28" s="52"/>
      <c r="U28" s="69">
        <v>0</v>
      </c>
    </row>
    <row r="29" spans="1:21">
      <c r="B29" s="39"/>
      <c r="C29" s="39"/>
      <c r="D29" s="33"/>
      <c r="E29" s="40"/>
      <c r="F29" s="55"/>
      <c r="G29" s="37"/>
      <c r="H29" s="37"/>
      <c r="I29" s="64"/>
      <c r="J29" s="48"/>
      <c r="K29" s="65"/>
      <c r="L29" s="66"/>
      <c r="M29" s="67"/>
      <c r="N29" s="54"/>
      <c r="O29" s="65"/>
      <c r="P29" s="54"/>
      <c r="Q29" s="65"/>
      <c r="R29" s="54"/>
      <c r="S29" s="67"/>
      <c r="T29" s="54"/>
      <c r="U29" s="65"/>
    </row>
    <row r="30" spans="1:21">
      <c r="B30" s="39">
        <f>+B28+1</f>
        <v>10</v>
      </c>
      <c r="C30" s="39"/>
      <c r="D30" s="33" t="s">
        <v>124</v>
      </c>
      <c r="E30" s="40"/>
      <c r="G30" s="55" t="str">
        <f>"(Ln "&amp;B26&amp;" + Ln "&amp;B28&amp;")"</f>
        <v>(Ln 8 + Ln 9)</v>
      </c>
      <c r="H30" s="37"/>
      <c r="I30" s="47">
        <f>+I26+I28</f>
        <v>1323156408.4613261</v>
      </c>
      <c r="J30" s="48"/>
      <c r="K30" s="66">
        <f>+K26+K28</f>
        <v>520370816.00156075</v>
      </c>
      <c r="L30" s="66"/>
      <c r="M30" s="68">
        <f>+M26+M28</f>
        <v>206863886.96565944</v>
      </c>
      <c r="N30" s="54"/>
      <c r="O30" s="66">
        <f>+O26+O28</f>
        <v>107007027.19862485</v>
      </c>
      <c r="P30" s="54"/>
      <c r="Q30" s="66">
        <f>+Q26+Q28</f>
        <v>7474256.7303730492</v>
      </c>
      <c r="R30" s="54"/>
      <c r="S30" s="68">
        <f>+S26+S28</f>
        <v>469421885.71959841</v>
      </c>
      <c r="T30" s="54"/>
      <c r="U30" s="66">
        <f>+U26+U28</f>
        <v>12018535.845509414</v>
      </c>
    </row>
    <row r="31" spans="1:21">
      <c r="I31" s="54"/>
      <c r="J31" s="54"/>
      <c r="K31" s="54"/>
      <c r="L31" s="54"/>
      <c r="M31" s="54"/>
      <c r="N31" s="54"/>
      <c r="O31" s="54"/>
      <c r="P31" s="54"/>
      <c r="Q31" s="54"/>
      <c r="R31" s="54"/>
      <c r="S31" s="54"/>
      <c r="T31" s="54"/>
      <c r="U31" s="54"/>
    </row>
    <row r="32" spans="1:21" hidden="1">
      <c r="B32" s="39">
        <f>+B30+1</f>
        <v>11</v>
      </c>
      <c r="C32" s="39"/>
      <c r="D32" s="33" t="str">
        <f>"BILLED HISTORICAL YEAR ("&amp;V1-1&amp;") ACTUAL ATRR"</f>
        <v>BILLED HISTORICAL YEAR (2024) ACTUAL ATRR</v>
      </c>
      <c r="E32" s="40"/>
      <c r="F32" s="55"/>
      <c r="G32" s="71" t="str">
        <f>"Input from "&amp;V1-1&amp;" True-up"</f>
        <v>Input from 2024 True-up</v>
      </c>
      <c r="H32" s="37"/>
      <c r="I32" s="72">
        <f>SUM(K32,M32,O32,Q32,S32,U32)</f>
        <v>0</v>
      </c>
      <c r="J32" s="48"/>
      <c r="K32" s="69">
        <v>0</v>
      </c>
      <c r="L32" s="70"/>
      <c r="M32" s="69">
        <v>0</v>
      </c>
      <c r="N32" s="52"/>
      <c r="O32" s="69">
        <v>0</v>
      </c>
      <c r="P32" s="52"/>
      <c r="Q32" s="69">
        <v>0</v>
      </c>
      <c r="R32" s="52"/>
      <c r="S32" s="69">
        <v>0</v>
      </c>
      <c r="T32" s="52"/>
      <c r="U32" s="69">
        <v>0</v>
      </c>
    </row>
    <row r="33" spans="1:28" hidden="1">
      <c r="B33" s="39">
        <f>+B32+1</f>
        <v>12</v>
      </c>
      <c r="C33" s="39"/>
      <c r="D33" s="33" t="str">
        <f>"BILLED PROJECTED ("&amp;V1-1&amp;") ATRR FROM PRIOR YEAR"</f>
        <v>BILLED PROJECTED (2024) ATRR FROM PRIOR YEAR</v>
      </c>
      <c r="E33" s="40"/>
      <c r="F33" s="55"/>
      <c r="G33" s="71" t="s">
        <v>125</v>
      </c>
      <c r="H33" s="37"/>
      <c r="I33" s="73">
        <f>SUM(K33,M33,O33,Q33,S33,U33)</f>
        <v>0</v>
      </c>
      <c r="J33" s="48"/>
      <c r="K33" s="74">
        <v>0</v>
      </c>
      <c r="L33" s="70"/>
      <c r="M33" s="74">
        <v>0</v>
      </c>
      <c r="N33" s="52"/>
      <c r="O33" s="74">
        <v>0</v>
      </c>
      <c r="P33" s="52"/>
      <c r="Q33" s="74">
        <v>0</v>
      </c>
      <c r="R33" s="52"/>
      <c r="S33" s="74">
        <v>0</v>
      </c>
      <c r="T33" s="52"/>
      <c r="U33" s="74">
        <v>0</v>
      </c>
    </row>
    <row r="34" spans="1:28">
      <c r="B34" s="39">
        <f>+B30+1</f>
        <v>11</v>
      </c>
      <c r="C34" s="39"/>
      <c r="D34" s="33" t="s">
        <v>126</v>
      </c>
      <c r="E34" s="40"/>
      <c r="F34" s="55"/>
      <c r="G34" s="55" t="s">
        <v>127</v>
      </c>
      <c r="H34" s="37"/>
      <c r="I34" s="54">
        <f>SUM(K34,M34,O34,Q34,S34,U34)</f>
        <v>-67367135.541287869</v>
      </c>
      <c r="J34" s="75"/>
      <c r="K34" s="75">
        <v>-43160628.899485238</v>
      </c>
      <c r="L34" s="75"/>
      <c r="M34" s="75">
        <v>-6261113.1509251324</v>
      </c>
      <c r="N34" s="75"/>
      <c r="O34" s="75">
        <v>2258560.2767313016</v>
      </c>
      <c r="P34" s="75"/>
      <c r="Q34" s="75">
        <v>83945.759737110289</v>
      </c>
      <c r="R34" s="75"/>
      <c r="S34" s="75">
        <v>-21035326.487950854</v>
      </c>
      <c r="T34" s="75"/>
      <c r="U34" s="75">
        <v>747426.9606049367</v>
      </c>
    </row>
    <row r="35" spans="1:28">
      <c r="B35" s="39"/>
      <c r="C35" s="39"/>
      <c r="D35" s="33"/>
      <c r="E35" s="40"/>
      <c r="F35" s="55"/>
      <c r="G35" s="55"/>
      <c r="H35" s="37"/>
      <c r="I35" s="54"/>
      <c r="J35" s="75"/>
      <c r="K35" s="75"/>
      <c r="L35" s="75"/>
      <c r="M35" s="75"/>
      <c r="N35" s="75"/>
      <c r="O35" s="75"/>
      <c r="P35" s="75"/>
      <c r="Q35" s="75"/>
      <c r="R35" s="75"/>
      <c r="S35" s="75"/>
      <c r="T35" s="75"/>
      <c r="U35" s="75"/>
    </row>
    <row r="36" spans="1:28">
      <c r="B36" s="76" t="s">
        <v>128</v>
      </c>
      <c r="D36" s="33" t="s">
        <v>129</v>
      </c>
      <c r="E36" s="40"/>
      <c r="F36" s="55"/>
      <c r="G36" s="71" t="s">
        <v>130</v>
      </c>
      <c r="H36" s="37"/>
      <c r="I36" s="54">
        <f>SUM(K36,M36,O36,Q36,S36,U36)</f>
        <v>10058192.314254154</v>
      </c>
      <c r="J36" s="48"/>
      <c r="K36" s="66"/>
      <c r="L36" s="66"/>
      <c r="M36" s="68">
        <v>343910.31425415445</v>
      </c>
      <c r="N36" s="54"/>
      <c r="O36" s="66"/>
      <c r="P36" s="54"/>
      <c r="Q36" s="66"/>
      <c r="R36" s="54"/>
      <c r="S36" s="68">
        <v>9714282</v>
      </c>
      <c r="T36" s="54"/>
      <c r="U36" s="66"/>
    </row>
    <row r="37" spans="1:28">
      <c r="B37" s="76"/>
      <c r="D37" s="33"/>
      <c r="E37" s="40"/>
      <c r="F37" s="55"/>
      <c r="G37" s="71"/>
      <c r="H37" s="37"/>
      <c r="I37" s="47"/>
      <c r="J37" s="48"/>
      <c r="K37" s="66"/>
      <c r="L37" s="66"/>
      <c r="M37" s="68"/>
      <c r="N37" s="54"/>
      <c r="O37" s="66"/>
      <c r="P37" s="54"/>
      <c r="Q37" s="66"/>
      <c r="R37" s="54"/>
      <c r="S37" s="68"/>
      <c r="T37" s="54"/>
      <c r="U37" s="66"/>
    </row>
    <row r="38" spans="1:28">
      <c r="B38" s="76" t="s">
        <v>131</v>
      </c>
      <c r="D38" s="33" t="s">
        <v>132</v>
      </c>
      <c r="E38" s="40"/>
      <c r="F38" s="55"/>
      <c r="G38" s="71"/>
      <c r="H38" s="37"/>
      <c r="I38" s="77">
        <f>SUM(K38,M38,O38,Q38,S38,U38)</f>
        <v>-11134182.340798557</v>
      </c>
      <c r="J38" s="48"/>
      <c r="K38" s="75">
        <v>-3425660.8676619469</v>
      </c>
      <c r="L38" s="75"/>
      <c r="M38" s="75">
        <v>-5697233.9898542212</v>
      </c>
      <c r="N38" s="75"/>
      <c r="O38" s="75">
        <v>-1674520.9962452902</v>
      </c>
      <c r="P38" s="75"/>
      <c r="Q38" s="75">
        <v>-323569.65046126442</v>
      </c>
      <c r="R38" s="75"/>
      <c r="S38" s="75">
        <v>0</v>
      </c>
      <c r="T38" s="75"/>
      <c r="U38" s="75">
        <v>-13196.836575836585</v>
      </c>
    </row>
    <row r="39" spans="1:28">
      <c r="B39" s="76"/>
      <c r="D39" s="33"/>
      <c r="E39" s="40"/>
      <c r="F39" s="55"/>
      <c r="G39" s="71"/>
      <c r="H39" s="37"/>
      <c r="I39" s="77"/>
      <c r="J39" s="48"/>
      <c r="K39" s="75"/>
      <c r="L39" s="75"/>
      <c r="M39" s="75"/>
      <c r="N39" s="75"/>
      <c r="O39" s="75"/>
      <c r="P39" s="75"/>
      <c r="Q39" s="75"/>
      <c r="R39" s="75"/>
      <c r="S39" s="75"/>
      <c r="T39" s="75"/>
      <c r="U39" s="75"/>
    </row>
    <row r="40" spans="1:28">
      <c r="B40" s="76" t="s">
        <v>133</v>
      </c>
      <c r="D40" s="33" t="s">
        <v>134</v>
      </c>
      <c r="E40" s="40"/>
      <c r="F40" s="55"/>
      <c r="G40" s="71"/>
      <c r="H40" s="37"/>
      <c r="I40" s="77">
        <f>SUM(K40,M40,O40,Q40,S40,U40)</f>
        <v>-526259.44403880124</v>
      </c>
      <c r="J40" s="48"/>
      <c r="K40" s="75">
        <v>-158937.22805463511</v>
      </c>
      <c r="L40" s="75"/>
      <c r="M40" s="75">
        <v>-108227.19477462504</v>
      </c>
      <c r="N40" s="75"/>
      <c r="O40" s="75">
        <v>-29570.203910298365</v>
      </c>
      <c r="P40" s="75"/>
      <c r="Q40" s="75">
        <v>-5407.1363043161782</v>
      </c>
      <c r="R40" s="75"/>
      <c r="S40" s="75">
        <v>-216218.82058169818</v>
      </c>
      <c r="T40" s="75"/>
      <c r="U40" s="75">
        <v>-7898.8604132283481</v>
      </c>
    </row>
    <row r="41" spans="1:28">
      <c r="B41" s="76"/>
      <c r="D41" s="33"/>
      <c r="E41" s="40"/>
      <c r="F41" s="55"/>
      <c r="G41" s="71"/>
      <c r="H41" s="37"/>
      <c r="I41" s="77"/>
      <c r="J41" s="48"/>
      <c r="K41" s="75"/>
      <c r="L41" s="75"/>
      <c r="M41" s="75"/>
      <c r="N41" s="75"/>
      <c r="O41" s="75"/>
      <c r="P41" s="75"/>
      <c r="Q41" s="75"/>
      <c r="R41" s="75"/>
      <c r="S41" s="75"/>
      <c r="T41" s="75"/>
      <c r="U41" s="75"/>
    </row>
    <row r="42" spans="1:28">
      <c r="B42" s="76" t="s">
        <v>135</v>
      </c>
      <c r="D42" s="33" t="s">
        <v>136</v>
      </c>
      <c r="E42" s="40"/>
      <c r="F42" s="55"/>
      <c r="G42" s="71"/>
      <c r="H42" s="37"/>
      <c r="I42" s="77">
        <f>SUM(K42,M42,O42,Q42,S42,U42)</f>
        <v>-1059603.8764816632</v>
      </c>
      <c r="J42" s="48"/>
      <c r="K42" s="75"/>
      <c r="L42" s="75"/>
      <c r="M42" s="75">
        <v>-1059603.8764816632</v>
      </c>
      <c r="N42" s="75"/>
      <c r="O42" s="75"/>
      <c r="P42" s="75"/>
      <c r="Q42" s="75"/>
      <c r="R42" s="75"/>
      <c r="S42" s="75"/>
      <c r="T42" s="75"/>
      <c r="U42" s="75"/>
    </row>
    <row r="43" spans="1:28" ht="15" customHeight="1">
      <c r="B43" s="76"/>
      <c r="D43" s="33"/>
      <c r="E43" s="40"/>
      <c r="F43" s="55"/>
      <c r="G43" s="71"/>
      <c r="H43" s="37"/>
      <c r="I43" s="47"/>
      <c r="J43" s="48"/>
      <c r="K43" s="66"/>
      <c r="L43" s="66"/>
      <c r="M43" s="68"/>
      <c r="N43" s="54"/>
      <c r="O43" s="66"/>
      <c r="P43" s="54"/>
      <c r="Q43" s="66"/>
      <c r="R43" s="54"/>
      <c r="S43" s="68"/>
      <c r="T43" s="54"/>
      <c r="U43" s="66"/>
    </row>
    <row r="44" spans="1:28" ht="15" customHeight="1">
      <c r="B44" s="76" t="s">
        <v>137</v>
      </c>
      <c r="D44" s="33" t="s">
        <v>138</v>
      </c>
      <c r="E44" s="40"/>
      <c r="F44" s="55"/>
      <c r="G44" s="71"/>
      <c r="H44" s="37"/>
      <c r="I44" s="77">
        <f>SUM(K44,M44,O44,Q44,S44,U44)</f>
        <v>-393739.89252976922</v>
      </c>
      <c r="J44" s="48"/>
      <c r="K44" s="75">
        <v>-40649.349542893295</v>
      </c>
      <c r="L44" s="75"/>
      <c r="M44" s="75">
        <v>-10083.500221914854</v>
      </c>
      <c r="N44" s="75"/>
      <c r="O44" s="75">
        <v>-153.52139967851366</v>
      </c>
      <c r="P44" s="75"/>
      <c r="Q44" s="75">
        <v>-10.315752925541503</v>
      </c>
      <c r="R44" s="75"/>
      <c r="S44" s="75">
        <v>-342820.17788799078</v>
      </c>
      <c r="T44" s="75"/>
      <c r="U44" s="75">
        <v>-23.027724366203813</v>
      </c>
    </row>
    <row r="45" spans="1:28" ht="15" customHeight="1" thickBot="1">
      <c r="B45" s="76"/>
      <c r="D45" s="33"/>
      <c r="E45" s="40"/>
      <c r="F45" s="55"/>
      <c r="G45" s="71"/>
      <c r="H45" s="37"/>
      <c r="I45" s="47"/>
      <c r="J45" s="48"/>
      <c r="K45" s="66"/>
      <c r="L45" s="66"/>
      <c r="M45" s="68"/>
      <c r="N45" s="54"/>
      <c r="O45" s="66"/>
      <c r="P45" s="54"/>
      <c r="Q45" s="66"/>
      <c r="R45" s="54"/>
      <c r="S45" s="68"/>
      <c r="T45" s="54"/>
      <c r="U45" s="66"/>
    </row>
    <row r="46" spans="1:28" ht="16.5" thickBot="1">
      <c r="B46" s="39">
        <f>+B34+1</f>
        <v>12</v>
      </c>
      <c r="C46" s="39"/>
      <c r="D46" s="78" t="s">
        <v>139</v>
      </c>
      <c r="E46" s="79"/>
      <c r="F46" s="80"/>
      <c r="G46" s="81" t="str">
        <f>"(Ln "&amp;B30&amp;" + Ln "&amp;B34&amp;")"</f>
        <v>(Ln 10 + Ln 11)</v>
      </c>
      <c r="H46" s="82"/>
      <c r="I46" s="83">
        <f>+I30+I34+I36+I38+I40+I42+I44</f>
        <v>1252733679.6804433</v>
      </c>
      <c r="J46" s="48"/>
      <c r="K46" s="83">
        <f>+K30+K34+K36+K38+K40+K42+K44</f>
        <v>473584939.65681601</v>
      </c>
      <c r="L46" s="48"/>
      <c r="M46" s="83">
        <f>+M30+M34+M36+M38+M40+M42+M44</f>
        <v>194071535.56765607</v>
      </c>
      <c r="N46" s="54"/>
      <c r="O46" s="83">
        <f>+O30+O34+O36+O38+O40+O42+O44</f>
        <v>107561342.75380088</v>
      </c>
      <c r="P46" s="54"/>
      <c r="Q46" s="83">
        <f>+Q30+Q34+Q36+Q38+Q40+Q42+Q44</f>
        <v>7229215.3875916535</v>
      </c>
      <c r="R46" s="54"/>
      <c r="S46" s="83">
        <f>+S30+S34+S36+S38+S40+S42+S44</f>
        <v>457541802.2331779</v>
      </c>
      <c r="T46" s="54"/>
      <c r="U46" s="83">
        <f>+U30+U34+U36+U38+U40+U42+U44</f>
        <v>12744844.081400918</v>
      </c>
      <c r="W46" s="84"/>
      <c r="X46" s="85"/>
      <c r="Y46" s="85"/>
      <c r="Z46" s="85"/>
      <c r="AA46" s="85"/>
      <c r="AB46" s="85"/>
    </row>
    <row r="47" spans="1:28">
      <c r="B47" s="39"/>
      <c r="C47" s="39"/>
      <c r="D47" s="33"/>
      <c r="E47" s="40"/>
      <c r="G47" s="55"/>
      <c r="H47" s="37"/>
      <c r="I47" s="48"/>
      <c r="J47" s="37"/>
      <c r="L47" s="48"/>
      <c r="N47" s="48"/>
      <c r="P47" s="84"/>
      <c r="Q47" s="85"/>
      <c r="R47" s="85"/>
      <c r="S47" s="85"/>
      <c r="T47" s="85"/>
      <c r="U47" s="85"/>
    </row>
    <row r="48" spans="1:28">
      <c r="A48" s="43" t="s">
        <v>140</v>
      </c>
      <c r="B48" s="46" t="s">
        <v>141</v>
      </c>
      <c r="C48" s="39"/>
      <c r="D48" s="40"/>
      <c r="E48" s="86" t="s">
        <v>121</v>
      </c>
      <c r="F48" s="40"/>
      <c r="G48" s="40"/>
      <c r="H48" s="40"/>
      <c r="I48" s="48"/>
      <c r="J48" s="40"/>
      <c r="K48" s="52"/>
      <c r="L48" s="87"/>
      <c r="M48" s="52"/>
      <c r="N48" s="87"/>
      <c r="P48" s="84"/>
      <c r="Q48" s="85"/>
      <c r="R48" s="85"/>
      <c r="S48" s="85"/>
      <c r="T48" s="85"/>
      <c r="U48" s="85"/>
    </row>
    <row r="49" spans="1:28">
      <c r="B49" s="39">
        <f>+B46+1</f>
        <v>13</v>
      </c>
      <c r="C49" s="39"/>
      <c r="D49" s="33" t="str">
        <f>""&amp;V1&amp;" AEP East Zone Network Service Peak Load (1 CP)"</f>
        <v>2025 AEP East Zone Network Service Peak Load (1 CP)</v>
      </c>
      <c r="E49" s="40"/>
      <c r="F49" s="55"/>
      <c r="G49" s="71"/>
      <c r="H49" s="37"/>
      <c r="I49" s="88">
        <v>22318</v>
      </c>
      <c r="J49" s="37" t="s">
        <v>2</v>
      </c>
      <c r="L49" s="48"/>
      <c r="N49" s="48"/>
      <c r="P49" s="84"/>
      <c r="Q49" s="85"/>
      <c r="R49" s="85"/>
      <c r="S49" s="85"/>
      <c r="T49" s="85"/>
      <c r="U49" s="85"/>
    </row>
    <row r="50" spans="1:28">
      <c r="B50" s="33"/>
      <c r="C50" s="33"/>
      <c r="D50" s="33"/>
      <c r="E50" s="33"/>
      <c r="F50" s="33"/>
      <c r="G50" s="38"/>
      <c r="H50" s="33"/>
      <c r="I50" s="36"/>
      <c r="J50" s="33"/>
      <c r="K50" s="33"/>
      <c r="L50" s="33"/>
      <c r="M50" s="33"/>
      <c r="N50" s="33"/>
      <c r="O50" s="33"/>
      <c r="P50" s="84"/>
      <c r="Q50" s="85"/>
      <c r="R50" s="85"/>
      <c r="S50" s="85"/>
      <c r="T50" s="85"/>
      <c r="U50" s="85"/>
    </row>
    <row r="51" spans="1:28">
      <c r="B51" s="39">
        <f>+B49+1</f>
        <v>14</v>
      </c>
      <c r="C51" s="33"/>
      <c r="D51" s="33" t="str">
        <f>"Annual Point-to-Point Rate in $/MW - Year"</f>
        <v>Annual Point-to-Point Rate in $/MW - Year</v>
      </c>
      <c r="E51" s="33"/>
      <c r="F51" s="33"/>
      <c r="G51" s="89" t="str">
        <f>"(Ln "&amp;B46&amp;" / Ln "&amp;B49&amp;")"</f>
        <v>(Ln 12 / Ln 13)</v>
      </c>
      <c r="H51" s="33"/>
      <c r="I51" s="34">
        <f>ROUND(+I46/I49,4)</f>
        <v>56131.090600000003</v>
      </c>
      <c r="J51" s="33"/>
      <c r="K51" s="33"/>
      <c r="L51" s="33"/>
      <c r="M51" s="33"/>
      <c r="N51" s="33"/>
      <c r="O51" s="33"/>
      <c r="P51" s="84"/>
      <c r="Q51" s="85"/>
      <c r="R51" s="85"/>
      <c r="S51" s="85"/>
      <c r="T51" s="85"/>
      <c r="U51" s="85"/>
    </row>
    <row r="52" spans="1:28">
      <c r="B52" s="39">
        <f t="shared" ref="B52:B57" si="0">+B51+1</f>
        <v>15</v>
      </c>
      <c r="C52" s="33"/>
      <c r="D52" s="33" t="str">
        <f>"Monthly Point-to-Point Rate in $/MW - Month"</f>
        <v>Monthly Point-to-Point Rate in $/MW - Month</v>
      </c>
      <c r="E52" s="33"/>
      <c r="F52" s="33"/>
      <c r="G52" s="89" t="str">
        <f>"(Ln "&amp;B51&amp;" / 12)"</f>
        <v>(Ln 14 / 12)</v>
      </c>
      <c r="H52" s="33"/>
      <c r="I52" s="34">
        <f>ROUND(+I$51/12,4)</f>
        <v>4677.5909000000001</v>
      </c>
      <c r="J52" s="33"/>
      <c r="K52" s="33"/>
      <c r="L52" s="33"/>
      <c r="M52" s="33"/>
      <c r="N52" s="33"/>
      <c r="O52" s="33"/>
      <c r="P52" s="84"/>
      <c r="Q52" s="85"/>
      <c r="R52" s="85"/>
      <c r="S52" s="85"/>
      <c r="T52" s="85"/>
      <c r="U52" s="85"/>
    </row>
    <row r="53" spans="1:28">
      <c r="B53" s="39">
        <f t="shared" si="0"/>
        <v>16</v>
      </c>
      <c r="C53" s="33"/>
      <c r="D53" s="33" t="str">
        <f>"Weekly Point-to-Point Rate in $/MW - Weekly"</f>
        <v>Weekly Point-to-Point Rate in $/MW - Weekly</v>
      </c>
      <c r="E53" s="33"/>
      <c r="F53" s="33"/>
      <c r="G53" s="89" t="str">
        <f>"(Ln "&amp;B51&amp;" / 52)"</f>
        <v>(Ln 14 / 52)</v>
      </c>
      <c r="H53" s="33"/>
      <c r="I53" s="34">
        <f>ROUND(+I51/52,4)</f>
        <v>1079.4440999999999</v>
      </c>
      <c r="J53" s="33"/>
      <c r="K53" s="33"/>
      <c r="L53" s="33"/>
      <c r="M53" s="33"/>
      <c r="N53" s="33"/>
      <c r="O53" s="33"/>
      <c r="P53" s="84"/>
      <c r="Q53" s="85"/>
      <c r="R53" s="85"/>
      <c r="S53" s="85"/>
      <c r="T53" s="85"/>
      <c r="U53" s="85"/>
    </row>
    <row r="54" spans="1:28">
      <c r="B54" s="39">
        <f t="shared" si="0"/>
        <v>17</v>
      </c>
      <c r="C54" s="33"/>
      <c r="D54" s="33" t="str">
        <f>"Daily On-Peak Point-to-Point Rate in $/MW - Day"</f>
        <v>Daily On-Peak Point-to-Point Rate in $/MW - Day</v>
      </c>
      <c r="E54" s="33"/>
      <c r="F54" s="33"/>
      <c r="G54" s="89" t="str">
        <f>"(Ln "&amp;B51&amp;" / 260)"</f>
        <v>(Ln 14 / 260)</v>
      </c>
      <c r="H54" s="33"/>
      <c r="I54" s="34">
        <f>ROUND(+I51/260,4)</f>
        <v>215.8888</v>
      </c>
      <c r="J54" s="33"/>
      <c r="K54" s="33"/>
      <c r="L54" s="33"/>
      <c r="M54" s="33"/>
      <c r="N54" s="33"/>
      <c r="O54" s="33"/>
      <c r="P54" s="84"/>
      <c r="Q54" s="85"/>
      <c r="R54" s="85"/>
      <c r="S54" s="85"/>
      <c r="T54" s="85"/>
      <c r="U54" s="85"/>
    </row>
    <row r="55" spans="1:28">
      <c r="B55" s="39">
        <f t="shared" si="0"/>
        <v>18</v>
      </c>
      <c r="C55" s="33"/>
      <c r="D55" s="33" t="str">
        <f>"Daily Off-Peak Point-to-Point Rate in $/MW - Day"</f>
        <v>Daily Off-Peak Point-to-Point Rate in $/MW - Day</v>
      </c>
      <c r="E55" s="33"/>
      <c r="F55" s="33"/>
      <c r="G55" s="89" t="str">
        <f>"(Ln "&amp;B51&amp;" / 365)"</f>
        <v>(Ln 14 / 365)</v>
      </c>
      <c r="H55" s="33"/>
      <c r="I55" s="34">
        <f>ROUND(+I51/365,4)</f>
        <v>153.78380000000001</v>
      </c>
      <c r="J55" s="33"/>
      <c r="K55" s="33"/>
      <c r="L55" s="33"/>
      <c r="M55" s="33"/>
      <c r="N55" s="33"/>
      <c r="O55" s="33"/>
      <c r="P55" s="84"/>
      <c r="Q55" s="85"/>
      <c r="R55" s="85"/>
      <c r="S55" s="85"/>
      <c r="T55" s="85"/>
      <c r="U55" s="85"/>
    </row>
    <row r="56" spans="1:28">
      <c r="B56" s="39">
        <f t="shared" si="0"/>
        <v>19</v>
      </c>
      <c r="C56" s="33"/>
      <c r="D56" s="33" t="str">
        <f>"Hourly On-Peak Point-to-Point Rate in $/MW - Hour"</f>
        <v>Hourly On-Peak Point-to-Point Rate in $/MW - Hour</v>
      </c>
      <c r="E56" s="33"/>
      <c r="F56" s="33"/>
      <c r="G56" s="89" t="str">
        <f>"(Ln "&amp;B51&amp;" / 4160)"</f>
        <v>(Ln 14 / 4160)</v>
      </c>
      <c r="H56" s="33"/>
      <c r="I56" s="34">
        <f>ROUND(+I51/4160,4)</f>
        <v>13.4931</v>
      </c>
      <c r="J56" s="33"/>
      <c r="K56" s="33"/>
      <c r="L56" s="33"/>
      <c r="M56" s="33"/>
      <c r="N56" s="33"/>
      <c r="O56" s="33"/>
      <c r="P56" s="84"/>
      <c r="Q56" s="85"/>
      <c r="R56" s="85"/>
      <c r="S56" s="85"/>
      <c r="T56" s="85"/>
      <c r="U56" s="85"/>
    </row>
    <row r="57" spans="1:28">
      <c r="B57" s="39">
        <f t="shared" si="0"/>
        <v>20</v>
      </c>
      <c r="C57" s="33"/>
      <c r="D57" s="33" t="str">
        <f>"Hourly Off-Peak Point-to-Point Rate in $/MW - Hour"</f>
        <v>Hourly Off-Peak Point-to-Point Rate in $/MW - Hour</v>
      </c>
      <c r="E57" s="33"/>
      <c r="F57" s="33"/>
      <c r="G57" s="89" t="str">
        <f>"(Ln "&amp;B51&amp;" / 8760)"</f>
        <v>(Ln 14 / 8760)</v>
      </c>
      <c r="H57" s="33"/>
      <c r="I57" s="34">
        <f>ROUND(+I51/8760,4)</f>
        <v>6.4077000000000002</v>
      </c>
      <c r="J57" s="33"/>
      <c r="K57" s="33"/>
      <c r="L57" s="33"/>
      <c r="M57" s="33"/>
      <c r="N57" s="33"/>
      <c r="O57" s="33"/>
      <c r="P57" s="84"/>
      <c r="Q57" s="85"/>
      <c r="R57" s="85"/>
      <c r="S57" s="85"/>
      <c r="T57" s="85"/>
      <c r="U57" s="85"/>
    </row>
    <row r="58" spans="1:28">
      <c r="G58" s="76"/>
      <c r="H58" s="37"/>
      <c r="J58" s="37"/>
      <c r="K58" s="33"/>
      <c r="L58" s="33"/>
      <c r="M58" s="33"/>
      <c r="N58" s="33"/>
      <c r="O58" s="33"/>
      <c r="P58" s="33"/>
      <c r="Q58" s="33"/>
      <c r="R58" s="33"/>
      <c r="S58" s="33"/>
      <c r="T58" s="33"/>
      <c r="U58" s="33"/>
      <c r="V58" s="33"/>
      <c r="W58" s="90"/>
      <c r="X58" s="91"/>
      <c r="Y58" s="91"/>
      <c r="Z58" s="91"/>
      <c r="AA58" s="91"/>
      <c r="AB58" s="91"/>
    </row>
    <row r="59" spans="1:28">
      <c r="A59" s="43" t="s">
        <v>142</v>
      </c>
      <c r="B59" s="46" t="s">
        <v>143</v>
      </c>
      <c r="C59" s="39"/>
      <c r="D59" s="40"/>
      <c r="E59" s="39"/>
      <c r="F59" s="40"/>
      <c r="G59" s="39"/>
      <c r="H59" s="40"/>
      <c r="J59" s="40"/>
      <c r="L59" s="40"/>
    </row>
    <row r="60" spans="1:28">
      <c r="B60" s="38">
        <f>+B57+1</f>
        <v>21</v>
      </c>
      <c r="C60" s="33"/>
      <c r="D60" s="33" t="str">
        <f>"RTEP UPGRADE ATRR W/O INCENTIVES"</f>
        <v>RTEP UPGRADE ATRR W/O INCENTIVES</v>
      </c>
      <c r="G60" s="55" t="str">
        <f>"(Ln "&amp;B24&amp;")"</f>
        <v>(Ln 7)</v>
      </c>
      <c r="H60" s="33"/>
      <c r="I60" s="92">
        <f t="shared" ref="I60:I65" si="1">SUM(K60,M60,O60,Q60,S60,U60)</f>
        <v>43924196.57904157</v>
      </c>
      <c r="J60" s="33"/>
      <c r="K60" s="93">
        <f>K24</f>
        <v>27589930.064909387</v>
      </c>
      <c r="L60" s="33"/>
      <c r="M60" s="93">
        <f>M24</f>
        <v>7354071.1877318174</v>
      </c>
      <c r="N60" s="36"/>
      <c r="O60" s="93">
        <f>O24</f>
        <v>0</v>
      </c>
      <c r="P60" s="36"/>
      <c r="Q60" s="93">
        <f>Q24</f>
        <v>0</v>
      </c>
      <c r="R60" s="36"/>
      <c r="S60" s="93">
        <f>S24</f>
        <v>8871135.4438028429</v>
      </c>
      <c r="T60" s="36"/>
      <c r="U60" s="93">
        <f>U24</f>
        <v>109059.8825975317</v>
      </c>
      <c r="Y60" s="33"/>
      <c r="AA60" s="33"/>
    </row>
    <row r="61" spans="1:28">
      <c r="B61" s="38">
        <f>+B60+1</f>
        <v>22</v>
      </c>
      <c r="C61" s="33"/>
      <c r="D61" s="34" t="s">
        <v>144</v>
      </c>
      <c r="G61" s="71" t="str">
        <f>"(Worksheet J)"</f>
        <v>(Worksheet J)</v>
      </c>
      <c r="H61" s="33"/>
      <c r="I61" s="92">
        <f t="shared" si="1"/>
        <v>0</v>
      </c>
      <c r="J61" s="33"/>
      <c r="K61" s="94">
        <v>0</v>
      </c>
      <c r="L61" s="33"/>
      <c r="M61" s="94">
        <v>0</v>
      </c>
      <c r="N61" s="36"/>
      <c r="O61" s="94">
        <v>0</v>
      </c>
      <c r="P61" s="36"/>
      <c r="Q61" s="94">
        <v>0</v>
      </c>
      <c r="R61" s="36"/>
      <c r="S61" s="94">
        <v>0</v>
      </c>
      <c r="T61" s="36"/>
      <c r="U61" s="94">
        <v>0</v>
      </c>
    </row>
    <row r="62" spans="1:28">
      <c r="B62" s="38">
        <f>+B61+1</f>
        <v>23</v>
      </c>
      <c r="C62" s="33"/>
      <c r="D62" s="34" t="s">
        <v>145</v>
      </c>
      <c r="G62" s="55" t="s">
        <v>127</v>
      </c>
      <c r="H62" s="33"/>
      <c r="I62" s="92">
        <f t="shared" si="1"/>
        <v>-1517026.6943023375</v>
      </c>
      <c r="J62" s="33"/>
      <c r="K62" s="95">
        <v>-399786.69150450401</v>
      </c>
      <c r="L62" s="93"/>
      <c r="M62" s="96">
        <v>-721848.28204455879</v>
      </c>
      <c r="N62" s="92"/>
      <c r="O62" s="96">
        <v>0</v>
      </c>
      <c r="P62" s="92"/>
      <c r="Q62" s="96">
        <v>0</v>
      </c>
      <c r="R62" s="92"/>
      <c r="S62" s="96">
        <v>-401121.39510394237</v>
      </c>
      <c r="T62" s="92"/>
      <c r="U62" s="96">
        <v>5729.6743506678094</v>
      </c>
    </row>
    <row r="63" spans="1:28">
      <c r="B63" s="38">
        <f t="shared" ref="B63:B66" si="2">+B62+1</f>
        <v>24</v>
      </c>
      <c r="C63" s="33"/>
      <c r="D63" s="34" t="s">
        <v>146</v>
      </c>
      <c r="G63" s="55"/>
      <c r="H63" s="33"/>
      <c r="I63" s="92">
        <f t="shared" si="1"/>
        <v>-452014.4542662875</v>
      </c>
      <c r="J63" s="33"/>
      <c r="K63" s="95">
        <v>-251135.96111585444</v>
      </c>
      <c r="L63" s="93"/>
      <c r="M63" s="96">
        <v>-200775.33408756714</v>
      </c>
      <c r="N63" s="92"/>
      <c r="O63" s="96">
        <v>0</v>
      </c>
      <c r="P63" s="92"/>
      <c r="Q63" s="96">
        <v>0</v>
      </c>
      <c r="R63" s="92"/>
      <c r="S63" s="96">
        <v>0</v>
      </c>
      <c r="T63" s="92"/>
      <c r="U63" s="96">
        <v>-103.1590628659107</v>
      </c>
    </row>
    <row r="64" spans="1:28">
      <c r="B64" s="38">
        <f t="shared" si="2"/>
        <v>25</v>
      </c>
      <c r="C64" s="33"/>
      <c r="D64" s="34" t="s">
        <v>147</v>
      </c>
      <c r="G64" s="55"/>
      <c r="H64" s="33"/>
      <c r="I64" s="92">
        <f t="shared" si="1"/>
        <v>-26040.209018007805</v>
      </c>
      <c r="J64" s="33"/>
      <c r="K64" s="95">
        <v>-13841.416865749008</v>
      </c>
      <c r="L64" s="93"/>
      <c r="M64" s="96">
        <v>-4043.1300556546084</v>
      </c>
      <c r="N64" s="92"/>
      <c r="O64" s="96">
        <v>0</v>
      </c>
      <c r="P64" s="92"/>
      <c r="Q64" s="96">
        <v>0</v>
      </c>
      <c r="R64" s="92"/>
      <c r="S64" s="96">
        <v>-8083.0800509682113</v>
      </c>
      <c r="T64" s="92"/>
      <c r="U64" s="96">
        <v>-72.582045635977451</v>
      </c>
    </row>
    <row r="65" spans="2:21" ht="16.5" thickBot="1">
      <c r="B65" s="38">
        <f t="shared" si="2"/>
        <v>26</v>
      </c>
      <c r="C65" s="33"/>
      <c r="D65" s="34" t="s">
        <v>148</v>
      </c>
      <c r="G65" s="55"/>
      <c r="H65" s="33"/>
      <c r="I65" s="92">
        <f t="shared" si="1"/>
        <v>1059603.8764816632</v>
      </c>
      <c r="J65" s="33"/>
      <c r="K65" s="95"/>
      <c r="L65" s="93"/>
      <c r="M65" s="96">
        <f>-M42</f>
        <v>1059603.8764816632</v>
      </c>
      <c r="N65" s="92"/>
      <c r="O65" s="96"/>
      <c r="P65" s="92"/>
      <c r="Q65" s="96"/>
      <c r="R65" s="92"/>
      <c r="S65" s="96"/>
      <c r="T65" s="92"/>
      <c r="U65" s="96"/>
    </row>
    <row r="66" spans="2:21" ht="16.5" thickBot="1">
      <c r="B66" s="38">
        <f t="shared" si="2"/>
        <v>27</v>
      </c>
      <c r="C66" s="33"/>
      <c r="D66" s="97" t="s">
        <v>149</v>
      </c>
      <c r="E66" s="80"/>
      <c r="F66" s="80"/>
      <c r="G66" s="98"/>
      <c r="H66" s="98"/>
      <c r="I66" s="99">
        <f>+I60+I61+I62+I63+I64+I65</f>
        <v>42988719.0979366</v>
      </c>
      <c r="J66" s="33"/>
      <c r="K66" s="100">
        <f>+K60+K61+K62+K63+K64+K65</f>
        <v>26925165.99542328</v>
      </c>
      <c r="L66" s="33"/>
      <c r="M66" s="100">
        <f>+M60+M61+M62+M63+M64+M65</f>
        <v>7487008.3180256998</v>
      </c>
      <c r="N66" s="36"/>
      <c r="O66" s="100">
        <f>+O60+O61+O62+O63+O64+O65</f>
        <v>0</v>
      </c>
      <c r="P66" s="36"/>
      <c r="Q66" s="100">
        <f>+Q60+Q61+Q62+Q63+Q64+Q65</f>
        <v>0</v>
      </c>
      <c r="R66" s="36"/>
      <c r="S66" s="100">
        <f>+S60+S61+S62+S63+S64+S65</f>
        <v>8461930.9686479326</v>
      </c>
      <c r="T66" s="36"/>
      <c r="U66" s="100">
        <f>+U60+U61+U62+U63+U64+U65</f>
        <v>114613.81583969761</v>
      </c>
    </row>
    <row r="67" spans="2:21">
      <c r="B67" s="33"/>
      <c r="C67" s="33"/>
      <c r="D67" s="33"/>
      <c r="E67" s="33"/>
      <c r="F67" s="33"/>
      <c r="G67" s="33"/>
      <c r="H67" s="33"/>
      <c r="I67" s="36"/>
      <c r="J67" s="33"/>
      <c r="K67" s="33"/>
      <c r="L67" s="33"/>
      <c r="M67" s="33"/>
      <c r="N67" s="36"/>
      <c r="O67" s="33"/>
      <c r="P67" s="36"/>
      <c r="Q67" s="33"/>
      <c r="R67" s="36"/>
      <c r="S67" s="33"/>
      <c r="T67" s="36"/>
      <c r="U67" s="33"/>
    </row>
    <row r="68" spans="2:21">
      <c r="B68" s="33"/>
      <c r="C68" s="33"/>
      <c r="D68" s="33" t="s">
        <v>121</v>
      </c>
      <c r="E68" s="101" t="s">
        <v>121</v>
      </c>
      <c r="F68" s="33"/>
      <c r="G68" s="33"/>
      <c r="H68" s="33"/>
      <c r="I68" s="36"/>
      <c r="J68" s="33"/>
      <c r="K68" s="33"/>
      <c r="L68" s="33"/>
      <c r="M68" s="33"/>
      <c r="N68" s="36"/>
      <c r="O68" s="33"/>
      <c r="P68" s="36"/>
      <c r="Q68" s="33"/>
      <c r="R68" s="36"/>
      <c r="S68" s="33"/>
      <c r="T68" s="36"/>
      <c r="U68" s="33"/>
    </row>
    <row r="69" spans="2:21">
      <c r="B69" s="33"/>
      <c r="C69" s="33"/>
      <c r="D69" s="33" t="s">
        <v>150</v>
      </c>
      <c r="E69" s="101" t="s">
        <v>121</v>
      </c>
      <c r="F69" s="33"/>
      <c r="G69" s="33"/>
      <c r="H69" s="33"/>
      <c r="I69" s="102"/>
      <c r="J69" s="33"/>
      <c r="K69" s="33"/>
      <c r="L69" s="33"/>
      <c r="M69" s="33"/>
      <c r="N69" s="36"/>
      <c r="O69" s="33"/>
      <c r="P69" s="36"/>
      <c r="Q69" s="33"/>
      <c r="R69" s="36"/>
      <c r="S69" s="33"/>
      <c r="T69" s="36"/>
      <c r="U69" s="33"/>
    </row>
    <row r="70" spans="2:21">
      <c r="B70" s="33"/>
      <c r="C70" s="33"/>
      <c r="D70" s="33"/>
      <c r="E70" s="33"/>
      <c r="F70" s="33"/>
      <c r="G70" s="103" t="s">
        <v>121</v>
      </c>
      <c r="H70" s="33"/>
      <c r="I70" s="54"/>
      <c r="J70" s="33"/>
      <c r="K70" s="33"/>
      <c r="L70" s="33"/>
      <c r="M70" s="33"/>
      <c r="N70" s="36"/>
      <c r="O70" s="33"/>
      <c r="P70" s="36"/>
      <c r="Q70" s="33"/>
      <c r="R70" s="36"/>
      <c r="S70" s="33"/>
      <c r="T70" s="36"/>
      <c r="U70" s="33"/>
    </row>
    <row r="71" spans="2:21">
      <c r="B71" s="40"/>
      <c r="C71" s="40"/>
      <c r="D71" s="40"/>
      <c r="E71" s="40"/>
      <c r="F71" s="40"/>
      <c r="G71" s="40"/>
      <c r="H71" s="40"/>
      <c r="I71" s="36"/>
      <c r="J71" s="40"/>
      <c r="K71" s="40"/>
      <c r="L71" s="40"/>
      <c r="M71" s="40"/>
      <c r="N71" s="36"/>
      <c r="O71" s="40"/>
      <c r="P71" s="36"/>
      <c r="Q71" s="40"/>
      <c r="R71" s="36"/>
      <c r="S71" s="40"/>
      <c r="T71" s="36"/>
      <c r="U71" s="40"/>
    </row>
    <row r="72" spans="2:21">
      <c r="B72" s="40"/>
      <c r="C72" s="40"/>
      <c r="D72" s="40"/>
      <c r="E72" s="40"/>
      <c r="F72" s="40"/>
      <c r="G72" s="40"/>
      <c r="H72" s="40"/>
      <c r="I72" s="36"/>
      <c r="J72" s="40"/>
      <c r="K72" s="40"/>
      <c r="L72" s="40"/>
      <c r="M72" s="40"/>
      <c r="N72" s="36"/>
      <c r="O72" s="40"/>
      <c r="P72" s="36"/>
      <c r="Q72" s="40"/>
      <c r="R72" s="36"/>
      <c r="S72" s="40"/>
      <c r="T72" s="36"/>
      <c r="U72" s="40"/>
    </row>
    <row r="73" spans="2:21">
      <c r="B73" s="40"/>
      <c r="C73" s="40" t="s">
        <v>121</v>
      </c>
      <c r="D73" s="40" t="s">
        <v>121</v>
      </c>
      <c r="E73" s="40"/>
      <c r="F73" s="40"/>
      <c r="G73" s="40"/>
      <c r="H73" s="40"/>
      <c r="I73" s="36"/>
      <c r="J73" s="40"/>
      <c r="K73" s="40"/>
      <c r="L73" s="40"/>
      <c r="M73" s="36"/>
      <c r="N73" s="36"/>
      <c r="O73" s="36"/>
      <c r="P73" s="36"/>
      <c r="Q73" s="36"/>
      <c r="R73" s="36"/>
      <c r="S73" s="36"/>
      <c r="T73" s="36"/>
      <c r="U73" s="36"/>
    </row>
    <row r="74" spans="2:21">
      <c r="B74" s="40"/>
      <c r="C74" s="40"/>
      <c r="D74" s="40" t="s">
        <v>121</v>
      </c>
      <c r="E74" s="40"/>
      <c r="F74" s="40"/>
      <c r="G74" s="40"/>
      <c r="H74" s="40"/>
      <c r="I74" s="36"/>
      <c r="J74" s="40"/>
      <c r="K74" s="40"/>
      <c r="L74" s="40"/>
      <c r="M74" s="36"/>
      <c r="N74" s="36"/>
      <c r="O74" s="36"/>
      <c r="P74" s="36"/>
      <c r="Q74" s="36"/>
      <c r="R74" s="36"/>
      <c r="S74" s="36"/>
      <c r="T74" s="36"/>
      <c r="U74" s="36"/>
    </row>
    <row r="75" spans="2:21">
      <c r="B75" s="40"/>
      <c r="C75" s="40"/>
      <c r="D75" s="40" t="s">
        <v>121</v>
      </c>
      <c r="E75" s="40"/>
      <c r="F75" s="40"/>
      <c r="G75" s="40"/>
      <c r="H75" s="40"/>
      <c r="I75" s="36"/>
      <c r="J75" s="40"/>
      <c r="K75" s="40"/>
      <c r="L75" s="40"/>
      <c r="M75" s="36"/>
      <c r="N75" s="36"/>
      <c r="O75" s="36"/>
      <c r="P75" s="36"/>
      <c r="Q75" s="36"/>
      <c r="R75" s="36"/>
      <c r="S75" s="36"/>
      <c r="T75" s="36"/>
      <c r="U75" s="36"/>
    </row>
    <row r="76" spans="2:21">
      <c r="B76" s="40"/>
      <c r="C76" s="40"/>
      <c r="D76" s="40" t="s">
        <v>121</v>
      </c>
      <c r="E76" s="40"/>
      <c r="F76" s="40"/>
      <c r="G76" s="40"/>
      <c r="H76" s="40"/>
      <c r="I76" s="36"/>
      <c r="J76" s="40"/>
      <c r="K76" s="40"/>
      <c r="L76" s="40"/>
      <c r="M76" s="36"/>
      <c r="N76" s="36"/>
      <c r="O76" s="36"/>
      <c r="P76" s="36"/>
      <c r="Q76" s="36"/>
      <c r="R76" s="36"/>
      <c r="S76" s="36"/>
      <c r="T76" s="36"/>
      <c r="U76" s="36"/>
    </row>
    <row r="77" spans="2:21">
      <c r="B77" s="40"/>
      <c r="C77" s="40"/>
      <c r="D77" s="40" t="s">
        <v>121</v>
      </c>
      <c r="E77" s="40"/>
      <c r="F77" s="40"/>
      <c r="G77" s="40"/>
      <c r="H77" s="40"/>
      <c r="I77" s="36"/>
      <c r="J77" s="40"/>
      <c r="K77" s="40"/>
      <c r="L77" s="40"/>
      <c r="M77" s="36"/>
      <c r="N77" s="36"/>
      <c r="O77" s="36"/>
      <c r="P77" s="36"/>
      <c r="Q77" s="36"/>
      <c r="R77" s="36"/>
      <c r="S77" s="36"/>
      <c r="T77" s="36"/>
      <c r="U77" s="36"/>
    </row>
    <row r="78" spans="2:21">
      <c r="B78" s="36"/>
      <c r="C78" s="36"/>
      <c r="D78" s="36" t="s">
        <v>151</v>
      </c>
      <c r="E78" s="36"/>
      <c r="F78" s="36"/>
      <c r="G78" s="36"/>
      <c r="H78" s="36"/>
      <c r="I78" s="36"/>
      <c r="J78" s="36"/>
      <c r="K78" s="36"/>
      <c r="L78" s="36"/>
      <c r="M78" s="36"/>
      <c r="N78" s="36"/>
      <c r="O78" s="36"/>
      <c r="P78" s="36"/>
      <c r="Q78" s="36"/>
      <c r="R78" s="36"/>
      <c r="S78" s="36"/>
      <c r="T78" s="36"/>
      <c r="U78" s="36"/>
    </row>
    <row r="79" spans="2:21">
      <c r="B79" s="36"/>
      <c r="C79" s="36"/>
      <c r="D79" s="36"/>
      <c r="E79" s="36"/>
      <c r="F79" s="36"/>
      <c r="G79" s="36"/>
      <c r="H79" s="36"/>
      <c r="I79" s="36"/>
      <c r="J79" s="36"/>
      <c r="K79" s="36"/>
      <c r="L79" s="36"/>
      <c r="M79" s="36"/>
      <c r="N79" s="36"/>
      <c r="O79" s="36"/>
      <c r="P79" s="36"/>
      <c r="Q79" s="36"/>
      <c r="R79" s="36"/>
      <c r="S79" s="36"/>
      <c r="T79" s="36"/>
      <c r="U79" s="36"/>
    </row>
    <row r="80" spans="2:21">
      <c r="B80" s="36"/>
      <c r="C80" s="36"/>
      <c r="D80" s="36"/>
      <c r="E80" s="36"/>
      <c r="F80" s="36"/>
      <c r="G80" s="36"/>
      <c r="H80" s="36"/>
      <c r="I80" s="36"/>
      <c r="J80" s="36"/>
      <c r="K80" s="36"/>
      <c r="L80" s="36"/>
      <c r="M80" s="36"/>
      <c r="N80" s="36"/>
      <c r="O80" s="36"/>
      <c r="P80" s="36"/>
      <c r="Q80" s="36"/>
      <c r="R80" s="36"/>
      <c r="S80" s="36"/>
      <c r="T80" s="36"/>
      <c r="U80" s="36"/>
    </row>
    <row r="81" spans="2:21">
      <c r="B81" s="36"/>
      <c r="C81" s="36"/>
      <c r="D81" s="36"/>
      <c r="E81" s="36"/>
      <c r="F81" s="36"/>
      <c r="G81" s="36"/>
      <c r="H81" s="36"/>
      <c r="I81" s="36"/>
      <c r="J81" s="36"/>
      <c r="K81" s="36"/>
      <c r="L81" s="36"/>
      <c r="M81" s="36"/>
      <c r="N81" s="36"/>
      <c r="O81" s="36"/>
      <c r="P81" s="36"/>
      <c r="Q81" s="36"/>
      <c r="R81" s="36"/>
      <c r="S81" s="36"/>
      <c r="T81" s="36"/>
      <c r="U81" s="36"/>
    </row>
    <row r="82" spans="2:21">
      <c r="B82" s="36"/>
      <c r="C82" s="36"/>
      <c r="D82" s="36"/>
      <c r="E82" s="36"/>
      <c r="F82" s="36"/>
      <c r="G82" s="36"/>
      <c r="H82" s="36"/>
      <c r="I82" s="36"/>
      <c r="J82" s="36"/>
      <c r="K82" s="36"/>
      <c r="L82" s="36"/>
      <c r="M82" s="36"/>
      <c r="N82" s="36"/>
      <c r="O82" s="36"/>
      <c r="P82" s="36"/>
      <c r="Q82" s="36"/>
      <c r="R82" s="36"/>
      <c r="S82" s="36"/>
      <c r="T82" s="36"/>
      <c r="U82" s="36"/>
    </row>
    <row r="83" spans="2:21">
      <c r="B83" s="36"/>
      <c r="C83" s="36"/>
      <c r="D83" s="36"/>
      <c r="E83" s="36"/>
      <c r="F83" s="36"/>
      <c r="G83" s="36"/>
      <c r="H83" s="36"/>
      <c r="I83" s="36"/>
      <c r="J83" s="36"/>
      <c r="K83" s="36"/>
      <c r="L83" s="36"/>
      <c r="M83" s="36"/>
      <c r="N83" s="36"/>
      <c r="O83" s="36"/>
      <c r="P83" s="36"/>
      <c r="Q83" s="36"/>
      <c r="R83" s="36"/>
      <c r="S83" s="36"/>
      <c r="T83" s="36"/>
      <c r="U83" s="36"/>
    </row>
    <row r="84" spans="2:21">
      <c r="B84" s="36"/>
      <c r="C84" s="36"/>
      <c r="D84" s="36"/>
      <c r="E84" s="36"/>
      <c r="F84" s="36"/>
      <c r="G84" s="36"/>
      <c r="H84" s="36"/>
      <c r="I84" s="36"/>
      <c r="J84" s="36"/>
      <c r="K84" s="36"/>
      <c r="L84" s="36"/>
      <c r="M84" s="36"/>
      <c r="N84" s="36"/>
      <c r="O84" s="36"/>
      <c r="P84" s="36"/>
      <c r="Q84" s="36"/>
      <c r="R84" s="36"/>
      <c r="S84" s="36"/>
      <c r="T84" s="36"/>
      <c r="U84" s="36"/>
    </row>
    <row r="85" spans="2:21">
      <c r="B85" s="36"/>
      <c r="C85" s="36"/>
      <c r="D85" s="36"/>
      <c r="E85" s="36"/>
      <c r="F85" s="36"/>
      <c r="G85" s="36"/>
      <c r="H85" s="36"/>
      <c r="I85" s="36"/>
      <c r="J85" s="36"/>
      <c r="K85" s="36"/>
      <c r="L85" s="36"/>
      <c r="M85" s="36"/>
      <c r="N85" s="36"/>
      <c r="O85" s="36"/>
      <c r="P85" s="36"/>
      <c r="Q85" s="36"/>
      <c r="R85" s="36"/>
      <c r="S85" s="36"/>
      <c r="T85" s="36"/>
      <c r="U85" s="36"/>
    </row>
    <row r="86" spans="2:21">
      <c r="B86" s="36"/>
      <c r="C86" s="36"/>
      <c r="D86" s="36"/>
      <c r="E86" s="36"/>
      <c r="F86" s="36"/>
      <c r="G86" s="36"/>
      <c r="H86" s="36"/>
      <c r="I86" s="36"/>
      <c r="J86" s="36"/>
      <c r="K86" s="36"/>
      <c r="L86" s="36"/>
      <c r="M86" s="36"/>
      <c r="N86" s="36"/>
      <c r="O86" s="36"/>
      <c r="P86" s="36"/>
      <c r="Q86" s="36"/>
      <c r="R86" s="36"/>
      <c r="S86" s="36"/>
      <c r="T86" s="36"/>
      <c r="U86" s="36"/>
    </row>
    <row r="87" spans="2:21">
      <c r="B87" s="36"/>
      <c r="C87" s="36"/>
      <c r="D87" s="36"/>
      <c r="E87" s="36"/>
      <c r="F87" s="36"/>
      <c r="G87" s="36"/>
      <c r="H87" s="36"/>
      <c r="I87" s="36"/>
      <c r="J87" s="36"/>
      <c r="K87" s="36"/>
      <c r="L87" s="36"/>
      <c r="M87" s="36"/>
      <c r="N87" s="36"/>
      <c r="O87" s="36"/>
      <c r="P87" s="36"/>
      <c r="Q87" s="36"/>
      <c r="R87" s="36"/>
      <c r="S87" s="36"/>
      <c r="T87" s="36"/>
      <c r="U87" s="36"/>
    </row>
    <row r="88" spans="2:21">
      <c r="B88" s="36"/>
      <c r="C88" s="36"/>
      <c r="D88" s="36"/>
      <c r="E88" s="36"/>
      <c r="F88" s="36"/>
      <c r="G88" s="36"/>
      <c r="H88" s="36"/>
      <c r="I88" s="36"/>
      <c r="J88" s="36"/>
      <c r="K88" s="36"/>
      <c r="L88" s="36"/>
      <c r="M88" s="36"/>
      <c r="N88" s="36"/>
      <c r="O88" s="36"/>
      <c r="P88" s="36"/>
      <c r="Q88" s="36"/>
      <c r="R88" s="36"/>
      <c r="S88" s="36"/>
      <c r="T88" s="36"/>
      <c r="U88" s="36"/>
    </row>
    <row r="89" spans="2:21">
      <c r="B89" s="36"/>
      <c r="C89" s="36"/>
      <c r="D89" s="36"/>
      <c r="E89" s="36"/>
      <c r="F89" s="36"/>
      <c r="G89" s="36"/>
      <c r="H89" s="36"/>
      <c r="I89" s="36"/>
      <c r="J89" s="36"/>
      <c r="K89" s="36"/>
      <c r="L89" s="36"/>
      <c r="M89" s="36"/>
      <c r="N89" s="36"/>
      <c r="O89" s="36"/>
      <c r="P89" s="36"/>
      <c r="Q89" s="36"/>
      <c r="R89" s="36"/>
      <c r="S89" s="36"/>
      <c r="T89" s="36"/>
      <c r="U89" s="36"/>
    </row>
    <row r="90" spans="2:21">
      <c r="B90" s="36"/>
      <c r="C90" s="36"/>
      <c r="D90" s="36"/>
      <c r="E90" s="36"/>
      <c r="F90" s="36"/>
      <c r="G90" s="36"/>
      <c r="H90" s="36"/>
      <c r="I90" s="36"/>
      <c r="J90" s="36"/>
      <c r="K90" s="36"/>
      <c r="L90" s="36"/>
      <c r="M90" s="36"/>
      <c r="N90" s="36"/>
      <c r="O90" s="36"/>
      <c r="P90" s="36"/>
      <c r="Q90" s="36"/>
      <c r="R90" s="36"/>
      <c r="S90" s="36"/>
      <c r="T90" s="36"/>
      <c r="U90" s="36"/>
    </row>
    <row r="91" spans="2:21">
      <c r="B91" s="36"/>
      <c r="C91" s="36"/>
      <c r="D91" s="36"/>
      <c r="E91" s="36"/>
      <c r="F91" s="36"/>
      <c r="G91" s="36"/>
      <c r="H91" s="36"/>
      <c r="I91" s="36"/>
      <c r="J91" s="36"/>
      <c r="K91" s="36"/>
      <c r="L91" s="36"/>
      <c r="M91" s="36"/>
      <c r="N91" s="36"/>
      <c r="O91" s="36"/>
      <c r="P91" s="36"/>
      <c r="Q91" s="36"/>
      <c r="R91" s="36"/>
      <c r="S91" s="36"/>
      <c r="T91" s="36"/>
      <c r="U91" s="36"/>
    </row>
    <row r="92" spans="2:21">
      <c r="B92" s="36"/>
      <c r="C92" s="36"/>
      <c r="D92" s="36"/>
      <c r="E92" s="36"/>
      <c r="F92" s="36"/>
      <c r="G92" s="36"/>
      <c r="H92" s="36"/>
      <c r="I92" s="36"/>
      <c r="J92" s="36"/>
      <c r="K92" s="36"/>
      <c r="L92" s="36"/>
      <c r="M92" s="36"/>
      <c r="N92" s="36"/>
      <c r="O92" s="36"/>
      <c r="P92" s="36"/>
      <c r="Q92" s="36"/>
      <c r="R92" s="36"/>
      <c r="S92" s="36"/>
      <c r="T92" s="36"/>
      <c r="U92" s="36"/>
    </row>
    <row r="93" spans="2:21">
      <c r="B93" s="36"/>
      <c r="C93" s="36"/>
      <c r="D93" s="36"/>
      <c r="E93" s="36"/>
      <c r="F93" s="36"/>
      <c r="G93" s="36"/>
      <c r="H93" s="36"/>
      <c r="I93" s="36"/>
      <c r="J93" s="36"/>
      <c r="K93" s="36"/>
      <c r="L93" s="36"/>
      <c r="M93" s="36"/>
      <c r="N93" s="36"/>
      <c r="O93" s="36"/>
      <c r="P93" s="36"/>
      <c r="Q93" s="36"/>
      <c r="R93" s="36"/>
      <c r="S93" s="36"/>
      <c r="T93" s="36"/>
      <c r="U93" s="36"/>
    </row>
    <row r="94" spans="2:21">
      <c r="B94" s="36"/>
      <c r="C94" s="36"/>
      <c r="D94" s="36"/>
      <c r="E94" s="36"/>
      <c r="F94" s="36"/>
      <c r="G94" s="36"/>
      <c r="H94" s="36"/>
      <c r="I94" s="36"/>
      <c r="J94" s="36"/>
      <c r="K94" s="36"/>
      <c r="L94" s="36"/>
      <c r="M94" s="36"/>
      <c r="N94" s="36"/>
      <c r="O94" s="36"/>
      <c r="P94" s="36"/>
      <c r="Q94" s="36"/>
      <c r="R94" s="36"/>
      <c r="S94" s="36"/>
      <c r="T94" s="36"/>
      <c r="U94" s="36"/>
    </row>
    <row r="95" spans="2:21">
      <c r="B95" s="36"/>
      <c r="C95" s="36"/>
      <c r="D95" s="36"/>
      <c r="E95" s="36"/>
      <c r="F95" s="36"/>
      <c r="G95" s="36"/>
      <c r="H95" s="36"/>
      <c r="I95" s="36"/>
      <c r="J95" s="36"/>
      <c r="K95" s="36"/>
      <c r="L95" s="36"/>
      <c r="M95" s="36"/>
      <c r="N95" s="36"/>
      <c r="O95" s="36"/>
      <c r="P95" s="36"/>
      <c r="Q95" s="36"/>
      <c r="R95" s="36"/>
      <c r="S95" s="36"/>
      <c r="T95" s="36"/>
      <c r="U95" s="36"/>
    </row>
    <row r="96" spans="2:21">
      <c r="B96" s="36"/>
      <c r="C96" s="36"/>
      <c r="D96" s="36"/>
      <c r="E96" s="36"/>
      <c r="F96" s="36"/>
      <c r="G96" s="36"/>
      <c r="H96" s="36"/>
      <c r="I96" s="36"/>
      <c r="J96" s="36"/>
      <c r="K96" s="36"/>
      <c r="L96" s="36"/>
      <c r="M96" s="36"/>
      <c r="N96" s="36"/>
      <c r="O96" s="36"/>
      <c r="P96" s="36"/>
      <c r="Q96" s="36"/>
      <c r="R96" s="36"/>
      <c r="S96" s="36"/>
      <c r="T96" s="36"/>
      <c r="U96" s="36"/>
    </row>
    <row r="97" spans="2:21">
      <c r="B97" s="36"/>
      <c r="C97" s="36"/>
      <c r="D97" s="36"/>
      <c r="E97" s="36"/>
      <c r="F97" s="36"/>
      <c r="G97" s="36"/>
      <c r="H97" s="36"/>
      <c r="I97" s="36"/>
      <c r="J97" s="36"/>
      <c r="K97" s="36"/>
      <c r="L97" s="36"/>
      <c r="M97" s="36"/>
      <c r="N97" s="36"/>
      <c r="O97" s="36"/>
      <c r="P97" s="36"/>
      <c r="Q97" s="36"/>
      <c r="R97" s="36"/>
      <c r="S97" s="36"/>
      <c r="T97" s="36"/>
      <c r="U97" s="36"/>
    </row>
    <row r="98" spans="2:21">
      <c r="B98" s="36"/>
      <c r="C98" s="36"/>
      <c r="D98" s="36"/>
      <c r="E98" s="36"/>
      <c r="F98" s="36"/>
      <c r="G98" s="36"/>
      <c r="H98" s="36"/>
      <c r="I98" s="36"/>
      <c r="J98" s="36"/>
      <c r="K98" s="36"/>
      <c r="L98" s="36"/>
      <c r="M98" s="36"/>
      <c r="N98" s="36"/>
      <c r="O98" s="36"/>
      <c r="P98" s="36"/>
      <c r="Q98" s="36"/>
      <c r="R98" s="36"/>
      <c r="S98" s="36"/>
      <c r="T98" s="36"/>
      <c r="U98" s="36"/>
    </row>
    <row r="99" spans="2:21">
      <c r="B99" s="36"/>
      <c r="C99" s="36"/>
      <c r="D99" s="36"/>
      <c r="E99" s="36"/>
      <c r="F99" s="36"/>
      <c r="G99" s="36"/>
      <c r="H99" s="36"/>
      <c r="I99" s="36"/>
      <c r="J99" s="36"/>
      <c r="K99" s="36"/>
      <c r="L99" s="36"/>
      <c r="M99" s="36"/>
      <c r="N99" s="36"/>
      <c r="O99" s="36"/>
      <c r="P99" s="36"/>
      <c r="Q99" s="36"/>
      <c r="R99" s="36"/>
      <c r="S99" s="36"/>
      <c r="T99" s="36"/>
      <c r="U99" s="36"/>
    </row>
    <row r="100" spans="2:21">
      <c r="B100" s="36"/>
      <c r="C100" s="36"/>
      <c r="D100" s="36"/>
      <c r="E100" s="36"/>
      <c r="F100" s="36"/>
      <c r="G100" s="36"/>
      <c r="H100" s="36"/>
      <c r="I100" s="36"/>
      <c r="J100" s="36"/>
      <c r="K100" s="36"/>
      <c r="L100" s="36"/>
      <c r="M100" s="36"/>
      <c r="N100" s="36"/>
      <c r="O100" s="36"/>
      <c r="P100" s="36"/>
      <c r="Q100" s="36"/>
      <c r="R100" s="36"/>
      <c r="S100" s="36"/>
      <c r="T100" s="36"/>
      <c r="U100" s="36"/>
    </row>
    <row r="101" spans="2:21">
      <c r="B101" s="36"/>
      <c r="C101" s="36"/>
      <c r="D101" s="36"/>
      <c r="E101" s="36"/>
      <c r="F101" s="36"/>
      <c r="G101" s="36"/>
      <c r="H101" s="36"/>
      <c r="I101" s="36"/>
      <c r="J101" s="36"/>
      <c r="K101" s="36"/>
      <c r="L101" s="36"/>
      <c r="M101" s="36"/>
      <c r="N101" s="36"/>
      <c r="O101" s="36"/>
      <c r="P101" s="36"/>
      <c r="Q101" s="36"/>
      <c r="R101" s="36"/>
      <c r="S101" s="36"/>
      <c r="T101" s="36"/>
      <c r="U101" s="36"/>
    </row>
    <row r="102" spans="2:21">
      <c r="B102" s="36"/>
      <c r="C102" s="36"/>
      <c r="D102" s="36"/>
      <c r="E102" s="36"/>
      <c r="F102" s="36"/>
      <c r="G102" s="36"/>
      <c r="H102" s="36"/>
      <c r="I102" s="36"/>
      <c r="J102" s="36"/>
      <c r="K102" s="36"/>
      <c r="L102" s="36"/>
      <c r="M102" s="36"/>
      <c r="N102" s="36"/>
      <c r="O102" s="36"/>
      <c r="P102" s="36"/>
      <c r="Q102" s="36"/>
      <c r="R102" s="36"/>
      <c r="S102" s="36"/>
      <c r="T102" s="36"/>
      <c r="U102" s="36"/>
    </row>
    <row r="103" spans="2:21">
      <c r="B103" s="36"/>
      <c r="C103" s="36"/>
      <c r="D103" s="36"/>
      <c r="E103" s="36"/>
      <c r="F103" s="36"/>
      <c r="G103" s="36"/>
      <c r="H103" s="36"/>
      <c r="I103" s="36"/>
      <c r="J103" s="36"/>
      <c r="K103" s="36"/>
      <c r="L103" s="36"/>
      <c r="M103" s="36"/>
      <c r="N103" s="36"/>
      <c r="O103" s="36"/>
      <c r="P103" s="36"/>
      <c r="Q103" s="36"/>
      <c r="R103" s="36"/>
      <c r="S103" s="36"/>
      <c r="T103" s="36"/>
      <c r="U103" s="36"/>
    </row>
    <row r="104" spans="2:21">
      <c r="B104" s="36"/>
      <c r="C104" s="36"/>
      <c r="D104" s="36"/>
      <c r="E104" s="36"/>
      <c r="F104" s="36"/>
      <c r="G104" s="36"/>
      <c r="H104" s="36"/>
      <c r="I104" s="36"/>
      <c r="J104" s="36"/>
      <c r="K104" s="36"/>
      <c r="L104" s="36"/>
      <c r="M104" s="36"/>
      <c r="N104" s="36"/>
      <c r="O104" s="36"/>
      <c r="P104" s="36"/>
      <c r="Q104" s="36"/>
      <c r="R104" s="36"/>
      <c r="S104" s="36"/>
      <c r="T104" s="36"/>
      <c r="U104" s="36"/>
    </row>
    <row r="105" spans="2:21">
      <c r="B105" s="36"/>
      <c r="C105" s="36"/>
      <c r="D105" s="36"/>
      <c r="E105" s="36"/>
      <c r="F105" s="36"/>
      <c r="G105" s="36"/>
      <c r="H105" s="36"/>
      <c r="I105" s="36"/>
      <c r="J105" s="36"/>
      <c r="K105" s="36"/>
      <c r="L105" s="36"/>
      <c r="M105" s="36"/>
      <c r="N105" s="36"/>
      <c r="O105" s="36"/>
      <c r="P105" s="36"/>
      <c r="Q105" s="36"/>
      <c r="R105" s="36"/>
      <c r="S105" s="36"/>
      <c r="T105" s="36"/>
      <c r="U105" s="36"/>
    </row>
    <row r="106" spans="2:21">
      <c r="B106" s="36"/>
      <c r="C106" s="36"/>
      <c r="D106" s="36"/>
      <c r="E106" s="36"/>
      <c r="F106" s="36"/>
      <c r="G106" s="36"/>
      <c r="H106" s="36"/>
      <c r="I106" s="36"/>
      <c r="J106" s="36"/>
      <c r="K106" s="36"/>
      <c r="L106" s="36"/>
      <c r="M106" s="36"/>
      <c r="N106" s="36"/>
      <c r="O106" s="36"/>
      <c r="P106" s="36"/>
      <c r="Q106" s="36"/>
      <c r="R106" s="36"/>
      <c r="S106" s="36"/>
      <c r="T106" s="36"/>
      <c r="U106" s="36"/>
    </row>
    <row r="107" spans="2:21">
      <c r="B107" s="36"/>
      <c r="C107" s="36"/>
      <c r="D107" s="36"/>
      <c r="E107" s="36"/>
      <c r="F107" s="36"/>
      <c r="G107" s="36"/>
      <c r="H107" s="36"/>
      <c r="I107" s="36"/>
      <c r="J107" s="36"/>
      <c r="K107" s="36"/>
      <c r="L107" s="36"/>
      <c r="M107" s="36"/>
      <c r="N107" s="36"/>
      <c r="O107" s="36"/>
      <c r="P107" s="36"/>
      <c r="Q107" s="36"/>
      <c r="R107" s="36"/>
      <c r="S107" s="36"/>
      <c r="T107" s="36"/>
      <c r="U107" s="36"/>
    </row>
    <row r="108" spans="2:21">
      <c r="B108" s="36"/>
      <c r="C108" s="36"/>
      <c r="D108" s="36"/>
      <c r="E108" s="36"/>
      <c r="F108" s="36"/>
      <c r="G108" s="36"/>
      <c r="H108" s="36"/>
      <c r="I108" s="36"/>
      <c r="J108" s="36"/>
      <c r="K108" s="36"/>
      <c r="L108" s="36"/>
      <c r="M108" s="36"/>
      <c r="N108" s="36"/>
      <c r="O108" s="36"/>
      <c r="P108" s="36"/>
      <c r="Q108" s="36"/>
      <c r="R108" s="36"/>
      <c r="S108" s="36"/>
      <c r="T108" s="36"/>
      <c r="U108" s="36"/>
    </row>
    <row r="109" spans="2:21">
      <c r="B109" s="36"/>
      <c r="C109" s="36"/>
      <c r="D109" s="36"/>
      <c r="E109" s="36"/>
      <c r="F109" s="36"/>
      <c r="G109" s="36"/>
      <c r="H109" s="36"/>
      <c r="I109" s="36"/>
      <c r="J109" s="36"/>
      <c r="K109" s="36"/>
      <c r="L109" s="36"/>
      <c r="M109" s="36"/>
      <c r="N109" s="36"/>
      <c r="O109" s="36"/>
      <c r="P109" s="36"/>
      <c r="Q109" s="36"/>
      <c r="R109" s="36"/>
      <c r="S109" s="36"/>
      <c r="T109" s="36"/>
      <c r="U109" s="36"/>
    </row>
    <row r="110" spans="2:21">
      <c r="B110" s="36"/>
      <c r="C110" s="36"/>
      <c r="D110" s="36"/>
      <c r="E110" s="36"/>
      <c r="F110" s="36"/>
      <c r="G110" s="36"/>
      <c r="H110" s="36"/>
      <c r="I110" s="36"/>
      <c r="J110" s="36"/>
      <c r="K110" s="36"/>
      <c r="L110" s="36"/>
      <c r="M110" s="36"/>
      <c r="N110" s="36"/>
      <c r="O110" s="36"/>
      <c r="P110" s="36"/>
      <c r="Q110" s="36"/>
      <c r="R110" s="36"/>
      <c r="S110" s="36"/>
      <c r="T110" s="36"/>
      <c r="U110" s="36"/>
    </row>
    <row r="111" spans="2:21">
      <c r="B111" s="36"/>
      <c r="C111" s="36"/>
      <c r="D111" s="36"/>
      <c r="E111" s="36"/>
      <c r="F111" s="36"/>
      <c r="G111" s="36"/>
      <c r="H111" s="36"/>
      <c r="I111" s="36"/>
      <c r="J111" s="36"/>
      <c r="K111" s="36"/>
      <c r="L111" s="36"/>
      <c r="M111" s="36"/>
      <c r="N111" s="36"/>
      <c r="O111" s="36"/>
      <c r="P111" s="36"/>
      <c r="Q111" s="36"/>
      <c r="R111" s="36"/>
      <c r="S111" s="36"/>
      <c r="T111" s="36"/>
      <c r="U111" s="36"/>
    </row>
    <row r="112" spans="2:21">
      <c r="B112" s="36"/>
      <c r="C112" s="36"/>
      <c r="D112" s="36"/>
      <c r="E112" s="36"/>
      <c r="F112" s="36"/>
      <c r="G112" s="36"/>
      <c r="H112" s="36"/>
      <c r="I112" s="36"/>
      <c r="J112" s="36"/>
      <c r="K112" s="36"/>
      <c r="L112" s="36"/>
      <c r="M112" s="36"/>
      <c r="N112" s="36"/>
      <c r="O112" s="36"/>
      <c r="P112" s="36"/>
      <c r="Q112" s="36"/>
      <c r="R112" s="36"/>
      <c r="S112" s="36"/>
      <c r="T112" s="36"/>
      <c r="U112" s="36"/>
    </row>
    <row r="113" spans="2:21">
      <c r="B113" s="36"/>
      <c r="C113" s="36"/>
      <c r="D113" s="36"/>
      <c r="E113" s="36"/>
      <c r="F113" s="36"/>
      <c r="G113" s="36"/>
      <c r="H113" s="36"/>
      <c r="I113" s="36"/>
      <c r="J113" s="36"/>
      <c r="K113" s="36"/>
      <c r="L113" s="36"/>
      <c r="M113" s="36"/>
      <c r="N113" s="36"/>
      <c r="O113" s="36"/>
      <c r="P113" s="36"/>
      <c r="Q113" s="36"/>
      <c r="R113" s="36"/>
      <c r="S113" s="36"/>
      <c r="T113" s="36"/>
      <c r="U113" s="36"/>
    </row>
    <row r="114" spans="2:21">
      <c r="B114" s="36"/>
      <c r="C114" s="36"/>
      <c r="D114" s="36"/>
      <c r="E114" s="36"/>
      <c r="F114" s="36"/>
      <c r="G114" s="36"/>
      <c r="H114" s="36"/>
      <c r="I114" s="36"/>
      <c r="J114" s="36"/>
      <c r="K114" s="36"/>
      <c r="L114" s="36"/>
      <c r="M114" s="36"/>
      <c r="N114" s="36"/>
      <c r="O114" s="36"/>
      <c r="P114" s="36"/>
      <c r="Q114" s="36"/>
      <c r="R114" s="36"/>
      <c r="S114" s="36"/>
      <c r="T114" s="36"/>
      <c r="U114" s="36"/>
    </row>
    <row r="115" spans="2:21">
      <c r="B115" s="36"/>
      <c r="C115" s="36"/>
      <c r="D115" s="36"/>
      <c r="E115" s="36"/>
      <c r="F115" s="36"/>
      <c r="G115" s="36"/>
      <c r="H115" s="36"/>
      <c r="I115" s="36"/>
      <c r="J115" s="36"/>
      <c r="K115" s="36"/>
      <c r="L115" s="36"/>
      <c r="M115" s="36"/>
      <c r="N115" s="36"/>
      <c r="O115" s="36"/>
      <c r="P115" s="36"/>
      <c r="Q115" s="36"/>
      <c r="R115" s="36"/>
      <c r="S115" s="36"/>
      <c r="T115" s="36"/>
      <c r="U115" s="36"/>
    </row>
    <row r="116" spans="2:21">
      <c r="B116" s="36"/>
      <c r="C116" s="36"/>
      <c r="D116" s="36"/>
      <c r="E116" s="36"/>
      <c r="F116" s="36"/>
      <c r="G116" s="36"/>
      <c r="H116" s="36"/>
      <c r="I116" s="36"/>
      <c r="J116" s="36"/>
      <c r="K116" s="36"/>
      <c r="L116" s="36"/>
      <c r="M116" s="36"/>
      <c r="N116" s="36"/>
      <c r="O116" s="36"/>
      <c r="P116" s="36"/>
      <c r="Q116" s="36"/>
      <c r="R116" s="36"/>
      <c r="S116" s="36"/>
      <c r="T116" s="36"/>
      <c r="U116" s="36"/>
    </row>
    <row r="117" spans="2:21">
      <c r="B117" s="36"/>
      <c r="C117" s="36"/>
      <c r="D117" s="36"/>
      <c r="E117" s="36"/>
      <c r="F117" s="36"/>
      <c r="G117" s="36"/>
      <c r="H117" s="36"/>
      <c r="I117" s="36"/>
      <c r="J117" s="36"/>
      <c r="K117" s="36"/>
      <c r="L117" s="36"/>
      <c r="M117" s="36"/>
      <c r="N117" s="36"/>
      <c r="O117" s="36"/>
      <c r="P117" s="36"/>
      <c r="Q117" s="36"/>
      <c r="R117" s="36"/>
      <c r="S117" s="36"/>
      <c r="T117" s="36"/>
      <c r="U117" s="36"/>
    </row>
    <row r="118" spans="2:21">
      <c r="B118" s="36"/>
      <c r="C118" s="36"/>
      <c r="D118" s="36"/>
      <c r="E118" s="36"/>
      <c r="F118" s="36"/>
      <c r="G118" s="36"/>
      <c r="H118" s="36"/>
      <c r="I118" s="36"/>
      <c r="J118" s="36"/>
      <c r="K118" s="36"/>
      <c r="L118" s="36"/>
      <c r="M118" s="36"/>
      <c r="N118" s="36"/>
      <c r="O118" s="36"/>
      <c r="P118" s="36"/>
      <c r="Q118" s="36"/>
      <c r="R118" s="36"/>
      <c r="S118" s="36"/>
      <c r="T118" s="36"/>
      <c r="U118" s="36"/>
    </row>
    <row r="119" spans="2:21">
      <c r="B119" s="36"/>
      <c r="C119" s="36"/>
      <c r="D119" s="36"/>
      <c r="E119" s="36"/>
      <c r="F119" s="36"/>
      <c r="G119" s="36"/>
      <c r="H119" s="36"/>
      <c r="I119" s="36"/>
      <c r="J119" s="36"/>
      <c r="K119" s="36"/>
      <c r="L119" s="36"/>
      <c r="M119" s="36"/>
      <c r="N119" s="36"/>
      <c r="O119" s="36"/>
      <c r="P119" s="36"/>
      <c r="Q119" s="36"/>
      <c r="R119" s="36"/>
      <c r="S119" s="36"/>
      <c r="T119" s="36"/>
      <c r="U119" s="36"/>
    </row>
    <row r="120" spans="2:21">
      <c r="B120" s="36"/>
      <c r="C120" s="36"/>
      <c r="D120" s="36"/>
      <c r="E120" s="36"/>
      <c r="F120" s="36"/>
      <c r="G120" s="36"/>
      <c r="H120" s="36"/>
      <c r="I120" s="36"/>
      <c r="J120" s="36"/>
      <c r="K120" s="36"/>
      <c r="L120" s="36"/>
      <c r="M120" s="36"/>
      <c r="N120" s="36"/>
      <c r="O120" s="36"/>
      <c r="P120" s="36"/>
      <c r="Q120" s="36"/>
      <c r="R120" s="36"/>
      <c r="S120" s="36"/>
      <c r="T120" s="36"/>
      <c r="U120" s="36"/>
    </row>
    <row r="121" spans="2:21">
      <c r="B121" s="36"/>
      <c r="C121" s="36"/>
      <c r="D121" s="36"/>
      <c r="E121" s="36"/>
      <c r="F121" s="36"/>
      <c r="G121" s="36"/>
      <c r="H121" s="36"/>
      <c r="I121" s="36"/>
      <c r="J121" s="36"/>
      <c r="K121" s="36"/>
      <c r="L121" s="36"/>
      <c r="M121" s="36"/>
      <c r="N121" s="36"/>
      <c r="O121" s="36"/>
      <c r="P121" s="36"/>
      <c r="Q121" s="36"/>
      <c r="R121" s="36"/>
      <c r="S121" s="36"/>
      <c r="T121" s="36"/>
      <c r="U121" s="36"/>
    </row>
    <row r="122" spans="2:21">
      <c r="B122" s="36"/>
      <c r="C122" s="36"/>
      <c r="D122" s="36"/>
      <c r="E122" s="36"/>
      <c r="F122" s="36"/>
      <c r="G122" s="36"/>
      <c r="H122" s="36"/>
      <c r="I122" s="36"/>
      <c r="J122" s="36"/>
      <c r="K122" s="36"/>
      <c r="L122" s="36"/>
      <c r="M122" s="36"/>
      <c r="N122" s="36"/>
      <c r="O122" s="36"/>
      <c r="P122" s="36"/>
      <c r="Q122" s="36"/>
      <c r="R122" s="36"/>
      <c r="S122" s="36"/>
      <c r="T122" s="36"/>
      <c r="U122" s="36"/>
    </row>
    <row r="123" spans="2:21">
      <c r="B123" s="36"/>
      <c r="C123" s="36"/>
      <c r="D123" s="36"/>
      <c r="E123" s="36"/>
      <c r="F123" s="36"/>
      <c r="G123" s="36"/>
      <c r="H123" s="36"/>
      <c r="I123" s="36"/>
      <c r="J123" s="36"/>
      <c r="K123" s="36"/>
      <c r="L123" s="36"/>
      <c r="M123" s="36"/>
      <c r="N123" s="36"/>
      <c r="O123" s="36"/>
      <c r="P123" s="36"/>
      <c r="Q123" s="36"/>
      <c r="R123" s="36"/>
      <c r="S123" s="36"/>
      <c r="T123" s="36"/>
      <c r="U123" s="36"/>
    </row>
    <row r="124" spans="2:21">
      <c r="B124" s="36"/>
      <c r="C124" s="36"/>
      <c r="D124" s="36"/>
      <c r="E124" s="36"/>
      <c r="F124" s="36"/>
      <c r="G124" s="36"/>
      <c r="H124" s="36"/>
      <c r="I124" s="36"/>
      <c r="J124" s="36"/>
      <c r="K124" s="36"/>
      <c r="L124" s="36"/>
      <c r="M124" s="36"/>
      <c r="N124" s="36"/>
      <c r="O124" s="36"/>
      <c r="P124" s="36"/>
      <c r="Q124" s="36"/>
      <c r="R124" s="36"/>
      <c r="S124" s="36"/>
      <c r="T124" s="36"/>
      <c r="U124" s="36"/>
    </row>
    <row r="125" spans="2:21">
      <c r="B125" s="36"/>
      <c r="C125" s="36"/>
      <c r="D125" s="36"/>
      <c r="E125" s="36"/>
      <c r="F125" s="36"/>
      <c r="G125" s="36"/>
      <c r="H125" s="36"/>
      <c r="I125" s="36"/>
      <c r="J125" s="36"/>
      <c r="K125" s="36"/>
      <c r="L125" s="36"/>
      <c r="M125" s="36"/>
      <c r="N125" s="36"/>
      <c r="O125" s="36"/>
      <c r="P125" s="36"/>
      <c r="Q125" s="36"/>
      <c r="R125" s="36"/>
      <c r="S125" s="36"/>
      <c r="T125" s="36"/>
      <c r="U125" s="36"/>
    </row>
    <row r="126" spans="2:21">
      <c r="B126" s="36"/>
      <c r="C126" s="36"/>
      <c r="D126" s="36"/>
      <c r="E126" s="36"/>
      <c r="F126" s="36"/>
      <c r="G126" s="36"/>
      <c r="H126" s="36"/>
      <c r="I126" s="36"/>
      <c r="J126" s="36"/>
      <c r="K126" s="36"/>
      <c r="L126" s="36"/>
      <c r="M126" s="36"/>
      <c r="N126" s="36"/>
      <c r="O126" s="36"/>
      <c r="P126" s="36"/>
      <c r="Q126" s="36"/>
      <c r="R126" s="36"/>
      <c r="S126" s="36"/>
      <c r="T126" s="36"/>
      <c r="U126" s="36"/>
    </row>
    <row r="127" spans="2:21">
      <c r="B127" s="36"/>
      <c r="C127" s="36"/>
      <c r="D127" s="36"/>
      <c r="E127" s="36"/>
      <c r="F127" s="36"/>
      <c r="G127" s="36"/>
      <c r="H127" s="36"/>
      <c r="I127" s="36"/>
      <c r="J127" s="36"/>
      <c r="K127" s="36"/>
      <c r="L127" s="36"/>
      <c r="M127" s="36"/>
      <c r="N127" s="36"/>
      <c r="O127" s="36"/>
      <c r="P127" s="36"/>
      <c r="Q127" s="36"/>
      <c r="R127" s="36"/>
      <c r="S127" s="36"/>
      <c r="T127" s="36"/>
      <c r="U127" s="36"/>
    </row>
    <row r="128" spans="2:21">
      <c r="B128" s="36"/>
      <c r="C128" s="36"/>
      <c r="D128" s="36"/>
      <c r="E128" s="36"/>
      <c r="F128" s="36"/>
      <c r="G128" s="36"/>
      <c r="H128" s="36"/>
      <c r="I128" s="36"/>
      <c r="J128" s="36"/>
      <c r="K128" s="36"/>
      <c r="L128" s="36"/>
      <c r="M128" s="36"/>
      <c r="N128" s="36"/>
      <c r="O128" s="36"/>
      <c r="P128" s="36"/>
      <c r="Q128" s="36"/>
      <c r="R128" s="36"/>
      <c r="S128" s="36"/>
      <c r="T128" s="36"/>
      <c r="U128" s="36"/>
    </row>
    <row r="129" spans="2:21">
      <c r="B129" s="36"/>
      <c r="C129" s="36"/>
      <c r="D129" s="36"/>
      <c r="E129" s="36"/>
      <c r="F129" s="36"/>
      <c r="G129" s="36"/>
      <c r="H129" s="36"/>
      <c r="I129" s="36"/>
      <c r="J129" s="36"/>
      <c r="K129" s="36"/>
      <c r="L129" s="36"/>
      <c r="M129" s="36"/>
      <c r="N129" s="36"/>
      <c r="O129" s="36"/>
      <c r="P129" s="36"/>
      <c r="Q129" s="36"/>
      <c r="R129" s="36"/>
      <c r="S129" s="36"/>
      <c r="T129" s="36"/>
      <c r="U129" s="36"/>
    </row>
    <row r="130" spans="2:21">
      <c r="B130" s="36"/>
      <c r="C130" s="36"/>
      <c r="D130" s="36"/>
      <c r="E130" s="36"/>
      <c r="F130" s="36"/>
      <c r="G130" s="36"/>
      <c r="H130" s="36"/>
      <c r="I130" s="36"/>
      <c r="J130" s="36"/>
      <c r="K130" s="36"/>
      <c r="L130" s="36"/>
      <c r="M130" s="36"/>
      <c r="N130" s="36"/>
      <c r="O130" s="36"/>
      <c r="P130" s="36"/>
      <c r="Q130" s="36"/>
      <c r="R130" s="36"/>
      <c r="S130" s="36"/>
      <c r="T130" s="36"/>
      <c r="U130" s="36"/>
    </row>
    <row r="131" spans="2:21">
      <c r="B131" s="36"/>
      <c r="C131" s="36"/>
      <c r="D131" s="36"/>
      <c r="E131" s="36"/>
      <c r="F131" s="36"/>
      <c r="G131" s="36"/>
      <c r="H131" s="36"/>
      <c r="I131" s="36"/>
      <c r="J131" s="36"/>
      <c r="K131" s="36"/>
      <c r="L131" s="36"/>
      <c r="M131" s="36"/>
      <c r="N131" s="36"/>
      <c r="O131" s="36"/>
      <c r="P131" s="36"/>
      <c r="Q131" s="36"/>
      <c r="R131" s="36"/>
      <c r="S131" s="36"/>
      <c r="T131" s="36"/>
      <c r="U131" s="36"/>
    </row>
    <row r="132" spans="2:21">
      <c r="B132" s="36"/>
      <c r="C132" s="36"/>
      <c r="D132" s="36"/>
      <c r="E132" s="36"/>
      <c r="F132" s="36"/>
      <c r="G132" s="36"/>
      <c r="H132" s="36"/>
      <c r="I132" s="36"/>
      <c r="J132" s="36"/>
      <c r="K132" s="36"/>
      <c r="L132" s="36"/>
      <c r="M132" s="36"/>
      <c r="N132" s="36"/>
      <c r="O132" s="36"/>
      <c r="P132" s="36"/>
      <c r="Q132" s="36"/>
      <c r="R132" s="36"/>
      <c r="S132" s="36"/>
      <c r="T132" s="36"/>
      <c r="U132" s="36"/>
    </row>
    <row r="133" spans="2:21">
      <c r="B133" s="36"/>
      <c r="C133" s="36"/>
      <c r="D133" s="36"/>
      <c r="E133" s="36"/>
      <c r="F133" s="36"/>
      <c r="G133" s="36"/>
      <c r="H133" s="36"/>
      <c r="I133" s="36"/>
      <c r="J133" s="36"/>
      <c r="K133" s="36"/>
      <c r="L133" s="36"/>
      <c r="M133" s="36"/>
      <c r="N133" s="36"/>
      <c r="O133" s="36"/>
      <c r="P133" s="36"/>
      <c r="Q133" s="36"/>
      <c r="R133" s="36"/>
      <c r="S133" s="36"/>
      <c r="T133" s="36"/>
      <c r="U133" s="36"/>
    </row>
    <row r="134" spans="2:21">
      <c r="B134" s="36"/>
      <c r="C134" s="36"/>
      <c r="D134" s="36"/>
      <c r="E134" s="36"/>
      <c r="F134" s="36"/>
      <c r="G134" s="36"/>
      <c r="H134" s="36"/>
      <c r="I134" s="36"/>
      <c r="J134" s="36"/>
      <c r="K134" s="36"/>
      <c r="L134" s="36"/>
      <c r="M134" s="36"/>
      <c r="N134" s="36"/>
      <c r="O134" s="36"/>
      <c r="P134" s="36"/>
      <c r="Q134" s="36"/>
      <c r="R134" s="36"/>
      <c r="S134" s="36"/>
      <c r="T134" s="36"/>
      <c r="U134" s="36"/>
    </row>
    <row r="135" spans="2:21">
      <c r="B135" s="36"/>
      <c r="C135" s="36"/>
      <c r="D135" s="36"/>
      <c r="E135" s="36"/>
      <c r="F135" s="36"/>
      <c r="G135" s="36"/>
      <c r="H135" s="36"/>
      <c r="I135" s="36"/>
      <c r="J135" s="36"/>
      <c r="K135" s="36"/>
      <c r="L135" s="36"/>
      <c r="M135" s="36"/>
      <c r="N135" s="36"/>
      <c r="O135" s="36"/>
      <c r="P135" s="36"/>
      <c r="Q135" s="36"/>
      <c r="R135" s="36"/>
      <c r="S135" s="36"/>
      <c r="T135" s="36"/>
      <c r="U135" s="36"/>
    </row>
    <row r="136" spans="2:21">
      <c r="B136" s="36"/>
      <c r="C136" s="36"/>
      <c r="D136" s="36"/>
      <c r="E136" s="36"/>
      <c r="F136" s="36"/>
      <c r="G136" s="36"/>
      <c r="H136" s="36"/>
      <c r="I136" s="36"/>
      <c r="J136" s="36"/>
      <c r="K136" s="36"/>
      <c r="L136" s="36"/>
      <c r="M136" s="36"/>
      <c r="N136" s="36"/>
      <c r="O136" s="36"/>
      <c r="P136" s="36"/>
      <c r="Q136" s="36"/>
      <c r="R136" s="36"/>
      <c r="S136" s="36"/>
      <c r="T136" s="36"/>
      <c r="U136" s="36"/>
    </row>
    <row r="137" spans="2:21">
      <c r="B137" s="36"/>
      <c r="C137" s="36"/>
      <c r="D137" s="36"/>
      <c r="E137" s="36"/>
      <c r="F137" s="36"/>
      <c r="G137" s="36"/>
      <c r="H137" s="36"/>
      <c r="I137" s="36"/>
      <c r="J137" s="36"/>
      <c r="K137" s="36"/>
      <c r="L137" s="36"/>
      <c r="M137" s="36"/>
      <c r="N137" s="36"/>
      <c r="O137" s="36"/>
      <c r="P137" s="36"/>
      <c r="Q137" s="36"/>
      <c r="R137" s="36"/>
      <c r="S137" s="36"/>
      <c r="T137" s="36"/>
      <c r="U137" s="36"/>
    </row>
  </sheetData>
  <mergeCells count="5">
    <mergeCell ref="A3:U3"/>
    <mergeCell ref="A4:U4"/>
    <mergeCell ref="A5:U5"/>
    <mergeCell ref="A8:U8"/>
    <mergeCell ref="D19:E19"/>
  </mergeCells>
  <printOptions horizontalCentered="1"/>
  <pageMargins left="0.41" right="0.23" top="1.75" bottom="0.33" header="1.25" footer="0.17"/>
  <pageSetup scale="44" orientation="landscape" r:id="rId1"/>
  <headerFooter alignWithMargins="0">
    <oddFooter>&amp;Z&amp;F&amp;RPage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4122F-3B46-44F2-9420-BA9C1477A57F}">
  <sheetPr>
    <pageSetUpPr fitToPage="1"/>
  </sheetPr>
  <dimension ref="A1:X130"/>
  <sheetViews>
    <sheetView zoomScale="50" zoomScaleNormal="50" workbookViewId="0">
      <selection sqref="A1:C1"/>
    </sheetView>
  </sheetViews>
  <sheetFormatPr defaultColWidth="11.42578125" defaultRowHeight="15.75"/>
  <cols>
    <col min="1" max="1" width="4.140625" style="34" customWidth="1"/>
    <col min="2" max="2" width="5.85546875" style="34" bestFit="1" customWidth="1"/>
    <col min="3" max="3" width="2" style="34" customWidth="1"/>
    <col min="4" max="4" width="58.28515625" style="34" customWidth="1"/>
    <col min="5" max="5" width="16.28515625" style="34" customWidth="1"/>
    <col min="6" max="6" width="8.7109375" style="34" customWidth="1"/>
    <col min="7" max="7" width="24.28515625" style="34" customWidth="1"/>
    <col min="8" max="8" width="5" style="34" customWidth="1"/>
    <col min="9" max="9" width="32" style="34" customWidth="1"/>
    <col min="10" max="10" width="6.42578125" style="34" bestFit="1" customWidth="1"/>
    <col min="11" max="11" width="32.28515625" style="34" customWidth="1"/>
    <col min="12" max="12" width="4.5703125" style="34" customWidth="1"/>
    <col min="13" max="13" width="32.7109375" style="34" customWidth="1"/>
    <col min="14" max="14" width="5.140625" style="34" customWidth="1"/>
    <col min="15" max="15" width="35.7109375" style="34" customWidth="1"/>
    <col min="16" max="16" width="4.28515625" style="34" customWidth="1"/>
    <col min="17" max="17" width="29.5703125" style="34" customWidth="1"/>
    <col min="18" max="18" width="2.7109375" style="34" customWidth="1"/>
    <col min="19" max="19" width="32.28515625" style="34" customWidth="1"/>
    <col min="20" max="20" width="18" style="34" bestFit="1" customWidth="1"/>
    <col min="21" max="16384" width="11.42578125" style="34"/>
  </cols>
  <sheetData>
    <row r="1" spans="1:24">
      <c r="A1" s="33"/>
      <c r="B1" s="33"/>
      <c r="C1" s="33"/>
      <c r="D1" s="33"/>
      <c r="E1" s="33"/>
      <c r="F1" s="33"/>
      <c r="G1" s="33"/>
      <c r="H1" s="33"/>
      <c r="J1" s="33"/>
      <c r="K1" s="33"/>
      <c r="L1" s="33"/>
      <c r="V1" s="104"/>
      <c r="X1" s="36" t="s">
        <v>121</v>
      </c>
    </row>
    <row r="2" spans="1:24">
      <c r="B2" s="37"/>
      <c r="C2" s="37"/>
      <c r="D2" s="37"/>
      <c r="E2" s="37"/>
      <c r="F2" s="37"/>
      <c r="G2" s="37"/>
      <c r="H2" s="37"/>
      <c r="J2" s="37"/>
      <c r="K2" s="37"/>
      <c r="L2" s="37"/>
    </row>
    <row r="3" spans="1:24">
      <c r="A3" s="387" t="s">
        <v>152</v>
      </c>
      <c r="B3" s="387"/>
      <c r="C3" s="387"/>
      <c r="D3" s="387"/>
      <c r="E3" s="387"/>
      <c r="F3" s="387"/>
      <c r="G3" s="387"/>
      <c r="H3" s="387"/>
      <c r="I3" s="387"/>
      <c r="J3" s="387"/>
      <c r="K3" s="387"/>
      <c r="L3" s="387"/>
      <c r="M3" s="387"/>
      <c r="N3" s="387"/>
      <c r="O3" s="387"/>
      <c r="P3" s="387"/>
      <c r="Q3" s="387"/>
      <c r="R3" s="387"/>
      <c r="S3" s="387"/>
    </row>
    <row r="4" spans="1:24">
      <c r="A4" s="384" t="str">
        <f>"Forecasted Costs through December 31, 2025"</f>
        <v>Forecasted Costs through December 31, 2025</v>
      </c>
      <c r="B4" s="384"/>
      <c r="C4" s="384"/>
      <c r="D4" s="384"/>
      <c r="E4" s="384"/>
      <c r="F4" s="384"/>
      <c r="G4" s="384"/>
      <c r="H4" s="384"/>
      <c r="I4" s="384"/>
      <c r="J4" s="384"/>
      <c r="K4" s="384"/>
      <c r="L4" s="384"/>
      <c r="M4" s="384"/>
      <c r="N4" s="384"/>
      <c r="O4" s="384"/>
      <c r="P4" s="384"/>
      <c r="Q4" s="384"/>
      <c r="R4" s="384"/>
      <c r="S4" s="384"/>
    </row>
    <row r="5" spans="1:24">
      <c r="A5" s="383" t="str">
        <f>"For rates effective January 1, 2025"</f>
        <v>For rates effective January 1, 2025</v>
      </c>
      <c r="B5" s="383"/>
      <c r="C5" s="383"/>
      <c r="D5" s="383"/>
      <c r="E5" s="383"/>
      <c r="F5" s="383"/>
      <c r="G5" s="383"/>
      <c r="H5" s="383"/>
      <c r="I5" s="383"/>
      <c r="J5" s="383"/>
      <c r="K5" s="383"/>
      <c r="L5" s="383"/>
      <c r="M5" s="383"/>
      <c r="N5" s="383"/>
      <c r="O5" s="383"/>
      <c r="P5" s="383"/>
      <c r="Q5" s="383"/>
      <c r="R5" s="383"/>
      <c r="S5" s="383"/>
      <c r="T5" s="33"/>
      <c r="U5" s="33"/>
    </row>
    <row r="6" spans="1:24">
      <c r="A6" s="38"/>
      <c r="B6" s="38"/>
      <c r="C6" s="38"/>
      <c r="D6" s="38"/>
      <c r="E6" s="38"/>
      <c r="F6" s="38"/>
      <c r="G6" s="38"/>
      <c r="H6" s="38"/>
      <c r="I6" s="38"/>
      <c r="J6" s="38"/>
      <c r="K6" s="38"/>
      <c r="L6" s="38"/>
      <c r="M6" s="38"/>
      <c r="N6" s="38"/>
      <c r="O6" s="38"/>
      <c r="P6" s="38"/>
      <c r="Q6" s="38"/>
      <c r="R6" s="38"/>
      <c r="S6" s="38"/>
    </row>
    <row r="7" spans="1:24">
      <c r="A7" s="38"/>
      <c r="B7" s="38"/>
      <c r="C7" s="38"/>
      <c r="D7" s="38"/>
      <c r="E7" s="38"/>
      <c r="F7" s="38"/>
      <c r="G7" s="38"/>
      <c r="H7" s="38"/>
      <c r="I7" s="38"/>
      <c r="J7" s="38"/>
      <c r="K7" s="38"/>
      <c r="L7" s="38"/>
      <c r="M7" s="38"/>
      <c r="N7" s="38"/>
      <c r="O7" s="38"/>
      <c r="P7" s="38"/>
      <c r="Q7" s="38"/>
      <c r="R7" s="38"/>
      <c r="S7" s="38"/>
    </row>
    <row r="8" spans="1:24">
      <c r="A8" s="385" t="s">
        <v>153</v>
      </c>
      <c r="B8" s="385"/>
      <c r="C8" s="385"/>
      <c r="D8" s="385"/>
      <c r="E8" s="385"/>
      <c r="F8" s="385"/>
      <c r="G8" s="385"/>
      <c r="H8" s="385"/>
      <c r="I8" s="385"/>
      <c r="J8" s="385"/>
      <c r="K8" s="385"/>
      <c r="L8" s="385"/>
      <c r="M8" s="385"/>
      <c r="N8" s="385"/>
      <c r="O8" s="385"/>
      <c r="P8" s="385"/>
      <c r="Q8" s="385"/>
      <c r="R8" s="385"/>
    </row>
    <row r="9" spans="1:24">
      <c r="B9" s="39"/>
      <c r="C9" s="39"/>
      <c r="D9" s="40"/>
      <c r="E9" s="40"/>
      <c r="G9" s="41"/>
      <c r="H9" s="40"/>
      <c r="J9" s="40"/>
      <c r="K9" s="40"/>
      <c r="L9" s="40"/>
    </row>
    <row r="10" spans="1:24" ht="31.5">
      <c r="B10" s="39"/>
      <c r="C10" s="39"/>
      <c r="D10" s="40"/>
      <c r="E10" s="40"/>
      <c r="F10" s="42"/>
      <c r="G10" s="41"/>
      <c r="H10" s="40"/>
      <c r="I10" s="105" t="s">
        <v>154</v>
      </c>
      <c r="J10" s="106"/>
      <c r="K10" s="107" t="s">
        <v>155</v>
      </c>
      <c r="L10" s="108"/>
      <c r="M10" s="105" t="s">
        <v>156</v>
      </c>
      <c r="N10" s="109"/>
      <c r="O10" s="105" t="s">
        <v>157</v>
      </c>
      <c r="P10" s="109"/>
      <c r="Q10" s="105" t="s">
        <v>158</v>
      </c>
      <c r="R10" s="109"/>
      <c r="S10" s="105" t="s">
        <v>159</v>
      </c>
    </row>
    <row r="11" spans="1:24">
      <c r="B11" s="39" t="s">
        <v>104</v>
      </c>
      <c r="C11" s="39"/>
      <c r="D11" s="40"/>
      <c r="E11" s="40"/>
      <c r="F11" s="40"/>
      <c r="G11" s="41"/>
      <c r="H11" s="40"/>
      <c r="I11" s="43" t="s">
        <v>160</v>
      </c>
      <c r="J11" s="40"/>
      <c r="K11" s="44" t="s">
        <v>160</v>
      </c>
      <c r="L11" s="44"/>
      <c r="M11" s="44" t="s">
        <v>160</v>
      </c>
      <c r="O11" s="44" t="s">
        <v>160</v>
      </c>
      <c r="Q11" s="44" t="s">
        <v>160</v>
      </c>
      <c r="S11" s="44" t="s">
        <v>160</v>
      </c>
    </row>
    <row r="12" spans="1:24" ht="16.5" thickBot="1">
      <c r="B12" s="45" t="s">
        <v>106</v>
      </c>
      <c r="C12" s="39"/>
      <c r="D12" s="40"/>
      <c r="E12" s="39"/>
      <c r="F12" s="40"/>
      <c r="G12" s="40"/>
      <c r="H12" s="40"/>
      <c r="I12" s="43" t="s">
        <v>107</v>
      </c>
      <c r="J12" s="40"/>
      <c r="K12" s="43" t="s">
        <v>107</v>
      </c>
      <c r="L12" s="44"/>
      <c r="M12" s="43" t="s">
        <v>107</v>
      </c>
      <c r="O12" s="43" t="s">
        <v>107</v>
      </c>
      <c r="Q12" s="43" t="s">
        <v>107</v>
      </c>
      <c r="S12" s="43" t="s">
        <v>107</v>
      </c>
    </row>
    <row r="13" spans="1:24">
      <c r="B13" s="39"/>
      <c r="C13" s="39"/>
      <c r="D13" s="40"/>
      <c r="E13" s="39"/>
      <c r="F13" s="40"/>
      <c r="G13" s="40"/>
      <c r="H13" s="40"/>
      <c r="J13" s="40"/>
      <c r="L13" s="40"/>
    </row>
    <row r="14" spans="1:24">
      <c r="A14" s="43" t="s">
        <v>108</v>
      </c>
      <c r="B14" s="46" t="s">
        <v>109</v>
      </c>
      <c r="C14" s="39"/>
      <c r="D14" s="40"/>
      <c r="E14" s="39"/>
      <c r="F14" s="40"/>
      <c r="G14" s="40"/>
      <c r="H14" s="40"/>
      <c r="J14" s="40"/>
      <c r="L14" s="40"/>
    </row>
    <row r="15" spans="1:24">
      <c r="A15" s="43"/>
      <c r="B15" s="39">
        <v>1</v>
      </c>
      <c r="C15" s="39"/>
      <c r="D15" s="33" t="s">
        <v>110</v>
      </c>
      <c r="E15" s="39"/>
      <c r="F15" s="40"/>
      <c r="G15" s="39" t="s">
        <v>111</v>
      </c>
      <c r="H15" s="40"/>
      <c r="I15" s="47">
        <f>SUM(Q15,K15,S15,O15,M15,)</f>
        <v>1908635258.0370662</v>
      </c>
      <c r="J15" s="48"/>
      <c r="K15" s="110">
        <v>20966885.169530723</v>
      </c>
      <c r="L15" s="111"/>
      <c r="M15" s="110">
        <v>525924568.13222891</v>
      </c>
      <c r="N15" s="112"/>
      <c r="O15" s="110">
        <v>21219121.416689634</v>
      </c>
      <c r="P15" s="112"/>
      <c r="Q15" s="110">
        <v>984462754.51216304</v>
      </c>
      <c r="R15" s="112"/>
      <c r="S15" s="110">
        <v>356061928.80645388</v>
      </c>
    </row>
    <row r="16" spans="1:24">
      <c r="A16" s="43"/>
      <c r="B16" s="39"/>
      <c r="C16" s="39"/>
      <c r="D16" s="33"/>
      <c r="E16" s="39"/>
      <c r="F16" s="40"/>
      <c r="G16" s="40"/>
      <c r="H16" s="40"/>
      <c r="I16" s="47"/>
      <c r="J16" s="48"/>
      <c r="K16" s="112"/>
      <c r="L16" s="111"/>
      <c r="M16" s="112"/>
      <c r="N16" s="112"/>
      <c r="O16" s="112"/>
      <c r="P16" s="112"/>
      <c r="Q16" s="112"/>
      <c r="R16" s="112"/>
      <c r="S16" s="112"/>
      <c r="U16" s="113"/>
    </row>
    <row r="17" spans="1:19">
      <c r="A17" s="43"/>
      <c r="B17" s="39">
        <f>+B15+1</f>
        <v>2</v>
      </c>
      <c r="C17" s="39"/>
      <c r="D17" s="40" t="s">
        <v>112</v>
      </c>
      <c r="E17" s="39"/>
      <c r="F17" s="40"/>
      <c r="G17" s="39" t="s">
        <v>113</v>
      </c>
      <c r="H17" s="40"/>
      <c r="I17" s="47">
        <f>SUM(Q17,K17,S17,O17,M17,)</f>
        <v>18718493.765539981</v>
      </c>
      <c r="J17" s="48"/>
      <c r="K17" s="110">
        <v>0</v>
      </c>
      <c r="L17" s="111"/>
      <c r="M17" s="110">
        <v>1596307.0317999902</v>
      </c>
      <c r="N17" s="112"/>
      <c r="O17" s="110">
        <v>408708.38076000003</v>
      </c>
      <c r="P17" s="112"/>
      <c r="Q17" s="110">
        <v>10525047.63787999</v>
      </c>
      <c r="R17" s="112"/>
      <c r="S17" s="110">
        <v>6188430.7150999997</v>
      </c>
    </row>
    <row r="18" spans="1:19">
      <c r="A18" s="43"/>
      <c r="B18" s="46"/>
      <c r="C18" s="39"/>
      <c r="D18" s="40"/>
      <c r="E18" s="39"/>
      <c r="F18" s="40"/>
      <c r="G18" s="40"/>
      <c r="H18" s="40"/>
      <c r="I18" s="53"/>
      <c r="J18" s="48"/>
      <c r="K18" s="53"/>
      <c r="L18" s="48"/>
      <c r="M18" s="53"/>
      <c r="N18" s="54"/>
      <c r="O18" s="53"/>
      <c r="P18" s="54"/>
      <c r="Q18" s="53"/>
      <c r="R18" s="54"/>
      <c r="S18" s="53"/>
    </row>
    <row r="19" spans="1:19" ht="48.75" customHeight="1">
      <c r="B19" s="39">
        <f>+B17+1</f>
        <v>3</v>
      </c>
      <c r="C19" s="39"/>
      <c r="D19" s="386" t="s">
        <v>161</v>
      </c>
      <c r="E19" s="386"/>
      <c r="F19" s="55"/>
      <c r="G19" s="39" t="s">
        <v>115</v>
      </c>
      <c r="H19" s="37"/>
      <c r="I19" s="54">
        <f>SUM(Q19,K19,S19,O19,M19,)</f>
        <v>1889916764.2715263</v>
      </c>
      <c r="J19" s="48"/>
      <c r="K19" s="48">
        <f>+K15-K17</f>
        <v>20966885.169530723</v>
      </c>
      <c r="L19" s="48"/>
      <c r="M19" s="48">
        <f>+M15-M17</f>
        <v>524328261.10042894</v>
      </c>
      <c r="N19" s="54"/>
      <c r="O19" s="48">
        <f>+O15-O17</f>
        <v>20810413.035929635</v>
      </c>
      <c r="P19" s="54"/>
      <c r="Q19" s="48">
        <f>+Q15-Q17</f>
        <v>973937706.87428308</v>
      </c>
      <c r="R19" s="54"/>
      <c r="S19" s="48">
        <f>+S15-S17</f>
        <v>349873498.09135389</v>
      </c>
    </row>
    <row r="20" spans="1:19">
      <c r="B20" s="39"/>
      <c r="C20" s="39"/>
      <c r="D20" s="33"/>
      <c r="E20" s="40"/>
      <c r="F20" s="55"/>
      <c r="G20" s="37"/>
      <c r="H20" s="37"/>
      <c r="I20" s="54"/>
      <c r="J20" s="48"/>
      <c r="K20" s="48"/>
      <c r="L20" s="48"/>
      <c r="M20" s="48"/>
      <c r="N20" s="54"/>
      <c r="O20" s="48"/>
      <c r="P20" s="54"/>
      <c r="Q20" s="48"/>
      <c r="R20" s="54"/>
      <c r="S20" s="48"/>
    </row>
    <row r="21" spans="1:19">
      <c r="B21" s="39">
        <f>+B19+1</f>
        <v>4</v>
      </c>
      <c r="C21" s="39"/>
      <c r="D21" s="33" t="s">
        <v>116</v>
      </c>
      <c r="E21" s="40"/>
      <c r="F21" s="55"/>
      <c r="G21" s="37"/>
      <c r="H21" s="37"/>
      <c r="I21" s="54"/>
      <c r="J21" s="48"/>
      <c r="K21" s="54"/>
      <c r="L21" s="48"/>
      <c r="M21" s="54"/>
      <c r="N21" s="54"/>
      <c r="O21" s="54"/>
      <c r="P21" s="54"/>
      <c r="Q21" s="54"/>
      <c r="R21" s="54"/>
      <c r="S21" s="54"/>
    </row>
    <row r="22" spans="1:19">
      <c r="B22" s="39">
        <f>+B21+1</f>
        <v>5</v>
      </c>
      <c r="C22" s="39"/>
      <c r="D22" s="33" t="s">
        <v>162</v>
      </c>
      <c r="E22" s="40"/>
      <c r="F22" s="55"/>
      <c r="G22" s="39" t="s">
        <v>118</v>
      </c>
      <c r="H22" s="37"/>
      <c r="I22" s="54">
        <f>SUM(Q22,K22,S22,O22,M22,)</f>
        <v>143912532.39314485</v>
      </c>
      <c r="J22" s="48"/>
      <c r="K22" s="114">
        <v>0</v>
      </c>
      <c r="L22" s="115"/>
      <c r="M22" s="114">
        <v>49191628.168834932</v>
      </c>
      <c r="N22" s="112"/>
      <c r="O22" s="110">
        <v>4764985.4899237761</v>
      </c>
      <c r="P22" s="112"/>
      <c r="Q22" s="110">
        <v>40603282.370092437</v>
      </c>
      <c r="R22" s="112"/>
      <c r="S22" s="110">
        <v>49352636.364293709</v>
      </c>
    </row>
    <row r="23" spans="1:19">
      <c r="B23" s="39">
        <f>+B22+1</f>
        <v>6</v>
      </c>
      <c r="C23" s="39"/>
      <c r="D23" s="33" t="s">
        <v>163</v>
      </c>
      <c r="E23" s="40"/>
      <c r="F23" s="55"/>
      <c r="G23" s="39" t="str">
        <f>"(Worksheet J)"</f>
        <v>(Worksheet J)</v>
      </c>
      <c r="H23" s="37"/>
      <c r="I23" s="53">
        <f>SUM(Q23,K23,S23,O23,M23,)</f>
        <v>0</v>
      </c>
      <c r="J23" s="48"/>
      <c r="K23" s="67">
        <v>0</v>
      </c>
      <c r="L23" s="66"/>
      <c r="M23" s="65">
        <v>0</v>
      </c>
      <c r="N23" s="54"/>
      <c r="O23" s="65">
        <v>0</v>
      </c>
      <c r="P23" s="54"/>
      <c r="Q23" s="65">
        <v>0</v>
      </c>
      <c r="R23" s="54"/>
      <c r="S23" s="67">
        <v>0</v>
      </c>
    </row>
    <row r="24" spans="1:19">
      <c r="B24" s="39">
        <f>+B23+1</f>
        <v>7</v>
      </c>
      <c r="C24" s="39"/>
      <c r="D24" s="63" t="s">
        <v>120</v>
      </c>
      <c r="E24" s="40" t="s">
        <v>121</v>
      </c>
      <c r="F24" s="55"/>
      <c r="G24" s="37"/>
      <c r="H24" s="37"/>
      <c r="I24" s="66">
        <f>+I23+I22</f>
        <v>143912532.39314485</v>
      </c>
      <c r="J24" s="48"/>
      <c r="K24" s="68">
        <f>+K23+K22</f>
        <v>0</v>
      </c>
      <c r="L24" s="66"/>
      <c r="M24" s="66">
        <f>+M23+M22</f>
        <v>49191628.168834932</v>
      </c>
      <c r="N24" s="54"/>
      <c r="O24" s="66">
        <f>+O23+O22</f>
        <v>4764985.4899237761</v>
      </c>
      <c r="P24" s="54"/>
      <c r="Q24" s="66">
        <f>+Q23+Q22</f>
        <v>40603282.370092437</v>
      </c>
      <c r="R24" s="54"/>
      <c r="S24" s="68">
        <f>+S23+S22</f>
        <v>49352636.364293709</v>
      </c>
    </row>
    <row r="25" spans="1:19">
      <c r="B25" s="39"/>
      <c r="C25" s="39"/>
      <c r="D25" s="33"/>
      <c r="E25" s="40"/>
      <c r="F25" s="55"/>
      <c r="G25" s="37"/>
      <c r="H25" s="37"/>
      <c r="I25" s="64"/>
      <c r="J25" s="48"/>
      <c r="K25" s="67"/>
      <c r="L25" s="66"/>
      <c r="M25" s="65"/>
      <c r="N25" s="54"/>
      <c r="O25" s="65"/>
      <c r="P25" s="54"/>
      <c r="Q25" s="65"/>
      <c r="R25" s="54"/>
      <c r="S25" s="67"/>
    </row>
    <row r="26" spans="1:19">
      <c r="B26" s="39">
        <f>+B24+1</f>
        <v>8</v>
      </c>
      <c r="C26" s="39"/>
      <c r="D26" s="33" t="s">
        <v>164</v>
      </c>
      <c r="E26" s="40"/>
      <c r="G26" s="55" t="str">
        <f>"(Ln "&amp;B19&amp;"- Ln "&amp;B24&amp;")"</f>
        <v>(Ln 3- Ln 7)</v>
      </c>
      <c r="H26" s="37"/>
      <c r="I26" s="54">
        <f>SUM(Q26,K26,S26,O26,M26,)</f>
        <v>1746004231.8783817</v>
      </c>
      <c r="J26" s="48"/>
      <c r="K26" s="68">
        <f>+K19-K24</f>
        <v>20966885.169530723</v>
      </c>
      <c r="L26" s="66"/>
      <c r="M26" s="66">
        <f>+M19-M24</f>
        <v>475136632.93159401</v>
      </c>
      <c r="N26" s="54"/>
      <c r="O26" s="66">
        <f>+O19-O24</f>
        <v>16045427.54600586</v>
      </c>
      <c r="P26" s="54"/>
      <c r="Q26" s="66">
        <f>+Q19-Q24</f>
        <v>933334424.50419068</v>
      </c>
      <c r="R26" s="54"/>
      <c r="S26" s="68">
        <f>+S19-S24</f>
        <v>300520861.7270602</v>
      </c>
    </row>
    <row r="27" spans="1:19">
      <c r="C27" s="39"/>
      <c r="E27" s="40"/>
      <c r="G27" s="37"/>
      <c r="H27" s="37"/>
      <c r="I27" s="54"/>
      <c r="J27" s="48"/>
      <c r="K27" s="54"/>
      <c r="L27" s="54"/>
      <c r="M27" s="54"/>
      <c r="N27" s="54"/>
      <c r="O27" s="54"/>
      <c r="P27" s="54"/>
      <c r="Q27" s="54"/>
      <c r="R27" s="54"/>
      <c r="S27" s="54"/>
    </row>
    <row r="28" spans="1:19">
      <c r="B28" s="39">
        <f>+B26+1</f>
        <v>9</v>
      </c>
      <c r="C28" s="39"/>
      <c r="D28" s="33" t="s">
        <v>165</v>
      </c>
      <c r="E28" s="40"/>
      <c r="F28" s="55"/>
      <c r="G28" s="39" t="str">
        <f>"(Worksheet J)"</f>
        <v>(Worksheet J)</v>
      </c>
      <c r="H28" s="37"/>
      <c r="I28" s="47">
        <f>SUM(Q28,K28,S28,O28,M28,)</f>
        <v>0</v>
      </c>
      <c r="J28" s="48"/>
      <c r="K28" s="116">
        <v>0</v>
      </c>
      <c r="L28" s="66"/>
      <c r="M28" s="117">
        <v>0</v>
      </c>
      <c r="N28" s="54"/>
      <c r="O28" s="117">
        <v>0</v>
      </c>
      <c r="P28" s="54"/>
      <c r="Q28" s="117">
        <v>0</v>
      </c>
      <c r="R28" s="54"/>
      <c r="S28" s="117">
        <v>0</v>
      </c>
    </row>
    <row r="29" spans="1:19">
      <c r="B29" s="39"/>
      <c r="C29" s="39"/>
      <c r="D29" s="33"/>
      <c r="E29" s="40"/>
      <c r="F29" s="55"/>
      <c r="G29" s="37"/>
      <c r="H29" s="37"/>
      <c r="I29" s="64"/>
      <c r="J29" s="48"/>
      <c r="K29" s="67"/>
      <c r="L29" s="66"/>
      <c r="M29" s="65"/>
      <c r="N29" s="54"/>
      <c r="O29" s="65"/>
      <c r="P29" s="54"/>
      <c r="Q29" s="65"/>
      <c r="R29" s="54"/>
      <c r="S29" s="67"/>
    </row>
    <row r="30" spans="1:19" ht="21" customHeight="1">
      <c r="B30" s="39">
        <f>+B28+1</f>
        <v>10</v>
      </c>
      <c r="C30" s="39"/>
      <c r="D30" s="33" t="s">
        <v>166</v>
      </c>
      <c r="E30" s="40"/>
      <c r="G30" s="55" t="str">
        <f>"(Ln "&amp;B26&amp;" + Ln "&amp;B28&amp;")"</f>
        <v>(Ln 8 + Ln 9)</v>
      </c>
      <c r="H30" s="37"/>
      <c r="I30" s="47">
        <f>+I26+I28</f>
        <v>1746004231.8783817</v>
      </c>
      <c r="J30" s="48"/>
      <c r="K30" s="68">
        <f>+K26+K28</f>
        <v>20966885.169530723</v>
      </c>
      <c r="L30" s="66"/>
      <c r="M30" s="66">
        <f>+M26+M28</f>
        <v>475136632.93159401</v>
      </c>
      <c r="N30" s="54"/>
      <c r="O30" s="66">
        <f>+O26+O28</f>
        <v>16045427.54600586</v>
      </c>
      <c r="P30" s="54"/>
      <c r="Q30" s="66">
        <f>+Q26+Q28</f>
        <v>933334424.50419068</v>
      </c>
      <c r="R30" s="54"/>
      <c r="S30" s="68">
        <f>+S26+S28</f>
        <v>300520861.7270602</v>
      </c>
    </row>
    <row r="31" spans="1:19">
      <c r="I31" s="54"/>
      <c r="J31" s="54"/>
      <c r="K31" s="54"/>
      <c r="L31" s="54"/>
      <c r="M31" s="54"/>
      <c r="N31" s="54"/>
      <c r="O31" s="54"/>
      <c r="P31" s="54"/>
      <c r="Q31" s="54"/>
      <c r="R31" s="54"/>
      <c r="S31" s="54"/>
    </row>
    <row r="32" spans="1:19">
      <c r="B32" s="39">
        <f>+B30+1</f>
        <v>11</v>
      </c>
      <c r="C32" s="39"/>
      <c r="D32" s="33" t="s">
        <v>167</v>
      </c>
      <c r="E32" s="40"/>
      <c r="F32" s="55"/>
      <c r="G32" s="55" t="s">
        <v>168</v>
      </c>
      <c r="H32" s="37"/>
      <c r="I32" s="54">
        <f>SUM(Q32,K32,S32,O32,M32,)</f>
        <v>-46493249.802858457</v>
      </c>
      <c r="J32" s="48"/>
      <c r="K32" s="72">
        <v>-1871324.6823275008</v>
      </c>
      <c r="L32" s="66"/>
      <c r="M32" s="47">
        <v>-425438.04793298506</v>
      </c>
      <c r="N32" s="54"/>
      <c r="O32" s="47">
        <v>683570.86690927914</v>
      </c>
      <c r="P32" s="54"/>
      <c r="Q32" s="47">
        <v>-30427002.996787962</v>
      </c>
      <c r="R32" s="54"/>
      <c r="S32" s="72">
        <v>-14453054.942719288</v>
      </c>
    </row>
    <row r="33" spans="1:21">
      <c r="B33" s="39"/>
      <c r="C33" s="39"/>
      <c r="D33" s="33"/>
      <c r="E33" s="40"/>
      <c r="F33" s="55"/>
      <c r="G33" s="55"/>
      <c r="H33" s="37"/>
      <c r="I33" s="54"/>
      <c r="J33" s="48"/>
      <c r="K33" s="72"/>
      <c r="L33" s="66"/>
      <c r="M33" s="47"/>
      <c r="N33" s="54"/>
      <c r="O33" s="47"/>
      <c r="P33" s="54"/>
      <c r="Q33" s="47"/>
      <c r="R33" s="54"/>
      <c r="S33" s="72"/>
    </row>
    <row r="34" spans="1:21">
      <c r="B34" s="39" t="s">
        <v>128</v>
      </c>
      <c r="C34" s="39"/>
      <c r="D34" s="33" t="s">
        <v>129</v>
      </c>
      <c r="E34" s="40"/>
      <c r="F34" s="55"/>
      <c r="G34" s="55" t="s">
        <v>130</v>
      </c>
      <c r="H34" s="37"/>
      <c r="I34" s="54">
        <f>SUM(Q34,K34,S34,O34,M34,)</f>
        <v>7798149</v>
      </c>
      <c r="J34" s="48"/>
      <c r="K34" s="72"/>
      <c r="L34" s="66"/>
      <c r="M34" s="47"/>
      <c r="N34" s="54"/>
      <c r="O34" s="47"/>
      <c r="P34" s="54"/>
      <c r="Q34" s="47">
        <v>7798149</v>
      </c>
      <c r="R34" s="54"/>
      <c r="S34" s="72"/>
    </row>
    <row r="35" spans="1:21">
      <c r="E35" s="40"/>
      <c r="F35" s="55"/>
      <c r="G35" s="37"/>
      <c r="H35" s="37"/>
      <c r="I35" s="47"/>
      <c r="J35" s="48"/>
      <c r="K35" s="68"/>
      <c r="L35" s="118"/>
      <c r="M35" s="66"/>
      <c r="N35" s="54"/>
      <c r="O35" s="66"/>
      <c r="P35" s="54"/>
      <c r="Q35" s="66"/>
      <c r="R35" s="54"/>
      <c r="S35" s="68"/>
    </row>
    <row r="36" spans="1:21">
      <c r="B36" s="34" t="s">
        <v>131</v>
      </c>
      <c r="D36" s="33" t="s">
        <v>132</v>
      </c>
      <c r="E36" s="40"/>
      <c r="F36" s="55"/>
      <c r="G36" s="37"/>
      <c r="H36" s="37"/>
      <c r="I36" s="54">
        <f>SUM(Q36,K36,S36,O36,M36,)</f>
        <v>-53135175.100999042</v>
      </c>
      <c r="J36" s="48"/>
      <c r="K36" s="68">
        <v>-200015.6174166163</v>
      </c>
      <c r="L36" s="118"/>
      <c r="M36" s="66">
        <v>-17693309.879904386</v>
      </c>
      <c r="N36" s="54"/>
      <c r="O36" s="66">
        <v>-920445.02523214091</v>
      </c>
      <c r="P36" s="54"/>
      <c r="Q36" s="66">
        <v>-25876968.113357354</v>
      </c>
      <c r="R36" s="54"/>
      <c r="S36" s="68">
        <v>-8444436.465088537</v>
      </c>
    </row>
    <row r="37" spans="1:21">
      <c r="D37" s="33"/>
      <c r="E37" s="40"/>
      <c r="F37" s="55"/>
      <c r="G37" s="37"/>
      <c r="H37" s="37"/>
      <c r="I37" s="54"/>
      <c r="J37" s="48"/>
      <c r="K37" s="68"/>
      <c r="L37" s="118"/>
      <c r="M37" s="66"/>
      <c r="N37" s="54"/>
      <c r="O37" s="66"/>
      <c r="P37" s="54"/>
      <c r="Q37" s="66"/>
      <c r="R37" s="54"/>
      <c r="S37" s="68"/>
    </row>
    <row r="38" spans="1:21">
      <c r="B38" s="34" t="s">
        <v>133</v>
      </c>
      <c r="D38" s="33" t="s">
        <v>169</v>
      </c>
      <c r="E38" s="40"/>
      <c r="F38" s="55"/>
      <c r="G38" s="37"/>
      <c r="H38" s="37"/>
      <c r="I38" s="54">
        <f>SUM(Q38,K38,S38,O38,M38,)</f>
        <v>-432366.97254356684</v>
      </c>
      <c r="J38" s="48"/>
      <c r="K38" s="68">
        <v>-4607.3525549502765</v>
      </c>
      <c r="L38" s="118"/>
      <c r="M38" s="66">
        <v>-147119.07036397912</v>
      </c>
      <c r="N38" s="54"/>
      <c r="O38" s="66">
        <v>-7715.2063637619794</v>
      </c>
      <c r="P38" s="54"/>
      <c r="Q38" s="66">
        <v>-217330.36084843343</v>
      </c>
      <c r="R38" s="54"/>
      <c r="S38" s="68">
        <v>-55594.982412442027</v>
      </c>
    </row>
    <row r="39" spans="1:21">
      <c r="D39" s="33"/>
      <c r="E39" s="40"/>
      <c r="F39" s="55"/>
      <c r="G39" s="37"/>
      <c r="H39" s="37"/>
      <c r="I39" s="54"/>
      <c r="J39" s="48"/>
      <c r="K39" s="68"/>
      <c r="L39" s="118"/>
      <c r="M39" s="66"/>
      <c r="N39" s="54"/>
      <c r="O39" s="66"/>
      <c r="P39" s="54"/>
      <c r="Q39" s="66"/>
      <c r="R39" s="54"/>
      <c r="S39" s="68"/>
    </row>
    <row r="40" spans="1:21">
      <c r="B40" s="34" t="s">
        <v>135</v>
      </c>
      <c r="D40" s="33" t="s">
        <v>136</v>
      </c>
      <c r="E40" s="40"/>
      <c r="F40" s="55"/>
      <c r="G40" s="37"/>
      <c r="H40" s="37"/>
      <c r="I40" s="54">
        <f>SUM(Q40,K40,S40,O40,M40,)</f>
        <v>-3585336.6333890799</v>
      </c>
      <c r="J40" s="48"/>
      <c r="K40" s="68"/>
      <c r="L40" s="118"/>
      <c r="M40" s="66">
        <v>-3585336.6333890799</v>
      </c>
      <c r="N40" s="54"/>
      <c r="O40" s="66"/>
      <c r="P40" s="54"/>
      <c r="Q40" s="66"/>
      <c r="R40" s="54"/>
      <c r="S40" s="68"/>
    </row>
    <row r="41" spans="1:21">
      <c r="D41" s="33"/>
      <c r="E41" s="40"/>
      <c r="F41" s="55"/>
      <c r="G41" s="37"/>
      <c r="H41" s="37"/>
      <c r="I41" s="54"/>
      <c r="J41" s="48"/>
      <c r="K41" s="68"/>
      <c r="L41" s="118"/>
      <c r="M41" s="66"/>
      <c r="N41" s="54"/>
      <c r="O41" s="66"/>
      <c r="P41" s="54"/>
      <c r="Q41" s="66"/>
      <c r="R41" s="54"/>
      <c r="S41" s="68"/>
    </row>
    <row r="42" spans="1:21">
      <c r="B42" s="34" t="s">
        <v>137</v>
      </c>
      <c r="D42" s="33" t="s">
        <v>138</v>
      </c>
      <c r="E42" s="40"/>
      <c r="F42" s="55"/>
      <c r="G42" s="37"/>
      <c r="H42" s="37"/>
      <c r="I42" s="54">
        <f>SUM(Q42,K42,S42,O42,M42,)</f>
        <v>-10833.315096037844</v>
      </c>
      <c r="J42" s="48"/>
      <c r="K42" s="68">
        <v>-100.85135362484779</v>
      </c>
      <c r="L42" s="118"/>
      <c r="M42" s="66">
        <v>-3337.2932935962358</v>
      </c>
      <c r="N42" s="54"/>
      <c r="O42" s="66">
        <v>-163.05164507412408</v>
      </c>
      <c r="P42" s="54"/>
      <c r="Q42" s="66">
        <v>-5064.4005763070008</v>
      </c>
      <c r="R42" s="54"/>
      <c r="S42" s="68">
        <v>-2167.7182274356364</v>
      </c>
    </row>
    <row r="43" spans="1:21" ht="16.5" thickBot="1">
      <c r="E43" s="40"/>
      <c r="F43" s="55"/>
      <c r="G43" s="37"/>
      <c r="H43" s="37"/>
      <c r="I43" s="47"/>
      <c r="J43" s="48"/>
      <c r="K43" s="68"/>
      <c r="L43" s="118"/>
      <c r="M43" s="66"/>
      <c r="N43" s="54"/>
      <c r="O43" s="66"/>
      <c r="P43" s="54"/>
      <c r="Q43" s="66"/>
      <c r="R43" s="54"/>
      <c r="S43" s="68"/>
    </row>
    <row r="44" spans="1:21" ht="16.5" thickBot="1">
      <c r="B44" s="39">
        <f>B32+1</f>
        <v>12</v>
      </c>
      <c r="C44" s="39"/>
      <c r="D44" s="78" t="s">
        <v>170</v>
      </c>
      <c r="E44" s="79"/>
      <c r="F44" s="80"/>
      <c r="G44" s="119" t="str">
        <f>"(Ln "&amp;B30&amp;" + Ln "&amp;B32&amp;" )"</f>
        <v>(Ln 10 + Ln 11 )</v>
      </c>
      <c r="H44" s="82"/>
      <c r="I44" s="83">
        <f>+I30+I32+I34+I36+I38+I40+I42</f>
        <v>1650145419.0534956</v>
      </c>
      <c r="J44" s="48"/>
      <c r="K44" s="83">
        <f>+K30+K32+K34+K36+K38+K40+K42</f>
        <v>18890836.665878028</v>
      </c>
      <c r="L44" s="48"/>
      <c r="M44" s="83">
        <f>+M30+M32+M34+M36+M38+M40+M42</f>
        <v>453282092.00670999</v>
      </c>
      <c r="N44" s="54"/>
      <c r="O44" s="83">
        <f>+O30+O32+O34+O36+O38+O40+O42</f>
        <v>15800675.129674161</v>
      </c>
      <c r="P44" s="54"/>
      <c r="Q44" s="83">
        <f>+Q30+Q32+Q34+Q36+Q38+Q40+Q42</f>
        <v>884606207.63262069</v>
      </c>
      <c r="R44" s="54"/>
      <c r="S44" s="83">
        <f>+S30+S32+S34+S36+S38+S40+S42</f>
        <v>277565607.61861247</v>
      </c>
    </row>
    <row r="45" spans="1:21">
      <c r="B45" s="39"/>
      <c r="C45" s="39"/>
      <c r="D45" s="33"/>
      <c r="E45" s="40"/>
      <c r="G45" s="55"/>
      <c r="H45" s="37"/>
      <c r="I45" s="48"/>
      <c r="J45" s="37"/>
      <c r="K45" s="120"/>
      <c r="L45" s="120"/>
      <c r="M45" s="120"/>
      <c r="N45" s="120"/>
      <c r="O45" s="120"/>
      <c r="P45" s="120"/>
      <c r="Q45" s="120"/>
      <c r="R45" s="120"/>
      <c r="S45" s="120"/>
    </row>
    <row r="46" spans="1:21">
      <c r="A46" s="43" t="s">
        <v>140</v>
      </c>
      <c r="B46" s="46" t="s">
        <v>141</v>
      </c>
      <c r="C46" s="39"/>
      <c r="D46" s="40"/>
      <c r="E46" s="39"/>
      <c r="F46" s="40"/>
      <c r="G46" s="40"/>
      <c r="H46" s="40"/>
      <c r="J46" s="40"/>
      <c r="L46" s="40"/>
    </row>
    <row r="47" spans="1:21">
      <c r="B47" s="39">
        <f>+B44+1</f>
        <v>13</v>
      </c>
      <c r="C47" s="39"/>
      <c r="D47" s="33" t="str">
        <f>""&amp;X1&amp;" AEP East Zone Network Service Peak Load (1 CP)"</f>
        <v xml:space="preserve">  AEP East Zone Network Service Peak Load (1 CP)</v>
      </c>
      <c r="E47" s="40"/>
      <c r="F47" s="55"/>
      <c r="G47" s="71"/>
      <c r="H47" s="37"/>
      <c r="I47" s="88">
        <v>22318</v>
      </c>
      <c r="J47" s="37" t="s">
        <v>2</v>
      </c>
      <c r="K47" s="48"/>
      <c r="L47" s="37"/>
      <c r="M47" s="48"/>
      <c r="O47" s="48"/>
      <c r="Q47" s="48"/>
      <c r="S47" s="48"/>
    </row>
    <row r="48" spans="1:21">
      <c r="B48" s="39">
        <f>+B47+1</f>
        <v>14</v>
      </c>
      <c r="C48" s="33"/>
      <c r="D48" s="33" t="str">
        <f>"Annual Point-to-Point Rate in $/MW - Year"</f>
        <v>Annual Point-to-Point Rate in $/MW - Year</v>
      </c>
      <c r="E48" s="33"/>
      <c r="F48" s="33"/>
      <c r="G48" s="89" t="str">
        <f>"(Ln "&amp;B44&amp;" / Ln "&amp;B47&amp;")"</f>
        <v>(Ln 12 / Ln 13)</v>
      </c>
      <c r="H48" s="33"/>
      <c r="I48" s="34">
        <f>ROUND(+I44/I47,4)</f>
        <v>73937.871599999999</v>
      </c>
      <c r="J48" s="33"/>
      <c r="K48" s="121"/>
      <c r="L48" s="33"/>
      <c r="M48" s="33"/>
      <c r="N48" s="33"/>
      <c r="O48" s="33"/>
      <c r="P48" s="33"/>
      <c r="Q48" s="122"/>
      <c r="R48" s="33"/>
      <c r="S48" s="121"/>
      <c r="T48" s="33"/>
      <c r="U48" s="33"/>
    </row>
    <row r="49" spans="1:23">
      <c r="B49" s="39">
        <f t="shared" ref="B49:B54" si="0">+B48+1</f>
        <v>15</v>
      </c>
      <c r="C49" s="33"/>
      <c r="D49" s="33" t="str">
        <f>"Monthly Point-to-Point Rate in $/MW - Month"</f>
        <v>Monthly Point-to-Point Rate in $/MW - Month</v>
      </c>
      <c r="E49" s="33"/>
      <c r="F49" s="33"/>
      <c r="G49" s="89" t="str">
        <f>"(Ln "&amp;$B$48&amp;" / 12)"</f>
        <v>(Ln 14 / 12)</v>
      </c>
      <c r="H49" s="33"/>
      <c r="I49" s="34">
        <f>ROUND(+I$48/12,4)</f>
        <v>6161.4893000000002</v>
      </c>
      <c r="J49" s="33"/>
      <c r="K49" s="33"/>
      <c r="L49" s="33"/>
      <c r="M49" s="33"/>
      <c r="N49" s="33"/>
      <c r="O49" s="33"/>
      <c r="P49" s="33"/>
      <c r="Q49" s="33"/>
      <c r="R49" s="33"/>
      <c r="S49" s="33"/>
      <c r="T49" s="33"/>
      <c r="U49" s="33"/>
    </row>
    <row r="50" spans="1:23">
      <c r="B50" s="39">
        <f t="shared" si="0"/>
        <v>16</v>
      </c>
      <c r="C50" s="33"/>
      <c r="D50" s="33" t="str">
        <f>"Weekly Point-to-Point Rate in $/MW - Weekly"</f>
        <v>Weekly Point-to-Point Rate in $/MW - Weekly</v>
      </c>
      <c r="E50" s="33"/>
      <c r="F50" s="33"/>
      <c r="G50" s="89" t="str">
        <f>"(Ln "&amp;$B$48&amp;" / 52)"</f>
        <v>(Ln 14 / 52)</v>
      </c>
      <c r="H50" s="33"/>
      <c r="I50" s="34">
        <f>ROUND(+I48/52,4)</f>
        <v>1421.8821</v>
      </c>
      <c r="J50" s="33"/>
      <c r="K50" s="33"/>
      <c r="L50" s="33"/>
      <c r="M50" s="33"/>
      <c r="N50" s="33"/>
      <c r="O50" s="33"/>
      <c r="P50" s="33"/>
      <c r="Q50" s="33"/>
      <c r="R50" s="33"/>
      <c r="S50" s="33"/>
      <c r="T50" s="33"/>
      <c r="U50" s="33"/>
    </row>
    <row r="51" spans="1:23">
      <c r="B51" s="39">
        <f t="shared" si="0"/>
        <v>17</v>
      </c>
      <c r="C51" s="33"/>
      <c r="D51" s="33" t="str">
        <f>"Daily On-Peak Point-to-Point Rate in $/MW - Day"</f>
        <v>Daily On-Peak Point-to-Point Rate in $/MW - Day</v>
      </c>
      <c r="E51" s="33"/>
      <c r="F51" s="33"/>
      <c r="G51" s="89" t="str">
        <f>"(Ln "&amp;$B$48&amp;" / 260)"</f>
        <v>(Ln 14 / 260)</v>
      </c>
      <c r="H51" s="33"/>
      <c r="I51" s="34">
        <f>ROUND(+I48/260,4)</f>
        <v>284.37639999999999</v>
      </c>
      <c r="J51" s="33"/>
      <c r="K51" s="33"/>
      <c r="L51" s="33"/>
      <c r="M51" s="33"/>
      <c r="N51" s="33"/>
      <c r="O51" s="33"/>
      <c r="P51" s="33"/>
      <c r="Q51" s="33"/>
      <c r="R51" s="33"/>
      <c r="S51" s="33"/>
      <c r="T51" s="33"/>
      <c r="U51" s="33"/>
    </row>
    <row r="52" spans="1:23">
      <c r="B52" s="39">
        <f t="shared" si="0"/>
        <v>18</v>
      </c>
      <c r="C52" s="33"/>
      <c r="D52" s="33" t="str">
        <f>"Daily Off-Peak Point-to-Point Rate in $/MW - Day"</f>
        <v>Daily Off-Peak Point-to-Point Rate in $/MW - Day</v>
      </c>
      <c r="E52" s="33"/>
      <c r="F52" s="33"/>
      <c r="G52" s="89" t="str">
        <f>"(Ln "&amp;$B$48&amp;" / 365)"</f>
        <v>(Ln 14 / 365)</v>
      </c>
      <c r="H52" s="33"/>
      <c r="I52" s="34">
        <f>ROUND(+I48/365,4)</f>
        <v>202.56950000000001</v>
      </c>
      <c r="J52" s="33"/>
      <c r="K52" s="33"/>
      <c r="L52" s="33"/>
      <c r="M52" s="33"/>
      <c r="N52" s="33"/>
      <c r="O52" s="33"/>
      <c r="P52" s="33"/>
      <c r="Q52" s="33"/>
      <c r="R52" s="33"/>
      <c r="S52" s="33"/>
      <c r="T52" s="33"/>
      <c r="U52" s="33"/>
    </row>
    <row r="53" spans="1:23">
      <c r="B53" s="39">
        <f t="shared" si="0"/>
        <v>19</v>
      </c>
      <c r="C53" s="33"/>
      <c r="D53" s="33" t="str">
        <f>"Hourly On-Peak Point-to-Point Rate in $/MW - Hour"</f>
        <v>Hourly On-Peak Point-to-Point Rate in $/MW - Hour</v>
      </c>
      <c r="E53" s="33"/>
      <c r="F53" s="33"/>
      <c r="G53" s="89" t="str">
        <f>"(Ln "&amp;$B$48&amp;" / 4160)"</f>
        <v>(Ln 14 / 4160)</v>
      </c>
      <c r="H53" s="33"/>
      <c r="I53" s="34">
        <f>ROUND(+I48/4160,4)</f>
        <v>17.773499999999999</v>
      </c>
      <c r="J53" s="33"/>
      <c r="K53" s="33"/>
      <c r="L53" s="33"/>
      <c r="M53" s="33"/>
      <c r="N53" s="33"/>
      <c r="O53" s="33"/>
      <c r="P53" s="33"/>
      <c r="Q53" s="33"/>
      <c r="R53" s="33"/>
      <c r="S53" s="33"/>
      <c r="T53" s="33"/>
      <c r="U53" s="33"/>
    </row>
    <row r="54" spans="1:23">
      <c r="B54" s="39">
        <f t="shared" si="0"/>
        <v>20</v>
      </c>
      <c r="C54" s="33"/>
      <c r="D54" s="33" t="str">
        <f>"Hourly Off-Peak Point-to-Point Rate in $/MW - Hour"</f>
        <v>Hourly Off-Peak Point-to-Point Rate in $/MW - Hour</v>
      </c>
      <c r="E54" s="33"/>
      <c r="F54" s="33"/>
      <c r="G54" s="89" t="str">
        <f>"(Ln "&amp;$B$48&amp;" / 8760)"</f>
        <v>(Ln 14 / 8760)</v>
      </c>
      <c r="H54" s="33"/>
      <c r="I54" s="34">
        <f>ROUND(+I48/8760,4)</f>
        <v>8.4404000000000003</v>
      </c>
      <c r="J54" s="33"/>
      <c r="K54" s="33"/>
      <c r="L54" s="33"/>
      <c r="M54" s="33"/>
      <c r="N54" s="33"/>
      <c r="P54" s="33"/>
      <c r="Q54" s="33"/>
      <c r="R54" s="33"/>
      <c r="S54" s="33"/>
      <c r="T54" s="33"/>
      <c r="U54" s="33"/>
    </row>
    <row r="55" spans="1:23">
      <c r="G55" s="76"/>
      <c r="H55" s="37"/>
      <c r="J55" s="37"/>
      <c r="K55" s="33"/>
      <c r="L55" s="33"/>
      <c r="M55" s="33"/>
      <c r="N55" s="33"/>
      <c r="O55" s="33"/>
      <c r="P55" s="33"/>
      <c r="Q55" s="33"/>
      <c r="R55" s="33"/>
      <c r="S55" s="33"/>
      <c r="T55" s="33"/>
      <c r="U55" s="33"/>
    </row>
    <row r="56" spans="1:23">
      <c r="A56" s="43" t="s">
        <v>142</v>
      </c>
      <c r="B56" s="46" t="s">
        <v>143</v>
      </c>
      <c r="C56" s="39"/>
      <c r="D56" s="40"/>
      <c r="E56" s="39"/>
      <c r="F56" s="40"/>
      <c r="G56" s="39"/>
      <c r="H56" s="40"/>
      <c r="J56" s="40"/>
      <c r="L56" s="40"/>
    </row>
    <row r="57" spans="1:23">
      <c r="B57" s="38">
        <f>+B54+1</f>
        <v>21</v>
      </c>
      <c r="C57" s="33"/>
      <c r="D57" s="33" t="str">
        <f>"RTEP UPGRADE PTRR W/O INCENTIVES"</f>
        <v>RTEP UPGRADE PTRR W/O INCENTIVES</v>
      </c>
      <c r="G57" s="55" t="str">
        <f>"(Ln "&amp;B24&amp;")"</f>
        <v>(Ln 7)</v>
      </c>
      <c r="H57" s="33"/>
      <c r="I57" s="92">
        <f t="shared" ref="I57:I62" si="1">SUM(Q57,K57,S57,O57,M57,)</f>
        <v>143912532.39314485</v>
      </c>
      <c r="J57" s="33"/>
      <c r="K57" s="93">
        <f>+K22</f>
        <v>0</v>
      </c>
      <c r="L57" s="33"/>
      <c r="M57" s="93">
        <f>+M22</f>
        <v>49191628.168834932</v>
      </c>
      <c r="N57" s="36"/>
      <c r="O57" s="93">
        <f>+O22</f>
        <v>4764985.4899237761</v>
      </c>
      <c r="P57" s="36"/>
      <c r="Q57" s="93">
        <f>+Q22</f>
        <v>40603282.370092437</v>
      </c>
      <c r="R57" s="36"/>
      <c r="S57" s="93">
        <f>+S22</f>
        <v>49352636.364293709</v>
      </c>
    </row>
    <row r="58" spans="1:23">
      <c r="B58" s="38">
        <f>+B57+1</f>
        <v>22</v>
      </c>
      <c r="C58" s="33"/>
      <c r="D58" s="34" t="s">
        <v>144</v>
      </c>
      <c r="G58" s="71" t="str">
        <f>"(Worksheet J)"</f>
        <v>(Worksheet J)</v>
      </c>
      <c r="H58" s="33"/>
      <c r="I58" s="92">
        <f t="shared" si="1"/>
        <v>0</v>
      </c>
      <c r="J58" s="33"/>
      <c r="K58" s="123">
        <v>0</v>
      </c>
      <c r="L58" s="33"/>
      <c r="M58" s="122">
        <v>0</v>
      </c>
      <c r="N58" s="36"/>
      <c r="O58" s="122">
        <v>0</v>
      </c>
      <c r="P58" s="36"/>
      <c r="Q58" s="94">
        <v>0</v>
      </c>
      <c r="R58" s="36"/>
      <c r="S58" s="122">
        <v>0</v>
      </c>
    </row>
    <row r="59" spans="1:23">
      <c r="B59" s="38">
        <f>+B58+1</f>
        <v>23</v>
      </c>
      <c r="C59" s="33"/>
      <c r="D59" s="34" t="s">
        <v>145</v>
      </c>
      <c r="G59" s="55" t="s">
        <v>168</v>
      </c>
      <c r="H59" s="33"/>
      <c r="I59" s="92">
        <f t="shared" si="1"/>
        <v>-5637712.3626735713</v>
      </c>
      <c r="J59" s="33"/>
      <c r="K59" s="94">
        <v>0</v>
      </c>
      <c r="L59" s="33"/>
      <c r="M59" s="123">
        <v>-3719283.6490858211</v>
      </c>
      <c r="N59" s="92"/>
      <c r="O59" s="123">
        <v>49629.28928083607</v>
      </c>
      <c r="P59" s="92"/>
      <c r="Q59" s="123">
        <v>-1277548.5390504301</v>
      </c>
      <c r="R59" s="92"/>
      <c r="S59" s="123">
        <v>-690509.46381815628</v>
      </c>
      <c r="T59" s="36"/>
      <c r="U59" s="123"/>
      <c r="V59" s="36"/>
      <c r="W59" s="122"/>
    </row>
    <row r="60" spans="1:23">
      <c r="B60" s="38">
        <f>+B59+1</f>
        <v>24</v>
      </c>
      <c r="C60" s="33"/>
      <c r="D60" s="34" t="s">
        <v>146</v>
      </c>
      <c r="G60" s="55"/>
      <c r="H60" s="33"/>
      <c r="I60" s="92">
        <f t="shared" si="1"/>
        <v>-7905725.1045419807</v>
      </c>
      <c r="J60" s="33"/>
      <c r="K60" s="94">
        <v>0</v>
      </c>
      <c r="L60" s="33"/>
      <c r="M60" s="123">
        <v>-2624192.0175339598</v>
      </c>
      <c r="N60" s="92"/>
      <c r="O60" s="123">
        <v>-345326.72220901551</v>
      </c>
      <c r="P60" s="92"/>
      <c r="Q60" s="123">
        <v>-1754846.2800733184</v>
      </c>
      <c r="R60" s="92"/>
      <c r="S60" s="123">
        <v>-3181360.0847256868</v>
      </c>
      <c r="T60" s="36"/>
      <c r="U60" s="123"/>
      <c r="V60" s="36"/>
      <c r="W60" s="122"/>
    </row>
    <row r="61" spans="1:23">
      <c r="B61" s="38">
        <f t="shared" ref="B61:B63" si="2">+B60+1</f>
        <v>25</v>
      </c>
      <c r="C61" s="33"/>
      <c r="D61" s="34" t="s">
        <v>147</v>
      </c>
      <c r="G61" s="55"/>
      <c r="H61" s="33"/>
      <c r="I61" s="92">
        <f t="shared" si="1"/>
        <v>-56007.733109310284</v>
      </c>
      <c r="J61" s="33"/>
      <c r="K61" s="94">
        <v>0</v>
      </c>
      <c r="L61" s="33"/>
      <c r="M61" s="123">
        <v>-21068.703581315724</v>
      </c>
      <c r="N61" s="92"/>
      <c r="O61" s="123">
        <v>-2828.1802324276332</v>
      </c>
      <c r="P61" s="92"/>
      <c r="Q61" s="123">
        <v>-15604.690602671317</v>
      </c>
      <c r="R61" s="92"/>
      <c r="S61" s="123">
        <v>-16506.158692895613</v>
      </c>
      <c r="T61" s="36"/>
      <c r="U61" s="123"/>
      <c r="V61" s="36"/>
      <c r="W61" s="122"/>
    </row>
    <row r="62" spans="1:23" ht="16.5" thickBot="1">
      <c r="B62" s="38">
        <f t="shared" si="2"/>
        <v>26</v>
      </c>
      <c r="C62" s="33"/>
      <c r="D62" s="34" t="s">
        <v>148</v>
      </c>
      <c r="G62" s="55"/>
      <c r="H62" s="33"/>
      <c r="I62" s="92">
        <f t="shared" si="1"/>
        <v>3585336.6333890799</v>
      </c>
      <c r="J62" s="33"/>
      <c r="K62" s="94">
        <v>0</v>
      </c>
      <c r="L62" s="33"/>
      <c r="M62" s="123">
        <f>-M40</f>
        <v>3585336.6333890799</v>
      </c>
      <c r="N62" s="92"/>
      <c r="O62" s="123">
        <v>0</v>
      </c>
      <c r="P62" s="92"/>
      <c r="Q62" s="123">
        <v>0</v>
      </c>
      <c r="R62" s="92"/>
      <c r="S62" s="123">
        <v>0</v>
      </c>
      <c r="T62" s="36"/>
      <c r="U62" s="123"/>
      <c r="V62" s="36"/>
      <c r="W62" s="122"/>
    </row>
    <row r="63" spans="1:23" ht="16.5" thickBot="1">
      <c r="B63" s="38">
        <f t="shared" si="2"/>
        <v>27</v>
      </c>
      <c r="C63" s="33"/>
      <c r="D63" s="97" t="s">
        <v>149</v>
      </c>
      <c r="E63" s="80"/>
      <c r="F63" s="80"/>
      <c r="G63" s="98"/>
      <c r="H63" s="98"/>
      <c r="I63" s="99">
        <f>+I57+I58+I59+I60+I61+I62</f>
        <v>133898423.82620905</v>
      </c>
      <c r="J63" s="33"/>
      <c r="K63" s="100">
        <f>+K57+K58+K59+K60+K61+K62</f>
        <v>0</v>
      </c>
      <c r="L63" s="33"/>
      <c r="M63" s="100">
        <f>+M57+M58+M59+M60+M61+M62</f>
        <v>46412420.432022914</v>
      </c>
      <c r="N63" s="36"/>
      <c r="O63" s="100">
        <f>+O57+O58+O59+O60+O61+O62</f>
        <v>4466459.8767631687</v>
      </c>
      <c r="P63" s="36"/>
      <c r="Q63" s="100">
        <f>+Q57+Q58+Q59+Q60+Q61+Q62</f>
        <v>37555282.860366024</v>
      </c>
      <c r="R63" s="36"/>
      <c r="S63" s="100">
        <f>+S57+S58+S59+S60+S61+S62</f>
        <v>45464260.657056972</v>
      </c>
    </row>
    <row r="64" spans="1:23">
      <c r="B64" s="33"/>
      <c r="C64" s="33"/>
      <c r="D64" s="33"/>
      <c r="E64" s="33"/>
      <c r="F64" s="33"/>
      <c r="G64" s="33"/>
      <c r="H64" s="33"/>
      <c r="I64" s="36"/>
      <c r="J64" s="33"/>
      <c r="L64" s="33"/>
      <c r="M64" s="33"/>
      <c r="N64" s="36"/>
      <c r="O64" s="33"/>
      <c r="P64" s="36"/>
      <c r="Q64" s="33"/>
      <c r="R64" s="36"/>
      <c r="S64" s="33"/>
    </row>
    <row r="65" spans="2:19">
      <c r="B65" s="33"/>
      <c r="C65" s="33"/>
      <c r="D65" s="33" t="s">
        <v>121</v>
      </c>
      <c r="E65" s="101" t="s">
        <v>121</v>
      </c>
      <c r="F65" s="33"/>
      <c r="G65" s="33"/>
      <c r="H65" s="33"/>
      <c r="I65" s="36"/>
      <c r="J65" s="33"/>
      <c r="L65" s="33"/>
      <c r="M65" s="33"/>
      <c r="N65" s="36"/>
      <c r="O65" s="33"/>
      <c r="P65" s="36"/>
      <c r="Q65" s="33"/>
      <c r="R65" s="36"/>
      <c r="S65" s="33"/>
    </row>
    <row r="66" spans="2:19">
      <c r="B66" s="40"/>
      <c r="C66" s="40"/>
      <c r="D66" s="40"/>
      <c r="E66" s="40"/>
      <c r="F66" s="40"/>
      <c r="G66" s="40"/>
      <c r="H66" s="40"/>
      <c r="I66" s="36"/>
      <c r="J66" s="40"/>
      <c r="K66" s="40"/>
      <c r="L66" s="40"/>
      <c r="M66" s="40"/>
      <c r="N66" s="36"/>
      <c r="O66" s="36"/>
      <c r="P66" s="36"/>
      <c r="R66" s="36"/>
      <c r="S66" s="36"/>
    </row>
    <row r="67" spans="2:19">
      <c r="B67" s="40"/>
      <c r="C67" s="40"/>
      <c r="D67" s="40"/>
      <c r="E67" s="40"/>
      <c r="F67" s="40"/>
      <c r="G67" s="40"/>
      <c r="H67" s="40"/>
      <c r="I67" s="36"/>
      <c r="J67" s="40"/>
      <c r="K67" s="40"/>
      <c r="L67" s="40"/>
      <c r="M67" s="40"/>
      <c r="N67" s="36"/>
      <c r="O67" s="36"/>
      <c r="P67" s="36"/>
      <c r="R67" s="36"/>
      <c r="S67" s="36"/>
    </row>
    <row r="68" spans="2:19">
      <c r="B68" s="40"/>
      <c r="C68" s="40"/>
      <c r="D68" s="40"/>
      <c r="E68" s="40"/>
      <c r="F68" s="40"/>
      <c r="G68" s="40"/>
      <c r="H68" s="40"/>
      <c r="I68" s="54">
        <f>I30-I44</f>
        <v>95858812.824886084</v>
      </c>
      <c r="J68" s="40"/>
      <c r="K68" s="40"/>
      <c r="L68" s="40"/>
      <c r="M68" s="40"/>
      <c r="N68" s="36"/>
      <c r="P68" s="36"/>
      <c r="Q68" s="36"/>
      <c r="R68" s="36"/>
      <c r="S68" s="36"/>
    </row>
    <row r="69" spans="2:19">
      <c r="B69" s="40"/>
      <c r="C69" s="40"/>
      <c r="D69" s="40"/>
      <c r="E69" s="40"/>
      <c r="F69" s="40"/>
      <c r="G69" s="40"/>
      <c r="H69" s="40"/>
      <c r="I69" s="36"/>
      <c r="J69" s="40"/>
      <c r="K69" s="40"/>
      <c r="L69" s="40"/>
      <c r="M69" s="40"/>
      <c r="N69" s="36"/>
      <c r="P69" s="36"/>
      <c r="Q69" s="36"/>
      <c r="R69" s="36"/>
      <c r="S69" s="36"/>
    </row>
    <row r="70" spans="2:19">
      <c r="B70" s="40"/>
      <c r="C70" s="40"/>
      <c r="D70" s="40"/>
      <c r="E70" s="40"/>
      <c r="F70" s="40"/>
      <c r="G70" s="40"/>
      <c r="H70" s="40"/>
      <c r="I70" s="36"/>
      <c r="J70" s="40"/>
      <c r="K70" s="40"/>
      <c r="L70" s="40"/>
      <c r="M70" s="40"/>
      <c r="N70" s="36"/>
      <c r="P70" s="36"/>
      <c r="Q70" s="36"/>
      <c r="R70" s="36"/>
      <c r="S70" s="36"/>
    </row>
    <row r="71" spans="2:19">
      <c r="B71" s="36"/>
      <c r="C71" s="36"/>
      <c r="D71" s="36"/>
      <c r="E71" s="36"/>
      <c r="F71" s="36"/>
      <c r="G71" s="36"/>
      <c r="H71" s="36"/>
      <c r="I71" s="36"/>
      <c r="J71" s="36"/>
      <c r="K71" s="36"/>
      <c r="L71" s="36"/>
      <c r="M71" s="36"/>
      <c r="N71" s="36"/>
      <c r="P71" s="36"/>
      <c r="Q71" s="36"/>
      <c r="R71" s="36"/>
      <c r="S71" s="36"/>
    </row>
    <row r="72" spans="2:19">
      <c r="B72" s="36"/>
      <c r="C72" s="36"/>
      <c r="D72" s="36"/>
      <c r="E72" s="36"/>
      <c r="F72" s="36"/>
      <c r="G72" s="36"/>
      <c r="H72" s="36"/>
      <c r="I72" s="36"/>
      <c r="J72" s="36"/>
      <c r="K72" s="36"/>
      <c r="L72" s="36"/>
      <c r="M72" s="36"/>
      <c r="N72" s="36"/>
      <c r="P72" s="36"/>
      <c r="Q72" s="36"/>
      <c r="R72" s="36"/>
      <c r="S72" s="36"/>
    </row>
    <row r="73" spans="2:19">
      <c r="B73" s="36"/>
      <c r="C73" s="36"/>
      <c r="D73" s="36"/>
      <c r="E73" s="36"/>
      <c r="F73" s="36"/>
      <c r="G73" s="36"/>
      <c r="H73" s="36"/>
      <c r="I73" s="36"/>
      <c r="J73" s="36"/>
      <c r="K73" s="36"/>
      <c r="L73" s="36"/>
      <c r="M73" s="36"/>
      <c r="N73" s="36"/>
      <c r="P73" s="36"/>
      <c r="Q73" s="36"/>
      <c r="R73" s="36"/>
      <c r="S73" s="36"/>
    </row>
    <row r="74" spans="2:19">
      <c r="B74" s="36"/>
      <c r="C74" s="36"/>
      <c r="D74" s="36"/>
      <c r="E74" s="36"/>
      <c r="F74" s="36"/>
      <c r="G74" s="36"/>
      <c r="H74" s="36"/>
      <c r="I74" s="36"/>
      <c r="J74" s="36"/>
      <c r="K74" s="36"/>
      <c r="L74" s="36"/>
      <c r="M74" s="36"/>
      <c r="N74" s="36"/>
      <c r="P74" s="36"/>
      <c r="Q74" s="36"/>
      <c r="R74" s="36"/>
      <c r="S74" s="36"/>
    </row>
    <row r="75" spans="2:19">
      <c r="B75" s="36"/>
      <c r="C75" s="36"/>
      <c r="D75" s="36"/>
      <c r="E75" s="36"/>
      <c r="F75" s="36"/>
      <c r="G75" s="36"/>
      <c r="H75" s="36"/>
      <c r="I75" s="36"/>
      <c r="J75" s="36"/>
      <c r="K75" s="36"/>
      <c r="L75" s="36"/>
      <c r="M75" s="36"/>
      <c r="N75" s="36"/>
      <c r="P75" s="36"/>
      <c r="Q75" s="36"/>
      <c r="R75" s="36"/>
      <c r="S75" s="36"/>
    </row>
    <row r="76" spans="2:19">
      <c r="B76" s="36"/>
      <c r="C76" s="36"/>
      <c r="D76" s="36"/>
      <c r="E76" s="36"/>
      <c r="F76" s="36"/>
      <c r="G76" s="36"/>
      <c r="H76" s="36"/>
      <c r="I76" s="36"/>
      <c r="J76" s="36"/>
      <c r="K76" s="36"/>
      <c r="L76" s="36"/>
      <c r="M76" s="36"/>
      <c r="N76" s="36"/>
      <c r="O76" s="36"/>
      <c r="P76" s="36"/>
      <c r="Q76" s="36"/>
      <c r="R76" s="36"/>
      <c r="S76" s="36"/>
    </row>
    <row r="77" spans="2:19">
      <c r="B77" s="36"/>
      <c r="C77" s="36"/>
      <c r="D77" s="36"/>
      <c r="E77" s="36"/>
      <c r="F77" s="36"/>
      <c r="G77" s="36"/>
      <c r="H77" s="36"/>
      <c r="I77" s="36"/>
      <c r="J77" s="36"/>
      <c r="K77" s="36"/>
      <c r="L77" s="36"/>
      <c r="M77" s="36"/>
      <c r="N77" s="36"/>
      <c r="O77" s="36"/>
      <c r="P77" s="36"/>
      <c r="Q77" s="36"/>
      <c r="R77" s="36"/>
      <c r="S77" s="36"/>
    </row>
    <row r="78" spans="2:19">
      <c r="B78" s="36"/>
      <c r="C78" s="36"/>
      <c r="D78" s="36"/>
      <c r="E78" s="36"/>
      <c r="F78" s="36"/>
      <c r="G78" s="36"/>
      <c r="H78" s="36"/>
      <c r="I78" s="36"/>
      <c r="J78" s="36"/>
      <c r="K78" s="36"/>
      <c r="L78" s="36"/>
      <c r="M78" s="36"/>
      <c r="N78" s="36"/>
      <c r="O78" s="36"/>
      <c r="P78" s="36"/>
      <c r="Q78" s="36"/>
      <c r="R78" s="36"/>
      <c r="S78" s="36"/>
    </row>
    <row r="79" spans="2:19">
      <c r="B79" s="36"/>
      <c r="C79" s="36"/>
      <c r="D79" s="36"/>
      <c r="E79" s="36"/>
      <c r="F79" s="36"/>
      <c r="G79" s="36"/>
      <c r="H79" s="36"/>
      <c r="I79" s="36"/>
      <c r="J79" s="36"/>
      <c r="K79" s="36"/>
      <c r="L79" s="36"/>
      <c r="M79" s="36"/>
      <c r="N79" s="36"/>
      <c r="O79" s="36"/>
      <c r="P79" s="36"/>
      <c r="Q79" s="36"/>
      <c r="R79" s="36"/>
      <c r="S79" s="36"/>
    </row>
    <row r="80" spans="2:19">
      <c r="B80" s="36"/>
      <c r="C80" s="36"/>
      <c r="D80" s="36"/>
      <c r="E80" s="36"/>
      <c r="F80" s="36"/>
      <c r="G80" s="36"/>
      <c r="H80" s="36"/>
      <c r="I80" s="36"/>
      <c r="J80" s="36"/>
      <c r="K80" s="36"/>
      <c r="L80" s="36"/>
      <c r="M80" s="36"/>
      <c r="N80" s="36"/>
      <c r="O80" s="36"/>
      <c r="P80" s="36"/>
      <c r="Q80" s="36"/>
      <c r="R80" s="36"/>
      <c r="S80" s="36"/>
    </row>
    <row r="81" spans="2:19">
      <c r="B81" s="36"/>
      <c r="C81" s="36"/>
      <c r="D81" s="36"/>
      <c r="E81" s="36"/>
      <c r="F81" s="36"/>
      <c r="G81" s="36"/>
      <c r="H81" s="36"/>
      <c r="I81" s="36"/>
      <c r="J81" s="36"/>
      <c r="K81" s="36"/>
      <c r="L81" s="36"/>
      <c r="M81" s="36"/>
      <c r="N81" s="36"/>
      <c r="O81" s="36"/>
      <c r="P81" s="36"/>
      <c r="Q81" s="36"/>
      <c r="R81" s="36"/>
      <c r="S81" s="36"/>
    </row>
    <row r="82" spans="2:19">
      <c r="B82" s="36"/>
      <c r="C82" s="36"/>
      <c r="D82" s="36"/>
      <c r="E82" s="36"/>
      <c r="F82" s="36"/>
      <c r="G82" s="36"/>
      <c r="H82" s="36"/>
      <c r="I82" s="36"/>
      <c r="J82" s="36"/>
      <c r="K82" s="36"/>
      <c r="L82" s="36"/>
      <c r="M82" s="36"/>
      <c r="N82" s="36"/>
      <c r="O82" s="36"/>
      <c r="P82" s="36"/>
      <c r="Q82" s="36"/>
      <c r="R82" s="36"/>
      <c r="S82" s="36"/>
    </row>
    <row r="83" spans="2:19">
      <c r="B83" s="36"/>
      <c r="C83" s="36"/>
      <c r="D83" s="36"/>
      <c r="E83" s="36"/>
      <c r="F83" s="36"/>
      <c r="G83" s="36"/>
      <c r="H83" s="36"/>
      <c r="I83" s="36"/>
      <c r="J83" s="36"/>
      <c r="K83" s="36"/>
      <c r="L83" s="36"/>
      <c r="M83" s="36"/>
      <c r="N83" s="36"/>
      <c r="O83" s="36"/>
      <c r="P83" s="36"/>
      <c r="Q83" s="36"/>
      <c r="R83" s="36"/>
      <c r="S83" s="36"/>
    </row>
    <row r="84" spans="2:19">
      <c r="B84" s="36"/>
      <c r="C84" s="36"/>
      <c r="D84" s="36"/>
      <c r="E84" s="36"/>
      <c r="F84" s="36"/>
      <c r="G84" s="36"/>
      <c r="H84" s="36"/>
      <c r="I84" s="36"/>
      <c r="J84" s="36"/>
      <c r="K84" s="36"/>
      <c r="L84" s="36"/>
      <c r="M84" s="36"/>
      <c r="N84" s="36"/>
      <c r="O84" s="36"/>
      <c r="P84" s="36"/>
      <c r="Q84" s="36"/>
      <c r="R84" s="36"/>
      <c r="S84" s="36"/>
    </row>
    <row r="85" spans="2:19">
      <c r="B85" s="36"/>
      <c r="C85" s="36"/>
      <c r="D85" s="36"/>
      <c r="E85" s="36"/>
      <c r="F85" s="36"/>
      <c r="G85" s="36"/>
      <c r="H85" s="36"/>
      <c r="I85" s="36"/>
      <c r="J85" s="36"/>
      <c r="K85" s="36"/>
      <c r="L85" s="36"/>
      <c r="M85" s="36"/>
      <c r="N85" s="36"/>
      <c r="O85" s="36"/>
      <c r="P85" s="36"/>
      <c r="Q85" s="36"/>
      <c r="R85" s="36"/>
      <c r="S85" s="36"/>
    </row>
    <row r="86" spans="2:19">
      <c r="B86" s="36"/>
      <c r="C86" s="36"/>
      <c r="D86" s="36"/>
      <c r="E86" s="36"/>
      <c r="F86" s="36"/>
      <c r="G86" s="36"/>
      <c r="H86" s="36"/>
      <c r="I86" s="36"/>
      <c r="J86" s="36"/>
      <c r="K86" s="36"/>
      <c r="L86" s="36"/>
      <c r="M86" s="36"/>
      <c r="N86" s="36"/>
      <c r="O86" s="36"/>
      <c r="P86" s="36"/>
      <c r="Q86" s="36"/>
      <c r="R86" s="36"/>
      <c r="S86" s="36"/>
    </row>
    <row r="87" spans="2:19">
      <c r="B87" s="36"/>
      <c r="C87" s="36"/>
      <c r="D87" s="36"/>
      <c r="E87" s="36"/>
      <c r="F87" s="36"/>
      <c r="G87" s="36"/>
      <c r="H87" s="36"/>
      <c r="I87" s="36"/>
      <c r="J87" s="36"/>
      <c r="K87" s="36"/>
      <c r="L87" s="36"/>
      <c r="M87" s="36"/>
      <c r="N87" s="36"/>
      <c r="O87" s="36"/>
      <c r="P87" s="36"/>
      <c r="Q87" s="36"/>
      <c r="R87" s="36"/>
      <c r="S87" s="36"/>
    </row>
    <row r="88" spans="2:19">
      <c r="B88" s="36"/>
      <c r="C88" s="36"/>
      <c r="D88" s="36"/>
      <c r="E88" s="36"/>
      <c r="F88" s="36"/>
      <c r="G88" s="36"/>
      <c r="H88" s="36"/>
      <c r="I88" s="36"/>
      <c r="J88" s="36"/>
      <c r="K88" s="36"/>
      <c r="L88" s="36"/>
      <c r="M88" s="36"/>
      <c r="N88" s="36"/>
      <c r="O88" s="36"/>
      <c r="P88" s="36"/>
      <c r="Q88" s="36"/>
      <c r="R88" s="36"/>
      <c r="S88" s="36"/>
    </row>
    <row r="89" spans="2:19">
      <c r="B89" s="36"/>
      <c r="C89" s="36"/>
      <c r="D89" s="36"/>
      <c r="E89" s="36"/>
      <c r="F89" s="36"/>
      <c r="G89" s="36"/>
      <c r="H89" s="36"/>
      <c r="I89" s="36"/>
      <c r="J89" s="36"/>
      <c r="K89" s="36"/>
      <c r="L89" s="36"/>
      <c r="M89" s="36"/>
      <c r="N89" s="36"/>
      <c r="O89" s="36"/>
      <c r="P89" s="36"/>
      <c r="Q89" s="36"/>
      <c r="R89" s="36"/>
      <c r="S89" s="36"/>
    </row>
    <row r="90" spans="2:19">
      <c r="B90" s="36"/>
      <c r="C90" s="36"/>
      <c r="D90" s="36"/>
      <c r="E90" s="36"/>
      <c r="F90" s="36"/>
      <c r="G90" s="36"/>
      <c r="H90" s="36"/>
      <c r="I90" s="36"/>
      <c r="J90" s="36"/>
      <c r="K90" s="36"/>
      <c r="L90" s="36"/>
      <c r="M90" s="36"/>
      <c r="N90" s="36"/>
      <c r="O90" s="36"/>
      <c r="P90" s="36"/>
      <c r="Q90" s="36"/>
      <c r="R90" s="36"/>
      <c r="S90" s="36"/>
    </row>
    <row r="91" spans="2:19">
      <c r="B91" s="36"/>
      <c r="C91" s="36"/>
      <c r="D91" s="36"/>
      <c r="E91" s="36"/>
      <c r="F91" s="36"/>
      <c r="G91" s="36"/>
      <c r="H91" s="36"/>
      <c r="I91" s="36"/>
      <c r="J91" s="36"/>
      <c r="K91" s="36"/>
      <c r="L91" s="36"/>
      <c r="M91" s="36"/>
      <c r="N91" s="36"/>
      <c r="O91" s="36"/>
      <c r="P91" s="36"/>
      <c r="Q91" s="36"/>
      <c r="R91" s="36"/>
      <c r="S91" s="36"/>
    </row>
    <row r="92" spans="2:19">
      <c r="B92" s="36"/>
      <c r="C92" s="36"/>
      <c r="D92" s="36"/>
      <c r="E92" s="36"/>
      <c r="F92" s="36"/>
      <c r="G92" s="36"/>
      <c r="H92" s="36"/>
      <c r="I92" s="36"/>
      <c r="J92" s="36"/>
      <c r="K92" s="36"/>
      <c r="L92" s="36"/>
      <c r="M92" s="36"/>
      <c r="N92" s="36"/>
      <c r="O92" s="36"/>
      <c r="P92" s="36"/>
      <c r="Q92" s="36"/>
      <c r="R92" s="36"/>
      <c r="S92" s="36"/>
    </row>
    <row r="93" spans="2:19">
      <c r="B93" s="36"/>
      <c r="C93" s="36"/>
      <c r="D93" s="36"/>
      <c r="E93" s="36"/>
      <c r="F93" s="36"/>
      <c r="G93" s="36"/>
      <c r="H93" s="36"/>
      <c r="I93" s="36"/>
      <c r="J93" s="36"/>
      <c r="K93" s="36"/>
      <c r="L93" s="36"/>
      <c r="M93" s="36"/>
      <c r="N93" s="36"/>
      <c r="O93" s="36"/>
      <c r="P93" s="36"/>
      <c r="Q93" s="36"/>
      <c r="R93" s="36"/>
      <c r="S93" s="36"/>
    </row>
    <row r="94" spans="2:19">
      <c r="B94" s="36"/>
      <c r="C94" s="36"/>
      <c r="D94" s="36"/>
      <c r="E94" s="36"/>
      <c r="F94" s="36"/>
      <c r="G94" s="36"/>
      <c r="H94" s="36"/>
      <c r="I94" s="36"/>
      <c r="J94" s="36"/>
      <c r="K94" s="36"/>
      <c r="L94" s="36"/>
      <c r="M94" s="36"/>
      <c r="N94" s="36"/>
      <c r="O94" s="36"/>
      <c r="P94" s="36"/>
      <c r="Q94" s="36"/>
      <c r="R94" s="36"/>
      <c r="S94" s="36"/>
    </row>
    <row r="95" spans="2:19">
      <c r="B95" s="36"/>
      <c r="C95" s="36"/>
      <c r="D95" s="36"/>
      <c r="E95" s="36"/>
      <c r="F95" s="36"/>
      <c r="G95" s="36"/>
      <c r="H95" s="36"/>
      <c r="I95" s="36"/>
      <c r="J95" s="36"/>
      <c r="K95" s="36"/>
      <c r="L95" s="36"/>
      <c r="M95" s="36"/>
      <c r="N95" s="36"/>
      <c r="O95" s="36"/>
      <c r="P95" s="36"/>
      <c r="Q95" s="36"/>
      <c r="R95" s="36"/>
      <c r="S95" s="36"/>
    </row>
    <row r="96" spans="2:19">
      <c r="B96" s="36"/>
      <c r="C96" s="36"/>
      <c r="D96" s="36"/>
      <c r="E96" s="36"/>
      <c r="F96" s="36"/>
      <c r="G96" s="36"/>
      <c r="H96" s="36"/>
      <c r="I96" s="36"/>
      <c r="J96" s="36"/>
      <c r="K96" s="36"/>
      <c r="L96" s="36"/>
      <c r="M96" s="36"/>
      <c r="N96" s="36"/>
      <c r="O96" s="36"/>
      <c r="P96" s="36"/>
      <c r="Q96" s="36"/>
      <c r="R96" s="36"/>
      <c r="S96" s="36"/>
    </row>
    <row r="97" spans="2:19">
      <c r="B97" s="36"/>
      <c r="C97" s="36"/>
      <c r="D97" s="36"/>
      <c r="E97" s="36"/>
      <c r="F97" s="36"/>
      <c r="G97" s="36"/>
      <c r="H97" s="36"/>
      <c r="I97" s="36"/>
      <c r="J97" s="36"/>
      <c r="K97" s="36"/>
      <c r="L97" s="36"/>
      <c r="M97" s="36"/>
      <c r="N97" s="36"/>
      <c r="O97" s="36"/>
      <c r="P97" s="36"/>
      <c r="Q97" s="36"/>
      <c r="R97" s="36"/>
      <c r="S97" s="36"/>
    </row>
    <row r="98" spans="2:19">
      <c r="B98" s="36"/>
      <c r="C98" s="36"/>
      <c r="D98" s="36"/>
      <c r="E98" s="36"/>
      <c r="F98" s="36"/>
      <c r="G98" s="36"/>
      <c r="H98" s="36"/>
      <c r="I98" s="36"/>
      <c r="J98" s="36"/>
      <c r="K98" s="36"/>
      <c r="L98" s="36"/>
      <c r="M98" s="36"/>
      <c r="N98" s="36"/>
      <c r="O98" s="36"/>
      <c r="P98" s="36"/>
      <c r="Q98" s="36"/>
      <c r="R98" s="36"/>
      <c r="S98" s="36"/>
    </row>
    <row r="99" spans="2:19">
      <c r="B99" s="36"/>
      <c r="C99" s="36"/>
      <c r="D99" s="36"/>
      <c r="E99" s="36"/>
      <c r="F99" s="36"/>
      <c r="G99" s="36"/>
      <c r="H99" s="36"/>
      <c r="I99" s="36"/>
      <c r="J99" s="36"/>
      <c r="K99" s="36"/>
      <c r="L99" s="36"/>
      <c r="M99" s="36"/>
      <c r="N99" s="36"/>
      <c r="O99" s="36"/>
      <c r="P99" s="36"/>
      <c r="Q99" s="36"/>
      <c r="R99" s="36"/>
      <c r="S99" s="36"/>
    </row>
    <row r="100" spans="2:19">
      <c r="B100" s="36"/>
      <c r="C100" s="36"/>
      <c r="D100" s="36"/>
      <c r="E100" s="36"/>
      <c r="F100" s="36"/>
      <c r="G100" s="36"/>
      <c r="H100" s="36"/>
      <c r="I100" s="36"/>
      <c r="J100" s="36"/>
      <c r="K100" s="36"/>
      <c r="L100" s="36"/>
      <c r="M100" s="36"/>
      <c r="N100" s="36"/>
      <c r="O100" s="36"/>
      <c r="P100" s="36"/>
      <c r="Q100" s="36"/>
      <c r="R100" s="36"/>
      <c r="S100" s="36"/>
    </row>
    <row r="101" spans="2:19">
      <c r="B101" s="36"/>
      <c r="C101" s="36"/>
      <c r="D101" s="36"/>
      <c r="E101" s="36"/>
      <c r="F101" s="36"/>
      <c r="G101" s="36"/>
      <c r="H101" s="36"/>
      <c r="I101" s="36"/>
      <c r="J101" s="36"/>
      <c r="K101" s="36"/>
      <c r="L101" s="36"/>
      <c r="M101" s="36"/>
      <c r="N101" s="36"/>
      <c r="O101" s="36"/>
      <c r="P101" s="36"/>
      <c r="Q101" s="36"/>
      <c r="R101" s="36"/>
      <c r="S101" s="36"/>
    </row>
    <row r="102" spans="2:19">
      <c r="B102" s="36"/>
      <c r="C102" s="36"/>
      <c r="D102" s="36"/>
      <c r="E102" s="36"/>
      <c r="F102" s="36"/>
      <c r="G102" s="36"/>
      <c r="H102" s="36"/>
      <c r="I102" s="36"/>
      <c r="J102" s="36"/>
      <c r="K102" s="36"/>
      <c r="L102" s="36"/>
      <c r="M102" s="36"/>
      <c r="N102" s="36"/>
      <c r="O102" s="36"/>
      <c r="P102" s="36"/>
      <c r="Q102" s="36"/>
      <c r="R102" s="36"/>
      <c r="S102" s="36"/>
    </row>
    <row r="103" spans="2:19">
      <c r="B103" s="36"/>
      <c r="C103" s="36"/>
      <c r="D103" s="36"/>
      <c r="E103" s="36"/>
      <c r="F103" s="36"/>
      <c r="G103" s="36"/>
      <c r="H103" s="36"/>
      <c r="I103" s="36"/>
      <c r="J103" s="36"/>
      <c r="K103" s="36"/>
      <c r="L103" s="36"/>
      <c r="M103" s="36"/>
      <c r="N103" s="36"/>
      <c r="O103" s="36"/>
      <c r="P103" s="36"/>
      <c r="Q103" s="36"/>
      <c r="R103" s="36"/>
      <c r="S103" s="36"/>
    </row>
    <row r="104" spans="2:19">
      <c r="B104" s="36"/>
      <c r="C104" s="36"/>
      <c r="D104" s="36"/>
      <c r="E104" s="36"/>
      <c r="F104" s="36"/>
      <c r="G104" s="36"/>
      <c r="H104" s="36"/>
      <c r="I104" s="36"/>
      <c r="J104" s="36"/>
      <c r="K104" s="36"/>
      <c r="L104" s="36"/>
      <c r="M104" s="36"/>
      <c r="N104" s="36"/>
      <c r="O104" s="36"/>
      <c r="P104" s="36"/>
      <c r="Q104" s="36"/>
      <c r="R104" s="36"/>
      <c r="S104" s="36"/>
    </row>
    <row r="105" spans="2:19">
      <c r="B105" s="36"/>
      <c r="C105" s="36"/>
      <c r="D105" s="36"/>
      <c r="E105" s="36"/>
      <c r="F105" s="36"/>
      <c r="G105" s="36"/>
      <c r="H105" s="36"/>
      <c r="I105" s="36"/>
      <c r="J105" s="36"/>
      <c r="K105" s="36"/>
      <c r="L105" s="36"/>
      <c r="M105" s="36"/>
      <c r="N105" s="36"/>
      <c r="O105" s="36"/>
      <c r="P105" s="36"/>
      <c r="Q105" s="36"/>
      <c r="R105" s="36"/>
      <c r="S105" s="36"/>
    </row>
    <row r="106" spans="2:19">
      <c r="B106" s="36"/>
      <c r="C106" s="36"/>
      <c r="D106" s="36"/>
      <c r="E106" s="36"/>
      <c r="F106" s="36"/>
      <c r="G106" s="36"/>
      <c r="H106" s="36"/>
      <c r="I106" s="36"/>
      <c r="J106" s="36"/>
      <c r="K106" s="36"/>
      <c r="L106" s="36"/>
      <c r="M106" s="36"/>
      <c r="N106" s="36"/>
      <c r="O106" s="36"/>
      <c r="P106" s="36"/>
      <c r="Q106" s="36"/>
      <c r="R106" s="36"/>
      <c r="S106" s="36"/>
    </row>
    <row r="107" spans="2:19">
      <c r="B107" s="36"/>
      <c r="C107" s="36"/>
      <c r="D107" s="36"/>
      <c r="E107" s="36"/>
      <c r="F107" s="36"/>
      <c r="G107" s="36"/>
      <c r="H107" s="36"/>
      <c r="I107" s="36"/>
      <c r="J107" s="36"/>
      <c r="K107" s="36"/>
      <c r="L107" s="36"/>
      <c r="M107" s="36"/>
      <c r="N107" s="36"/>
      <c r="O107" s="36"/>
      <c r="P107" s="36"/>
      <c r="Q107" s="36"/>
      <c r="R107" s="36"/>
      <c r="S107" s="36"/>
    </row>
    <row r="108" spans="2:19">
      <c r="B108" s="36"/>
      <c r="C108" s="36"/>
      <c r="D108" s="36"/>
      <c r="E108" s="36"/>
      <c r="F108" s="36"/>
      <c r="G108" s="36"/>
      <c r="H108" s="36"/>
      <c r="I108" s="36"/>
      <c r="J108" s="36"/>
      <c r="K108" s="36"/>
      <c r="L108" s="36"/>
      <c r="M108" s="36"/>
      <c r="N108" s="36"/>
      <c r="O108" s="36"/>
      <c r="P108" s="36"/>
      <c r="Q108" s="36"/>
      <c r="R108" s="36"/>
      <c r="S108" s="36"/>
    </row>
    <row r="109" spans="2:19">
      <c r="B109" s="36"/>
      <c r="C109" s="36"/>
      <c r="D109" s="36"/>
      <c r="E109" s="36"/>
      <c r="F109" s="36"/>
      <c r="G109" s="36"/>
      <c r="H109" s="36"/>
      <c r="I109" s="36"/>
      <c r="J109" s="36"/>
      <c r="K109" s="36"/>
      <c r="L109" s="36"/>
      <c r="M109" s="36"/>
      <c r="N109" s="36"/>
      <c r="O109" s="36"/>
      <c r="P109" s="36"/>
      <c r="Q109" s="36"/>
      <c r="R109" s="36"/>
      <c r="S109" s="36"/>
    </row>
    <row r="110" spans="2:19">
      <c r="B110" s="36"/>
      <c r="C110" s="36"/>
      <c r="D110" s="36"/>
      <c r="E110" s="36"/>
      <c r="F110" s="36"/>
      <c r="G110" s="36"/>
      <c r="H110" s="36"/>
      <c r="I110" s="36"/>
      <c r="J110" s="36"/>
      <c r="K110" s="36"/>
      <c r="L110" s="36"/>
      <c r="M110" s="36"/>
      <c r="N110" s="36"/>
      <c r="O110" s="36"/>
      <c r="P110" s="36"/>
      <c r="Q110" s="36"/>
      <c r="R110" s="36"/>
      <c r="S110" s="36"/>
    </row>
    <row r="111" spans="2:19">
      <c r="B111" s="36"/>
      <c r="C111" s="36"/>
      <c r="D111" s="36"/>
      <c r="E111" s="36"/>
      <c r="F111" s="36"/>
      <c r="G111" s="36"/>
      <c r="H111" s="36"/>
      <c r="I111" s="36"/>
      <c r="J111" s="36"/>
      <c r="K111" s="36"/>
      <c r="L111" s="36"/>
      <c r="M111" s="36"/>
      <c r="N111" s="36"/>
      <c r="O111" s="36"/>
      <c r="P111" s="36"/>
      <c r="Q111" s="36"/>
      <c r="R111" s="36"/>
      <c r="S111" s="36"/>
    </row>
    <row r="112" spans="2:19">
      <c r="B112" s="36"/>
      <c r="C112" s="36"/>
      <c r="D112" s="36"/>
      <c r="E112" s="36"/>
      <c r="F112" s="36"/>
      <c r="G112" s="36"/>
      <c r="H112" s="36"/>
      <c r="I112" s="36"/>
      <c r="J112" s="36"/>
      <c r="K112" s="36"/>
      <c r="L112" s="36"/>
      <c r="M112" s="36"/>
      <c r="N112" s="36"/>
      <c r="O112" s="36"/>
      <c r="P112" s="36"/>
      <c r="Q112" s="36"/>
      <c r="R112" s="36"/>
      <c r="S112" s="36"/>
    </row>
    <row r="113" spans="2:19">
      <c r="B113" s="36"/>
      <c r="C113" s="36"/>
      <c r="D113" s="36"/>
      <c r="E113" s="36"/>
      <c r="F113" s="36"/>
      <c r="G113" s="36"/>
      <c r="H113" s="36"/>
      <c r="I113" s="36"/>
      <c r="J113" s="36"/>
      <c r="K113" s="36"/>
      <c r="L113" s="36"/>
      <c r="M113" s="36"/>
      <c r="N113" s="36"/>
      <c r="O113" s="36"/>
      <c r="P113" s="36"/>
      <c r="Q113" s="36"/>
      <c r="R113" s="36"/>
      <c r="S113" s="36"/>
    </row>
    <row r="114" spans="2:19">
      <c r="B114" s="36"/>
      <c r="C114" s="36"/>
      <c r="D114" s="36"/>
      <c r="E114" s="36"/>
      <c r="F114" s="36"/>
      <c r="G114" s="36"/>
      <c r="H114" s="36"/>
      <c r="I114" s="36"/>
      <c r="J114" s="36"/>
      <c r="K114" s="36"/>
      <c r="L114" s="36"/>
      <c r="M114" s="36"/>
      <c r="N114" s="36"/>
      <c r="O114" s="36"/>
      <c r="P114" s="36"/>
      <c r="Q114" s="36"/>
      <c r="R114" s="36"/>
      <c r="S114" s="36"/>
    </row>
    <row r="115" spans="2:19">
      <c r="B115" s="36"/>
      <c r="C115" s="36"/>
      <c r="D115" s="36"/>
      <c r="E115" s="36"/>
      <c r="F115" s="36"/>
      <c r="G115" s="36"/>
      <c r="H115" s="36"/>
      <c r="I115" s="36"/>
      <c r="J115" s="36"/>
      <c r="K115" s="36"/>
      <c r="L115" s="36"/>
      <c r="M115" s="36"/>
      <c r="N115" s="36"/>
      <c r="O115" s="36"/>
      <c r="P115" s="36"/>
      <c r="Q115" s="36"/>
      <c r="R115" s="36"/>
      <c r="S115" s="36"/>
    </row>
    <row r="116" spans="2:19">
      <c r="B116" s="36"/>
      <c r="C116" s="36"/>
      <c r="D116" s="36"/>
      <c r="E116" s="36"/>
      <c r="F116" s="36"/>
      <c r="G116" s="36"/>
      <c r="H116" s="36"/>
      <c r="I116" s="36"/>
      <c r="J116" s="36"/>
      <c r="K116" s="36"/>
      <c r="L116" s="36"/>
      <c r="M116" s="36"/>
      <c r="N116" s="36"/>
      <c r="O116" s="36"/>
      <c r="P116" s="36"/>
      <c r="Q116" s="36"/>
      <c r="R116" s="36"/>
      <c r="S116" s="36"/>
    </row>
    <row r="117" spans="2:19">
      <c r="B117" s="36"/>
      <c r="C117" s="36"/>
      <c r="D117" s="36"/>
      <c r="E117" s="36"/>
      <c r="F117" s="36"/>
      <c r="G117" s="36"/>
      <c r="H117" s="36"/>
      <c r="I117" s="36"/>
      <c r="J117" s="36"/>
      <c r="K117" s="36"/>
      <c r="L117" s="36"/>
      <c r="M117" s="36"/>
      <c r="N117" s="36"/>
      <c r="O117" s="36"/>
      <c r="P117" s="36"/>
      <c r="Q117" s="36"/>
      <c r="R117" s="36"/>
      <c r="S117" s="36"/>
    </row>
    <row r="118" spans="2:19">
      <c r="B118" s="36"/>
      <c r="C118" s="36"/>
      <c r="D118" s="36"/>
      <c r="E118" s="36"/>
      <c r="F118" s="36"/>
      <c r="G118" s="36"/>
      <c r="H118" s="36"/>
      <c r="I118" s="36"/>
      <c r="J118" s="36"/>
      <c r="K118" s="36"/>
      <c r="L118" s="36"/>
      <c r="M118" s="36"/>
      <c r="N118" s="36"/>
      <c r="O118" s="36"/>
      <c r="P118" s="36"/>
      <c r="Q118" s="36"/>
      <c r="R118" s="36"/>
      <c r="S118" s="36"/>
    </row>
    <row r="119" spans="2:19">
      <c r="B119" s="36"/>
      <c r="C119" s="36"/>
      <c r="D119" s="36"/>
      <c r="E119" s="36"/>
      <c r="F119" s="36"/>
      <c r="G119" s="36"/>
      <c r="H119" s="36"/>
      <c r="I119" s="36"/>
      <c r="J119" s="36"/>
      <c r="K119" s="36"/>
      <c r="L119" s="36"/>
      <c r="M119" s="36"/>
      <c r="N119" s="36"/>
      <c r="O119" s="36"/>
      <c r="P119" s="36"/>
      <c r="Q119" s="36"/>
      <c r="R119" s="36"/>
      <c r="S119" s="36"/>
    </row>
    <row r="120" spans="2:19">
      <c r="B120" s="36"/>
      <c r="C120" s="36"/>
      <c r="D120" s="36"/>
      <c r="E120" s="36"/>
      <c r="F120" s="36"/>
      <c r="G120" s="36"/>
      <c r="H120" s="36"/>
      <c r="I120" s="36"/>
      <c r="J120" s="36"/>
      <c r="K120" s="36"/>
      <c r="L120" s="36"/>
      <c r="M120" s="36"/>
      <c r="N120" s="36"/>
      <c r="O120" s="36"/>
      <c r="P120" s="36"/>
      <c r="Q120" s="36"/>
      <c r="R120" s="36"/>
      <c r="S120" s="36"/>
    </row>
    <row r="121" spans="2:19">
      <c r="B121" s="36"/>
      <c r="C121" s="36"/>
      <c r="D121" s="36"/>
      <c r="E121" s="36"/>
      <c r="F121" s="36"/>
      <c r="G121" s="36"/>
      <c r="H121" s="36"/>
      <c r="I121" s="36"/>
      <c r="J121" s="36"/>
      <c r="K121" s="36"/>
      <c r="L121" s="36"/>
      <c r="M121" s="36"/>
      <c r="N121" s="36"/>
      <c r="O121" s="36"/>
      <c r="P121" s="36"/>
      <c r="Q121" s="36"/>
      <c r="R121" s="36"/>
      <c r="S121" s="36"/>
    </row>
    <row r="122" spans="2:19">
      <c r="B122" s="36"/>
      <c r="C122" s="36"/>
      <c r="D122" s="36"/>
      <c r="E122" s="36"/>
      <c r="F122" s="36"/>
      <c r="G122" s="36"/>
      <c r="H122" s="36"/>
      <c r="I122" s="36"/>
      <c r="J122" s="36"/>
      <c r="K122" s="36"/>
      <c r="L122" s="36"/>
      <c r="M122" s="36"/>
      <c r="N122" s="36"/>
      <c r="O122" s="36"/>
      <c r="P122" s="36"/>
      <c r="Q122" s="36"/>
      <c r="R122" s="36"/>
      <c r="S122" s="36"/>
    </row>
    <row r="123" spans="2:19">
      <c r="B123" s="36"/>
      <c r="C123" s="36"/>
      <c r="D123" s="36"/>
      <c r="E123" s="36"/>
      <c r="F123" s="36"/>
      <c r="G123" s="36"/>
      <c r="H123" s="36"/>
      <c r="I123" s="36"/>
      <c r="J123" s="36"/>
      <c r="K123" s="36"/>
      <c r="L123" s="36"/>
      <c r="M123" s="36"/>
      <c r="N123" s="36"/>
      <c r="O123" s="36"/>
      <c r="P123" s="36"/>
      <c r="Q123" s="36"/>
      <c r="R123" s="36"/>
      <c r="S123" s="36"/>
    </row>
    <row r="124" spans="2:19">
      <c r="B124" s="36"/>
      <c r="C124" s="36"/>
      <c r="D124" s="36"/>
      <c r="E124" s="36"/>
      <c r="F124" s="36"/>
      <c r="G124" s="36"/>
      <c r="H124" s="36"/>
      <c r="I124" s="36"/>
      <c r="J124" s="36"/>
      <c r="K124" s="36"/>
      <c r="L124" s="36"/>
      <c r="M124" s="36"/>
      <c r="N124" s="36"/>
      <c r="O124" s="36"/>
      <c r="P124" s="36"/>
      <c r="Q124" s="36"/>
      <c r="R124" s="36"/>
      <c r="S124" s="36"/>
    </row>
    <row r="125" spans="2:19">
      <c r="B125" s="36"/>
      <c r="C125" s="36"/>
      <c r="D125" s="36"/>
      <c r="E125" s="36"/>
      <c r="F125" s="36"/>
      <c r="G125" s="36"/>
      <c r="H125" s="36"/>
      <c r="I125" s="36"/>
      <c r="J125" s="36"/>
      <c r="K125" s="36"/>
      <c r="L125" s="36"/>
      <c r="M125" s="36"/>
      <c r="N125" s="36"/>
      <c r="O125" s="36"/>
      <c r="P125" s="36"/>
      <c r="Q125" s="36"/>
      <c r="R125" s="36"/>
      <c r="S125" s="36"/>
    </row>
    <row r="126" spans="2:19">
      <c r="B126" s="36"/>
      <c r="C126" s="36"/>
      <c r="D126" s="36"/>
      <c r="E126" s="36"/>
      <c r="F126" s="36"/>
      <c r="G126" s="36"/>
      <c r="H126" s="36"/>
      <c r="I126" s="36"/>
      <c r="J126" s="36"/>
      <c r="K126" s="36"/>
      <c r="L126" s="36"/>
      <c r="M126" s="36"/>
      <c r="N126" s="36"/>
      <c r="O126" s="36"/>
      <c r="P126" s="36"/>
      <c r="Q126" s="36"/>
      <c r="R126" s="36"/>
      <c r="S126" s="36"/>
    </row>
    <row r="127" spans="2:19">
      <c r="B127" s="36"/>
      <c r="C127" s="36"/>
      <c r="D127" s="36"/>
      <c r="E127" s="36"/>
      <c r="F127" s="36"/>
      <c r="G127" s="36"/>
      <c r="H127" s="36"/>
      <c r="I127" s="36"/>
      <c r="J127" s="36"/>
      <c r="K127" s="36"/>
      <c r="L127" s="36"/>
      <c r="M127" s="36"/>
      <c r="N127" s="36"/>
      <c r="O127" s="36"/>
      <c r="P127" s="36"/>
      <c r="Q127" s="36"/>
      <c r="R127" s="36"/>
      <c r="S127" s="36"/>
    </row>
    <row r="128" spans="2:19">
      <c r="B128" s="36"/>
      <c r="C128" s="36"/>
      <c r="D128" s="36"/>
      <c r="E128" s="36"/>
      <c r="F128" s="36"/>
      <c r="G128" s="36"/>
      <c r="H128" s="36"/>
      <c r="I128" s="36"/>
      <c r="J128" s="36"/>
      <c r="K128" s="36"/>
      <c r="L128" s="36"/>
      <c r="M128" s="36"/>
      <c r="N128" s="36"/>
      <c r="O128" s="36"/>
      <c r="P128" s="36"/>
      <c r="Q128" s="36"/>
      <c r="R128" s="36"/>
      <c r="S128" s="36"/>
    </row>
    <row r="129" spans="2:19">
      <c r="B129" s="36"/>
      <c r="C129" s="36"/>
      <c r="D129" s="36"/>
      <c r="E129" s="36"/>
      <c r="F129" s="36"/>
      <c r="G129" s="36"/>
      <c r="H129" s="36"/>
      <c r="I129" s="36"/>
      <c r="J129" s="36"/>
      <c r="K129" s="36"/>
      <c r="L129" s="36"/>
      <c r="M129" s="36"/>
      <c r="N129" s="36"/>
      <c r="O129" s="36"/>
      <c r="P129" s="36"/>
      <c r="Q129" s="36"/>
      <c r="R129" s="36"/>
      <c r="S129" s="36"/>
    </row>
    <row r="130" spans="2:19">
      <c r="B130" s="36"/>
      <c r="C130" s="36"/>
      <c r="D130" s="36"/>
      <c r="E130" s="36"/>
      <c r="F130" s="36"/>
      <c r="G130" s="36"/>
      <c r="H130" s="36"/>
      <c r="I130" s="36"/>
      <c r="J130" s="36"/>
      <c r="K130" s="36"/>
      <c r="L130" s="36"/>
      <c r="M130" s="36"/>
      <c r="N130" s="36"/>
      <c r="O130" s="36"/>
      <c r="P130" s="36"/>
      <c r="Q130" s="36"/>
      <c r="R130" s="36"/>
      <c r="S130" s="36"/>
    </row>
  </sheetData>
  <mergeCells count="5">
    <mergeCell ref="A3:S3"/>
    <mergeCell ref="A4:S4"/>
    <mergeCell ref="A5:S5"/>
    <mergeCell ref="A8:R8"/>
    <mergeCell ref="D19:E19"/>
  </mergeCells>
  <printOptions horizontalCentered="1"/>
  <pageMargins left="0.41" right="0.23" top="1.75" bottom="0.33" header="1.25" footer="0.17"/>
  <pageSetup scale="35" orientation="landscape" r:id="rId1"/>
  <headerFooter alignWithMargins="0">
    <oddHeader>&amp;R&amp;18Transmission Service PTRR
Page 1 of 2</oddHeader>
    <oddFooter xml:space="preserve">&amp;C &amp;R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6EF9C-8035-44C3-AB81-8DE44BFB219A}">
  <dimension ref="A1:Y197"/>
  <sheetViews>
    <sheetView showGridLines="0" topLeftCell="B1" zoomScale="70" zoomScaleNormal="70" zoomScaleSheetLayoutView="70" workbookViewId="0">
      <selection activeCell="O25" sqref="O25"/>
    </sheetView>
  </sheetViews>
  <sheetFormatPr defaultColWidth="1.7109375" defaultRowHeight="15.75"/>
  <cols>
    <col min="1" max="2" width="7.5703125" style="128" customWidth="1"/>
    <col min="3" max="3" width="64.28515625" style="128" customWidth="1"/>
    <col min="4" max="4" width="24.42578125" style="128" customWidth="1"/>
    <col min="5" max="5" width="15.28515625" style="128" customWidth="1"/>
    <col min="6" max="6" width="19.140625" style="128" customWidth="1"/>
    <col min="7" max="7" width="12.28515625" style="128" customWidth="1"/>
    <col min="8" max="8" width="6" style="128" customWidth="1"/>
    <col min="9" max="9" width="24.28515625" style="128" bestFit="1" customWidth="1"/>
    <col min="10" max="10" width="7" style="128" customWidth="1"/>
    <col min="11" max="11" width="24" style="128" bestFit="1" customWidth="1"/>
    <col min="12" max="12" width="9.85546875" style="128" customWidth="1"/>
    <col min="13" max="13" width="14.5703125" style="128" customWidth="1"/>
    <col min="14" max="14" width="12.7109375" style="128" customWidth="1"/>
    <col min="15" max="15" width="23.28515625" style="128" customWidth="1"/>
    <col min="16" max="17" width="12.7109375" style="128" customWidth="1"/>
    <col min="18" max="18" width="14" style="128" customWidth="1"/>
    <col min="19" max="19" width="12.7109375" style="128" customWidth="1"/>
    <col min="20" max="20" width="13.42578125" style="128" bestFit="1" customWidth="1"/>
    <col min="21" max="233" width="12.7109375" style="128" customWidth="1"/>
    <col min="234" max="16384" width="1.7109375" style="128"/>
  </cols>
  <sheetData>
    <row r="1" spans="1:16" ht="21">
      <c r="A1" s="124" t="str">
        <f ca="1">RIGHT(CELL("filename",D2),LEN(CELL("filename",D2))-FIND("]",CELL("filename",D2)))</f>
        <v>AMPT RR</v>
      </c>
      <c r="B1" s="125"/>
      <c r="C1" s="126"/>
      <c r="D1" s="126"/>
      <c r="E1" s="126"/>
      <c r="F1" s="126"/>
      <c r="G1" s="126"/>
      <c r="H1" s="126"/>
      <c r="I1" s="126"/>
      <c r="J1" s="126"/>
      <c r="K1" s="127" t="s">
        <v>171</v>
      </c>
      <c r="M1" s="129"/>
      <c r="N1" s="129"/>
    </row>
    <row r="2" spans="1:16" ht="23.25">
      <c r="A2" s="130" t="s">
        <v>172</v>
      </c>
      <c r="B2" s="131"/>
      <c r="C2" s="126"/>
      <c r="D2" s="126"/>
      <c r="E2" s="126"/>
      <c r="F2" s="126"/>
      <c r="G2" s="126"/>
      <c r="H2" s="126"/>
      <c r="I2" s="126"/>
      <c r="J2" s="126"/>
      <c r="K2" s="126"/>
      <c r="L2" s="126" t="s">
        <v>121</v>
      </c>
      <c r="M2" s="126"/>
      <c r="N2" s="132" t="s">
        <v>121</v>
      </c>
      <c r="P2" s="128" t="s">
        <v>121</v>
      </c>
    </row>
    <row r="3" spans="1:16" ht="23.25">
      <c r="A3" s="133" t="s">
        <v>173</v>
      </c>
      <c r="B3" s="134"/>
      <c r="C3" s="126"/>
      <c r="D3" s="126"/>
      <c r="E3" s="126"/>
      <c r="F3" s="132"/>
      <c r="G3" s="126"/>
      <c r="H3" s="126"/>
      <c r="I3" s="126"/>
      <c r="J3" s="126"/>
      <c r="K3" s="126"/>
      <c r="L3" s="126" t="s">
        <v>121</v>
      </c>
      <c r="M3" s="126"/>
      <c r="N3" s="126" t="s">
        <v>121</v>
      </c>
      <c r="P3" s="128" t="s">
        <v>121</v>
      </c>
    </row>
    <row r="4" spans="1:16" ht="22.5">
      <c r="A4" s="134"/>
      <c r="B4" s="134"/>
      <c r="C4" s="135" t="s">
        <v>174</v>
      </c>
      <c r="D4" s="136"/>
      <c r="E4" s="136"/>
      <c r="F4" s="137"/>
      <c r="G4" s="136"/>
      <c r="H4" s="136"/>
      <c r="I4" s="136"/>
      <c r="J4" s="136"/>
      <c r="K4" s="138" t="s">
        <v>175</v>
      </c>
      <c r="L4" s="126"/>
      <c r="M4" s="126"/>
      <c r="N4" s="126"/>
    </row>
    <row r="5" spans="1:16" ht="22.5">
      <c r="A5" s="134"/>
      <c r="B5" s="134"/>
      <c r="C5" s="139" t="s">
        <v>176</v>
      </c>
      <c r="D5" s="126"/>
      <c r="E5" s="126"/>
      <c r="F5" s="132"/>
      <c r="G5" s="126"/>
      <c r="H5" s="126"/>
      <c r="I5" s="126"/>
      <c r="J5" s="126"/>
      <c r="K5" s="126"/>
      <c r="L5" s="126"/>
      <c r="M5" s="126"/>
      <c r="N5" s="126"/>
    </row>
    <row r="6" spans="1:16" ht="23.25">
      <c r="A6" s="130" t="s">
        <v>177</v>
      </c>
      <c r="B6" s="131"/>
      <c r="C6" s="126"/>
      <c r="D6" s="126"/>
      <c r="E6" s="126"/>
      <c r="F6" s="126"/>
      <c r="G6" s="126"/>
      <c r="H6" s="126"/>
      <c r="I6" s="126"/>
      <c r="J6" s="126"/>
      <c r="K6" s="126"/>
      <c r="L6" s="126" t="s">
        <v>121</v>
      </c>
      <c r="M6" s="126"/>
      <c r="N6" s="126" t="s">
        <v>121</v>
      </c>
      <c r="P6" s="128" t="s">
        <v>121</v>
      </c>
    </row>
    <row r="7" spans="1:16">
      <c r="A7" s="140" t="s">
        <v>178</v>
      </c>
      <c r="B7" s="126"/>
      <c r="C7" s="126"/>
      <c r="D7" s="136"/>
      <c r="E7" s="141"/>
      <c r="F7" s="126"/>
      <c r="G7" s="126"/>
      <c r="H7" s="126"/>
      <c r="I7" s="126"/>
      <c r="J7" s="126"/>
      <c r="K7" s="126"/>
      <c r="L7" s="126" t="s">
        <v>151</v>
      </c>
      <c r="M7" s="126"/>
      <c r="N7" s="126"/>
    </row>
    <row r="8" spans="1:16" ht="22.5" customHeight="1">
      <c r="A8" s="142"/>
      <c r="B8" s="142"/>
      <c r="C8" s="143"/>
      <c r="D8" s="143"/>
      <c r="F8" s="143"/>
      <c r="G8" s="144"/>
      <c r="H8" s="144"/>
      <c r="I8" s="145"/>
      <c r="J8" s="144"/>
      <c r="K8" s="146" t="str">
        <f>A7</f>
        <v>Projected</v>
      </c>
      <c r="L8" s="144"/>
      <c r="M8" s="144"/>
      <c r="N8" s="143"/>
      <c r="P8" s="128" t="s">
        <v>121</v>
      </c>
    </row>
    <row r="9" spans="1:16" ht="22.5" customHeight="1">
      <c r="A9" s="147"/>
      <c r="B9" s="147"/>
      <c r="C9" s="147"/>
      <c r="E9" s="148"/>
      <c r="F9" s="147"/>
      <c r="G9" s="147"/>
      <c r="H9" s="147"/>
      <c r="I9" s="147"/>
      <c r="J9" s="147"/>
      <c r="K9" s="149" t="s">
        <v>179</v>
      </c>
      <c r="L9" s="150"/>
      <c r="M9" s="150"/>
      <c r="N9" s="151"/>
      <c r="O9" s="147"/>
      <c r="P9" s="147"/>
    </row>
    <row r="10" spans="1:16" ht="22.5" customHeight="1">
      <c r="A10" s="152" t="s">
        <v>180</v>
      </c>
      <c r="B10" s="152"/>
      <c r="C10" s="152"/>
      <c r="D10" s="151" t="s">
        <v>181</v>
      </c>
      <c r="E10" s="152"/>
      <c r="F10" s="152"/>
      <c r="G10" s="152"/>
      <c r="H10" s="152"/>
      <c r="I10" s="152"/>
      <c r="J10" s="152"/>
      <c r="K10" s="152" t="s">
        <v>182</v>
      </c>
      <c r="L10" s="150"/>
      <c r="M10" s="150"/>
      <c r="N10" s="153"/>
      <c r="O10" s="147"/>
      <c r="P10" s="147"/>
    </row>
    <row r="11" spans="1:16">
      <c r="A11" s="154" t="s">
        <v>106</v>
      </c>
      <c r="B11" s="154"/>
      <c r="C11" s="154" t="s">
        <v>183</v>
      </c>
      <c r="D11" s="154" t="s">
        <v>184</v>
      </c>
      <c r="E11" s="154" t="s">
        <v>185</v>
      </c>
      <c r="F11" s="154" t="s">
        <v>186</v>
      </c>
      <c r="G11" s="154"/>
      <c r="H11" s="155"/>
      <c r="I11" s="156" t="s">
        <v>187</v>
      </c>
      <c r="J11" s="154"/>
      <c r="K11" s="154" t="s">
        <v>188</v>
      </c>
      <c r="L11" s="150"/>
      <c r="M11" s="150"/>
      <c r="N11" s="153"/>
      <c r="O11" s="147"/>
      <c r="P11" s="147"/>
    </row>
    <row r="12" spans="1:16">
      <c r="A12" s="153" t="s">
        <v>189</v>
      </c>
      <c r="B12" s="153"/>
      <c r="C12" s="153" t="s">
        <v>190</v>
      </c>
      <c r="D12" s="153" t="s">
        <v>191</v>
      </c>
      <c r="E12" s="153" t="s">
        <v>192</v>
      </c>
      <c r="F12" s="153" t="s">
        <v>193</v>
      </c>
      <c r="G12" s="157"/>
      <c r="H12" s="158" t="s">
        <v>194</v>
      </c>
      <c r="I12" s="140"/>
      <c r="J12" s="157"/>
      <c r="K12" s="153" t="s">
        <v>195</v>
      </c>
      <c r="L12" s="150"/>
      <c r="M12" s="150"/>
      <c r="N12" s="153"/>
      <c r="O12" s="147"/>
      <c r="P12" s="147"/>
    </row>
    <row r="13" spans="1:16">
      <c r="A13" s="153"/>
      <c r="B13" s="153"/>
      <c r="C13" s="153"/>
      <c r="D13" s="153"/>
      <c r="E13" s="153"/>
      <c r="F13" s="153"/>
      <c r="G13" s="157"/>
      <c r="H13" s="158"/>
      <c r="I13" s="140"/>
      <c r="J13" s="157"/>
      <c r="K13" s="153"/>
      <c r="L13" s="150"/>
      <c r="M13" s="150"/>
      <c r="N13" s="153"/>
      <c r="O13" s="147"/>
      <c r="P13" s="147"/>
    </row>
    <row r="14" spans="1:16">
      <c r="A14" s="153"/>
      <c r="B14" s="153"/>
      <c r="C14" s="153"/>
      <c r="D14" s="153"/>
      <c r="E14" s="159"/>
      <c r="F14" s="153"/>
      <c r="G14" s="157"/>
      <c r="H14" s="158"/>
      <c r="I14" s="160"/>
      <c r="J14" s="157"/>
      <c r="K14" s="153" t="s">
        <v>196</v>
      </c>
      <c r="L14" s="150"/>
      <c r="M14" s="150"/>
      <c r="N14" s="150"/>
      <c r="O14" s="147"/>
      <c r="P14" s="147"/>
    </row>
    <row r="15" spans="1:16">
      <c r="A15" s="161"/>
      <c r="B15" s="161"/>
      <c r="C15" s="147"/>
      <c r="D15" s="147"/>
      <c r="E15" s="162"/>
      <c r="F15" s="147"/>
      <c r="G15" s="147"/>
      <c r="H15" s="147"/>
      <c r="I15" s="147"/>
      <c r="J15" s="147"/>
      <c r="K15" s="163" t="s">
        <v>197</v>
      </c>
      <c r="L15" s="150"/>
      <c r="M15" s="150"/>
      <c r="N15" s="150"/>
      <c r="O15" s="147"/>
      <c r="P15" s="147"/>
    </row>
    <row r="16" spans="1:16" ht="16.5" thickBot="1">
      <c r="A16" s="163"/>
      <c r="B16" s="163"/>
      <c r="C16" s="147"/>
      <c r="D16" s="147"/>
      <c r="E16" s="147"/>
      <c r="F16" s="147"/>
      <c r="G16" s="147"/>
      <c r="H16" s="147"/>
      <c r="I16" s="147"/>
      <c r="J16" s="147"/>
      <c r="K16" s="164" t="s">
        <v>198</v>
      </c>
      <c r="L16" s="150"/>
      <c r="M16" s="150"/>
      <c r="N16" s="150"/>
      <c r="O16" s="147"/>
      <c r="P16" s="147"/>
    </row>
    <row r="17" spans="1:16">
      <c r="A17" s="163">
        <v>1</v>
      </c>
      <c r="B17" s="163"/>
      <c r="C17" s="147" t="s">
        <v>199</v>
      </c>
      <c r="D17" s="147"/>
      <c r="E17" s="150"/>
      <c r="F17" s="147"/>
      <c r="G17" s="147"/>
      <c r="H17" s="147"/>
      <c r="I17" s="165"/>
      <c r="J17" s="147"/>
      <c r="K17" s="166">
        <f>K73</f>
        <v>2770699.1806247635</v>
      </c>
      <c r="L17" s="167"/>
      <c r="M17" s="167"/>
      <c r="N17" s="150"/>
      <c r="O17" s="147"/>
      <c r="P17" s="147"/>
    </row>
    <row r="18" spans="1:16">
      <c r="A18" s="163">
        <f>A17+1</f>
        <v>2</v>
      </c>
      <c r="B18" s="163"/>
      <c r="C18" s="147"/>
      <c r="D18" s="147"/>
      <c r="E18" s="147"/>
      <c r="F18" s="147"/>
      <c r="G18" s="147"/>
      <c r="H18" s="147"/>
      <c r="I18" s="147"/>
      <c r="J18" s="147"/>
      <c r="K18" s="150"/>
      <c r="L18" s="150"/>
      <c r="M18" s="150"/>
      <c r="N18" s="150"/>
      <c r="O18" s="147"/>
      <c r="P18" s="147"/>
    </row>
    <row r="19" spans="1:16">
      <c r="A19" s="163">
        <f t="shared" ref="A19:A82" si="0">A18+1</f>
        <v>3</v>
      </c>
      <c r="B19" s="163"/>
      <c r="C19" s="147"/>
      <c r="D19" s="147"/>
      <c r="E19" s="147"/>
      <c r="F19" s="147"/>
      <c r="G19" s="147"/>
      <c r="H19" s="147"/>
      <c r="I19" s="147"/>
      <c r="J19" s="147"/>
      <c r="K19" s="150"/>
      <c r="L19" s="150"/>
      <c r="M19" s="150"/>
      <c r="N19" s="150"/>
      <c r="O19" s="147"/>
      <c r="P19" s="147"/>
    </row>
    <row r="20" spans="1:16" ht="16.5" thickBot="1">
      <c r="A20" s="163">
        <f t="shared" si="0"/>
        <v>4</v>
      </c>
      <c r="B20" s="163"/>
      <c r="C20" s="147" t="s">
        <v>200</v>
      </c>
      <c r="D20" s="147" t="s">
        <v>201</v>
      </c>
      <c r="F20" s="164" t="s">
        <v>202</v>
      </c>
      <c r="G20" s="150"/>
      <c r="H20" s="168" t="s">
        <v>187</v>
      </c>
      <c r="I20" s="168"/>
      <c r="J20" s="147"/>
      <c r="K20" s="150"/>
      <c r="L20" s="150"/>
      <c r="M20" s="150"/>
      <c r="N20" s="150"/>
      <c r="O20" s="147"/>
      <c r="P20" s="147"/>
    </row>
    <row r="21" spans="1:16">
      <c r="A21" s="163">
        <f t="shared" si="0"/>
        <v>5</v>
      </c>
      <c r="B21" s="163"/>
      <c r="C21" s="147" t="s">
        <v>203</v>
      </c>
      <c r="D21" s="150" t="s">
        <v>204</v>
      </c>
      <c r="F21" s="169">
        <v>0</v>
      </c>
      <c r="G21" s="150"/>
      <c r="H21" s="150" t="s">
        <v>205</v>
      </c>
      <c r="I21" s="170">
        <f>$K$91</f>
        <v>0.10420573468735576</v>
      </c>
      <c r="J21" s="147"/>
      <c r="K21" s="169">
        <f>+I21*F21</f>
        <v>0</v>
      </c>
      <c r="L21" s="150"/>
      <c r="M21" s="150"/>
      <c r="N21" s="150"/>
      <c r="O21" s="147"/>
      <c r="P21" s="147"/>
    </row>
    <row r="22" spans="1:16">
      <c r="A22" s="163">
        <f t="shared" si="0"/>
        <v>6</v>
      </c>
      <c r="B22" s="163"/>
      <c r="C22" s="147" t="s">
        <v>206</v>
      </c>
      <c r="D22" s="150" t="s">
        <v>204</v>
      </c>
      <c r="F22" s="169">
        <v>0</v>
      </c>
      <c r="G22" s="150"/>
      <c r="H22" s="150" t="str">
        <f>+H21</f>
        <v>TP</v>
      </c>
      <c r="I22" s="170">
        <f>$K$91</f>
        <v>0.10420573468735576</v>
      </c>
      <c r="J22" s="147"/>
      <c r="K22" s="169">
        <f>+I22*F22</f>
        <v>0</v>
      </c>
      <c r="L22" s="150"/>
      <c r="M22" s="150"/>
      <c r="N22" s="150"/>
      <c r="O22" s="147"/>
      <c r="P22" s="147"/>
    </row>
    <row r="23" spans="1:16">
      <c r="A23" s="163">
        <f t="shared" si="0"/>
        <v>7</v>
      </c>
      <c r="B23" s="163"/>
      <c r="C23" s="147" t="s">
        <v>207</v>
      </c>
      <c r="D23" s="150" t="s">
        <v>204</v>
      </c>
      <c r="F23" s="169">
        <v>0</v>
      </c>
      <c r="G23" s="150"/>
      <c r="H23" s="150" t="s">
        <v>208</v>
      </c>
      <c r="I23" s="170">
        <v>1</v>
      </c>
      <c r="J23" s="147"/>
      <c r="K23" s="169">
        <f>+I23*F23</f>
        <v>0</v>
      </c>
      <c r="L23" s="129"/>
      <c r="M23" s="150"/>
      <c r="N23" s="150"/>
      <c r="O23" s="147"/>
      <c r="P23" s="147"/>
    </row>
    <row r="24" spans="1:16">
      <c r="A24" s="163">
        <f t="shared" si="0"/>
        <v>8</v>
      </c>
      <c r="B24" s="163"/>
      <c r="C24" s="147" t="s">
        <v>209</v>
      </c>
      <c r="D24" s="150"/>
      <c r="F24" s="171">
        <v>0</v>
      </c>
      <c r="G24" s="150"/>
      <c r="H24" s="150" t="s">
        <v>205</v>
      </c>
      <c r="I24" s="170">
        <f>$K$91</f>
        <v>0.10420573468735576</v>
      </c>
      <c r="J24" s="147"/>
      <c r="K24" s="172">
        <f>+I24*F24</f>
        <v>0</v>
      </c>
      <c r="L24" s="150"/>
      <c r="M24" s="150"/>
      <c r="N24" s="150"/>
      <c r="O24" s="147"/>
      <c r="P24" s="147"/>
    </row>
    <row r="25" spans="1:16" ht="16.5" thickBot="1">
      <c r="A25" s="163">
        <f t="shared" si="0"/>
        <v>9</v>
      </c>
      <c r="B25" s="163"/>
      <c r="C25" s="173" t="s">
        <v>210</v>
      </c>
      <c r="D25" s="150" t="s">
        <v>211</v>
      </c>
      <c r="F25" s="174">
        <v>0</v>
      </c>
      <c r="G25" s="150"/>
      <c r="H25" s="150" t="s">
        <v>205</v>
      </c>
      <c r="I25" s="170">
        <f>$K$91</f>
        <v>0.10420573468735576</v>
      </c>
      <c r="J25" s="147"/>
      <c r="K25" s="175">
        <f>+I25*F25</f>
        <v>0</v>
      </c>
      <c r="L25" s="150"/>
      <c r="M25" s="150"/>
      <c r="N25" s="150"/>
      <c r="O25" s="147"/>
      <c r="P25" s="147"/>
    </row>
    <row r="26" spans="1:16">
      <c r="A26" s="163">
        <f t="shared" si="0"/>
        <v>10</v>
      </c>
      <c r="B26" s="163"/>
      <c r="C26" s="147" t="s">
        <v>212</v>
      </c>
      <c r="D26" s="147"/>
      <c r="E26" s="176" t="s">
        <v>121</v>
      </c>
      <c r="F26" s="150"/>
      <c r="G26" s="150"/>
      <c r="H26" s="170"/>
      <c r="I26" s="147"/>
      <c r="J26" s="147"/>
      <c r="K26" s="169">
        <f>SUM(K21:K25)</f>
        <v>0</v>
      </c>
      <c r="L26" s="150"/>
      <c r="M26" s="150"/>
      <c r="N26" s="150"/>
      <c r="O26" s="147"/>
      <c r="P26" s="147"/>
    </row>
    <row r="27" spans="1:16">
      <c r="A27" s="163">
        <f t="shared" si="0"/>
        <v>11</v>
      </c>
      <c r="B27" s="163"/>
      <c r="C27" s="147"/>
      <c r="D27" s="147"/>
      <c r="E27" s="176"/>
      <c r="F27" s="150"/>
      <c r="G27" s="150"/>
      <c r="H27" s="170"/>
      <c r="I27" s="147"/>
      <c r="J27" s="147"/>
      <c r="K27" s="169"/>
      <c r="L27" s="150"/>
      <c r="M27" s="150"/>
      <c r="N27" s="150"/>
      <c r="O27" s="147"/>
      <c r="P27" s="147"/>
    </row>
    <row r="28" spans="1:16">
      <c r="A28" s="163">
        <f t="shared" si="0"/>
        <v>12</v>
      </c>
      <c r="B28" s="163"/>
      <c r="C28" s="147" t="s">
        <v>213</v>
      </c>
      <c r="D28" s="147" t="s">
        <v>214</v>
      </c>
      <c r="E28" s="176"/>
      <c r="F28" s="150"/>
      <c r="G28" s="150"/>
      <c r="H28" s="170"/>
      <c r="I28" s="147"/>
      <c r="J28" s="147"/>
      <c r="K28" s="169">
        <v>250759.39723403761</v>
      </c>
      <c r="L28" s="150"/>
      <c r="M28" s="150"/>
      <c r="N28" s="150"/>
      <c r="O28" s="147"/>
      <c r="P28" s="147"/>
    </row>
    <row r="29" spans="1:16">
      <c r="A29" s="163">
        <f t="shared" si="0"/>
        <v>13</v>
      </c>
      <c r="B29" s="163"/>
      <c r="C29" s="147"/>
      <c r="D29" s="147"/>
      <c r="E29" s="176"/>
      <c r="F29" s="150"/>
      <c r="G29" s="150"/>
      <c r="H29" s="170"/>
      <c r="I29" s="147"/>
      <c r="J29" s="147"/>
      <c r="K29" s="169"/>
      <c r="L29" s="150"/>
      <c r="M29" s="150"/>
      <c r="N29" s="150"/>
      <c r="O29" s="147"/>
      <c r="P29" s="147"/>
    </row>
    <row r="30" spans="1:16">
      <c r="A30" s="163">
        <f t="shared" si="0"/>
        <v>14</v>
      </c>
      <c r="B30" s="163"/>
      <c r="C30" s="147" t="s">
        <v>215</v>
      </c>
      <c r="D30" s="147"/>
      <c r="E30" s="176"/>
      <c r="F30" s="150"/>
      <c r="G30" s="150"/>
      <c r="H30" s="170"/>
      <c r="I30" s="147"/>
      <c r="J30" s="147"/>
      <c r="K30" s="177">
        <v>0</v>
      </c>
      <c r="L30" s="150"/>
      <c r="M30" s="150"/>
      <c r="N30" s="150"/>
      <c r="O30" s="147"/>
      <c r="P30" s="147"/>
    </row>
    <row r="31" spans="1:16">
      <c r="A31" s="163">
        <f t="shared" si="0"/>
        <v>15</v>
      </c>
      <c r="B31" s="163"/>
      <c r="C31" s="147" t="s">
        <v>216</v>
      </c>
      <c r="D31" s="147"/>
      <c r="E31" s="176"/>
      <c r="F31" s="150"/>
      <c r="G31" s="150"/>
      <c r="H31" s="170"/>
      <c r="I31" s="147"/>
      <c r="J31" s="147"/>
      <c r="K31" s="177">
        <v>0</v>
      </c>
      <c r="L31" s="150"/>
      <c r="M31" s="150"/>
      <c r="N31" s="150"/>
      <c r="O31" s="147"/>
      <c r="P31" s="147"/>
    </row>
    <row r="32" spans="1:16" ht="16.5" thickBot="1">
      <c r="A32" s="163">
        <f t="shared" si="0"/>
        <v>16</v>
      </c>
      <c r="B32" s="163"/>
      <c r="C32" s="147" t="s">
        <v>217</v>
      </c>
      <c r="D32" s="147"/>
      <c r="E32" s="176"/>
      <c r="F32" s="150"/>
      <c r="G32" s="150"/>
      <c r="H32" s="170"/>
      <c r="I32" s="147"/>
      <c r="J32" s="147"/>
      <c r="K32" s="178">
        <f>K30+K31</f>
        <v>0</v>
      </c>
      <c r="L32" s="150"/>
      <c r="M32" s="150"/>
      <c r="N32" s="150"/>
      <c r="O32" s="147"/>
      <c r="P32" s="147"/>
    </row>
    <row r="33" spans="1:19" ht="16.5" thickBot="1">
      <c r="A33" s="163">
        <f t="shared" si="0"/>
        <v>17</v>
      </c>
      <c r="B33" s="163"/>
      <c r="C33" s="179" t="s">
        <v>218</v>
      </c>
      <c r="D33" s="147"/>
      <c r="E33" s="147"/>
      <c r="F33" s="147"/>
      <c r="G33" s="147"/>
      <c r="H33" s="147"/>
      <c r="I33" s="147"/>
      <c r="J33" s="147"/>
      <c r="K33" s="180">
        <f>K17-K26+K28+K32</f>
        <v>3021458.577858801</v>
      </c>
      <c r="L33" s="150"/>
      <c r="M33" s="150"/>
      <c r="N33" s="150"/>
      <c r="O33" s="147"/>
      <c r="P33" s="147"/>
    </row>
    <row r="34" spans="1:19" ht="16.5" thickTop="1">
      <c r="A34" s="163" t="s">
        <v>219</v>
      </c>
      <c r="B34" s="163"/>
      <c r="C34" s="147" t="s">
        <v>220</v>
      </c>
      <c r="D34" s="147"/>
      <c r="E34" s="176"/>
      <c r="F34" s="150"/>
      <c r="G34" s="150"/>
      <c r="H34" s="170"/>
      <c r="I34" s="150"/>
      <c r="J34" s="150"/>
      <c r="K34" s="150"/>
      <c r="L34" s="150"/>
      <c r="M34" s="150"/>
      <c r="N34" s="150"/>
      <c r="O34" s="147"/>
      <c r="P34" s="147"/>
    </row>
    <row r="35" spans="1:19">
      <c r="A35" s="163" t="s">
        <v>221</v>
      </c>
      <c r="B35" s="163"/>
      <c r="C35" s="147" t="s">
        <v>222</v>
      </c>
      <c r="I35" s="165"/>
      <c r="K35" s="181">
        <v>22332.5</v>
      </c>
      <c r="L35" s="147" t="s">
        <v>2</v>
      </c>
      <c r="M35" s="147"/>
      <c r="N35" s="147"/>
      <c r="O35" s="147"/>
      <c r="P35" s="147"/>
    </row>
    <row r="36" spans="1:19">
      <c r="A36" s="163" t="s">
        <v>223</v>
      </c>
      <c r="B36" s="163"/>
      <c r="C36" s="179" t="s">
        <v>224</v>
      </c>
      <c r="K36" s="182">
        <f>K33/K35</f>
        <v>135.29423834585475</v>
      </c>
      <c r="L36" s="173" t="s">
        <v>225</v>
      </c>
      <c r="M36" s="173"/>
      <c r="N36" s="147"/>
      <c r="O36" s="147"/>
      <c r="P36" s="147"/>
    </row>
    <row r="37" spans="1:19">
      <c r="A37" s="163">
        <f>A33+1</f>
        <v>18</v>
      </c>
      <c r="B37" s="163"/>
      <c r="C37" s="147"/>
      <c r="D37" s="147"/>
      <c r="E37" s="147"/>
      <c r="F37" s="147"/>
      <c r="G37" s="147"/>
      <c r="H37" s="147"/>
      <c r="I37" s="147"/>
      <c r="J37" s="147"/>
      <c r="K37" s="147"/>
      <c r="L37" s="147"/>
      <c r="M37" s="147"/>
      <c r="N37" s="147"/>
      <c r="O37" s="147"/>
      <c r="P37" s="147"/>
    </row>
    <row r="38" spans="1:19" ht="18">
      <c r="A38" s="163">
        <f t="shared" si="0"/>
        <v>19</v>
      </c>
      <c r="B38" s="163"/>
      <c r="C38" s="183" t="s">
        <v>226</v>
      </c>
      <c r="D38" s="184"/>
      <c r="E38" s="150"/>
      <c r="F38" s="177"/>
      <c r="G38" s="150"/>
      <c r="H38" s="150"/>
      <c r="I38" s="185"/>
      <c r="J38" s="150"/>
      <c r="K38" s="177"/>
      <c r="L38" s="150"/>
      <c r="M38" s="150"/>
      <c r="N38" s="150"/>
      <c r="O38" s="147"/>
      <c r="P38" s="147"/>
    </row>
    <row r="39" spans="1:19">
      <c r="A39" s="163">
        <f t="shared" si="0"/>
        <v>20</v>
      </c>
      <c r="B39" s="163"/>
      <c r="C39" s="147"/>
      <c r="D39" s="147"/>
      <c r="E39" s="150"/>
      <c r="F39" s="177"/>
      <c r="G39" s="150"/>
      <c r="H39" s="150"/>
      <c r="I39" s="185"/>
      <c r="J39" s="150"/>
      <c r="K39" s="177"/>
      <c r="L39" s="150"/>
      <c r="M39" s="150"/>
      <c r="N39" s="150"/>
      <c r="O39" s="147"/>
      <c r="P39" s="147"/>
    </row>
    <row r="40" spans="1:19">
      <c r="A40" s="163">
        <f t="shared" si="0"/>
        <v>21</v>
      </c>
      <c r="B40" s="163"/>
      <c r="C40" s="147" t="s">
        <v>227</v>
      </c>
      <c r="D40" s="150" t="s">
        <v>228</v>
      </c>
      <c r="E40" s="186" t="s">
        <v>229</v>
      </c>
      <c r="F40" s="177">
        <v>2144208.1523988838</v>
      </c>
      <c r="G40" s="150"/>
      <c r="H40" s="150" t="s">
        <v>205</v>
      </c>
      <c r="I40" s="185">
        <f>$K$91</f>
        <v>0.10420573468735576</v>
      </c>
      <c r="J40" s="150"/>
      <c r="K40" s="177">
        <f>+(I40*F40)</f>
        <v>223438.78584334339</v>
      </c>
      <c r="L40" s="147"/>
      <c r="M40" s="147"/>
      <c r="N40" s="187"/>
      <c r="O40" s="147"/>
      <c r="P40" s="147"/>
      <c r="S40" s="143"/>
    </row>
    <row r="41" spans="1:19">
      <c r="A41" s="163">
        <f t="shared" si="0"/>
        <v>22</v>
      </c>
      <c r="B41" s="163"/>
      <c r="C41" s="173" t="s">
        <v>230</v>
      </c>
      <c r="D41" s="188" t="s">
        <v>231</v>
      </c>
      <c r="E41" s="186" t="s">
        <v>229</v>
      </c>
      <c r="F41" s="177">
        <v>266102.08918500302</v>
      </c>
      <c r="G41" s="150"/>
      <c r="H41" s="150" t="s">
        <v>208</v>
      </c>
      <c r="I41" s="185">
        <v>1</v>
      </c>
      <c r="J41" s="150"/>
      <c r="K41" s="177">
        <f>+(I41*F41)</f>
        <v>266102.08918500302</v>
      </c>
      <c r="L41" s="147"/>
      <c r="M41" s="147"/>
      <c r="N41" s="187"/>
      <c r="O41" s="147"/>
      <c r="P41" s="147"/>
      <c r="S41" s="143"/>
    </row>
    <row r="42" spans="1:19">
      <c r="A42" s="163">
        <f t="shared" si="0"/>
        <v>23</v>
      </c>
      <c r="B42" s="163"/>
      <c r="C42" s="147" t="s">
        <v>232</v>
      </c>
      <c r="D42" s="150" t="s">
        <v>233</v>
      </c>
      <c r="E42" s="186" t="s">
        <v>234</v>
      </c>
      <c r="F42" s="189">
        <v>0</v>
      </c>
      <c r="G42" s="150"/>
      <c r="H42" s="150" t="s">
        <v>205</v>
      </c>
      <c r="I42" s="185">
        <f>$K$91</f>
        <v>0.10420573468735576</v>
      </c>
      <c r="J42" s="150"/>
      <c r="K42" s="177">
        <f>+I42*F42</f>
        <v>0</v>
      </c>
      <c r="L42" s="147"/>
      <c r="M42" s="147"/>
      <c r="N42" s="150"/>
      <c r="O42" s="147"/>
      <c r="P42" s="147"/>
      <c r="S42" s="143"/>
    </row>
    <row r="43" spans="1:19">
      <c r="A43" s="163">
        <f t="shared" si="0"/>
        <v>24</v>
      </c>
      <c r="B43" s="163"/>
      <c r="C43" s="147" t="s">
        <v>235</v>
      </c>
      <c r="D43" s="150" t="s">
        <v>236</v>
      </c>
      <c r="E43" s="186" t="s">
        <v>234</v>
      </c>
      <c r="F43" s="189">
        <v>0</v>
      </c>
      <c r="G43" s="150"/>
      <c r="H43" s="150" t="s">
        <v>205</v>
      </c>
      <c r="I43" s="185">
        <f>$K$91</f>
        <v>0.10420573468735576</v>
      </c>
      <c r="J43" s="150"/>
      <c r="K43" s="177">
        <f>+(I43*F43)</f>
        <v>0</v>
      </c>
      <c r="L43" s="147"/>
      <c r="M43" s="147"/>
      <c r="N43" s="186"/>
      <c r="O43" s="147"/>
      <c r="P43" s="147"/>
      <c r="S43" s="143"/>
    </row>
    <row r="44" spans="1:19">
      <c r="A44" s="163">
        <f t="shared" si="0"/>
        <v>25</v>
      </c>
      <c r="B44" s="163"/>
      <c r="C44" s="147" t="s">
        <v>237</v>
      </c>
      <c r="D44" s="150" t="s">
        <v>238</v>
      </c>
      <c r="E44" s="186" t="s">
        <v>229</v>
      </c>
      <c r="F44" s="177">
        <v>3490059.9973527272</v>
      </c>
      <c r="G44" s="150"/>
      <c r="H44" s="150" t="s">
        <v>239</v>
      </c>
      <c r="I44" s="185">
        <f>$K$127</f>
        <v>0.10420573468735587</v>
      </c>
      <c r="J44" s="150"/>
      <c r="K44" s="177">
        <f>+I44*F44</f>
        <v>363684.26612709224</v>
      </c>
      <c r="L44" s="150"/>
      <c r="M44" s="150"/>
      <c r="N44" s="190"/>
      <c r="O44" s="147"/>
      <c r="P44" s="147"/>
      <c r="S44" s="143"/>
    </row>
    <row r="45" spans="1:19">
      <c r="A45" s="163">
        <f t="shared" si="0"/>
        <v>26</v>
      </c>
      <c r="B45" s="163"/>
      <c r="C45" s="173" t="s">
        <v>240</v>
      </c>
      <c r="D45" s="150"/>
      <c r="E45" s="186" t="s">
        <v>229</v>
      </c>
      <c r="F45" s="177">
        <v>0</v>
      </c>
      <c r="G45" s="150"/>
      <c r="H45" s="150" t="s">
        <v>208</v>
      </c>
      <c r="I45" s="185">
        <v>1</v>
      </c>
      <c r="J45" s="150"/>
      <c r="K45" s="177">
        <f>+(I45*F45)</f>
        <v>0</v>
      </c>
      <c r="L45" s="150"/>
      <c r="M45" s="150"/>
      <c r="N45" s="190"/>
      <c r="O45" s="147"/>
      <c r="P45" s="147"/>
      <c r="S45" s="143"/>
    </row>
    <row r="46" spans="1:19">
      <c r="A46" s="163">
        <f t="shared" si="0"/>
        <v>27</v>
      </c>
      <c r="B46" s="163"/>
      <c r="C46" s="147" t="s">
        <v>241</v>
      </c>
      <c r="D46" s="150"/>
      <c r="E46" s="150" t="s">
        <v>242</v>
      </c>
      <c r="F46" s="177">
        <v>0</v>
      </c>
      <c r="G46" s="150"/>
      <c r="H46" s="150" t="s">
        <v>208</v>
      </c>
      <c r="I46" s="185">
        <v>1</v>
      </c>
      <c r="J46" s="150"/>
      <c r="K46" s="177">
        <f>+I46*F46</f>
        <v>0</v>
      </c>
      <c r="L46" s="150"/>
      <c r="M46" s="150"/>
      <c r="N46" s="190"/>
      <c r="O46" s="147"/>
      <c r="P46" s="147"/>
      <c r="S46" s="143"/>
    </row>
    <row r="47" spans="1:19">
      <c r="A47" s="163">
        <f t="shared" si="0"/>
        <v>28</v>
      </c>
      <c r="B47" s="163"/>
      <c r="C47" s="147" t="s">
        <v>243</v>
      </c>
      <c r="D47" s="150"/>
      <c r="E47" s="150" t="s">
        <v>242</v>
      </c>
      <c r="F47" s="177">
        <v>0</v>
      </c>
      <c r="G47" s="150"/>
      <c r="H47" s="150"/>
      <c r="I47" s="185"/>
      <c r="J47" s="150"/>
      <c r="K47" s="177"/>
      <c r="L47" s="150"/>
      <c r="M47" s="150"/>
      <c r="N47" s="190"/>
      <c r="O47" s="147"/>
      <c r="P47" s="147"/>
      <c r="S47" s="143"/>
    </row>
    <row r="48" spans="1:19">
      <c r="A48" s="163">
        <f t="shared" si="0"/>
        <v>29</v>
      </c>
      <c r="B48" s="163"/>
      <c r="C48" s="147" t="s">
        <v>244</v>
      </c>
      <c r="D48" s="150"/>
      <c r="E48" s="150" t="s">
        <v>242</v>
      </c>
      <c r="F48" s="177">
        <v>0</v>
      </c>
      <c r="G48" s="150"/>
      <c r="H48" s="150" t="s">
        <v>208</v>
      </c>
      <c r="I48" s="185"/>
      <c r="J48" s="150"/>
      <c r="K48" s="177"/>
      <c r="L48" s="150"/>
      <c r="M48" s="150"/>
      <c r="N48" s="190"/>
      <c r="O48" s="147"/>
      <c r="P48" s="147"/>
      <c r="S48" s="143"/>
    </row>
    <row r="49" spans="1:19" ht="16.5" thickBot="1">
      <c r="A49" s="163">
        <f t="shared" si="0"/>
        <v>30</v>
      </c>
      <c r="B49" s="163"/>
      <c r="C49" s="147" t="s">
        <v>245</v>
      </c>
      <c r="D49" s="147"/>
      <c r="E49" s="150" t="s">
        <v>242</v>
      </c>
      <c r="F49" s="191">
        <v>0</v>
      </c>
      <c r="G49" s="150"/>
      <c r="H49" s="150" t="s">
        <v>208</v>
      </c>
      <c r="I49" s="185">
        <v>1</v>
      </c>
      <c r="J49" s="150"/>
      <c r="K49" s="191">
        <f>+I49*F49</f>
        <v>0</v>
      </c>
      <c r="L49" s="150"/>
      <c r="M49" s="150"/>
      <c r="N49" s="192"/>
      <c r="O49" s="147"/>
      <c r="P49" s="147"/>
    </row>
    <row r="50" spans="1:19">
      <c r="A50" s="163">
        <f t="shared" si="0"/>
        <v>31</v>
      </c>
      <c r="B50" s="163"/>
      <c r="C50" s="147" t="s">
        <v>246</v>
      </c>
      <c r="D50" s="147"/>
      <c r="E50" s="150"/>
      <c r="F50" s="177">
        <f>F40+F41+SUM(F44:F49)-F42-F43</f>
        <v>5900370.2389366142</v>
      </c>
      <c r="G50" s="150"/>
      <c r="H50" s="150"/>
      <c r="I50" s="185"/>
      <c r="J50" s="150"/>
      <c r="K50" s="177">
        <f>K40+K41+SUM(K44:K49)-K42-K43</f>
        <v>853225.14115543873</v>
      </c>
      <c r="L50" s="150"/>
      <c r="M50" s="150"/>
      <c r="N50" s="150"/>
      <c r="O50" s="147"/>
      <c r="P50" s="147"/>
    </row>
    <row r="51" spans="1:19">
      <c r="A51" s="163">
        <f t="shared" si="0"/>
        <v>32</v>
      </c>
      <c r="B51" s="163"/>
      <c r="C51" s="147"/>
      <c r="D51" s="147"/>
      <c r="E51" s="150"/>
      <c r="F51" s="177"/>
      <c r="G51" s="150"/>
      <c r="H51" s="150"/>
      <c r="I51" s="185"/>
      <c r="J51" s="150"/>
      <c r="K51" s="177"/>
      <c r="L51" s="150"/>
      <c r="M51" s="150"/>
      <c r="N51" s="150"/>
      <c r="O51" s="147"/>
      <c r="P51" s="147"/>
    </row>
    <row r="52" spans="1:19">
      <c r="A52" s="163">
        <f t="shared" si="0"/>
        <v>33</v>
      </c>
      <c r="B52" s="163"/>
      <c r="C52" s="147" t="s">
        <v>247</v>
      </c>
      <c r="D52" s="147"/>
      <c r="E52" s="150"/>
      <c r="F52" s="177"/>
      <c r="G52" s="150"/>
      <c r="H52" s="150"/>
      <c r="I52" s="185"/>
      <c r="J52" s="150"/>
      <c r="K52" s="177"/>
      <c r="L52" s="150"/>
      <c r="M52" s="150"/>
      <c r="N52" s="150"/>
      <c r="O52" s="193"/>
      <c r="P52" s="194"/>
      <c r="Q52" s="195"/>
      <c r="R52" s="195"/>
      <c r="S52" s="195"/>
    </row>
    <row r="53" spans="1:19">
      <c r="A53" s="163">
        <f t="shared" si="0"/>
        <v>34</v>
      </c>
      <c r="B53" s="163"/>
      <c r="C53" s="147" t="s">
        <v>248</v>
      </c>
      <c r="D53" s="147"/>
      <c r="E53" s="150" t="s">
        <v>249</v>
      </c>
      <c r="F53" s="177">
        <v>10819764</v>
      </c>
      <c r="G53" s="150"/>
      <c r="H53" s="150" t="s">
        <v>205</v>
      </c>
      <c r="I53" s="185">
        <f>$K$91</f>
        <v>0.10420573468735576</v>
      </c>
      <c r="J53" s="150"/>
      <c r="K53" s="177">
        <f>+I53*F53</f>
        <v>1127481.4567638033</v>
      </c>
      <c r="L53" s="150"/>
      <c r="M53" s="150"/>
      <c r="N53" s="150"/>
      <c r="O53" s="196"/>
      <c r="P53" s="194"/>
      <c r="Q53" s="195"/>
      <c r="R53" s="195"/>
      <c r="S53" s="195"/>
    </row>
    <row r="54" spans="1:19" ht="17.25">
      <c r="A54" s="163">
        <f t="shared" si="0"/>
        <v>35</v>
      </c>
      <c r="B54" s="163"/>
      <c r="C54" s="147" t="s">
        <v>250</v>
      </c>
      <c r="D54" s="147"/>
      <c r="E54" s="150"/>
      <c r="F54" s="197">
        <v>0</v>
      </c>
      <c r="G54" s="150"/>
      <c r="H54" s="150" t="s">
        <v>205</v>
      </c>
      <c r="I54" s="185">
        <f>$K$91</f>
        <v>0.10420573468735576</v>
      </c>
      <c r="J54" s="150"/>
      <c r="K54" s="198">
        <f>+I54*F54</f>
        <v>0</v>
      </c>
      <c r="L54" s="150"/>
      <c r="M54" s="150"/>
      <c r="N54" s="150"/>
      <c r="O54" s="194"/>
      <c r="P54" s="194"/>
      <c r="Q54" s="195"/>
      <c r="R54" s="195"/>
      <c r="S54" s="195"/>
    </row>
    <row r="55" spans="1:19">
      <c r="A55" s="163">
        <f t="shared" si="0"/>
        <v>36</v>
      </c>
      <c r="B55" s="163"/>
      <c r="C55" s="147" t="s">
        <v>251</v>
      </c>
      <c r="D55" s="147"/>
      <c r="E55" s="150"/>
      <c r="F55" s="177">
        <f>SUM(F53:F54)</f>
        <v>10819764</v>
      </c>
      <c r="G55" s="150"/>
      <c r="H55" s="150"/>
      <c r="I55" s="185"/>
      <c r="J55" s="150"/>
      <c r="K55" s="177">
        <f>SUM(K53:K54)</f>
        <v>1127481.4567638033</v>
      </c>
      <c r="L55" s="150"/>
      <c r="M55" s="150"/>
      <c r="N55" s="150"/>
      <c r="O55" s="199"/>
      <c r="P55" s="194"/>
      <c r="Q55" s="195"/>
      <c r="R55" s="195"/>
      <c r="S55" s="195"/>
    </row>
    <row r="56" spans="1:19" ht="17.25">
      <c r="A56" s="163">
        <f t="shared" si="0"/>
        <v>37</v>
      </c>
      <c r="B56" s="163"/>
      <c r="C56" s="147" t="s">
        <v>252</v>
      </c>
      <c r="D56" s="147"/>
      <c r="E56" s="150" t="s">
        <v>253</v>
      </c>
      <c r="F56" s="177">
        <v>0</v>
      </c>
      <c r="G56" s="150"/>
      <c r="H56" s="150" t="s">
        <v>205</v>
      </c>
      <c r="I56" s="185">
        <f>$K$91</f>
        <v>0.10420573468735576</v>
      </c>
      <c r="J56" s="150"/>
      <c r="K56" s="177">
        <f>+I56*F56</f>
        <v>0</v>
      </c>
      <c r="L56" s="150"/>
      <c r="M56" s="150"/>
      <c r="N56" s="150"/>
      <c r="O56" s="200"/>
      <c r="P56" s="194"/>
      <c r="Q56" s="195"/>
      <c r="R56" s="195"/>
      <c r="S56" s="195"/>
    </row>
    <row r="57" spans="1:19">
      <c r="A57" s="163">
        <f t="shared" si="0"/>
        <v>38</v>
      </c>
      <c r="B57" s="163"/>
      <c r="C57" s="147"/>
      <c r="D57" s="147"/>
      <c r="E57" s="150"/>
      <c r="F57" s="177"/>
      <c r="G57" s="150"/>
      <c r="H57" s="150"/>
      <c r="I57" s="185"/>
      <c r="J57" s="150"/>
      <c r="K57" s="177"/>
      <c r="L57" s="150"/>
      <c r="M57" s="150"/>
      <c r="N57" s="147"/>
      <c r="O57" s="199"/>
      <c r="P57" s="194"/>
      <c r="Q57" s="195"/>
      <c r="R57" s="195"/>
      <c r="S57" s="195"/>
    </row>
    <row r="58" spans="1:19">
      <c r="A58" s="163">
        <f t="shared" si="0"/>
        <v>39</v>
      </c>
      <c r="B58" s="163"/>
      <c r="C58" s="147" t="s">
        <v>254</v>
      </c>
      <c r="D58" s="147"/>
      <c r="E58" s="147"/>
      <c r="F58" s="177"/>
      <c r="G58" s="150"/>
      <c r="H58" s="150"/>
      <c r="I58" s="185"/>
      <c r="J58" s="150"/>
      <c r="K58" s="177"/>
      <c r="L58" s="150"/>
      <c r="M58" s="150"/>
      <c r="N58" s="150"/>
      <c r="O58" s="199"/>
      <c r="P58" s="194"/>
      <c r="Q58" s="195"/>
      <c r="R58" s="195"/>
      <c r="S58" s="195"/>
    </row>
    <row r="59" spans="1:19">
      <c r="A59" s="163">
        <f t="shared" si="0"/>
        <v>40</v>
      </c>
      <c r="B59" s="163"/>
      <c r="C59" s="147" t="s">
        <v>255</v>
      </c>
      <c r="D59" s="147"/>
      <c r="E59" s="147"/>
      <c r="F59" s="177"/>
      <c r="G59" s="150"/>
      <c r="H59" s="150"/>
      <c r="I59" s="185"/>
      <c r="J59" s="150"/>
      <c r="K59" s="177"/>
      <c r="L59" s="150"/>
      <c r="M59" s="150"/>
      <c r="N59" s="201"/>
      <c r="O59" s="202"/>
      <c r="P59" s="194"/>
      <c r="Q59" s="195"/>
      <c r="R59" s="195"/>
      <c r="S59" s="195"/>
    </row>
    <row r="60" spans="1:19">
      <c r="A60" s="163">
        <f t="shared" si="0"/>
        <v>41</v>
      </c>
      <c r="B60" s="163"/>
      <c r="C60" s="147" t="s">
        <v>256</v>
      </c>
      <c r="D60" s="150" t="s">
        <v>257</v>
      </c>
      <c r="E60" s="186" t="s">
        <v>234</v>
      </c>
      <c r="F60" s="189">
        <v>0</v>
      </c>
      <c r="G60" s="150"/>
      <c r="H60" s="150" t="str">
        <f>H44</f>
        <v>W&amp;S</v>
      </c>
      <c r="I60" s="185">
        <f>$K$127</f>
        <v>0.10420573468735587</v>
      </c>
      <c r="J60" s="150"/>
      <c r="K60" s="177">
        <f>+I60*F60</f>
        <v>0</v>
      </c>
      <c r="L60" s="150"/>
      <c r="M60" s="150"/>
      <c r="N60" s="201"/>
      <c r="O60" s="150"/>
      <c r="P60" s="147"/>
    </row>
    <row r="61" spans="1:19">
      <c r="A61" s="163">
        <f t="shared" si="0"/>
        <v>42</v>
      </c>
      <c r="B61" s="163"/>
      <c r="C61" s="147" t="s">
        <v>258</v>
      </c>
      <c r="D61" s="150" t="s">
        <v>257</v>
      </c>
      <c r="E61" s="186" t="s">
        <v>234</v>
      </c>
      <c r="F61" s="189">
        <v>0</v>
      </c>
      <c r="G61" s="150"/>
      <c r="H61" s="150" t="str">
        <f>+H60</f>
        <v>W&amp;S</v>
      </c>
      <c r="I61" s="185">
        <f>$K$127</f>
        <v>0.10420573468735587</v>
      </c>
      <c r="J61" s="150"/>
      <c r="K61" s="177">
        <f>+I61*F61</f>
        <v>0</v>
      </c>
      <c r="L61" s="150"/>
      <c r="M61" s="150"/>
      <c r="N61" s="201"/>
      <c r="O61" s="147"/>
      <c r="P61" s="147"/>
    </row>
    <row r="62" spans="1:19">
      <c r="A62" s="163">
        <v>43</v>
      </c>
      <c r="B62" s="163"/>
      <c r="C62" s="147" t="s">
        <v>259</v>
      </c>
      <c r="D62" s="150" t="s">
        <v>257</v>
      </c>
      <c r="E62" s="150"/>
      <c r="F62" s="177"/>
      <c r="G62" s="150"/>
      <c r="H62" s="150"/>
      <c r="I62" s="185"/>
      <c r="J62" s="150"/>
      <c r="K62" s="177"/>
      <c r="L62" s="150"/>
      <c r="M62" s="150"/>
      <c r="N62" s="201"/>
      <c r="O62" s="147"/>
      <c r="P62" s="147"/>
    </row>
    <row r="63" spans="1:19">
      <c r="A63" s="163">
        <f t="shared" si="0"/>
        <v>44</v>
      </c>
      <c r="B63" s="163"/>
      <c r="C63" s="147" t="s">
        <v>260</v>
      </c>
      <c r="D63" s="188" t="s">
        <v>231</v>
      </c>
      <c r="E63" s="186" t="s">
        <v>229</v>
      </c>
      <c r="F63" s="177">
        <v>339000</v>
      </c>
      <c r="G63" s="150"/>
      <c r="H63" s="150" t="s">
        <v>208</v>
      </c>
      <c r="I63" s="185">
        <v>1</v>
      </c>
      <c r="J63" s="150"/>
      <c r="K63" s="177">
        <f>+I63*F63</f>
        <v>339000</v>
      </c>
      <c r="L63" s="150"/>
      <c r="M63" s="150"/>
      <c r="N63" s="201"/>
      <c r="O63" s="150"/>
      <c r="P63" s="147"/>
    </row>
    <row r="64" spans="1:19">
      <c r="A64" s="163">
        <f t="shared" si="0"/>
        <v>45</v>
      </c>
      <c r="B64" s="163"/>
      <c r="C64" s="147" t="s">
        <v>261</v>
      </c>
      <c r="D64" s="150" t="s">
        <v>262</v>
      </c>
      <c r="E64" s="186" t="s">
        <v>229</v>
      </c>
      <c r="F64" s="177">
        <v>0</v>
      </c>
      <c r="G64" s="150"/>
      <c r="H64" s="150" t="s">
        <v>205</v>
      </c>
      <c r="I64" s="185">
        <f>K91</f>
        <v>0.10420573468735576</v>
      </c>
      <c r="J64" s="150"/>
      <c r="K64" s="177">
        <v>0</v>
      </c>
      <c r="L64" s="150"/>
      <c r="M64" s="150"/>
      <c r="N64" s="201"/>
      <c r="O64" s="147"/>
      <c r="P64" s="147"/>
    </row>
    <row r="65" spans="1:16">
      <c r="A65" s="163">
        <f t="shared" si="0"/>
        <v>46</v>
      </c>
      <c r="B65" s="163"/>
      <c r="C65" s="147" t="s">
        <v>263</v>
      </c>
      <c r="D65" s="150" t="s">
        <v>257</v>
      </c>
      <c r="E65" s="186" t="s">
        <v>234</v>
      </c>
      <c r="F65" s="189">
        <v>0</v>
      </c>
      <c r="G65" s="150"/>
      <c r="H65" s="150" t="str">
        <f>+H63</f>
        <v>D/A</v>
      </c>
      <c r="I65" s="185">
        <v>1</v>
      </c>
      <c r="J65" s="150"/>
      <c r="K65" s="177">
        <f>+I65*F65</f>
        <v>0</v>
      </c>
      <c r="L65" s="150"/>
      <c r="M65" s="150"/>
      <c r="N65" s="201"/>
      <c r="O65" s="147"/>
      <c r="P65" s="147"/>
    </row>
    <row r="66" spans="1:16" ht="16.5" thickBot="1">
      <c r="A66" s="163">
        <f t="shared" si="0"/>
        <v>47</v>
      </c>
      <c r="B66" s="163"/>
      <c r="C66" s="147" t="s">
        <v>264</v>
      </c>
      <c r="D66" s="150" t="s">
        <v>257</v>
      </c>
      <c r="E66" s="186" t="s">
        <v>234</v>
      </c>
      <c r="F66" s="203">
        <v>0</v>
      </c>
      <c r="G66" s="150"/>
      <c r="H66" s="150" t="str">
        <f>H65</f>
        <v>D/A</v>
      </c>
      <c r="I66" s="185">
        <v>1</v>
      </c>
      <c r="J66" s="150"/>
      <c r="K66" s="191">
        <f>+I66*F66</f>
        <v>0</v>
      </c>
      <c r="L66" s="150"/>
      <c r="M66" s="150"/>
      <c r="N66" s="201"/>
      <c r="O66" s="147"/>
      <c r="P66" s="147"/>
    </row>
    <row r="67" spans="1:16">
      <c r="A67" s="163">
        <f t="shared" si="0"/>
        <v>48</v>
      </c>
      <c r="B67" s="163"/>
      <c r="C67" s="147" t="s">
        <v>265</v>
      </c>
      <c r="D67" s="147"/>
      <c r="E67" s="150"/>
      <c r="F67" s="177">
        <f>SUM(F60:F66)</f>
        <v>339000</v>
      </c>
      <c r="G67" s="150"/>
      <c r="H67" s="150"/>
      <c r="I67" s="170"/>
      <c r="J67" s="150"/>
      <c r="K67" s="177">
        <f>SUM(K60:K66)</f>
        <v>339000</v>
      </c>
      <c r="L67" s="150"/>
      <c r="M67" s="150"/>
      <c r="N67" s="150"/>
      <c r="O67" s="147"/>
      <c r="P67" s="147"/>
    </row>
    <row r="68" spans="1:16">
      <c r="A68" s="163">
        <f t="shared" si="0"/>
        <v>49</v>
      </c>
      <c r="B68" s="163"/>
      <c r="C68" s="147"/>
      <c r="D68" s="147"/>
      <c r="E68" s="150"/>
      <c r="F68" s="177"/>
      <c r="G68" s="150"/>
      <c r="H68" s="150"/>
      <c r="I68" s="170"/>
      <c r="J68" s="150"/>
      <c r="K68" s="177"/>
      <c r="L68" s="150"/>
      <c r="M68" s="150"/>
      <c r="N68" s="150"/>
      <c r="O68" s="147"/>
      <c r="P68" s="147"/>
    </row>
    <row r="69" spans="1:16">
      <c r="A69" s="163">
        <f t="shared" si="0"/>
        <v>50</v>
      </c>
      <c r="B69" s="163"/>
      <c r="C69" s="147" t="s">
        <v>266</v>
      </c>
      <c r="D69" s="147"/>
      <c r="E69" s="150"/>
      <c r="F69" s="177">
        <f>F67+F55+F50+F56</f>
        <v>17059134.238936614</v>
      </c>
      <c r="G69" s="150"/>
      <c r="H69" s="150"/>
      <c r="I69" s="170"/>
      <c r="J69" s="150"/>
      <c r="K69" s="177">
        <f>K67+K55+K50+K56</f>
        <v>2319706.597919242</v>
      </c>
      <c r="L69" s="150"/>
      <c r="M69" s="150"/>
      <c r="N69" s="150"/>
      <c r="O69" s="147"/>
      <c r="P69" s="147"/>
    </row>
    <row r="70" spans="1:16">
      <c r="A70" s="163">
        <f t="shared" si="0"/>
        <v>51</v>
      </c>
      <c r="B70" s="163"/>
      <c r="C70" s="147"/>
      <c r="D70" s="204" t="s">
        <v>267</v>
      </c>
      <c r="E70" s="150"/>
      <c r="F70" s="177"/>
      <c r="G70" s="150"/>
      <c r="H70" s="150"/>
      <c r="I70" s="170"/>
      <c r="J70" s="150"/>
      <c r="K70" s="177"/>
      <c r="L70" s="150"/>
      <c r="M70" s="150"/>
      <c r="N70" s="150"/>
      <c r="O70" s="147"/>
      <c r="P70" s="147"/>
    </row>
    <row r="71" spans="1:16">
      <c r="A71" s="163">
        <f t="shared" si="0"/>
        <v>52</v>
      </c>
      <c r="B71" s="163"/>
      <c r="C71" s="147" t="s">
        <v>268</v>
      </c>
      <c r="D71" s="147" t="s">
        <v>269</v>
      </c>
      <c r="E71" s="205">
        <v>0.4</v>
      </c>
      <c r="F71" s="177">
        <v>4327905.6000000006</v>
      </c>
      <c r="G71" s="150"/>
      <c r="H71" s="150" t="str">
        <f>H66</f>
        <v>D/A</v>
      </c>
      <c r="I71" s="206">
        <f>I64</f>
        <v>0.10420573468735576</v>
      </c>
      <c r="J71" s="150"/>
      <c r="K71" s="177">
        <f>+I71*F71</f>
        <v>450992.58270552132</v>
      </c>
      <c r="L71" s="150"/>
      <c r="M71" s="150"/>
      <c r="N71" s="150"/>
      <c r="O71" s="147"/>
      <c r="P71" s="147"/>
    </row>
    <row r="72" spans="1:16">
      <c r="A72" s="163">
        <f t="shared" si="0"/>
        <v>53</v>
      </c>
      <c r="B72" s="163"/>
      <c r="C72" s="147"/>
      <c r="D72" s="147"/>
      <c r="E72" s="150"/>
      <c r="F72" s="177"/>
      <c r="G72" s="150"/>
      <c r="H72" s="150"/>
      <c r="I72" s="170"/>
      <c r="J72" s="150"/>
      <c r="K72" s="177"/>
      <c r="L72" s="150"/>
      <c r="M72" s="150"/>
      <c r="N72" s="150"/>
      <c r="O72" s="147"/>
      <c r="P72" s="147"/>
    </row>
    <row r="73" spans="1:16">
      <c r="A73" s="163">
        <f t="shared" si="0"/>
        <v>54</v>
      </c>
      <c r="B73" s="163"/>
      <c r="C73" s="147" t="s">
        <v>270</v>
      </c>
      <c r="D73" s="147"/>
      <c r="E73" s="150"/>
      <c r="F73" s="207">
        <f>F71+F69</f>
        <v>21387039.838936616</v>
      </c>
      <c r="G73" s="150"/>
      <c r="H73" s="150"/>
      <c r="I73" s="150"/>
      <c r="J73" s="150"/>
      <c r="K73" s="207">
        <f>K71+K69</f>
        <v>2770699.1806247635</v>
      </c>
      <c r="L73" s="147"/>
      <c r="M73" s="147"/>
      <c r="N73" s="208"/>
      <c r="O73" s="147"/>
      <c r="P73" s="147"/>
    </row>
    <row r="74" spans="1:16">
      <c r="A74" s="163">
        <f t="shared" si="0"/>
        <v>55</v>
      </c>
      <c r="B74" s="163"/>
      <c r="C74" s="147"/>
      <c r="D74" s="147"/>
      <c r="E74" s="150"/>
      <c r="F74" s="207"/>
      <c r="G74" s="150"/>
      <c r="H74" s="150"/>
      <c r="I74" s="150"/>
      <c r="J74" s="150"/>
      <c r="K74" s="207"/>
      <c r="L74" s="147"/>
      <c r="M74" s="147"/>
      <c r="N74" s="208"/>
      <c r="O74" s="147"/>
      <c r="P74" s="147"/>
    </row>
    <row r="75" spans="1:16">
      <c r="A75" s="163">
        <f t="shared" si="0"/>
        <v>56</v>
      </c>
      <c r="B75" s="163"/>
      <c r="C75" s="147" t="s">
        <v>271</v>
      </c>
      <c r="D75" s="147"/>
      <c r="E75" s="150"/>
      <c r="F75" s="207"/>
      <c r="G75" s="150"/>
      <c r="H75" s="150"/>
      <c r="I75" s="150"/>
      <c r="J75" s="150"/>
      <c r="K75" s="207"/>
      <c r="L75" s="147"/>
      <c r="M75" s="147"/>
      <c r="N75" s="208"/>
      <c r="O75" s="147"/>
      <c r="P75" s="147"/>
    </row>
    <row r="76" spans="1:16">
      <c r="A76" s="163">
        <f t="shared" si="0"/>
        <v>57</v>
      </c>
      <c r="B76" s="163"/>
      <c r="C76" s="147" t="s">
        <v>272</v>
      </c>
      <c r="D76" s="147"/>
      <c r="E76" s="147"/>
      <c r="F76" s="207">
        <v>0</v>
      </c>
      <c r="G76" s="150"/>
      <c r="H76" s="150" t="s">
        <v>273</v>
      </c>
      <c r="I76" s="209" t="s">
        <v>121</v>
      </c>
      <c r="J76" s="150"/>
      <c r="K76" s="150" t="s">
        <v>121</v>
      </c>
      <c r="L76" s="150"/>
      <c r="M76" s="150"/>
      <c r="N76" s="150"/>
      <c r="O76" s="147"/>
      <c r="P76" s="147"/>
    </row>
    <row r="77" spans="1:16">
      <c r="A77" s="163">
        <f t="shared" si="0"/>
        <v>58</v>
      </c>
      <c r="B77" s="163"/>
      <c r="C77" s="147" t="s">
        <v>274</v>
      </c>
      <c r="D77" s="150" t="s">
        <v>275</v>
      </c>
      <c r="E77" s="150" t="s">
        <v>276</v>
      </c>
      <c r="F77" s="177">
        <v>72065348.568461522</v>
      </c>
      <c r="G77" s="150"/>
      <c r="H77" s="150" t="s">
        <v>208</v>
      </c>
      <c r="I77" s="185">
        <v>1</v>
      </c>
      <c r="J77" s="150"/>
      <c r="K77" s="177">
        <f>I77*F77</f>
        <v>72065348.568461522</v>
      </c>
      <c r="L77" s="150"/>
      <c r="M77" s="150"/>
      <c r="N77" s="150"/>
      <c r="O77" s="210"/>
      <c r="P77" s="147"/>
    </row>
    <row r="78" spans="1:16">
      <c r="A78" s="163">
        <f t="shared" si="0"/>
        <v>59</v>
      </c>
      <c r="B78" s="163"/>
      <c r="C78" s="147" t="s">
        <v>277</v>
      </c>
      <c r="D78" s="147"/>
      <c r="E78" s="147"/>
      <c r="F78" s="207">
        <v>0</v>
      </c>
      <c r="G78" s="150"/>
      <c r="H78" s="150" t="s">
        <v>278</v>
      </c>
      <c r="I78" s="185" t="s">
        <v>121</v>
      </c>
      <c r="J78" s="150"/>
      <c r="K78" s="177">
        <v>0</v>
      </c>
      <c r="L78" s="150"/>
      <c r="M78" s="150"/>
      <c r="N78" s="150"/>
      <c r="O78" s="147"/>
      <c r="P78" s="147"/>
    </row>
    <row r="79" spans="1:16">
      <c r="A79" s="163">
        <f t="shared" si="0"/>
        <v>60</v>
      </c>
      <c r="B79" s="163"/>
      <c r="C79" s="147" t="s">
        <v>279</v>
      </c>
      <c r="D79" s="150" t="s">
        <v>280</v>
      </c>
      <c r="E79" s="147" t="s">
        <v>281</v>
      </c>
      <c r="F79" s="207">
        <v>0</v>
      </c>
      <c r="G79" s="150"/>
      <c r="H79" s="150" t="s">
        <v>239</v>
      </c>
      <c r="I79" s="185">
        <f>$K$127</f>
        <v>0.10420573468735587</v>
      </c>
      <c r="J79" s="150"/>
      <c r="K79" s="207">
        <f>+I79*F79</f>
        <v>0</v>
      </c>
      <c r="L79" s="150"/>
      <c r="M79" s="150"/>
      <c r="N79" s="150"/>
      <c r="O79" s="147"/>
      <c r="P79" s="147"/>
    </row>
    <row r="80" spans="1:16">
      <c r="A80" s="163">
        <f t="shared" si="0"/>
        <v>61</v>
      </c>
      <c r="B80" s="163"/>
      <c r="C80" s="147" t="s">
        <v>209</v>
      </c>
      <c r="D80" s="147"/>
      <c r="E80" s="147"/>
      <c r="F80" s="207">
        <v>0</v>
      </c>
      <c r="G80" s="150"/>
      <c r="H80" s="150" t="s">
        <v>205</v>
      </c>
      <c r="I80" s="185">
        <f>$K$127</f>
        <v>0.10420573468735587</v>
      </c>
      <c r="J80" s="150"/>
      <c r="K80" s="207">
        <f>+I80*F80</f>
        <v>0</v>
      </c>
      <c r="L80" s="150"/>
      <c r="M80" s="150"/>
      <c r="N80" s="150"/>
      <c r="O80" s="147"/>
      <c r="P80" s="147"/>
    </row>
    <row r="81" spans="1:19" ht="17.25">
      <c r="A81" s="163">
        <f t="shared" si="0"/>
        <v>62</v>
      </c>
      <c r="B81" s="163"/>
      <c r="C81" s="147" t="s">
        <v>282</v>
      </c>
      <c r="D81" s="147"/>
      <c r="E81" s="147"/>
      <c r="F81" s="211">
        <v>0</v>
      </c>
      <c r="G81" s="150"/>
      <c r="H81" s="150" t="s">
        <v>205</v>
      </c>
      <c r="I81" s="185">
        <f>$K$91</f>
        <v>0.10420573468735576</v>
      </c>
      <c r="J81" s="150"/>
      <c r="K81" s="198">
        <v>0</v>
      </c>
      <c r="L81" s="150"/>
      <c r="M81" s="150"/>
      <c r="N81" s="150"/>
      <c r="O81" s="147"/>
      <c r="P81" s="147"/>
    </row>
    <row r="82" spans="1:19">
      <c r="A82" s="163">
        <f t="shared" si="0"/>
        <v>63</v>
      </c>
      <c r="B82" s="163"/>
      <c r="C82" s="212" t="s">
        <v>283</v>
      </c>
      <c r="D82" s="212"/>
      <c r="E82" s="150"/>
      <c r="F82" s="177">
        <f>SUM(F76:F81)</f>
        <v>72065348.568461522</v>
      </c>
      <c r="G82" s="150"/>
      <c r="H82" s="213"/>
      <c r="I82" s="214"/>
      <c r="J82" s="150"/>
      <c r="K82" s="177">
        <f>SUM(K76:K81)</f>
        <v>72065348.568461522</v>
      </c>
      <c r="L82" s="150"/>
      <c r="M82" s="150"/>
      <c r="N82" s="201"/>
      <c r="O82" s="147"/>
      <c r="P82" s="147"/>
    </row>
    <row r="83" spans="1:19">
      <c r="A83" s="163">
        <f t="shared" ref="A83:A146" si="1">A82+1</f>
        <v>64</v>
      </c>
      <c r="B83" s="163"/>
      <c r="C83" s="147"/>
      <c r="D83" s="147"/>
      <c r="E83" s="150"/>
      <c r="F83" s="207"/>
      <c r="G83" s="150"/>
      <c r="H83" s="150"/>
      <c r="I83" s="150"/>
      <c r="J83" s="150"/>
      <c r="K83" s="207"/>
      <c r="L83" s="147"/>
      <c r="M83" s="147"/>
      <c r="N83" s="210"/>
      <c r="O83" s="147"/>
      <c r="P83" s="147"/>
    </row>
    <row r="84" spans="1:19" ht="18">
      <c r="A84" s="163">
        <f t="shared" si="1"/>
        <v>65</v>
      </c>
      <c r="B84" s="163"/>
      <c r="C84" s="215" t="s">
        <v>284</v>
      </c>
      <c r="D84" s="216"/>
      <c r="E84" s="147"/>
      <c r="F84" s="174"/>
      <c r="G84" s="147"/>
      <c r="H84" s="147"/>
      <c r="I84" s="147"/>
      <c r="J84" s="147"/>
      <c r="K84" s="174"/>
      <c r="L84" s="150"/>
      <c r="M84" s="150"/>
      <c r="N84" s="150"/>
      <c r="O84" s="147"/>
      <c r="P84" s="147"/>
    </row>
    <row r="85" spans="1:19">
      <c r="A85" s="163">
        <f t="shared" si="1"/>
        <v>66</v>
      </c>
      <c r="B85" s="163"/>
      <c r="C85" s="212"/>
      <c r="D85" s="212"/>
      <c r="E85" s="147"/>
      <c r="F85" s="174"/>
      <c r="G85" s="147"/>
      <c r="H85" s="147"/>
      <c r="I85" s="147"/>
      <c r="J85" s="147"/>
      <c r="K85" s="174"/>
      <c r="L85" s="150"/>
      <c r="M85" s="150"/>
      <c r="N85" s="150"/>
      <c r="O85" s="147"/>
      <c r="P85" s="147"/>
    </row>
    <row r="86" spans="1:19">
      <c r="A86" s="163">
        <f t="shared" si="1"/>
        <v>67</v>
      </c>
      <c r="B86" s="163"/>
      <c r="C86" s="212" t="s">
        <v>285</v>
      </c>
      <c r="D86" s="212"/>
      <c r="E86" s="147" t="s">
        <v>286</v>
      </c>
      <c r="F86" s="177"/>
      <c r="G86" s="150"/>
      <c r="H86" s="150"/>
      <c r="I86" s="150"/>
      <c r="J86" s="150"/>
      <c r="K86" s="177">
        <v>72065348.568461522</v>
      </c>
      <c r="L86" s="150"/>
      <c r="M86" s="150"/>
      <c r="N86" s="150"/>
      <c r="O86" s="147"/>
      <c r="P86" s="147"/>
    </row>
    <row r="87" spans="1:19">
      <c r="A87" s="163">
        <f t="shared" si="1"/>
        <v>68</v>
      </c>
      <c r="B87" s="163"/>
      <c r="C87" s="212" t="s">
        <v>287</v>
      </c>
      <c r="D87" s="212"/>
      <c r="E87" s="147" t="s">
        <v>286</v>
      </c>
      <c r="F87" s="207"/>
      <c r="G87" s="147"/>
      <c r="H87" s="147"/>
      <c r="I87" s="147"/>
      <c r="J87" s="147"/>
      <c r="K87" s="177">
        <v>64555725.975384608</v>
      </c>
      <c r="L87" s="150"/>
      <c r="M87" s="150"/>
      <c r="N87" s="150"/>
      <c r="O87" s="147"/>
      <c r="P87" s="147"/>
    </row>
    <row r="88" spans="1:19" ht="16.5" thickBot="1">
      <c r="A88" s="163">
        <f t="shared" si="1"/>
        <v>69</v>
      </c>
      <c r="B88" s="163"/>
      <c r="C88" s="217" t="s">
        <v>288</v>
      </c>
      <c r="D88" s="217"/>
      <c r="E88" s="147" t="s">
        <v>286</v>
      </c>
      <c r="F88" s="207"/>
      <c r="G88" s="150"/>
      <c r="H88" s="150"/>
      <c r="I88" s="218"/>
      <c r="J88" s="150"/>
      <c r="K88" s="191">
        <v>0</v>
      </c>
      <c r="L88" s="150"/>
      <c r="M88" s="150"/>
      <c r="N88" s="150"/>
      <c r="O88" s="147"/>
      <c r="P88" s="147"/>
    </row>
    <row r="89" spans="1:19">
      <c r="A89" s="163">
        <f t="shared" si="1"/>
        <v>70</v>
      </c>
      <c r="B89" s="163"/>
      <c r="C89" s="212" t="s">
        <v>289</v>
      </c>
      <c r="D89" s="212"/>
      <c r="E89" s="147"/>
      <c r="F89" s="177"/>
      <c r="G89" s="150"/>
      <c r="H89" s="150"/>
      <c r="I89" s="218"/>
      <c r="J89" s="150"/>
      <c r="K89" s="177">
        <f>K86-K87-K88</f>
        <v>7509622.5930769145</v>
      </c>
      <c r="L89" s="150"/>
      <c r="M89" s="150"/>
      <c r="N89" s="192"/>
      <c r="O89" s="147"/>
      <c r="P89" s="147"/>
    </row>
    <row r="90" spans="1:19" ht="15.75" customHeight="1">
      <c r="A90" s="163">
        <f t="shared" si="1"/>
        <v>71</v>
      </c>
      <c r="B90" s="163"/>
      <c r="C90" s="147"/>
      <c r="D90" s="147"/>
      <c r="E90" s="147"/>
      <c r="F90" s="177"/>
      <c r="G90" s="150"/>
      <c r="H90" s="150"/>
      <c r="I90" s="218"/>
      <c r="J90" s="150"/>
      <c r="K90" s="147"/>
      <c r="L90" s="150"/>
      <c r="M90" s="150"/>
      <c r="N90" s="150"/>
      <c r="O90" s="147"/>
      <c r="P90" s="147"/>
    </row>
    <row r="91" spans="1:19" ht="15.75" customHeight="1">
      <c r="A91" s="163">
        <f t="shared" si="1"/>
        <v>72</v>
      </c>
      <c r="B91" s="163"/>
      <c r="C91" s="212" t="s">
        <v>290</v>
      </c>
      <c r="D91" s="212"/>
      <c r="E91" s="162"/>
      <c r="F91" s="177"/>
      <c r="G91" s="162"/>
      <c r="H91" s="162"/>
      <c r="I91" s="219"/>
      <c r="J91" s="150" t="s">
        <v>291</v>
      </c>
      <c r="K91" s="220">
        <f>IF(K86&gt;0,K89/K86,0)</f>
        <v>0.10420573468735576</v>
      </c>
      <c r="L91" s="167"/>
      <c r="M91" s="221"/>
      <c r="N91" s="150"/>
      <c r="O91" s="147"/>
      <c r="P91" s="147"/>
      <c r="Q91" s="222"/>
      <c r="R91" s="222"/>
      <c r="S91" s="222"/>
    </row>
    <row r="92" spans="1:19" ht="15.75" customHeight="1">
      <c r="A92" s="163"/>
      <c r="B92" s="163"/>
      <c r="C92" s="212"/>
      <c r="D92" s="212"/>
      <c r="E92" s="162"/>
      <c r="F92" s="177"/>
      <c r="G92" s="162"/>
      <c r="H92" s="162"/>
      <c r="I92" s="219"/>
      <c r="J92" s="150"/>
      <c r="K92" s="223"/>
      <c r="L92" s="150"/>
      <c r="M92" s="150"/>
      <c r="N92" s="150"/>
      <c r="O92" s="147"/>
      <c r="P92" s="147"/>
      <c r="Q92" s="222"/>
      <c r="R92" s="222"/>
      <c r="S92" s="222"/>
    </row>
    <row r="93" spans="1:19" ht="15.75" customHeight="1">
      <c r="A93" s="163"/>
      <c r="B93" s="163"/>
      <c r="C93" s="212"/>
      <c r="D93" s="212"/>
      <c r="E93" s="162"/>
      <c r="F93" s="177"/>
      <c r="G93" s="162"/>
      <c r="H93" s="162"/>
      <c r="I93" s="219"/>
      <c r="J93" s="150"/>
      <c r="K93" s="223"/>
      <c r="L93" s="150"/>
      <c r="M93" s="150"/>
      <c r="N93" s="150"/>
      <c r="O93" s="147"/>
      <c r="P93" s="147"/>
      <c r="Q93" s="222"/>
      <c r="R93" s="222"/>
      <c r="S93" s="222"/>
    </row>
    <row r="94" spans="1:19" ht="15.75" customHeight="1">
      <c r="A94" s="124" t="str">
        <f ca="1">RIGHT(CELL("filename",D95),LEN(CELL("filename",D95))-FIND("]",CELL("filename",D95)))</f>
        <v>AMPT RR</v>
      </c>
      <c r="B94" s="125"/>
      <c r="C94" s="126"/>
      <c r="D94" s="126"/>
      <c r="E94" s="126"/>
      <c r="F94" s="126"/>
      <c r="G94" s="126"/>
      <c r="H94" s="126"/>
      <c r="I94" s="126"/>
      <c r="J94" s="126"/>
      <c r="K94" s="127" t="s">
        <v>292</v>
      </c>
      <c r="N94" s="150"/>
      <c r="O94" s="147"/>
      <c r="P94" s="147"/>
      <c r="Q94" s="222"/>
      <c r="R94" s="222"/>
      <c r="S94" s="222"/>
    </row>
    <row r="95" spans="1:19" ht="19.5" customHeight="1">
      <c r="A95" s="130" t="s">
        <v>172</v>
      </c>
      <c r="B95" s="131"/>
      <c r="C95" s="126"/>
      <c r="D95" s="126"/>
      <c r="E95" s="126"/>
      <c r="F95" s="126"/>
      <c r="G95" s="126"/>
      <c r="H95" s="126"/>
      <c r="I95" s="126"/>
      <c r="J95" s="126"/>
      <c r="K95" s="126"/>
      <c r="L95" s="126" t="s">
        <v>121</v>
      </c>
      <c r="M95" s="126"/>
      <c r="N95" s="150"/>
      <c r="O95" s="147"/>
      <c r="P95" s="147"/>
      <c r="Q95" s="222"/>
      <c r="R95" s="222"/>
      <c r="S95" s="222"/>
    </row>
    <row r="96" spans="1:19" ht="23.25">
      <c r="A96" s="133" t="s">
        <v>173</v>
      </c>
      <c r="B96" s="134"/>
      <c r="C96" s="126"/>
      <c r="D96" s="126"/>
      <c r="E96" s="126"/>
      <c r="F96" s="132"/>
      <c r="G96" s="126"/>
      <c r="H96" s="126"/>
      <c r="I96" s="126"/>
      <c r="J96" s="126"/>
      <c r="K96" s="126"/>
      <c r="L96" s="126" t="s">
        <v>121</v>
      </c>
      <c r="M96" s="126"/>
      <c r="N96" s="150"/>
      <c r="O96" s="147"/>
      <c r="P96" s="147"/>
      <c r="Q96" s="222"/>
      <c r="R96" s="222"/>
      <c r="S96" s="222"/>
    </row>
    <row r="97" spans="1:25" ht="22.5">
      <c r="A97" s="134"/>
      <c r="B97" s="134"/>
      <c r="C97" s="135" t="str">
        <f>C4</f>
        <v>AEP Transmission Zone</v>
      </c>
      <c r="D97" s="136"/>
      <c r="E97" s="136"/>
      <c r="F97" s="137"/>
      <c r="G97" s="136"/>
      <c r="H97" s="136"/>
      <c r="I97" s="136"/>
      <c r="J97" s="136"/>
      <c r="K97" s="138" t="s">
        <v>175</v>
      </c>
      <c r="L97" s="126"/>
      <c r="M97" s="126"/>
      <c r="N97" s="150"/>
      <c r="O97" s="147"/>
      <c r="P97" s="147"/>
      <c r="Q97" s="222"/>
      <c r="R97" s="222"/>
      <c r="S97" s="222"/>
    </row>
    <row r="98" spans="1:25" ht="22.5">
      <c r="A98" s="134"/>
      <c r="B98" s="134"/>
      <c r="C98" s="139" t="s">
        <v>176</v>
      </c>
      <c r="D98" s="126"/>
      <c r="E98" s="126"/>
      <c r="F98" s="132"/>
      <c r="G98" s="126"/>
      <c r="H98" s="126"/>
      <c r="I98" s="126"/>
      <c r="J98" s="126"/>
      <c r="K98" s="126"/>
      <c r="L98" s="126"/>
      <c r="M98" s="126"/>
      <c r="N98" s="150"/>
      <c r="O98" s="147"/>
      <c r="P98" s="147"/>
      <c r="Q98" s="222"/>
      <c r="R98" s="222"/>
      <c r="S98" s="222"/>
    </row>
    <row r="99" spans="1:25" ht="23.25">
      <c r="A99" s="130" t="str">
        <f>A6</f>
        <v>Year Ended 12/31/2025</v>
      </c>
      <c r="B99" s="131"/>
      <c r="C99" s="126"/>
      <c r="D99" s="126"/>
      <c r="E99" s="126"/>
      <c r="F99" s="126"/>
      <c r="G99" s="126"/>
      <c r="H99" s="126"/>
      <c r="I99" s="126"/>
      <c r="J99" s="126"/>
      <c r="K99" s="126"/>
      <c r="L99" s="126" t="s">
        <v>121</v>
      </c>
      <c r="M99" s="126"/>
      <c r="N99" s="150"/>
      <c r="O99" s="147"/>
      <c r="P99" s="147"/>
      <c r="Q99" s="222"/>
      <c r="R99" s="222"/>
      <c r="S99" s="222"/>
    </row>
    <row r="100" spans="1:25">
      <c r="A100" s="140" t="str">
        <f>A7</f>
        <v>Projected</v>
      </c>
      <c r="B100" s="126"/>
      <c r="C100" s="126"/>
      <c r="D100" s="136"/>
      <c r="E100" s="141"/>
      <c r="F100" s="126"/>
      <c r="G100" s="126"/>
      <c r="H100" s="126"/>
      <c r="I100" s="126"/>
      <c r="J100" s="126"/>
      <c r="K100" s="126"/>
      <c r="L100" s="126" t="s">
        <v>151</v>
      </c>
      <c r="M100" s="126"/>
      <c r="N100" s="150"/>
      <c r="O100" s="147"/>
      <c r="P100" s="147"/>
      <c r="Q100" s="222"/>
      <c r="R100" s="222"/>
      <c r="S100" s="222"/>
    </row>
    <row r="101" spans="1:25" ht="15.75" customHeight="1">
      <c r="A101" s="142"/>
      <c r="B101" s="142"/>
      <c r="C101" s="143"/>
      <c r="D101" s="143"/>
      <c r="F101" s="143"/>
      <c r="G101" s="144"/>
      <c r="H101" s="144"/>
      <c r="I101" s="145"/>
      <c r="J101" s="144"/>
      <c r="K101" s="146" t="str">
        <f>A7</f>
        <v>Projected</v>
      </c>
      <c r="L101" s="144"/>
      <c r="M101" s="144"/>
      <c r="N101" s="150"/>
      <c r="O101" s="147"/>
      <c r="P101" s="147"/>
      <c r="Q101" s="222"/>
      <c r="R101" s="222"/>
      <c r="S101" s="222"/>
    </row>
    <row r="102" spans="1:25" ht="15.75" customHeight="1">
      <c r="A102" s="147"/>
      <c r="B102" s="147"/>
      <c r="C102" s="147"/>
      <c r="E102" s="148"/>
      <c r="F102" s="147"/>
      <c r="G102" s="147"/>
      <c r="H102" s="147"/>
      <c r="I102" s="147"/>
      <c r="J102" s="147"/>
      <c r="K102" s="149" t="str">
        <f>K9</f>
        <v>AEP-Area</v>
      </c>
      <c r="L102" s="150"/>
      <c r="M102" s="150"/>
      <c r="N102" s="150"/>
      <c r="O102" s="147"/>
      <c r="P102" s="147"/>
      <c r="Q102" s="222"/>
      <c r="R102" s="222"/>
      <c r="S102" s="222"/>
    </row>
    <row r="103" spans="1:25" ht="15.75" customHeight="1">
      <c r="A103" s="152" t="s">
        <v>180</v>
      </c>
      <c r="B103" s="152"/>
      <c r="C103" s="152"/>
      <c r="D103" s="151" t="s">
        <v>181</v>
      </c>
      <c r="E103" s="152"/>
      <c r="F103" s="152"/>
      <c r="G103" s="152"/>
      <c r="H103" s="152"/>
      <c r="I103" s="152"/>
      <c r="J103" s="152"/>
      <c r="K103" s="152" t="s">
        <v>182</v>
      </c>
      <c r="L103" s="150"/>
      <c r="M103" s="150"/>
      <c r="N103" s="150"/>
      <c r="O103" s="147"/>
      <c r="P103" s="147"/>
      <c r="Q103" s="222"/>
      <c r="R103" s="222"/>
      <c r="S103" s="222"/>
    </row>
    <row r="104" spans="1:25" ht="15.75" customHeight="1">
      <c r="A104" s="154" t="s">
        <v>106</v>
      </c>
      <c r="B104" s="154"/>
      <c r="C104" s="154" t="s">
        <v>183</v>
      </c>
      <c r="D104" s="154" t="s">
        <v>184</v>
      </c>
      <c r="E104" s="154" t="s">
        <v>185</v>
      </c>
      <c r="F104" s="154" t="s">
        <v>186</v>
      </c>
      <c r="G104" s="154"/>
      <c r="H104" s="155"/>
      <c r="I104" s="156" t="s">
        <v>187</v>
      </c>
      <c r="J104" s="154"/>
      <c r="K104" s="154" t="s">
        <v>188</v>
      </c>
      <c r="L104" s="150"/>
      <c r="M104" s="150"/>
      <c r="N104" s="150"/>
      <c r="O104" s="147"/>
      <c r="P104" s="147"/>
      <c r="Q104" s="222"/>
      <c r="R104" s="222"/>
      <c r="S104" s="222"/>
    </row>
    <row r="105" spans="1:25" ht="15.75" customHeight="1">
      <c r="A105" s="153" t="s">
        <v>189</v>
      </c>
      <c r="B105" s="153"/>
      <c r="C105" s="153" t="s">
        <v>190</v>
      </c>
      <c r="D105" s="153" t="s">
        <v>191</v>
      </c>
      <c r="E105" s="153" t="s">
        <v>192</v>
      </c>
      <c r="F105" s="153" t="s">
        <v>193</v>
      </c>
      <c r="G105" s="157"/>
      <c r="H105" s="158" t="s">
        <v>194</v>
      </c>
      <c r="I105" s="140"/>
      <c r="J105" s="157"/>
      <c r="K105" s="153" t="s">
        <v>195</v>
      </c>
      <c r="L105" s="150"/>
      <c r="M105" s="150"/>
      <c r="N105" s="150"/>
      <c r="O105" s="147"/>
      <c r="P105" s="147"/>
      <c r="Q105" s="222"/>
      <c r="R105" s="222"/>
      <c r="S105" s="222"/>
    </row>
    <row r="106" spans="1:25" ht="15.75" customHeight="1">
      <c r="A106" s="153"/>
      <c r="B106" s="153"/>
      <c r="C106" s="153"/>
      <c r="D106" s="153"/>
      <c r="E106" s="153"/>
      <c r="F106" s="153"/>
      <c r="G106" s="157"/>
      <c r="H106" s="158"/>
      <c r="I106" s="140"/>
      <c r="J106" s="157"/>
      <c r="K106" s="153"/>
      <c r="L106" s="150"/>
      <c r="M106" s="150"/>
      <c r="N106" s="150"/>
      <c r="O106" s="147"/>
      <c r="P106" s="147"/>
      <c r="Q106" s="222"/>
      <c r="R106" s="222"/>
      <c r="S106" s="222"/>
    </row>
    <row r="107" spans="1:25" ht="15.75" customHeight="1">
      <c r="A107" s="153"/>
      <c r="B107" s="153"/>
      <c r="C107" s="153"/>
      <c r="D107" s="153"/>
      <c r="E107" s="159"/>
      <c r="F107" s="153"/>
      <c r="G107" s="157"/>
      <c r="H107" s="158"/>
      <c r="I107" s="160"/>
      <c r="J107" s="157"/>
      <c r="K107" s="153" t="s">
        <v>196</v>
      </c>
      <c r="L107" s="150"/>
      <c r="M107" s="150"/>
      <c r="N107" s="150"/>
      <c r="O107" s="147"/>
      <c r="P107" s="147"/>
      <c r="Q107" s="222"/>
      <c r="R107" s="222"/>
      <c r="S107" s="222"/>
    </row>
    <row r="108" spans="1:25" ht="15.75" customHeight="1">
      <c r="A108" s="161"/>
      <c r="B108" s="161"/>
      <c r="C108" s="147"/>
      <c r="D108" s="147"/>
      <c r="E108" s="162"/>
      <c r="F108" s="147"/>
      <c r="G108" s="147"/>
      <c r="H108" s="147"/>
      <c r="I108" s="147"/>
      <c r="J108" s="147"/>
      <c r="K108" s="163" t="s">
        <v>197</v>
      </c>
      <c r="L108" s="150"/>
      <c r="M108" s="150"/>
      <c r="N108" s="150"/>
      <c r="O108" s="147"/>
      <c r="P108" s="147"/>
      <c r="Q108" s="222"/>
      <c r="R108" s="222"/>
      <c r="S108" s="222"/>
    </row>
    <row r="109" spans="1:25" ht="15.75" customHeight="1" thickBot="1">
      <c r="A109" s="163"/>
      <c r="B109" s="163"/>
      <c r="C109" s="147"/>
      <c r="D109" s="147"/>
      <c r="E109" s="147"/>
      <c r="F109" s="147"/>
      <c r="G109" s="147"/>
      <c r="H109" s="147"/>
      <c r="I109" s="147"/>
      <c r="J109" s="147"/>
      <c r="K109" s="164" t="s">
        <v>198</v>
      </c>
      <c r="L109" s="150"/>
      <c r="M109" s="150"/>
      <c r="N109" s="150"/>
      <c r="O109" s="147"/>
      <c r="P109" s="147"/>
      <c r="Q109" s="222"/>
      <c r="R109" s="222"/>
      <c r="S109" s="222"/>
    </row>
    <row r="110" spans="1:25" ht="15.75" customHeight="1">
      <c r="A110" s="163">
        <f>A91+1</f>
        <v>73</v>
      </c>
      <c r="B110" s="163"/>
      <c r="C110" s="147"/>
      <c r="D110" s="147"/>
      <c r="E110" s="147"/>
      <c r="F110" s="177"/>
      <c r="G110" s="147"/>
      <c r="H110" s="147"/>
      <c r="I110" s="147"/>
      <c r="J110" s="147"/>
      <c r="K110" s="147"/>
      <c r="L110" s="150"/>
      <c r="M110" s="150"/>
      <c r="N110" s="150"/>
      <c r="O110" s="147"/>
      <c r="P110" s="147"/>
      <c r="Y110" s="144"/>
    </row>
    <row r="111" spans="1:25" ht="15.75" customHeight="1">
      <c r="A111" s="163">
        <f t="shared" si="1"/>
        <v>74</v>
      </c>
      <c r="B111" s="163"/>
      <c r="C111" s="147" t="s">
        <v>293</v>
      </c>
      <c r="D111" s="224"/>
      <c r="E111" s="224"/>
      <c r="F111" s="224"/>
      <c r="G111" s="224"/>
      <c r="H111" s="224"/>
      <c r="I111" s="224"/>
      <c r="J111" s="224"/>
      <c r="K111" s="147"/>
      <c r="L111" s="150"/>
      <c r="M111" s="150"/>
      <c r="N111" s="150"/>
      <c r="O111" s="147"/>
      <c r="P111" s="147"/>
      <c r="Y111" s="144"/>
    </row>
    <row r="112" spans="1:25" ht="15.75" customHeight="1">
      <c r="A112" s="163">
        <f t="shared" si="1"/>
        <v>75</v>
      </c>
      <c r="B112" s="163"/>
      <c r="C112" s="147"/>
      <c r="D112" s="224"/>
      <c r="E112" s="224"/>
      <c r="F112" s="224"/>
      <c r="G112" s="224"/>
      <c r="H112" s="224"/>
      <c r="I112" s="224"/>
      <c r="J112" s="224"/>
      <c r="K112" s="147"/>
      <c r="L112" s="150"/>
      <c r="M112" s="150"/>
      <c r="N112" s="150"/>
      <c r="O112" s="147"/>
      <c r="P112" s="147"/>
      <c r="Y112" s="144"/>
    </row>
    <row r="113" spans="1:25" ht="15.75" customHeight="1">
      <c r="A113" s="163">
        <f t="shared" si="1"/>
        <v>76</v>
      </c>
      <c r="B113" s="163"/>
      <c r="C113" s="147" t="s">
        <v>294</v>
      </c>
      <c r="D113" s="147"/>
      <c r="E113" s="147"/>
      <c r="F113" s="147"/>
      <c r="G113" s="147"/>
      <c r="H113" s="151"/>
      <c r="I113" s="147"/>
      <c r="J113" s="147"/>
      <c r="K113" s="150">
        <f>F40+F41</f>
        <v>2410310.241583887</v>
      </c>
      <c r="L113" s="150"/>
      <c r="M113" s="150"/>
      <c r="N113" s="150"/>
      <c r="O113" s="147"/>
      <c r="P113" s="147"/>
      <c r="Y113" s="144"/>
    </row>
    <row r="114" spans="1:25" ht="15.75" customHeight="1" thickBot="1">
      <c r="A114" s="163">
        <f t="shared" si="1"/>
        <v>77</v>
      </c>
      <c r="B114" s="163"/>
      <c r="C114" s="217" t="s">
        <v>295</v>
      </c>
      <c r="D114" s="225"/>
      <c r="E114" s="226"/>
      <c r="F114" s="226"/>
      <c r="G114" s="150"/>
      <c r="H114" s="150"/>
      <c r="I114" s="147"/>
      <c r="J114" s="150"/>
      <c r="K114" s="227">
        <v>0</v>
      </c>
      <c r="L114" s="150"/>
      <c r="M114" s="150"/>
      <c r="N114" s="150"/>
      <c r="O114" s="147"/>
      <c r="P114" s="147"/>
      <c r="Y114" s="144"/>
    </row>
    <row r="115" spans="1:25" ht="15.75" customHeight="1">
      <c r="A115" s="163">
        <f t="shared" si="1"/>
        <v>78</v>
      </c>
      <c r="B115" s="163"/>
      <c r="C115" s="212" t="s">
        <v>296</v>
      </c>
      <c r="D115" s="162"/>
      <c r="E115" s="162"/>
      <c r="F115" s="162"/>
      <c r="G115" s="162"/>
      <c r="H115" s="219"/>
      <c r="I115" s="147"/>
      <c r="J115" s="162"/>
      <c r="K115" s="150">
        <f>+K113-K114</f>
        <v>2410310.241583887</v>
      </c>
      <c r="L115" s="150"/>
      <c r="M115" s="150"/>
      <c r="N115" s="150"/>
      <c r="O115" s="147"/>
      <c r="P115" s="147"/>
      <c r="Y115" s="144"/>
    </row>
    <row r="116" spans="1:25" ht="15.75" customHeight="1">
      <c r="A116" s="163">
        <f t="shared" si="1"/>
        <v>79</v>
      </c>
      <c r="B116" s="163"/>
      <c r="C116" s="212"/>
      <c r="D116" s="147"/>
      <c r="E116" s="150"/>
      <c r="F116" s="150"/>
      <c r="G116" s="150"/>
      <c r="H116" s="150"/>
      <c r="I116" s="147"/>
      <c r="J116" s="147"/>
      <c r="K116" s="224"/>
      <c r="L116" s="150"/>
      <c r="M116" s="150"/>
      <c r="N116" s="150"/>
      <c r="O116" s="147"/>
      <c r="P116" s="147"/>
      <c r="Y116" s="144"/>
    </row>
    <row r="117" spans="1:25" ht="15.75" customHeight="1">
      <c r="A117" s="163">
        <f t="shared" si="1"/>
        <v>80</v>
      </c>
      <c r="B117" s="163"/>
      <c r="C117" s="212" t="s">
        <v>297</v>
      </c>
      <c r="D117" s="147"/>
      <c r="E117" s="150"/>
      <c r="F117" s="150"/>
      <c r="G117" s="150"/>
      <c r="H117" s="150"/>
      <c r="I117" s="147"/>
      <c r="J117" s="150"/>
      <c r="K117" s="228">
        <f>IF(K113&gt;0,K115/K113,0)</f>
        <v>1</v>
      </c>
      <c r="L117" s="150"/>
      <c r="M117" s="150"/>
      <c r="N117" s="150"/>
      <c r="O117" s="147"/>
      <c r="P117" s="147"/>
      <c r="Y117" s="144"/>
    </row>
    <row r="118" spans="1:25" ht="15.75" customHeight="1">
      <c r="A118" s="163">
        <f t="shared" si="1"/>
        <v>81</v>
      </c>
      <c r="B118" s="163"/>
      <c r="C118" s="212" t="s">
        <v>298</v>
      </c>
      <c r="D118" s="147"/>
      <c r="E118" s="150"/>
      <c r="F118" s="150"/>
      <c r="G118" s="150"/>
      <c r="H118" s="150"/>
      <c r="I118" s="147"/>
      <c r="J118" s="147" t="s">
        <v>205</v>
      </c>
      <c r="K118" s="228">
        <f>K91</f>
        <v>0.10420573468735576</v>
      </c>
      <c r="L118" s="150"/>
      <c r="M118" s="150"/>
      <c r="N118" s="150"/>
      <c r="O118" s="147"/>
      <c r="P118" s="147"/>
      <c r="Y118" s="144"/>
    </row>
    <row r="119" spans="1:25" ht="16.5" customHeight="1">
      <c r="A119" s="163">
        <f t="shared" si="1"/>
        <v>82</v>
      </c>
      <c r="B119" s="163"/>
      <c r="C119" s="212" t="s">
        <v>299</v>
      </c>
      <c r="D119" s="147"/>
      <c r="E119" s="147"/>
      <c r="F119" s="147"/>
      <c r="G119" s="147"/>
      <c r="H119" s="147"/>
      <c r="I119" s="147"/>
      <c r="J119" s="147" t="s">
        <v>300</v>
      </c>
      <c r="K119" s="170">
        <f>+K118*K117</f>
        <v>0.10420573468735576</v>
      </c>
      <c r="L119" s="147"/>
      <c r="M119" s="147"/>
      <c r="N119" s="150"/>
      <c r="O119" s="147"/>
      <c r="P119" s="147"/>
    </row>
    <row r="120" spans="1:25" ht="16.5" customHeight="1">
      <c r="A120" s="163">
        <f t="shared" si="1"/>
        <v>83</v>
      </c>
      <c r="B120" s="163"/>
      <c r="C120" s="147"/>
      <c r="D120" s="147"/>
      <c r="E120" s="150"/>
      <c r="F120" s="177"/>
      <c r="G120" s="185"/>
      <c r="H120" s="218"/>
      <c r="I120" s="150"/>
      <c r="J120" s="150"/>
      <c r="K120" s="150"/>
      <c r="L120" s="150"/>
      <c r="M120" s="150"/>
      <c r="N120" s="150"/>
      <c r="O120" s="147"/>
      <c r="P120" s="147"/>
    </row>
    <row r="121" spans="1:25" ht="16.5" customHeight="1">
      <c r="A121" s="163">
        <f t="shared" si="1"/>
        <v>84</v>
      </c>
      <c r="B121" s="163"/>
      <c r="C121" s="147"/>
      <c r="D121" s="147"/>
      <c r="E121" s="150"/>
      <c r="F121" s="177"/>
      <c r="G121" s="150"/>
      <c r="H121" s="150"/>
      <c r="I121" s="150"/>
      <c r="J121" s="150"/>
      <c r="K121" s="150"/>
      <c r="L121" s="150"/>
      <c r="M121" s="150"/>
      <c r="N121" s="150"/>
      <c r="O121" s="147"/>
      <c r="P121" s="147"/>
    </row>
    <row r="122" spans="1:25" ht="16.5" customHeight="1" thickBot="1">
      <c r="A122" s="163">
        <f t="shared" si="1"/>
        <v>85</v>
      </c>
      <c r="B122" s="163"/>
      <c r="C122" s="147" t="s">
        <v>301</v>
      </c>
      <c r="D122" s="179"/>
      <c r="E122" s="150"/>
      <c r="F122" s="229" t="s">
        <v>302</v>
      </c>
      <c r="G122" s="230" t="s">
        <v>205</v>
      </c>
      <c r="H122" s="150"/>
      <c r="I122" s="230" t="s">
        <v>303</v>
      </c>
      <c r="J122" s="150"/>
      <c r="K122" s="150"/>
      <c r="L122" s="150"/>
      <c r="M122" s="150"/>
      <c r="N122" s="150"/>
      <c r="O122" s="147"/>
      <c r="P122" s="147"/>
    </row>
    <row r="123" spans="1:25" ht="16.5" customHeight="1">
      <c r="A123" s="163">
        <f t="shared" si="1"/>
        <v>86</v>
      </c>
      <c r="B123" s="163"/>
      <c r="C123" s="147" t="s">
        <v>304</v>
      </c>
      <c r="D123" s="147"/>
      <c r="E123" s="150"/>
      <c r="F123" s="177">
        <v>0</v>
      </c>
      <c r="G123" s="231">
        <v>0</v>
      </c>
      <c r="H123" s="232"/>
      <c r="I123" s="177">
        <f>F123*G123</f>
        <v>0</v>
      </c>
      <c r="J123" s="150"/>
      <c r="K123" s="150"/>
      <c r="L123" s="150"/>
      <c r="M123" s="150"/>
      <c r="N123" s="150"/>
      <c r="O123" s="147"/>
      <c r="P123" s="147"/>
    </row>
    <row r="124" spans="1:25" ht="16.5" customHeight="1">
      <c r="A124" s="163">
        <f t="shared" si="1"/>
        <v>87</v>
      </c>
      <c r="B124" s="163"/>
      <c r="C124" s="147" t="s">
        <v>305</v>
      </c>
      <c r="D124" s="147"/>
      <c r="E124" s="150"/>
      <c r="F124" s="177">
        <v>1</v>
      </c>
      <c r="G124" s="233">
        <v>0.10420573468735587</v>
      </c>
      <c r="H124" s="232"/>
      <c r="I124" s="177">
        <f>F124*G124</f>
        <v>0.10420573468735587</v>
      </c>
      <c r="J124" s="150"/>
      <c r="K124" s="150"/>
      <c r="L124" s="150"/>
      <c r="M124" s="150"/>
      <c r="N124" s="150"/>
      <c r="O124" s="147"/>
      <c r="P124" s="147"/>
    </row>
    <row r="125" spans="1:25" ht="16.5" customHeight="1">
      <c r="A125" s="163">
        <f t="shared" si="1"/>
        <v>88</v>
      </c>
      <c r="B125" s="163"/>
      <c r="C125" s="147" t="s">
        <v>306</v>
      </c>
      <c r="D125" s="147"/>
      <c r="E125" s="150"/>
      <c r="F125" s="177">
        <v>0</v>
      </c>
      <c r="G125" s="231">
        <v>0</v>
      </c>
      <c r="H125" s="232"/>
      <c r="I125" s="177">
        <f>F125*G125</f>
        <v>0</v>
      </c>
      <c r="J125" s="150"/>
      <c r="K125" s="218" t="s">
        <v>307</v>
      </c>
      <c r="L125" s="150"/>
      <c r="M125" s="150"/>
      <c r="N125" s="150"/>
      <c r="O125" s="147"/>
      <c r="P125" s="147"/>
    </row>
    <row r="126" spans="1:25" ht="16.5" customHeight="1" thickBot="1">
      <c r="A126" s="163">
        <f t="shared" si="1"/>
        <v>89</v>
      </c>
      <c r="B126" s="163"/>
      <c r="C126" s="147" t="s">
        <v>308</v>
      </c>
      <c r="D126" s="147"/>
      <c r="E126" s="150"/>
      <c r="F126" s="177">
        <v>0</v>
      </c>
      <c r="G126" s="231">
        <v>0</v>
      </c>
      <c r="H126" s="232"/>
      <c r="I126" s="191">
        <f>F126*G126</f>
        <v>0</v>
      </c>
      <c r="J126" s="150"/>
      <c r="K126" s="164" t="s">
        <v>309</v>
      </c>
      <c r="L126" s="150"/>
      <c r="M126" s="150"/>
      <c r="N126" s="150"/>
      <c r="O126" s="147"/>
      <c r="P126" s="147"/>
    </row>
    <row r="127" spans="1:25" ht="16.5" customHeight="1">
      <c r="A127" s="163">
        <f t="shared" si="1"/>
        <v>90</v>
      </c>
      <c r="B127" s="163"/>
      <c r="C127" s="147" t="s">
        <v>310</v>
      </c>
      <c r="D127" s="147"/>
      <c r="E127" s="150"/>
      <c r="F127" s="177">
        <f>SUM(F123:F126)</f>
        <v>1</v>
      </c>
      <c r="G127" s="150"/>
      <c r="H127" s="150"/>
      <c r="I127" s="177">
        <f>SUM(I123:I126)</f>
        <v>0.10420573468735587</v>
      </c>
      <c r="J127" s="151" t="s">
        <v>311</v>
      </c>
      <c r="K127" s="234">
        <f>IF(I127&gt;0,I127/F127,0)</f>
        <v>0.10420573468735587</v>
      </c>
      <c r="L127" s="235" t="s">
        <v>312</v>
      </c>
      <c r="M127" s="235"/>
      <c r="N127" s="150"/>
      <c r="O127" s="147"/>
      <c r="P127" s="147"/>
    </row>
    <row r="128" spans="1:25" ht="16.5" customHeight="1">
      <c r="A128" s="163">
        <f t="shared" si="1"/>
        <v>91</v>
      </c>
      <c r="B128" s="163"/>
      <c r="C128" s="147"/>
      <c r="D128" s="147"/>
      <c r="E128" s="150"/>
      <c r="F128" s="177"/>
      <c r="G128" s="150"/>
      <c r="H128" s="150"/>
      <c r="I128" s="150"/>
      <c r="J128" s="150"/>
      <c r="K128" s="150"/>
      <c r="L128" s="150"/>
      <c r="M128" s="150"/>
      <c r="N128" s="150"/>
      <c r="O128" s="147"/>
      <c r="P128" s="147"/>
    </row>
    <row r="129" spans="1:23">
      <c r="A129" s="163">
        <f t="shared" si="1"/>
        <v>92</v>
      </c>
      <c r="B129" s="163"/>
      <c r="C129" s="236"/>
      <c r="D129" s="236"/>
      <c r="E129" s="150"/>
      <c r="F129" s="237"/>
      <c r="G129" s="150"/>
      <c r="H129" s="150"/>
      <c r="I129" s="150"/>
      <c r="J129" s="150"/>
      <c r="K129" s="147"/>
      <c r="L129" s="150"/>
      <c r="M129" s="150"/>
      <c r="N129" s="150"/>
      <c r="O129" s="147"/>
      <c r="P129" s="147"/>
    </row>
    <row r="130" spans="1:23">
      <c r="A130" s="163">
        <f t="shared" si="1"/>
        <v>93</v>
      </c>
      <c r="B130" s="163"/>
      <c r="C130" s="212"/>
      <c r="D130" s="212"/>
      <c r="E130" s="207"/>
      <c r="F130" s="238"/>
      <c r="G130" s="239"/>
      <c r="H130" s="240"/>
      <c r="I130" s="241"/>
      <c r="J130" s="241"/>
      <c r="K130" s="241"/>
      <c r="L130" s="235"/>
      <c r="M130" s="235"/>
      <c r="N130" s="147"/>
      <c r="O130" s="147"/>
      <c r="P130" s="147"/>
      <c r="T130" s="242"/>
      <c r="V130" s="243"/>
      <c r="W130" s="242"/>
    </row>
    <row r="131" spans="1:23">
      <c r="A131" s="163">
        <f t="shared" si="1"/>
        <v>94</v>
      </c>
      <c r="B131" s="139"/>
      <c r="C131" s="139"/>
      <c r="D131" s="139"/>
      <c r="E131" s="139" t="s">
        <v>313</v>
      </c>
      <c r="F131" s="139"/>
      <c r="G131" s="139"/>
      <c r="H131" s="139"/>
      <c r="I131" s="139"/>
      <c r="J131" s="139"/>
      <c r="K131" s="244"/>
      <c r="L131" s="147"/>
      <c r="M131" s="147"/>
      <c r="N131" s="245"/>
      <c r="O131" s="147"/>
      <c r="P131" s="147"/>
    </row>
    <row r="132" spans="1:23">
      <c r="A132" s="163">
        <f t="shared" si="1"/>
        <v>95</v>
      </c>
      <c r="B132" s="139"/>
      <c r="C132" s="139"/>
      <c r="D132" s="246" t="s">
        <v>121</v>
      </c>
      <c r="E132" s="246" t="s">
        <v>314</v>
      </c>
      <c r="F132" s="246"/>
      <c r="G132" s="246"/>
      <c r="H132" s="246"/>
      <c r="I132" s="139"/>
      <c r="J132" s="139"/>
      <c r="K132" s="147"/>
      <c r="L132" s="139"/>
      <c r="M132" s="139"/>
      <c r="N132" s="139"/>
      <c r="O132" s="147"/>
      <c r="P132" s="147"/>
    </row>
    <row r="133" spans="1:23">
      <c r="A133" s="163">
        <f t="shared" si="1"/>
        <v>96</v>
      </c>
      <c r="B133" s="139"/>
      <c r="C133" s="247"/>
      <c r="D133" s="139"/>
      <c r="E133" s="246"/>
      <c r="F133" s="246"/>
      <c r="G133" s="246"/>
      <c r="H133" s="246"/>
      <c r="I133" s="139"/>
      <c r="J133" s="248"/>
      <c r="K133" s="147"/>
      <c r="L133" s="139"/>
      <c r="M133" s="139"/>
      <c r="N133" s="139"/>
      <c r="O133" s="147"/>
      <c r="P133" s="147"/>
    </row>
    <row r="134" spans="1:23">
      <c r="A134" s="163">
        <f t="shared" si="1"/>
        <v>97</v>
      </c>
      <c r="B134" s="139"/>
      <c r="C134" s="247"/>
      <c r="D134" s="139"/>
      <c r="E134" s="246"/>
      <c r="F134" s="246"/>
      <c r="G134" s="246"/>
      <c r="H134" s="246"/>
      <c r="I134" s="139"/>
      <c r="J134" s="248"/>
      <c r="K134" s="147"/>
      <c r="L134" s="139"/>
      <c r="M134" s="139"/>
      <c r="N134" s="246"/>
      <c r="O134" s="147"/>
      <c r="P134" s="147"/>
    </row>
    <row r="135" spans="1:23">
      <c r="A135" s="163">
        <f t="shared" si="1"/>
        <v>98</v>
      </c>
      <c r="B135" s="139"/>
      <c r="C135" s="247"/>
      <c r="D135" s="139"/>
      <c r="E135" s="246"/>
      <c r="F135" s="246"/>
      <c r="G135" s="246"/>
      <c r="H135" s="246"/>
      <c r="I135" s="139"/>
      <c r="J135" s="248"/>
      <c r="K135" s="147"/>
      <c r="L135" s="139"/>
      <c r="M135" s="139"/>
      <c r="N135" s="246"/>
      <c r="O135" s="147"/>
      <c r="P135" s="147"/>
    </row>
    <row r="136" spans="1:23">
      <c r="A136" s="163">
        <f t="shared" si="1"/>
        <v>99</v>
      </c>
      <c r="B136" s="139"/>
      <c r="C136" s="139" t="s">
        <v>315</v>
      </c>
      <c r="D136" s="139"/>
      <c r="E136" s="246"/>
      <c r="F136" s="246"/>
      <c r="G136" s="246"/>
      <c r="H136" s="246"/>
      <c r="I136" s="139"/>
      <c r="J136" s="246"/>
      <c r="K136" s="147"/>
      <c r="L136" s="139"/>
      <c r="M136" s="139"/>
      <c r="N136" s="246"/>
      <c r="O136" s="147"/>
      <c r="P136" s="147"/>
    </row>
    <row r="137" spans="1:23">
      <c r="A137" s="163">
        <f t="shared" si="1"/>
        <v>100</v>
      </c>
      <c r="B137" s="139"/>
      <c r="C137" s="139" t="s">
        <v>316</v>
      </c>
      <c r="D137" s="139"/>
      <c r="E137" s="246"/>
      <c r="F137" s="246"/>
      <c r="G137" s="246"/>
      <c r="H137" s="246"/>
      <c r="I137" s="139"/>
      <c r="J137" s="246"/>
      <c r="K137" s="147"/>
      <c r="L137" s="139"/>
      <c r="M137" s="139"/>
      <c r="N137" s="246"/>
      <c r="O137" s="147"/>
      <c r="P137" s="147"/>
    </row>
    <row r="138" spans="1:23">
      <c r="A138" s="163">
        <f t="shared" si="1"/>
        <v>101</v>
      </c>
      <c r="B138" s="139"/>
      <c r="C138" s="139"/>
      <c r="D138" s="139"/>
      <c r="E138" s="246"/>
      <c r="F138" s="246"/>
      <c r="G138" s="246"/>
      <c r="H138" s="246"/>
      <c r="I138" s="139"/>
      <c r="J138" s="246"/>
      <c r="K138" s="147"/>
      <c r="L138" s="139"/>
      <c r="M138" s="139"/>
      <c r="N138" s="246"/>
      <c r="O138" s="147"/>
      <c r="P138" s="147"/>
    </row>
    <row r="139" spans="1:23" ht="15.75" customHeight="1">
      <c r="A139" s="163">
        <f t="shared" si="1"/>
        <v>102</v>
      </c>
      <c r="B139" s="204" t="s">
        <v>185</v>
      </c>
      <c r="C139" s="139"/>
      <c r="D139" s="139"/>
      <c r="E139" s="246"/>
      <c r="F139" s="246"/>
      <c r="G139" s="246"/>
      <c r="H139" s="246"/>
      <c r="I139" s="139"/>
      <c r="J139" s="246"/>
      <c r="K139" s="147"/>
      <c r="L139" s="139"/>
      <c r="M139" s="139"/>
      <c r="N139" s="246"/>
      <c r="O139" s="147"/>
      <c r="P139" s="147"/>
    </row>
    <row r="140" spans="1:23">
      <c r="A140" s="163">
        <f t="shared" si="1"/>
        <v>103</v>
      </c>
      <c r="B140" s="249" t="s">
        <v>317</v>
      </c>
      <c r="C140" s="250" t="s">
        <v>318</v>
      </c>
      <c r="D140" s="250"/>
      <c r="E140" s="250"/>
      <c r="F140" s="250"/>
      <c r="G140" s="250"/>
      <c r="H140" s="250"/>
      <c r="I140" s="250"/>
      <c r="J140" s="250"/>
      <c r="K140" s="147"/>
      <c r="L140" s="139"/>
      <c r="M140" s="139"/>
      <c r="N140" s="246"/>
      <c r="O140" s="147"/>
      <c r="P140" s="147"/>
    </row>
    <row r="141" spans="1:23">
      <c r="A141" s="163">
        <f t="shared" si="1"/>
        <v>104</v>
      </c>
      <c r="B141" s="249" t="s">
        <v>319</v>
      </c>
      <c r="C141" s="250" t="s">
        <v>320</v>
      </c>
      <c r="D141" s="250"/>
      <c r="E141" s="250"/>
      <c r="F141" s="250"/>
      <c r="G141" s="250"/>
      <c r="H141" s="250"/>
      <c r="I141" s="250"/>
      <c r="J141" s="250"/>
      <c r="K141" s="147"/>
      <c r="L141" s="250"/>
      <c r="M141" s="250"/>
      <c r="N141" s="250"/>
      <c r="O141" s="147"/>
      <c r="P141" s="147"/>
    </row>
    <row r="142" spans="1:23">
      <c r="A142" s="163">
        <f t="shared" si="1"/>
        <v>105</v>
      </c>
      <c r="B142" s="249" t="s">
        <v>321</v>
      </c>
      <c r="C142" s="147" t="s">
        <v>322</v>
      </c>
      <c r="D142" s="250"/>
      <c r="E142" s="250"/>
      <c r="F142" s="250"/>
      <c r="G142" s="250"/>
      <c r="H142" s="250"/>
      <c r="I142" s="250"/>
      <c r="J142" s="250"/>
      <c r="K142" s="147"/>
      <c r="L142" s="250"/>
      <c r="M142" s="250"/>
      <c r="N142" s="250"/>
      <c r="O142" s="147"/>
      <c r="P142" s="147"/>
    </row>
    <row r="143" spans="1:23" ht="15" customHeight="1">
      <c r="A143" s="163">
        <f t="shared" si="1"/>
        <v>106</v>
      </c>
      <c r="C143" s="147" t="s">
        <v>323</v>
      </c>
      <c r="D143" s="250"/>
      <c r="E143" s="250"/>
      <c r="F143" s="250"/>
      <c r="G143" s="250"/>
      <c r="H143" s="250"/>
      <c r="I143" s="250"/>
      <c r="J143" s="250"/>
      <c r="K143" s="147"/>
      <c r="L143" s="250"/>
      <c r="M143" s="250"/>
      <c r="N143" s="250"/>
      <c r="O143" s="147"/>
      <c r="P143" s="147"/>
    </row>
    <row r="144" spans="1:23" ht="15" customHeight="1">
      <c r="A144" s="163">
        <f t="shared" si="1"/>
        <v>107</v>
      </c>
      <c r="C144" s="147" t="s">
        <v>324</v>
      </c>
      <c r="D144" s="250"/>
      <c r="E144" s="250"/>
      <c r="F144" s="250"/>
      <c r="G144" s="250"/>
      <c r="H144" s="250"/>
      <c r="I144" s="250"/>
      <c r="J144" s="250"/>
      <c r="K144" s="147"/>
      <c r="L144" s="250"/>
      <c r="M144" s="250"/>
      <c r="N144" s="250"/>
      <c r="O144" s="147"/>
      <c r="P144" s="147"/>
    </row>
    <row r="145" spans="1:17" ht="15" customHeight="1">
      <c r="A145" s="163">
        <f t="shared" si="1"/>
        <v>108</v>
      </c>
      <c r="B145" s="251"/>
      <c r="C145" s="147" t="s">
        <v>325</v>
      </c>
      <c r="D145" s="251"/>
      <c r="E145" s="251"/>
      <c r="F145" s="251"/>
      <c r="G145" s="251"/>
      <c r="H145" s="251"/>
      <c r="I145" s="251"/>
      <c r="J145" s="251"/>
      <c r="K145" s="147"/>
      <c r="L145" s="250"/>
      <c r="M145" s="250"/>
      <c r="N145" s="250"/>
      <c r="O145" s="147"/>
      <c r="P145" s="147"/>
    </row>
    <row r="146" spans="1:17" ht="15" customHeight="1">
      <c r="A146" s="163">
        <f t="shared" si="1"/>
        <v>109</v>
      </c>
      <c r="B146" s="249" t="s">
        <v>326</v>
      </c>
      <c r="C146" s="250" t="s">
        <v>327</v>
      </c>
      <c r="D146" s="251"/>
      <c r="E146" s="251"/>
      <c r="F146" s="251"/>
      <c r="G146" s="251"/>
      <c r="H146" s="251"/>
      <c r="I146" s="251"/>
      <c r="J146" s="251"/>
      <c r="K146" s="147"/>
      <c r="L146" s="251"/>
      <c r="M146" s="251"/>
      <c r="N146" s="251"/>
      <c r="O146" s="147"/>
      <c r="P146" s="147"/>
    </row>
    <row r="147" spans="1:17" ht="15" customHeight="1">
      <c r="A147" s="163">
        <f t="shared" ref="A147:A164" si="2">A146+1</f>
        <v>110</v>
      </c>
      <c r="B147" s="249"/>
      <c r="C147" s="250" t="s">
        <v>328</v>
      </c>
      <c r="D147" s="251"/>
      <c r="E147" s="251"/>
      <c r="F147" s="251"/>
      <c r="G147" s="251"/>
      <c r="H147" s="251"/>
      <c r="I147" s="251"/>
      <c r="J147" s="251"/>
      <c r="K147" s="147"/>
      <c r="L147" s="251"/>
      <c r="M147" s="251"/>
      <c r="N147" s="251"/>
      <c r="O147" s="147"/>
      <c r="P147" s="147"/>
    </row>
    <row r="148" spans="1:17" ht="15" customHeight="1">
      <c r="A148" s="163">
        <f t="shared" si="2"/>
        <v>111</v>
      </c>
      <c r="B148" s="249" t="s">
        <v>329</v>
      </c>
      <c r="C148" s="147" t="s">
        <v>330</v>
      </c>
      <c r="D148" s="147"/>
      <c r="E148" s="147"/>
      <c r="F148" s="147"/>
      <c r="G148" s="147"/>
      <c r="H148" s="147"/>
      <c r="I148" s="147"/>
      <c r="J148" s="147"/>
      <c r="K148" s="147"/>
      <c r="L148" s="251"/>
      <c r="M148" s="251"/>
      <c r="N148" s="251"/>
      <c r="O148" s="147"/>
      <c r="P148" s="147"/>
    </row>
    <row r="149" spans="1:17" ht="15" customHeight="1">
      <c r="A149" s="163">
        <f t="shared" si="2"/>
        <v>112</v>
      </c>
      <c r="B149" s="252" t="s">
        <v>331</v>
      </c>
      <c r="C149" s="388" t="s">
        <v>332</v>
      </c>
      <c r="D149" s="388"/>
      <c r="E149" s="388"/>
      <c r="F149" s="388"/>
      <c r="G149" s="388"/>
      <c r="H149" s="388"/>
      <c r="I149" s="388"/>
      <c r="J149" s="388"/>
      <c r="K149" s="388"/>
      <c r="L149" s="388"/>
      <c r="M149" s="253"/>
      <c r="N149" s="251"/>
      <c r="O149" s="147"/>
      <c r="P149" s="147"/>
    </row>
    <row r="150" spans="1:17" ht="15" customHeight="1">
      <c r="A150" s="163">
        <f t="shared" si="2"/>
        <v>113</v>
      </c>
      <c r="B150" s="252"/>
      <c r="C150" s="388" t="s">
        <v>333</v>
      </c>
      <c r="D150" s="388"/>
      <c r="E150" s="388"/>
      <c r="F150" s="388"/>
      <c r="G150" s="388"/>
      <c r="H150" s="388"/>
      <c r="I150" s="388"/>
      <c r="J150" s="388"/>
      <c r="K150" s="388"/>
      <c r="L150" s="388"/>
      <c r="M150" s="253"/>
      <c r="N150" s="251"/>
      <c r="O150" s="147"/>
      <c r="P150" s="147"/>
      <c r="Q150" s="147"/>
    </row>
    <row r="151" spans="1:17" ht="15" customHeight="1">
      <c r="A151" s="163">
        <f t="shared" si="2"/>
        <v>114</v>
      </c>
      <c r="B151" s="252" t="s">
        <v>334</v>
      </c>
      <c r="C151" s="254" t="s">
        <v>335</v>
      </c>
      <c r="D151" s="251"/>
      <c r="E151" s="251"/>
      <c r="F151" s="251"/>
      <c r="G151" s="251"/>
      <c r="H151" s="251"/>
      <c r="I151" s="251"/>
      <c r="J151" s="251"/>
      <c r="K151" s="251"/>
      <c r="L151" s="251"/>
      <c r="M151" s="251"/>
      <c r="N151" s="251"/>
      <c r="O151" s="147"/>
      <c r="P151" s="147"/>
      <c r="Q151" s="147"/>
    </row>
    <row r="152" spans="1:17" ht="15" customHeight="1">
      <c r="A152" s="163">
        <f t="shared" si="2"/>
        <v>115</v>
      </c>
      <c r="B152" s="147"/>
      <c r="C152" s="254" t="s">
        <v>336</v>
      </c>
      <c r="D152" s="251"/>
      <c r="E152" s="251"/>
      <c r="F152" s="251"/>
      <c r="G152" s="251"/>
      <c r="H152" s="251"/>
      <c r="I152" s="251"/>
      <c r="J152" s="251"/>
      <c r="K152" s="251"/>
      <c r="L152" s="251"/>
      <c r="M152" s="251"/>
      <c r="N152" s="251"/>
      <c r="O152" s="147"/>
      <c r="P152" s="147"/>
      <c r="Q152" s="147"/>
    </row>
    <row r="153" spans="1:17" ht="15" customHeight="1">
      <c r="A153" s="163">
        <f t="shared" si="2"/>
        <v>116</v>
      </c>
      <c r="B153" s="151" t="s">
        <v>337</v>
      </c>
      <c r="C153" s="254" t="s">
        <v>338</v>
      </c>
      <c r="D153" s="251"/>
      <c r="E153" s="251"/>
      <c r="F153" s="251"/>
      <c r="G153" s="251"/>
      <c r="H153" s="251"/>
      <c r="I153" s="251"/>
      <c r="J153" s="251"/>
      <c r="K153" s="251"/>
      <c r="L153" s="251"/>
      <c r="M153" s="251"/>
      <c r="N153" s="251"/>
      <c r="O153" s="147"/>
      <c r="P153" s="147"/>
      <c r="Q153" s="147"/>
    </row>
    <row r="154" spans="1:17" ht="15" customHeight="1">
      <c r="A154" s="163">
        <f t="shared" si="2"/>
        <v>117</v>
      </c>
      <c r="B154" s="252"/>
      <c r="C154" s="254" t="s">
        <v>339</v>
      </c>
      <c r="D154" s="255"/>
      <c r="E154" s="255"/>
      <c r="F154" s="255"/>
      <c r="G154" s="255"/>
      <c r="H154" s="255"/>
      <c r="I154" s="255"/>
      <c r="J154" s="255"/>
      <c r="K154" s="255"/>
      <c r="L154" s="255"/>
      <c r="M154" s="255"/>
      <c r="N154" s="251"/>
      <c r="O154" s="147"/>
      <c r="P154" s="147"/>
      <c r="Q154" s="147"/>
    </row>
    <row r="155" spans="1:17" ht="15" customHeight="1">
      <c r="A155" s="163">
        <f t="shared" si="2"/>
        <v>118</v>
      </c>
      <c r="B155" s="252" t="s">
        <v>340</v>
      </c>
      <c r="C155" s="256" t="s">
        <v>341</v>
      </c>
      <c r="D155" s="256"/>
      <c r="E155" s="251"/>
      <c r="F155" s="257"/>
      <c r="G155" s="251"/>
      <c r="H155" s="258"/>
      <c r="I155" s="258"/>
      <c r="J155" s="251"/>
      <c r="K155" s="258"/>
      <c r="L155" s="251"/>
      <c r="M155" s="251"/>
      <c r="N155" s="251"/>
      <c r="O155" s="147"/>
      <c r="P155" s="147"/>
      <c r="Q155" s="147"/>
    </row>
    <row r="156" spans="1:17" ht="15" customHeight="1">
      <c r="A156" s="163">
        <f t="shared" si="2"/>
        <v>119</v>
      </c>
      <c r="B156" s="252"/>
      <c r="C156" s="256" t="s">
        <v>342</v>
      </c>
      <c r="D156" s="256"/>
      <c r="E156" s="251"/>
      <c r="F156" s="257"/>
      <c r="G156" s="251"/>
      <c r="H156" s="258"/>
      <c r="I156" s="258"/>
      <c r="J156" s="251"/>
      <c r="K156" s="258"/>
      <c r="L156" s="251"/>
      <c r="M156" s="251"/>
      <c r="N156" s="251"/>
      <c r="O156" s="147"/>
      <c r="P156" s="147"/>
      <c r="Q156" s="147"/>
    </row>
    <row r="157" spans="1:17" ht="15" customHeight="1">
      <c r="A157" s="163">
        <f t="shared" si="2"/>
        <v>120</v>
      </c>
      <c r="B157" s="252" t="s">
        <v>343</v>
      </c>
      <c r="C157" s="259" t="s">
        <v>344</v>
      </c>
      <c r="D157" s="251"/>
      <c r="E157" s="251"/>
      <c r="F157" s="257"/>
      <c r="G157" s="251"/>
      <c r="H157" s="251"/>
      <c r="I157" s="251"/>
      <c r="J157" s="251"/>
      <c r="K157" s="251"/>
      <c r="L157" s="251"/>
      <c r="M157" s="251"/>
      <c r="N157" s="251"/>
      <c r="O157" s="147"/>
      <c r="P157" s="147"/>
      <c r="Q157" s="147"/>
    </row>
    <row r="158" spans="1:17" ht="15" customHeight="1">
      <c r="A158" s="163">
        <f t="shared" si="2"/>
        <v>121</v>
      </c>
      <c r="B158" s="252"/>
      <c r="C158" s="259" t="s">
        <v>345</v>
      </c>
      <c r="D158" s="251"/>
      <c r="E158" s="251"/>
      <c r="F158" s="257"/>
      <c r="G158" s="251"/>
      <c r="H158" s="251"/>
      <c r="I158" s="251"/>
      <c r="J158" s="251"/>
      <c r="K158" s="251"/>
      <c r="L158" s="251"/>
      <c r="M158" s="251"/>
      <c r="N158" s="251"/>
      <c r="O158" s="147"/>
      <c r="P158" s="147"/>
      <c r="Q158" s="147"/>
    </row>
    <row r="159" spans="1:17" ht="15" customHeight="1">
      <c r="A159" s="163">
        <f t="shared" si="2"/>
        <v>122</v>
      </c>
      <c r="B159" s="252" t="s">
        <v>346</v>
      </c>
      <c r="C159" s="251" t="s">
        <v>347</v>
      </c>
      <c r="D159" s="251"/>
      <c r="E159" s="251"/>
      <c r="F159" s="251"/>
      <c r="G159" s="251"/>
      <c r="H159" s="251"/>
      <c r="I159" s="251"/>
      <c r="J159" s="251"/>
      <c r="K159" s="251"/>
      <c r="L159" s="251"/>
      <c r="M159" s="251"/>
      <c r="N159" s="251"/>
      <c r="O159" s="147"/>
      <c r="P159" s="147"/>
      <c r="Q159" s="147"/>
    </row>
    <row r="160" spans="1:17" ht="15" customHeight="1">
      <c r="A160" s="163">
        <f t="shared" si="2"/>
        <v>123</v>
      </c>
      <c r="B160" s="252" t="s">
        <v>348</v>
      </c>
      <c r="C160" s="251" t="s">
        <v>349</v>
      </c>
      <c r="D160" s="251"/>
      <c r="E160" s="251"/>
      <c r="F160" s="251"/>
      <c r="G160" s="251"/>
      <c r="H160" s="251"/>
      <c r="I160" s="251"/>
      <c r="J160" s="251"/>
      <c r="K160" s="251"/>
      <c r="L160" s="251"/>
      <c r="M160" s="251"/>
      <c r="N160" s="251"/>
      <c r="O160" s="147"/>
      <c r="P160" s="147"/>
      <c r="Q160" s="147"/>
    </row>
    <row r="161" spans="1:17" ht="15" customHeight="1">
      <c r="A161" s="163">
        <f t="shared" si="2"/>
        <v>124</v>
      </c>
      <c r="B161" s="252"/>
      <c r="C161" s="251" t="s">
        <v>350</v>
      </c>
      <c r="D161" s="251"/>
      <c r="E161" s="251"/>
      <c r="F161" s="251"/>
      <c r="G161" s="251"/>
      <c r="H161" s="251"/>
      <c r="I161" s="251"/>
      <c r="J161" s="251"/>
      <c r="K161" s="251"/>
      <c r="L161" s="251"/>
      <c r="M161" s="251"/>
      <c r="N161" s="251"/>
      <c r="O161" s="147"/>
      <c r="P161" s="147"/>
      <c r="Q161" s="147"/>
    </row>
    <row r="162" spans="1:17" ht="15" customHeight="1">
      <c r="A162" s="163">
        <f t="shared" si="2"/>
        <v>125</v>
      </c>
      <c r="B162" s="252" t="s">
        <v>351</v>
      </c>
      <c r="C162" s="251" t="s">
        <v>352</v>
      </c>
      <c r="D162" s="251"/>
      <c r="E162" s="251"/>
      <c r="F162" s="251"/>
      <c r="G162" s="251"/>
      <c r="H162" s="251"/>
      <c r="I162" s="251"/>
      <c r="J162" s="251"/>
      <c r="K162" s="251"/>
      <c r="L162" s="251"/>
      <c r="M162" s="251"/>
      <c r="N162" s="251"/>
      <c r="O162" s="147"/>
      <c r="P162" s="147"/>
      <c r="Q162" s="147"/>
    </row>
    <row r="163" spans="1:17" ht="15" customHeight="1">
      <c r="A163" s="163">
        <f t="shared" si="2"/>
        <v>126</v>
      </c>
      <c r="B163" s="252"/>
      <c r="C163" s="251"/>
      <c r="D163" s="251"/>
      <c r="E163" s="251"/>
      <c r="F163" s="251"/>
      <c r="G163" s="251"/>
      <c r="H163" s="251"/>
      <c r="I163" s="251"/>
      <c r="J163" s="251"/>
      <c r="K163" s="251"/>
      <c r="L163" s="251"/>
      <c r="M163" s="251"/>
      <c r="N163" s="251"/>
      <c r="O163" s="147"/>
      <c r="P163" s="147"/>
      <c r="Q163" s="147"/>
    </row>
    <row r="164" spans="1:17" ht="15" customHeight="1">
      <c r="A164" s="163">
        <f t="shared" si="2"/>
        <v>127</v>
      </c>
      <c r="B164" s="252" t="s">
        <v>353</v>
      </c>
      <c r="C164" s="251" t="s">
        <v>354</v>
      </c>
      <c r="D164" s="251"/>
      <c r="E164" s="251"/>
      <c r="F164" s="251"/>
      <c r="G164" s="251"/>
      <c r="H164" s="251"/>
      <c r="I164" s="251"/>
      <c r="J164" s="251"/>
      <c r="K164" s="251"/>
      <c r="L164" s="251"/>
      <c r="M164" s="251"/>
      <c r="N164" s="251"/>
      <c r="O164" s="147"/>
      <c r="P164" s="147"/>
      <c r="Q164" s="147"/>
    </row>
    <row r="165" spans="1:17" ht="15" customHeight="1">
      <c r="A165" s="252"/>
      <c r="B165" s="252"/>
      <c r="C165" s="251"/>
      <c r="D165" s="251"/>
      <c r="E165" s="251"/>
      <c r="F165" s="251"/>
      <c r="G165" s="251"/>
      <c r="H165" s="251"/>
      <c r="I165" s="251"/>
      <c r="J165" s="251"/>
      <c r="K165" s="251"/>
      <c r="L165" s="251"/>
      <c r="M165" s="251"/>
      <c r="N165" s="251"/>
      <c r="O165" s="147"/>
      <c r="P165" s="147"/>
      <c r="Q165" s="147"/>
    </row>
    <row r="166" spans="1:17" ht="15" customHeight="1">
      <c r="A166" s="252"/>
      <c r="B166" s="252"/>
      <c r="C166" s="251"/>
      <c r="D166" s="251"/>
      <c r="E166" s="251"/>
      <c r="F166" s="251"/>
      <c r="G166" s="251"/>
      <c r="H166" s="251"/>
      <c r="I166" s="251"/>
      <c r="J166" s="251"/>
      <c r="K166" s="251"/>
      <c r="L166" s="251"/>
      <c r="M166" s="251"/>
      <c r="N166" s="251"/>
      <c r="O166" s="147"/>
      <c r="P166" s="147"/>
      <c r="Q166" s="147"/>
    </row>
    <row r="167" spans="1:17" ht="15" customHeight="1">
      <c r="A167" s="252"/>
      <c r="B167" s="252"/>
      <c r="C167" s="251"/>
      <c r="D167" s="251"/>
      <c r="E167" s="251"/>
      <c r="F167" s="251"/>
      <c r="G167" s="251"/>
      <c r="H167" s="251"/>
      <c r="I167" s="251"/>
      <c r="J167" s="251"/>
      <c r="K167" s="251"/>
      <c r="L167" s="251"/>
      <c r="M167" s="251"/>
      <c r="N167" s="251"/>
      <c r="O167" s="147"/>
      <c r="P167" s="147"/>
      <c r="Q167" s="147"/>
    </row>
    <row r="168" spans="1:17" ht="15" customHeight="1">
      <c r="A168" s="260"/>
      <c r="B168" s="260"/>
      <c r="C168" s="255"/>
      <c r="D168" s="255"/>
      <c r="E168" s="255"/>
      <c r="F168" s="255"/>
      <c r="G168" s="255"/>
      <c r="H168" s="255"/>
      <c r="I168" s="255"/>
      <c r="J168" s="255"/>
      <c r="K168" s="255"/>
      <c r="L168" s="255"/>
      <c r="M168" s="255"/>
      <c r="N168" s="255"/>
      <c r="O168" s="147"/>
      <c r="P168" s="147"/>
      <c r="Q168" s="147"/>
    </row>
    <row r="169" spans="1:17" ht="15" customHeight="1">
      <c r="A169" s="260"/>
      <c r="B169" s="260"/>
      <c r="C169" s="255"/>
      <c r="D169" s="255"/>
      <c r="E169" s="255"/>
      <c r="F169" s="255"/>
      <c r="G169" s="255"/>
      <c r="H169" s="255"/>
      <c r="I169" s="255"/>
      <c r="J169" s="255"/>
      <c r="K169" s="255"/>
      <c r="L169" s="255"/>
      <c r="M169" s="255"/>
      <c r="N169" s="255"/>
      <c r="O169" s="147"/>
      <c r="P169" s="147"/>
      <c r="Q169" s="147"/>
    </row>
    <row r="170" spans="1:17" ht="15" customHeight="1">
      <c r="A170" s="260"/>
      <c r="B170" s="260"/>
      <c r="C170" s="255"/>
      <c r="D170" s="255"/>
      <c r="E170" s="255"/>
      <c r="F170" s="255"/>
      <c r="G170" s="255"/>
      <c r="H170" s="255"/>
      <c r="I170" s="255"/>
      <c r="J170" s="255"/>
      <c r="K170" s="255"/>
      <c r="L170" s="255"/>
      <c r="M170" s="255"/>
      <c r="N170" s="255"/>
      <c r="O170" s="147"/>
      <c r="P170" s="147"/>
      <c r="Q170" s="147"/>
    </row>
    <row r="171" spans="1:17" s="262" customFormat="1" ht="15" customHeight="1">
      <c r="A171" s="260"/>
      <c r="B171" s="260"/>
      <c r="C171" s="255"/>
      <c r="D171" s="255"/>
      <c r="E171" s="255"/>
      <c r="F171" s="255"/>
      <c r="G171" s="255"/>
      <c r="H171" s="255"/>
      <c r="I171" s="255"/>
      <c r="J171" s="255"/>
      <c r="K171" s="255"/>
      <c r="L171" s="255"/>
      <c r="M171" s="255"/>
      <c r="N171" s="255"/>
      <c r="O171" s="261"/>
      <c r="P171" s="261"/>
      <c r="Q171" s="261"/>
    </row>
    <row r="172" spans="1:17" s="262" customFormat="1" ht="15" customHeight="1">
      <c r="A172" s="260"/>
      <c r="B172" s="260"/>
      <c r="C172" s="255"/>
      <c r="D172" s="255"/>
      <c r="E172" s="255"/>
      <c r="F172" s="255"/>
      <c r="G172" s="255"/>
      <c r="H172" s="255"/>
      <c r="I172" s="255"/>
      <c r="J172" s="255"/>
      <c r="K172" s="255"/>
      <c r="L172" s="255"/>
      <c r="M172" s="255"/>
      <c r="N172" s="255"/>
      <c r="O172" s="261"/>
      <c r="P172" s="261"/>
      <c r="Q172" s="261"/>
    </row>
    <row r="173" spans="1:17" s="262" customFormat="1" ht="15" customHeight="1">
      <c r="A173" s="249"/>
      <c r="B173" s="249"/>
      <c r="C173" s="250"/>
      <c r="D173" s="250"/>
      <c r="E173" s="147"/>
      <c r="F173" s="239"/>
      <c r="G173" s="147"/>
      <c r="H173" s="212"/>
      <c r="I173" s="212"/>
      <c r="J173" s="212"/>
      <c r="K173" s="150"/>
      <c r="L173" s="212"/>
      <c r="M173" s="212"/>
      <c r="N173" s="150"/>
      <c r="O173" s="261"/>
      <c r="P173" s="261"/>
      <c r="Q173" s="261"/>
    </row>
    <row r="174" spans="1:17" s="262" customFormat="1" ht="15" customHeight="1">
      <c r="A174" s="249"/>
      <c r="B174" s="249"/>
      <c r="C174" s="255"/>
      <c r="D174" s="255"/>
      <c r="E174" s="261"/>
      <c r="F174" s="263"/>
      <c r="G174" s="261"/>
      <c r="H174" s="264"/>
      <c r="I174" s="264"/>
      <c r="J174" s="264"/>
      <c r="K174" s="265"/>
      <c r="L174" s="264"/>
      <c r="M174" s="264"/>
      <c r="N174" s="265"/>
      <c r="O174" s="261"/>
      <c r="P174" s="261"/>
      <c r="Q174" s="261"/>
    </row>
    <row r="175" spans="1:17" ht="15" customHeight="1">
      <c r="A175" s="163"/>
      <c r="B175" s="163"/>
      <c r="C175" s="212"/>
      <c r="D175" s="212"/>
      <c r="E175" s="212"/>
      <c r="F175" s="212"/>
      <c r="G175" s="212"/>
      <c r="H175" s="212"/>
      <c r="I175" s="212"/>
      <c r="J175" s="212"/>
      <c r="K175" s="212"/>
      <c r="L175" s="212"/>
      <c r="M175" s="212"/>
      <c r="N175" s="212"/>
      <c r="O175" s="147"/>
      <c r="P175" s="147"/>
      <c r="Q175" s="147"/>
    </row>
    <row r="176" spans="1:17" ht="15" customHeight="1">
      <c r="A176" s="163"/>
      <c r="B176" s="163"/>
      <c r="C176" s="212"/>
      <c r="D176" s="212"/>
      <c r="E176" s="212"/>
      <c r="F176" s="212"/>
      <c r="G176" s="212"/>
      <c r="H176" s="212"/>
      <c r="I176" s="212"/>
      <c r="J176" s="212"/>
      <c r="K176" s="212"/>
      <c r="L176" s="212"/>
      <c r="M176" s="212"/>
      <c r="N176" s="212"/>
      <c r="O176" s="147"/>
      <c r="P176" s="147"/>
      <c r="Q176" s="147"/>
    </row>
    <row r="177" spans="1:17" ht="15" customHeight="1">
      <c r="A177" s="163"/>
      <c r="B177" s="163"/>
      <c r="C177" s="212"/>
      <c r="D177" s="212"/>
      <c r="E177" s="212"/>
      <c r="F177" s="212"/>
      <c r="G177" s="212"/>
      <c r="H177" s="212"/>
      <c r="I177" s="212"/>
      <c r="J177" s="212"/>
      <c r="K177" s="212"/>
      <c r="L177" s="212"/>
      <c r="M177" s="212"/>
      <c r="N177" s="212"/>
      <c r="O177" s="147"/>
      <c r="P177" s="147"/>
      <c r="Q177" s="147"/>
    </row>
    <row r="178" spans="1:17" ht="15" customHeight="1">
      <c r="A178" s="163"/>
      <c r="B178" s="163"/>
      <c r="C178" s="212"/>
      <c r="D178" s="212"/>
      <c r="E178" s="212"/>
      <c r="F178" s="212"/>
      <c r="G178" s="212"/>
      <c r="H178" s="212"/>
      <c r="I178" s="212"/>
      <c r="J178" s="212"/>
      <c r="K178" s="212"/>
      <c r="L178" s="212"/>
      <c r="M178" s="212"/>
      <c r="N178" s="212"/>
      <c r="O178" s="147"/>
      <c r="P178" s="147"/>
      <c r="Q178" s="147"/>
    </row>
    <row r="179" spans="1:17" ht="15" customHeight="1">
      <c r="A179" s="163"/>
      <c r="B179" s="163"/>
      <c r="C179" s="212"/>
      <c r="D179" s="212"/>
      <c r="E179" s="212"/>
      <c r="F179" s="212"/>
      <c r="G179" s="212"/>
      <c r="H179" s="212"/>
      <c r="I179" s="212"/>
      <c r="J179" s="212"/>
      <c r="K179" s="212"/>
      <c r="L179" s="212"/>
      <c r="M179" s="212"/>
      <c r="N179" s="212"/>
      <c r="O179" s="147"/>
      <c r="P179" s="147"/>
      <c r="Q179" s="147"/>
    </row>
    <row r="180" spans="1:17" ht="15" customHeight="1">
      <c r="A180" s="266"/>
      <c r="B180" s="163"/>
      <c r="C180" s="212"/>
      <c r="D180" s="212"/>
      <c r="E180" s="212"/>
      <c r="F180" s="212"/>
      <c r="G180" s="212"/>
      <c r="H180" s="212"/>
      <c r="I180" s="212"/>
      <c r="J180" s="212"/>
      <c r="K180" s="212"/>
      <c r="L180" s="212"/>
      <c r="M180" s="212"/>
      <c r="N180" s="212"/>
      <c r="O180" s="147"/>
      <c r="P180" s="147"/>
      <c r="Q180" s="147"/>
    </row>
    <row r="181" spans="1:17" ht="15" customHeight="1">
      <c r="A181" s="266"/>
      <c r="B181" s="163"/>
      <c r="C181" s="212"/>
      <c r="D181" s="212"/>
      <c r="E181" s="212"/>
      <c r="F181" s="212"/>
      <c r="G181" s="212"/>
      <c r="H181" s="212"/>
      <c r="I181" s="212"/>
      <c r="J181" s="212"/>
      <c r="K181" s="212"/>
      <c r="L181" s="212"/>
      <c r="M181" s="212"/>
      <c r="N181" s="212"/>
      <c r="O181" s="147"/>
      <c r="P181" s="147"/>
      <c r="Q181" s="147"/>
    </row>
    <row r="182" spans="1:17" ht="15" customHeight="1">
      <c r="A182" s="266"/>
      <c r="B182" s="163"/>
      <c r="C182" s="212"/>
      <c r="D182" s="212"/>
      <c r="E182" s="212"/>
      <c r="F182" s="212"/>
      <c r="G182" s="212"/>
      <c r="H182" s="212"/>
      <c r="I182" s="212"/>
      <c r="J182" s="212"/>
      <c r="K182" s="212"/>
      <c r="L182" s="212"/>
      <c r="M182" s="212"/>
      <c r="N182" s="212"/>
      <c r="O182" s="147"/>
      <c r="P182" s="147"/>
      <c r="Q182" s="147"/>
    </row>
    <row r="183" spans="1:17" ht="15" customHeight="1">
      <c r="A183" s="266"/>
      <c r="B183" s="163"/>
      <c r="C183" s="212"/>
      <c r="D183" s="212"/>
      <c r="E183" s="212"/>
      <c r="F183" s="212"/>
      <c r="G183" s="212"/>
      <c r="H183" s="212"/>
      <c r="I183" s="212"/>
      <c r="J183" s="212"/>
      <c r="K183" s="212"/>
      <c r="L183" s="212"/>
      <c r="M183" s="212"/>
      <c r="N183" s="212"/>
      <c r="O183" s="147"/>
      <c r="P183" s="147"/>
      <c r="Q183" s="147"/>
    </row>
    <row r="184" spans="1:17" ht="15" customHeight="1">
      <c r="A184" s="266"/>
      <c r="B184" s="163"/>
      <c r="C184" s="212"/>
      <c r="D184" s="212"/>
      <c r="E184" s="212"/>
      <c r="F184" s="212"/>
      <c r="G184" s="212"/>
      <c r="H184" s="212"/>
      <c r="I184" s="212"/>
      <c r="J184" s="212"/>
      <c r="K184" s="212"/>
      <c r="L184" s="212"/>
      <c r="M184" s="212"/>
      <c r="N184" s="212"/>
      <c r="O184" s="147"/>
      <c r="P184" s="147"/>
      <c r="Q184" s="147"/>
    </row>
    <row r="185" spans="1:17" ht="15" customHeight="1">
      <c r="A185" s="266"/>
      <c r="B185" s="163"/>
      <c r="C185" s="212"/>
      <c r="D185" s="212"/>
      <c r="E185" s="212"/>
      <c r="F185" s="212"/>
      <c r="G185" s="212"/>
      <c r="H185" s="212"/>
      <c r="I185" s="212"/>
      <c r="J185" s="212"/>
      <c r="K185" s="212"/>
      <c r="L185" s="212"/>
      <c r="M185" s="212"/>
      <c r="N185" s="212"/>
      <c r="O185" s="147"/>
      <c r="P185" s="147"/>
      <c r="Q185" s="147"/>
    </row>
    <row r="186" spans="1:17" ht="15" customHeight="1">
      <c r="A186" s="266"/>
      <c r="B186" s="163"/>
      <c r="C186" s="212"/>
      <c r="D186" s="212"/>
      <c r="E186" s="212"/>
      <c r="F186" s="212"/>
      <c r="G186" s="212"/>
      <c r="H186" s="212"/>
      <c r="I186" s="212"/>
      <c r="J186" s="212"/>
      <c r="K186" s="212"/>
      <c r="L186" s="212"/>
      <c r="M186" s="212"/>
      <c r="N186" s="212"/>
      <c r="O186" s="147"/>
      <c r="P186" s="147"/>
      <c r="Q186" s="147"/>
    </row>
    <row r="187" spans="1:17" ht="15" customHeight="1">
      <c r="A187" s="266"/>
      <c r="B187" s="163"/>
      <c r="C187" s="212"/>
      <c r="D187" s="212"/>
      <c r="E187" s="212"/>
      <c r="F187" s="212"/>
      <c r="G187" s="212"/>
      <c r="H187" s="212"/>
      <c r="I187" s="212"/>
      <c r="J187" s="212"/>
      <c r="K187" s="212"/>
      <c r="L187" s="212"/>
      <c r="M187" s="212"/>
      <c r="N187" s="212"/>
      <c r="O187" s="147"/>
      <c r="P187" s="147"/>
      <c r="Q187" s="147"/>
    </row>
    <row r="188" spans="1:17" ht="15" customHeight="1">
      <c r="A188" s="266"/>
      <c r="B188" s="163"/>
      <c r="C188" s="212"/>
      <c r="D188" s="212"/>
      <c r="E188" s="212"/>
      <c r="F188" s="212"/>
      <c r="G188" s="212"/>
      <c r="H188" s="212"/>
      <c r="I188" s="212"/>
      <c r="J188" s="212"/>
      <c r="K188" s="212"/>
      <c r="L188" s="212"/>
      <c r="M188" s="212"/>
      <c r="N188" s="212"/>
      <c r="O188" s="147"/>
      <c r="P188" s="147"/>
      <c r="Q188" s="147"/>
    </row>
    <row r="189" spans="1:17">
      <c r="A189" s="266"/>
      <c r="B189" s="163"/>
      <c r="C189" s="212"/>
      <c r="D189" s="212"/>
      <c r="E189" s="212"/>
      <c r="F189" s="212"/>
      <c r="G189" s="212"/>
      <c r="H189" s="212"/>
      <c r="I189" s="212"/>
      <c r="J189" s="212"/>
      <c r="K189" s="212"/>
      <c r="L189" s="212"/>
      <c r="M189" s="212"/>
      <c r="N189" s="212"/>
      <c r="O189" s="147"/>
      <c r="P189" s="147"/>
      <c r="Q189" s="147"/>
    </row>
    <row r="190" spans="1:17">
      <c r="A190" s="266"/>
      <c r="B190" s="163"/>
      <c r="C190" s="212"/>
      <c r="D190" s="212"/>
      <c r="E190" s="212"/>
      <c r="F190" s="212"/>
      <c r="G190" s="212"/>
      <c r="H190" s="212"/>
      <c r="I190" s="212"/>
      <c r="J190" s="212"/>
      <c r="K190" s="212"/>
      <c r="L190" s="212"/>
      <c r="M190" s="212"/>
      <c r="N190" s="212"/>
      <c r="O190" s="147"/>
      <c r="P190" s="147"/>
      <c r="Q190" s="147"/>
    </row>
    <row r="191" spans="1:17">
      <c r="A191" s="266"/>
      <c r="B191" s="163"/>
      <c r="C191" s="212"/>
      <c r="D191" s="212"/>
      <c r="E191" s="212"/>
      <c r="F191" s="212"/>
      <c r="G191" s="212"/>
      <c r="H191" s="212"/>
      <c r="I191" s="212"/>
      <c r="J191" s="212"/>
      <c r="K191" s="212"/>
      <c r="L191" s="212"/>
      <c r="M191" s="212"/>
      <c r="N191" s="212"/>
      <c r="O191" s="147"/>
      <c r="P191" s="147"/>
      <c r="Q191" s="147"/>
    </row>
    <row r="192" spans="1:17">
      <c r="A192" s="266"/>
      <c r="B192" s="163"/>
      <c r="C192" s="212"/>
      <c r="D192" s="212"/>
      <c r="E192" s="212"/>
      <c r="F192" s="212"/>
      <c r="G192" s="212"/>
      <c r="H192" s="212"/>
      <c r="I192" s="212"/>
      <c r="J192" s="212"/>
      <c r="K192" s="212"/>
      <c r="L192" s="212"/>
      <c r="M192" s="212"/>
      <c r="N192" s="212"/>
      <c r="O192" s="147"/>
      <c r="P192" s="147"/>
      <c r="Q192" s="147"/>
    </row>
    <row r="193" spans="1:15">
      <c r="A193" s="266"/>
      <c r="B193" s="163"/>
      <c r="C193" s="212"/>
      <c r="D193" s="212"/>
      <c r="E193" s="212"/>
      <c r="F193" s="212"/>
      <c r="G193" s="212"/>
      <c r="H193" s="212"/>
      <c r="I193" s="212"/>
      <c r="J193" s="212"/>
      <c r="K193" s="212"/>
      <c r="L193" s="212"/>
      <c r="M193" s="212"/>
      <c r="N193" s="212"/>
      <c r="O193" s="147"/>
    </row>
    <row r="194" spans="1:15">
      <c r="A194" s="266"/>
      <c r="B194" s="163"/>
      <c r="C194" s="212"/>
      <c r="D194" s="212"/>
      <c r="E194" s="212"/>
      <c r="F194" s="212"/>
      <c r="G194" s="212"/>
      <c r="H194" s="212"/>
      <c r="I194" s="212"/>
      <c r="J194" s="212"/>
      <c r="K194" s="212"/>
      <c r="L194" s="212"/>
      <c r="M194" s="212"/>
      <c r="N194" s="212"/>
      <c r="O194" s="147"/>
    </row>
    <row r="195" spans="1:15">
      <c r="A195" s="266"/>
      <c r="B195" s="163"/>
      <c r="C195" s="212"/>
      <c r="D195" s="212"/>
      <c r="E195" s="212"/>
      <c r="F195" s="212"/>
      <c r="G195" s="212"/>
      <c r="H195" s="212"/>
      <c r="I195" s="212"/>
      <c r="J195" s="212"/>
      <c r="K195" s="212"/>
      <c r="L195" s="212"/>
      <c r="M195" s="212"/>
      <c r="N195" s="212"/>
      <c r="O195" s="147"/>
    </row>
    <row r="196" spans="1:15">
      <c r="A196" s="266"/>
      <c r="B196" s="163"/>
      <c r="C196" s="212"/>
      <c r="D196" s="212"/>
      <c r="E196" s="212"/>
      <c r="F196" s="212"/>
      <c r="G196" s="212"/>
      <c r="H196" s="212"/>
      <c r="I196" s="212"/>
      <c r="J196" s="212"/>
      <c r="K196" s="212"/>
      <c r="L196" s="212"/>
      <c r="M196" s="212"/>
      <c r="N196" s="212"/>
      <c r="O196" s="147"/>
    </row>
    <row r="197" spans="1:15">
      <c r="B197" s="147"/>
      <c r="C197" s="147"/>
      <c r="D197" s="147"/>
      <c r="E197" s="147"/>
      <c r="F197" s="147"/>
      <c r="G197" s="147"/>
      <c r="H197" s="147"/>
      <c r="I197" s="147"/>
      <c r="J197" s="147"/>
      <c r="K197" s="147"/>
      <c r="L197" s="147"/>
      <c r="M197" s="147"/>
      <c r="N197" s="147"/>
      <c r="O197" s="147"/>
    </row>
  </sheetData>
  <mergeCells count="2">
    <mergeCell ref="C149:L149"/>
    <mergeCell ref="C150:L150"/>
  </mergeCells>
  <printOptions horizontalCentered="1"/>
  <pageMargins left="0.2" right="0.2" top="0.21" bottom="0.21" header="0.3" footer="0.3"/>
  <pageSetup scale="46" fitToHeight="4" orientation="portrait" r:id="rId1"/>
  <headerFooter>
    <oddHeader xml:space="preserve">&amp;R&amp;14
</oddHeader>
  </headerFooter>
  <rowBreaks count="1" manualBreakCount="1">
    <brk id="93"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C005B-9F0D-4B31-8513-D9F29C572658}">
  <dimension ref="A1:O94"/>
  <sheetViews>
    <sheetView workbookViewId="0">
      <selection activeCell="H93" sqref="H93"/>
    </sheetView>
  </sheetViews>
  <sheetFormatPr defaultRowHeight="12.75" customHeight="1"/>
  <cols>
    <col min="1" max="1" width="8.7109375" style="278" bestFit="1" customWidth="1"/>
    <col min="2" max="2" width="4.85546875" style="278" bestFit="1" customWidth="1"/>
    <col min="3" max="3" width="12.42578125" style="278" bestFit="1" customWidth="1"/>
    <col min="4" max="4" width="15" style="278" bestFit="1" customWidth="1"/>
    <col min="5" max="5" width="13.7109375" style="278" bestFit="1" customWidth="1"/>
    <col min="6" max="6" width="26.42578125" style="278" bestFit="1" customWidth="1"/>
    <col min="7" max="7" width="16.28515625" style="278" bestFit="1" customWidth="1"/>
    <col min="8" max="8" width="13.7109375" style="278" bestFit="1" customWidth="1"/>
    <col min="9" max="9" width="58" style="278" bestFit="1" customWidth="1"/>
    <col min="10" max="10" width="15" style="278" bestFit="1" customWidth="1"/>
    <col min="11" max="11" width="16.28515625" style="278" bestFit="1" customWidth="1"/>
    <col min="12" max="12" width="13.7109375" style="278" bestFit="1" customWidth="1"/>
    <col min="13" max="13" width="21.28515625" style="278" bestFit="1" customWidth="1"/>
    <col min="14" max="14" width="10" style="278" bestFit="1" customWidth="1"/>
    <col min="15" max="15" width="16.28515625" style="278" bestFit="1" customWidth="1"/>
    <col min="16" max="16384" width="9.140625" style="278"/>
  </cols>
  <sheetData>
    <row r="1" spans="1:15" ht="55.5" customHeight="1">
      <c r="A1" s="390"/>
      <c r="B1" s="390"/>
      <c r="C1" s="390"/>
      <c r="D1" s="390"/>
      <c r="E1" s="391" t="s">
        <v>384</v>
      </c>
      <c r="F1" s="390"/>
      <c r="G1" s="390"/>
      <c r="H1" s="390"/>
      <c r="I1" s="392" t="s">
        <v>385</v>
      </c>
      <c r="J1" s="390"/>
      <c r="K1" s="390"/>
      <c r="L1" s="281" t="s">
        <v>386</v>
      </c>
    </row>
    <row r="2" spans="1:15">
      <c r="A2" s="390"/>
      <c r="B2" s="390"/>
      <c r="C2" s="390"/>
      <c r="D2" s="390"/>
      <c r="E2" s="391" t="s">
        <v>387</v>
      </c>
      <c r="F2" s="390"/>
      <c r="G2" s="390"/>
      <c r="H2" s="390"/>
      <c r="I2" s="280" t="s">
        <v>388</v>
      </c>
      <c r="L2" s="279" t="s">
        <v>389</v>
      </c>
      <c r="M2" s="282" t="s">
        <v>390</v>
      </c>
    </row>
    <row r="3" spans="1:15">
      <c r="A3" s="390"/>
      <c r="B3" s="390"/>
      <c r="C3" s="390"/>
      <c r="D3" s="390"/>
      <c r="I3" s="390"/>
      <c r="J3" s="390"/>
      <c r="K3" s="390"/>
      <c r="L3" s="389" t="s">
        <v>391</v>
      </c>
      <c r="M3" s="390"/>
    </row>
    <row r="4" spans="1:15" ht="13.5" thickBot="1">
      <c r="A4" s="283" t="s">
        <v>392</v>
      </c>
      <c r="B4" s="283" t="s">
        <v>393</v>
      </c>
      <c r="M4" s="395" t="s">
        <v>394</v>
      </c>
      <c r="N4" s="396"/>
      <c r="O4" s="396"/>
    </row>
    <row r="5" spans="1:15" ht="13.5" thickBot="1">
      <c r="A5" s="397"/>
      <c r="B5" s="398"/>
      <c r="C5" s="284"/>
      <c r="D5" s="284"/>
      <c r="E5" s="284"/>
      <c r="F5" s="284"/>
      <c r="G5" s="284"/>
      <c r="H5" s="284"/>
      <c r="I5" s="284"/>
      <c r="J5" s="284"/>
      <c r="K5" s="284"/>
      <c r="L5" s="284"/>
      <c r="M5" s="399" t="s">
        <v>395</v>
      </c>
      <c r="N5" s="398"/>
      <c r="O5" s="284"/>
    </row>
    <row r="6" spans="1:15" ht="13.5" thickBot="1">
      <c r="A6" s="400" t="s">
        <v>382</v>
      </c>
      <c r="B6" s="401"/>
      <c r="C6" s="286"/>
      <c r="D6" s="285" t="s">
        <v>105</v>
      </c>
      <c r="E6" s="285" t="s">
        <v>396</v>
      </c>
      <c r="F6" s="285" t="s">
        <v>397</v>
      </c>
      <c r="G6" s="285" t="s">
        <v>398</v>
      </c>
      <c r="H6" s="285" t="s">
        <v>399</v>
      </c>
      <c r="I6" s="285" t="s">
        <v>400</v>
      </c>
      <c r="J6" s="285" t="s">
        <v>401</v>
      </c>
      <c r="K6" s="285" t="s">
        <v>402</v>
      </c>
      <c r="L6" s="285" t="s">
        <v>403</v>
      </c>
      <c r="M6" s="285" t="s">
        <v>404</v>
      </c>
      <c r="N6" s="285" t="s">
        <v>405</v>
      </c>
      <c r="O6" s="285" t="s">
        <v>406</v>
      </c>
    </row>
    <row r="7" spans="1:15">
      <c r="A7" s="393">
        <v>11</v>
      </c>
      <c r="B7" s="394"/>
      <c r="C7" s="288" t="s">
        <v>407</v>
      </c>
      <c r="D7" s="289">
        <v>385115.71</v>
      </c>
      <c r="E7" s="289">
        <v>19980.93</v>
      </c>
      <c r="F7" s="295">
        <v>365134.78</v>
      </c>
      <c r="G7" s="290">
        <v>2373312</v>
      </c>
      <c r="H7" s="290">
        <v>0</v>
      </c>
      <c r="I7" s="291">
        <v>0</v>
      </c>
      <c r="J7" s="290">
        <v>142.5</v>
      </c>
      <c r="K7" s="290">
        <v>0</v>
      </c>
      <c r="L7" s="290">
        <v>0</v>
      </c>
      <c r="M7" s="289">
        <v>16.226931393765</v>
      </c>
      <c r="N7" s="289">
        <v>15.385030708141</v>
      </c>
      <c r="O7" s="289">
        <v>0</v>
      </c>
    </row>
    <row r="8" spans="1:15">
      <c r="A8" s="393">
        <v>12</v>
      </c>
      <c r="B8" s="394"/>
      <c r="C8" s="288" t="s">
        <v>408</v>
      </c>
      <c r="D8" s="289">
        <v>30560.7</v>
      </c>
      <c r="E8" s="289">
        <v>1616.58</v>
      </c>
      <c r="F8" s="295">
        <v>28944.12</v>
      </c>
      <c r="G8" s="290">
        <v>195425</v>
      </c>
      <c r="H8" s="290">
        <v>0</v>
      </c>
      <c r="I8" s="291">
        <v>0</v>
      </c>
      <c r="J8" s="290">
        <v>10</v>
      </c>
      <c r="K8" s="290">
        <v>0</v>
      </c>
      <c r="L8" s="290">
        <v>0</v>
      </c>
      <c r="M8" s="289">
        <v>15.638070871178</v>
      </c>
      <c r="N8" s="289">
        <v>14.810858385569</v>
      </c>
      <c r="O8" s="289">
        <v>0</v>
      </c>
    </row>
    <row r="9" spans="1:15">
      <c r="A9" s="393">
        <v>13</v>
      </c>
      <c r="B9" s="394"/>
      <c r="C9" s="288" t="s">
        <v>409</v>
      </c>
      <c r="D9" s="289">
        <v>2769.72</v>
      </c>
      <c r="E9" s="289">
        <v>139.13</v>
      </c>
      <c r="F9" s="295">
        <v>2630.59</v>
      </c>
      <c r="G9" s="290">
        <v>17465</v>
      </c>
      <c r="H9" s="290">
        <v>0</v>
      </c>
      <c r="I9" s="291">
        <v>0</v>
      </c>
      <c r="J9" s="290">
        <v>1</v>
      </c>
      <c r="K9" s="290">
        <v>0</v>
      </c>
      <c r="L9" s="290">
        <v>0</v>
      </c>
      <c r="M9" s="289">
        <v>15.858688806183</v>
      </c>
      <c r="N9" s="289">
        <v>15.062066991125</v>
      </c>
      <c r="O9" s="289">
        <v>0</v>
      </c>
    </row>
    <row r="10" spans="1:15">
      <c r="A10" s="393">
        <v>14</v>
      </c>
      <c r="B10" s="394"/>
      <c r="C10" s="288" t="s">
        <v>410</v>
      </c>
      <c r="D10" s="289">
        <v>31411.58</v>
      </c>
      <c r="E10" s="289">
        <v>1669.36</v>
      </c>
      <c r="F10" s="295">
        <v>29742.22</v>
      </c>
      <c r="G10" s="290">
        <v>200355</v>
      </c>
      <c r="H10" s="290">
        <v>0</v>
      </c>
      <c r="I10" s="291">
        <v>0</v>
      </c>
      <c r="J10" s="290">
        <v>12.333333333333</v>
      </c>
      <c r="K10" s="290">
        <v>0</v>
      </c>
      <c r="L10" s="290">
        <v>0</v>
      </c>
      <c r="M10" s="289">
        <v>15.677961618127</v>
      </c>
      <c r="N10" s="289">
        <v>14.844760550023</v>
      </c>
      <c r="O10" s="289">
        <v>0</v>
      </c>
    </row>
    <row r="11" spans="1:15">
      <c r="A11" s="393">
        <v>15</v>
      </c>
      <c r="B11" s="394"/>
      <c r="C11" s="288" t="s">
        <v>411</v>
      </c>
      <c r="D11" s="289">
        <v>159710869.38999999</v>
      </c>
      <c r="E11" s="289">
        <v>7366657.5800000001</v>
      </c>
      <c r="F11" s="295">
        <v>152344211.81</v>
      </c>
      <c r="G11" s="290">
        <v>887102833</v>
      </c>
      <c r="H11" s="290">
        <v>36700</v>
      </c>
      <c r="I11" s="291">
        <v>11240.6</v>
      </c>
      <c r="J11" s="290">
        <v>66210.333333333299</v>
      </c>
      <c r="K11" s="290">
        <v>0</v>
      </c>
      <c r="L11" s="290">
        <v>0</v>
      </c>
      <c r="M11" s="289">
        <v>18.003647767631001</v>
      </c>
      <c r="N11" s="289">
        <v>17.173230221213</v>
      </c>
      <c r="O11" s="289">
        <v>0</v>
      </c>
    </row>
    <row r="12" spans="1:15">
      <c r="A12" s="393">
        <v>17</v>
      </c>
      <c r="B12" s="394"/>
      <c r="C12" s="288" t="s">
        <v>412</v>
      </c>
      <c r="D12" s="289">
        <v>665156.23</v>
      </c>
      <c r="E12" s="289">
        <v>31697.57</v>
      </c>
      <c r="F12" s="295">
        <v>633458.66</v>
      </c>
      <c r="G12" s="290">
        <v>3822890</v>
      </c>
      <c r="H12" s="290">
        <v>0</v>
      </c>
      <c r="I12" s="291">
        <v>0</v>
      </c>
      <c r="J12" s="290">
        <v>219.333333333333</v>
      </c>
      <c r="K12" s="290">
        <v>0</v>
      </c>
      <c r="L12" s="290">
        <v>0</v>
      </c>
      <c r="M12" s="289">
        <v>17.399303406584998</v>
      </c>
      <c r="N12" s="289">
        <v>16.570151377622</v>
      </c>
      <c r="O12" s="289">
        <v>0</v>
      </c>
    </row>
    <row r="13" spans="1:15">
      <c r="A13" s="393">
        <v>18</v>
      </c>
      <c r="B13" s="394"/>
      <c r="C13" s="288" t="s">
        <v>413</v>
      </c>
      <c r="D13" s="289">
        <v>23.41</v>
      </c>
      <c r="E13" s="289">
        <v>0</v>
      </c>
      <c r="F13" s="295">
        <v>23.41</v>
      </c>
      <c r="G13" s="290">
        <v>0</v>
      </c>
      <c r="H13" s="290">
        <v>0</v>
      </c>
      <c r="I13" s="291">
        <v>0</v>
      </c>
      <c r="J13" s="290">
        <v>8.3333333332999998E-2</v>
      </c>
      <c r="K13" s="290">
        <v>0</v>
      </c>
      <c r="L13" s="290">
        <v>0</v>
      </c>
      <c r="M13" s="289">
        <v>0</v>
      </c>
      <c r="N13" s="289">
        <v>0</v>
      </c>
      <c r="O13" s="289">
        <v>0</v>
      </c>
    </row>
    <row r="14" spans="1:15">
      <c r="A14" s="393">
        <v>22</v>
      </c>
      <c r="B14" s="394"/>
      <c r="C14" s="288" t="s">
        <v>414</v>
      </c>
      <c r="D14" s="289">
        <v>168887331.84</v>
      </c>
      <c r="E14" s="289">
        <v>8094022.9400000004</v>
      </c>
      <c r="F14" s="295">
        <v>160793308.90000001</v>
      </c>
      <c r="G14" s="290">
        <v>953624411</v>
      </c>
      <c r="H14" s="290">
        <v>39655</v>
      </c>
      <c r="I14" s="291">
        <v>19211.8</v>
      </c>
      <c r="J14" s="290">
        <v>63089.416666666701</v>
      </c>
      <c r="K14" s="290">
        <v>0</v>
      </c>
      <c r="L14" s="290">
        <v>0</v>
      </c>
      <c r="M14" s="289">
        <v>17.710047047023</v>
      </c>
      <c r="N14" s="289">
        <v>16.861282811687001</v>
      </c>
      <c r="O14" s="289">
        <v>0</v>
      </c>
    </row>
    <row r="15" spans="1:15">
      <c r="A15" s="393">
        <v>28</v>
      </c>
      <c r="B15" s="394"/>
      <c r="C15" s="288" t="s">
        <v>415</v>
      </c>
      <c r="D15" s="289">
        <v>18885.75</v>
      </c>
      <c r="E15" s="289">
        <v>927.91</v>
      </c>
      <c r="F15" s="295">
        <v>17957.84</v>
      </c>
      <c r="G15" s="290">
        <v>114556</v>
      </c>
      <c r="H15" s="290">
        <v>69103</v>
      </c>
      <c r="I15" s="291">
        <v>0</v>
      </c>
      <c r="J15" s="290">
        <v>6</v>
      </c>
      <c r="K15" s="290">
        <v>0</v>
      </c>
      <c r="L15" s="290">
        <v>0</v>
      </c>
      <c r="M15" s="289">
        <v>16.486041761233999</v>
      </c>
      <c r="N15" s="289">
        <v>15.676036174447001</v>
      </c>
      <c r="O15" s="289">
        <v>0</v>
      </c>
    </row>
    <row r="16" spans="1:15">
      <c r="A16" s="393">
        <v>30</v>
      </c>
      <c r="B16" s="394"/>
      <c r="C16" s="288" t="s">
        <v>416</v>
      </c>
      <c r="D16" s="289">
        <v>221738.03</v>
      </c>
      <c r="E16" s="289">
        <v>11499.11</v>
      </c>
      <c r="F16" s="295">
        <v>210238.92</v>
      </c>
      <c r="G16" s="290">
        <v>1315624</v>
      </c>
      <c r="H16" s="290">
        <v>789463</v>
      </c>
      <c r="I16" s="291">
        <v>0</v>
      </c>
      <c r="J16" s="290">
        <v>60.666666666666003</v>
      </c>
      <c r="K16" s="290">
        <v>0</v>
      </c>
      <c r="L16" s="290">
        <v>0</v>
      </c>
      <c r="M16" s="289">
        <v>16.854209865432001</v>
      </c>
      <c r="N16" s="289">
        <v>15.980167585875</v>
      </c>
      <c r="O16" s="289">
        <v>0</v>
      </c>
    </row>
    <row r="17" spans="1:15">
      <c r="A17" s="393">
        <v>32</v>
      </c>
      <c r="B17" s="394"/>
      <c r="C17" s="288" t="s">
        <v>417</v>
      </c>
      <c r="D17" s="289">
        <v>217704.78</v>
      </c>
      <c r="E17" s="289">
        <v>10621.02</v>
      </c>
      <c r="F17" s="295">
        <v>207083.76</v>
      </c>
      <c r="G17" s="290">
        <v>1267748</v>
      </c>
      <c r="H17" s="290">
        <v>760729</v>
      </c>
      <c r="I17" s="291">
        <v>0</v>
      </c>
      <c r="J17" s="290">
        <v>69</v>
      </c>
      <c r="K17" s="290">
        <v>0</v>
      </c>
      <c r="L17" s="290">
        <v>0</v>
      </c>
      <c r="M17" s="289">
        <v>17.172559530758001</v>
      </c>
      <c r="N17" s="289">
        <v>16.334773156810002</v>
      </c>
      <c r="O17" s="289">
        <v>0</v>
      </c>
    </row>
    <row r="18" spans="1:15">
      <c r="A18" s="393">
        <v>34</v>
      </c>
      <c r="B18" s="394"/>
      <c r="C18" s="288" t="s">
        <v>418</v>
      </c>
      <c r="D18" s="289">
        <v>2400.9</v>
      </c>
      <c r="E18" s="289">
        <v>125.63</v>
      </c>
      <c r="F18" s="295">
        <v>2275.27</v>
      </c>
      <c r="G18" s="290">
        <v>14804</v>
      </c>
      <c r="H18" s="290">
        <v>8695</v>
      </c>
      <c r="I18" s="291">
        <v>0</v>
      </c>
      <c r="J18" s="290">
        <v>2</v>
      </c>
      <c r="K18" s="290">
        <v>0</v>
      </c>
      <c r="L18" s="290">
        <v>0</v>
      </c>
      <c r="M18" s="289">
        <v>16.217914077275999</v>
      </c>
      <c r="N18" s="289">
        <v>15.36929208322</v>
      </c>
      <c r="O18" s="289">
        <v>0</v>
      </c>
    </row>
    <row r="19" spans="1:15">
      <c r="A19" s="393">
        <v>36</v>
      </c>
      <c r="B19" s="394"/>
      <c r="C19" s="288" t="s">
        <v>419</v>
      </c>
      <c r="D19" s="289">
        <v>35548.050000000003</v>
      </c>
      <c r="E19" s="289">
        <v>1794.86</v>
      </c>
      <c r="F19" s="295">
        <v>33753.19</v>
      </c>
      <c r="G19" s="290">
        <v>211046</v>
      </c>
      <c r="H19" s="290">
        <v>124552</v>
      </c>
      <c r="I19" s="291">
        <v>0</v>
      </c>
      <c r="J19" s="290">
        <v>8.6666666666659999</v>
      </c>
      <c r="K19" s="290">
        <v>0</v>
      </c>
      <c r="L19" s="290">
        <v>0</v>
      </c>
      <c r="M19" s="289">
        <v>16.843744965551998</v>
      </c>
      <c r="N19" s="289">
        <v>15.993285823942999</v>
      </c>
      <c r="O19" s="289">
        <v>0</v>
      </c>
    </row>
    <row r="20" spans="1:15">
      <c r="A20" s="300" t="s">
        <v>481</v>
      </c>
      <c r="B20" s="287"/>
      <c r="C20" s="288"/>
      <c r="D20" s="289"/>
      <c r="E20" s="289"/>
      <c r="F20" s="302">
        <f>SUM(F7:F19)</f>
        <v>314668763.46999997</v>
      </c>
      <c r="G20" s="302">
        <f>SUM(G7:G19)</f>
        <v>1850260469</v>
      </c>
      <c r="H20" s="290"/>
      <c r="I20" s="291"/>
      <c r="J20" s="302">
        <f>SUM(J7:J19)</f>
        <v>129831.33333333333</v>
      </c>
      <c r="K20" s="290"/>
      <c r="L20" s="290"/>
      <c r="M20" s="289"/>
      <c r="N20" s="289"/>
      <c r="O20" s="289"/>
    </row>
    <row r="21" spans="1:15">
      <c r="A21" s="393">
        <v>93</v>
      </c>
      <c r="B21" s="394"/>
      <c r="C21" s="288" t="s">
        <v>420</v>
      </c>
      <c r="D21" s="289">
        <v>66247.69</v>
      </c>
      <c r="E21" s="289">
        <v>2078.46</v>
      </c>
      <c r="F21" s="301">
        <v>64169.23</v>
      </c>
      <c r="G21" s="290">
        <v>254501</v>
      </c>
      <c r="H21" s="290">
        <v>0</v>
      </c>
      <c r="I21" s="291">
        <v>0</v>
      </c>
      <c r="J21" s="290">
        <v>0</v>
      </c>
      <c r="K21" s="290">
        <v>278.16666666666703</v>
      </c>
      <c r="L21" s="290">
        <v>296.16666666666703</v>
      </c>
      <c r="M21" s="289">
        <v>26.030424241948001</v>
      </c>
      <c r="N21" s="289">
        <v>25.213743757391001</v>
      </c>
      <c r="O21" s="289">
        <v>0</v>
      </c>
    </row>
    <row r="22" spans="1:15">
      <c r="A22" s="393">
        <v>94</v>
      </c>
      <c r="B22" s="394"/>
      <c r="C22" s="288" t="s">
        <v>421</v>
      </c>
      <c r="D22" s="289">
        <v>1499479.2</v>
      </c>
      <c r="E22" s="289">
        <v>36126.42</v>
      </c>
      <c r="F22" s="301">
        <v>1463352.78</v>
      </c>
      <c r="G22" s="290">
        <v>4419656</v>
      </c>
      <c r="H22" s="290">
        <v>0</v>
      </c>
      <c r="I22" s="291">
        <v>0</v>
      </c>
      <c r="J22" s="290">
        <v>0</v>
      </c>
      <c r="K22" s="290">
        <v>8691.3333333333303</v>
      </c>
      <c r="L22" s="290">
        <v>9247.0833333333303</v>
      </c>
      <c r="M22" s="289">
        <v>33.927509290315001</v>
      </c>
      <c r="N22" s="289">
        <v>33.110105854392003</v>
      </c>
      <c r="O22" s="289">
        <v>26084.21</v>
      </c>
    </row>
    <row r="23" spans="1:15">
      <c r="A23" s="393">
        <v>95</v>
      </c>
      <c r="B23" s="394"/>
      <c r="C23" s="288" t="s">
        <v>422</v>
      </c>
      <c r="D23" s="289">
        <v>22968.43</v>
      </c>
      <c r="E23" s="289">
        <v>849.81</v>
      </c>
      <c r="F23" s="301">
        <v>22118.62</v>
      </c>
      <c r="G23" s="290">
        <v>104877</v>
      </c>
      <c r="H23" s="290">
        <v>0</v>
      </c>
      <c r="I23" s="291">
        <v>0</v>
      </c>
      <c r="J23" s="290">
        <v>0</v>
      </c>
      <c r="K23" s="290">
        <v>40.333333333333002</v>
      </c>
      <c r="L23" s="290">
        <v>55.333333333333002</v>
      </c>
      <c r="M23" s="289">
        <v>21.900349933731</v>
      </c>
      <c r="N23" s="289">
        <v>21.090057877323002</v>
      </c>
      <c r="O23" s="289">
        <v>0</v>
      </c>
    </row>
    <row r="24" spans="1:15">
      <c r="A24" s="393">
        <v>97</v>
      </c>
      <c r="B24" s="394"/>
      <c r="C24" s="288" t="s">
        <v>423</v>
      </c>
      <c r="D24" s="289">
        <v>297993.74</v>
      </c>
      <c r="E24" s="289">
        <v>9671.84</v>
      </c>
      <c r="F24" s="301">
        <v>288321.90000000002</v>
      </c>
      <c r="G24" s="290">
        <v>1176293</v>
      </c>
      <c r="H24" s="290">
        <v>0</v>
      </c>
      <c r="I24" s="291">
        <v>0</v>
      </c>
      <c r="J24" s="290">
        <v>0</v>
      </c>
      <c r="K24" s="290">
        <v>895.83333333333303</v>
      </c>
      <c r="L24" s="290">
        <v>1169.1666666666699</v>
      </c>
      <c r="M24" s="289">
        <v>25.333291960421001</v>
      </c>
      <c r="N24" s="289">
        <v>24.511061444725001</v>
      </c>
      <c r="O24" s="289">
        <v>8917.2199999999993</v>
      </c>
    </row>
    <row r="25" spans="1:15">
      <c r="A25" s="393">
        <v>98</v>
      </c>
      <c r="B25" s="394"/>
      <c r="C25" s="288" t="s">
        <v>424</v>
      </c>
      <c r="D25" s="289">
        <v>86270.65</v>
      </c>
      <c r="E25" s="289">
        <v>3260.02</v>
      </c>
      <c r="F25" s="301">
        <v>83010.63</v>
      </c>
      <c r="G25" s="290">
        <v>399791</v>
      </c>
      <c r="H25" s="290">
        <v>0</v>
      </c>
      <c r="I25" s="291">
        <v>0</v>
      </c>
      <c r="J25" s="290">
        <v>0</v>
      </c>
      <c r="K25" s="290">
        <v>80.416666666666003</v>
      </c>
      <c r="L25" s="290">
        <v>200.333333333333</v>
      </c>
      <c r="M25" s="289">
        <v>21.578937494841</v>
      </c>
      <c r="N25" s="289">
        <v>20.763506432109999</v>
      </c>
      <c r="O25" s="289">
        <v>3533.78</v>
      </c>
    </row>
    <row r="26" spans="1:15">
      <c r="A26" s="393">
        <v>99</v>
      </c>
      <c r="B26" s="394"/>
      <c r="C26" s="288" t="s">
        <v>425</v>
      </c>
      <c r="D26" s="289">
        <v>1306.73</v>
      </c>
      <c r="E26" s="289">
        <v>35.380000000000003</v>
      </c>
      <c r="F26" s="301">
        <v>1271.3499999999999</v>
      </c>
      <c r="G26" s="290">
        <v>4304</v>
      </c>
      <c r="H26" s="290">
        <v>0</v>
      </c>
      <c r="I26" s="291">
        <v>0</v>
      </c>
      <c r="J26" s="290">
        <v>0</v>
      </c>
      <c r="K26" s="290">
        <v>3</v>
      </c>
      <c r="L26" s="290">
        <v>5</v>
      </c>
      <c r="M26" s="289">
        <v>30.360827137546</v>
      </c>
      <c r="N26" s="289">
        <v>29.538801115241</v>
      </c>
      <c r="O26" s="289">
        <v>0</v>
      </c>
    </row>
    <row r="27" spans="1:15">
      <c r="A27" s="393">
        <v>103</v>
      </c>
      <c r="B27" s="394"/>
      <c r="C27" s="288" t="s">
        <v>426</v>
      </c>
      <c r="D27" s="289">
        <v>696.85</v>
      </c>
      <c r="E27" s="289">
        <v>17.66</v>
      </c>
      <c r="F27" s="301">
        <v>679.19</v>
      </c>
      <c r="G27" s="290">
        <v>2659</v>
      </c>
      <c r="H27" s="290">
        <v>0</v>
      </c>
      <c r="I27" s="291">
        <v>0</v>
      </c>
      <c r="J27" s="290">
        <v>0</v>
      </c>
      <c r="K27" s="290">
        <v>1.5</v>
      </c>
      <c r="L27" s="290">
        <v>2.1666666666659999</v>
      </c>
      <c r="M27" s="289">
        <v>26.207220759683999</v>
      </c>
      <c r="N27" s="289">
        <v>25.543061301241</v>
      </c>
      <c r="O27" s="289">
        <v>0</v>
      </c>
    </row>
    <row r="28" spans="1:15">
      <c r="A28" s="393">
        <v>107</v>
      </c>
      <c r="B28" s="394"/>
      <c r="C28" s="288" t="s">
        <v>427</v>
      </c>
      <c r="D28" s="289">
        <v>370012.91</v>
      </c>
      <c r="E28" s="289">
        <v>10584.69</v>
      </c>
      <c r="F28" s="301">
        <v>359428.22</v>
      </c>
      <c r="G28" s="290">
        <v>1292067</v>
      </c>
      <c r="H28" s="290">
        <v>0</v>
      </c>
      <c r="I28" s="291">
        <v>0</v>
      </c>
      <c r="J28" s="290">
        <v>0</v>
      </c>
      <c r="K28" s="290">
        <v>924.08333333333303</v>
      </c>
      <c r="L28" s="290">
        <v>1282.5</v>
      </c>
      <c r="M28" s="289">
        <v>28.637285063389999</v>
      </c>
      <c r="N28" s="289">
        <v>27.818079093421002</v>
      </c>
      <c r="O28" s="289">
        <v>10828.63</v>
      </c>
    </row>
    <row r="29" spans="1:15">
      <c r="A29" s="393">
        <v>109</v>
      </c>
      <c r="B29" s="394"/>
      <c r="C29" s="288" t="s">
        <v>428</v>
      </c>
      <c r="D29" s="289">
        <v>1286826.3999999999</v>
      </c>
      <c r="E29" s="289">
        <v>46924.9</v>
      </c>
      <c r="F29" s="301">
        <v>1239901.5</v>
      </c>
      <c r="G29" s="290">
        <v>5721379</v>
      </c>
      <c r="H29" s="290">
        <v>0</v>
      </c>
      <c r="I29" s="291">
        <v>0</v>
      </c>
      <c r="J29" s="290">
        <v>0</v>
      </c>
      <c r="K29" s="290">
        <v>1287.9166666666699</v>
      </c>
      <c r="L29" s="290">
        <v>2880.9166666666702</v>
      </c>
      <c r="M29" s="289">
        <v>22.491542685774998</v>
      </c>
      <c r="N29" s="289">
        <v>21.671375030389999</v>
      </c>
      <c r="O29" s="289">
        <v>31723.09</v>
      </c>
    </row>
    <row r="30" spans="1:15">
      <c r="A30" s="393">
        <v>110</v>
      </c>
      <c r="B30" s="394"/>
      <c r="C30" s="288" t="s">
        <v>429</v>
      </c>
      <c r="D30" s="289">
        <v>31076.06</v>
      </c>
      <c r="E30" s="289">
        <v>843.52</v>
      </c>
      <c r="F30" s="301">
        <v>30232.54</v>
      </c>
      <c r="G30" s="290">
        <v>102409</v>
      </c>
      <c r="H30" s="290">
        <v>0</v>
      </c>
      <c r="I30" s="291">
        <v>0</v>
      </c>
      <c r="J30" s="290">
        <v>0</v>
      </c>
      <c r="K30" s="290">
        <v>47.833333333333002</v>
      </c>
      <c r="L30" s="290">
        <v>84.833333333333002</v>
      </c>
      <c r="M30" s="289">
        <v>30.345047798532999</v>
      </c>
      <c r="N30" s="289">
        <v>29.521370192073</v>
      </c>
      <c r="O30" s="289">
        <v>1814.16</v>
      </c>
    </row>
    <row r="31" spans="1:15">
      <c r="A31" s="393">
        <v>111</v>
      </c>
      <c r="B31" s="394"/>
      <c r="C31" s="288" t="s">
        <v>430</v>
      </c>
      <c r="D31" s="289">
        <v>177220.36</v>
      </c>
      <c r="E31" s="289">
        <v>2355.14</v>
      </c>
      <c r="F31" s="301">
        <v>174865.22</v>
      </c>
      <c r="G31" s="290">
        <v>286619</v>
      </c>
      <c r="H31" s="290">
        <v>0</v>
      </c>
      <c r="I31" s="291">
        <v>0</v>
      </c>
      <c r="J31" s="290">
        <v>0</v>
      </c>
      <c r="K31" s="290">
        <v>177.75</v>
      </c>
      <c r="L31" s="290">
        <v>604.83333333333303</v>
      </c>
      <c r="M31" s="289">
        <v>61.831337071164</v>
      </c>
      <c r="N31" s="289">
        <v>61.009639975018999</v>
      </c>
      <c r="O31" s="289">
        <v>1342.01</v>
      </c>
    </row>
    <row r="32" spans="1:15">
      <c r="A32" s="393">
        <v>113</v>
      </c>
      <c r="B32" s="394"/>
      <c r="C32" s="288" t="s">
        <v>431</v>
      </c>
      <c r="D32" s="289">
        <v>1605926.4</v>
      </c>
      <c r="E32" s="289">
        <v>45398.77</v>
      </c>
      <c r="F32" s="301">
        <v>1560527.63</v>
      </c>
      <c r="G32" s="290">
        <v>5564748</v>
      </c>
      <c r="H32" s="290">
        <v>0</v>
      </c>
      <c r="I32" s="291">
        <v>0</v>
      </c>
      <c r="J32" s="290">
        <v>0</v>
      </c>
      <c r="K32" s="290">
        <v>7276.5833333333303</v>
      </c>
      <c r="L32" s="290">
        <v>8009.4166666666697</v>
      </c>
      <c r="M32" s="289">
        <v>28.858924069876998</v>
      </c>
      <c r="N32" s="289">
        <v>28.043096111450001</v>
      </c>
      <c r="O32" s="289">
        <v>66482.45</v>
      </c>
    </row>
    <row r="33" spans="1:15">
      <c r="A33" s="393">
        <v>116</v>
      </c>
      <c r="B33" s="394"/>
      <c r="C33" s="288" t="s">
        <v>432</v>
      </c>
      <c r="D33" s="289">
        <v>270827.21999999997</v>
      </c>
      <c r="E33" s="289">
        <v>9074.59</v>
      </c>
      <c r="F33" s="301">
        <v>261752.63</v>
      </c>
      <c r="G33" s="290">
        <v>1112929</v>
      </c>
      <c r="H33" s="290">
        <v>0</v>
      </c>
      <c r="I33" s="291">
        <v>0</v>
      </c>
      <c r="J33" s="290">
        <v>0</v>
      </c>
      <c r="K33" s="290">
        <v>219.583333333333</v>
      </c>
      <c r="L33" s="290">
        <v>590.08333333333303</v>
      </c>
      <c r="M33" s="289">
        <v>24.334635902199999</v>
      </c>
      <c r="N33" s="289">
        <v>23.519256843876999</v>
      </c>
      <c r="O33" s="289">
        <v>6633.74</v>
      </c>
    </row>
    <row r="34" spans="1:15">
      <c r="A34" s="393">
        <v>120</v>
      </c>
      <c r="B34" s="394"/>
      <c r="C34" s="288" t="s">
        <v>433</v>
      </c>
      <c r="D34" s="289">
        <v>566.16999999999996</v>
      </c>
      <c r="E34" s="289">
        <v>10.19</v>
      </c>
      <c r="F34" s="301">
        <v>555.98</v>
      </c>
      <c r="G34" s="290">
        <v>1237</v>
      </c>
      <c r="H34" s="290">
        <v>0</v>
      </c>
      <c r="I34" s="291">
        <v>0</v>
      </c>
      <c r="J34" s="290">
        <v>0</v>
      </c>
      <c r="K34" s="290">
        <v>1</v>
      </c>
      <c r="L34" s="290">
        <v>1</v>
      </c>
      <c r="M34" s="289">
        <v>45.769603880355</v>
      </c>
      <c r="N34" s="289">
        <v>44.945836701696997</v>
      </c>
      <c r="O34" s="289">
        <v>0</v>
      </c>
    </row>
    <row r="35" spans="1:15">
      <c r="A35" s="393">
        <v>122</v>
      </c>
      <c r="B35" s="394"/>
      <c r="C35" s="288" t="s">
        <v>434</v>
      </c>
      <c r="D35" s="289">
        <v>29584.76</v>
      </c>
      <c r="E35" s="289">
        <v>360.51</v>
      </c>
      <c r="F35" s="301">
        <v>29224.25</v>
      </c>
      <c r="G35" s="290">
        <v>43552</v>
      </c>
      <c r="H35" s="290">
        <v>0</v>
      </c>
      <c r="I35" s="291">
        <v>0</v>
      </c>
      <c r="J35" s="290">
        <v>0</v>
      </c>
      <c r="K35" s="290">
        <v>12.833333333333</v>
      </c>
      <c r="L35" s="290">
        <v>61.833333333333002</v>
      </c>
      <c r="M35" s="289">
        <v>67.929739162380002</v>
      </c>
      <c r="N35" s="289">
        <v>67.101970058779997</v>
      </c>
      <c r="O35" s="289">
        <v>367.48</v>
      </c>
    </row>
    <row r="36" spans="1:15">
      <c r="A36" s="393">
        <v>126</v>
      </c>
      <c r="B36" s="394"/>
      <c r="C36" s="288" t="s">
        <v>435</v>
      </c>
      <c r="D36" s="289">
        <v>718.91</v>
      </c>
      <c r="E36" s="289">
        <v>16.559999999999999</v>
      </c>
      <c r="F36" s="301">
        <v>702.35</v>
      </c>
      <c r="G36" s="290">
        <v>2001</v>
      </c>
      <c r="H36" s="290">
        <v>0</v>
      </c>
      <c r="I36" s="291">
        <v>0</v>
      </c>
      <c r="J36" s="290">
        <v>0</v>
      </c>
      <c r="K36" s="290">
        <v>1</v>
      </c>
      <c r="L36" s="290">
        <v>1</v>
      </c>
      <c r="M36" s="289">
        <v>35.927536231883998</v>
      </c>
      <c r="N36" s="289">
        <v>35.099950024987002</v>
      </c>
      <c r="O36" s="289">
        <v>0</v>
      </c>
    </row>
    <row r="37" spans="1:15">
      <c r="A37" s="393">
        <v>130</v>
      </c>
      <c r="B37" s="394"/>
      <c r="C37" s="288" t="s">
        <v>436</v>
      </c>
      <c r="D37" s="289">
        <v>9657.67</v>
      </c>
      <c r="E37" s="289">
        <v>226.54</v>
      </c>
      <c r="F37" s="301">
        <v>9431.1299999999992</v>
      </c>
      <c r="G37" s="290">
        <v>27383</v>
      </c>
      <c r="H37" s="290">
        <v>0</v>
      </c>
      <c r="I37" s="291">
        <v>0</v>
      </c>
      <c r="J37" s="290">
        <v>0</v>
      </c>
      <c r="K37" s="290">
        <v>22.833333333333002</v>
      </c>
      <c r="L37" s="290">
        <v>22.916666666666</v>
      </c>
      <c r="M37" s="289">
        <v>35.268852937954001</v>
      </c>
      <c r="N37" s="289">
        <v>34.441551327465</v>
      </c>
      <c r="O37" s="289">
        <v>129.18</v>
      </c>
    </row>
    <row r="38" spans="1:15">
      <c r="A38" s="393">
        <v>131</v>
      </c>
      <c r="B38" s="394"/>
      <c r="C38" s="288" t="s">
        <v>437</v>
      </c>
      <c r="D38" s="289">
        <v>39141.64</v>
      </c>
      <c r="E38" s="289">
        <v>1642.79</v>
      </c>
      <c r="F38" s="301">
        <v>37498.85</v>
      </c>
      <c r="G38" s="290">
        <v>204452</v>
      </c>
      <c r="H38" s="290">
        <v>0</v>
      </c>
      <c r="I38" s="291">
        <v>0</v>
      </c>
      <c r="J38" s="290">
        <v>0</v>
      </c>
      <c r="K38" s="290">
        <v>27.583333333333002</v>
      </c>
      <c r="L38" s="290">
        <v>45.083333333333002</v>
      </c>
      <c r="M38" s="289">
        <v>19.144659871264999</v>
      </c>
      <c r="N38" s="289">
        <v>18.341150979201998</v>
      </c>
      <c r="O38" s="289">
        <v>320.31</v>
      </c>
    </row>
    <row r="39" spans="1:15">
      <c r="A39" s="393">
        <v>136</v>
      </c>
      <c r="B39" s="394"/>
      <c r="C39" s="288" t="s">
        <v>438</v>
      </c>
      <c r="D39" s="289">
        <v>1582.59</v>
      </c>
      <c r="E39" s="289">
        <v>47.02</v>
      </c>
      <c r="F39" s="301">
        <v>1535.57</v>
      </c>
      <c r="G39" s="290">
        <v>5691</v>
      </c>
      <c r="H39" s="290">
        <v>0</v>
      </c>
      <c r="I39" s="291">
        <v>0</v>
      </c>
      <c r="J39" s="290">
        <v>0</v>
      </c>
      <c r="K39" s="290">
        <v>3</v>
      </c>
      <c r="L39" s="290">
        <v>3</v>
      </c>
      <c r="M39" s="289">
        <v>27.808645229309001</v>
      </c>
      <c r="N39" s="289">
        <v>26.982428395711999</v>
      </c>
      <c r="O39" s="289">
        <v>0</v>
      </c>
    </row>
    <row r="40" spans="1:15">
      <c r="A40" s="393">
        <v>150</v>
      </c>
      <c r="B40" s="394"/>
      <c r="C40" s="288" t="s">
        <v>439</v>
      </c>
      <c r="D40" s="289">
        <v>3394325.7</v>
      </c>
      <c r="E40" s="289">
        <v>62452.05</v>
      </c>
      <c r="F40" s="301">
        <v>3331873.65</v>
      </c>
      <c r="G40" s="290">
        <v>7526957</v>
      </c>
      <c r="H40" s="290">
        <v>0</v>
      </c>
      <c r="I40" s="291">
        <v>0</v>
      </c>
      <c r="J40" s="290">
        <v>0</v>
      </c>
      <c r="K40" s="290">
        <v>24858.333333333299</v>
      </c>
      <c r="L40" s="290">
        <v>28293.333333333299</v>
      </c>
      <c r="M40" s="289">
        <v>45.095590422530002</v>
      </c>
      <c r="N40" s="289">
        <v>44.265878627976001</v>
      </c>
      <c r="O40" s="289">
        <v>146851.16</v>
      </c>
    </row>
    <row r="41" spans="1:15">
      <c r="A41" s="393">
        <v>151</v>
      </c>
      <c r="B41" s="394"/>
      <c r="C41" s="288" t="s">
        <v>440</v>
      </c>
      <c r="D41" s="289">
        <v>1134.5899999999999</v>
      </c>
      <c r="E41" s="289">
        <v>31.02</v>
      </c>
      <c r="F41" s="301">
        <v>1103.57</v>
      </c>
      <c r="G41" s="290">
        <v>3745</v>
      </c>
      <c r="H41" s="290">
        <v>0</v>
      </c>
      <c r="I41" s="291">
        <v>0</v>
      </c>
      <c r="J41" s="290">
        <v>0</v>
      </c>
      <c r="K41" s="290">
        <v>8.333333333333</v>
      </c>
      <c r="L41" s="290">
        <v>8.333333333333</v>
      </c>
      <c r="M41" s="289">
        <v>30.296128170894001</v>
      </c>
      <c r="N41" s="289">
        <v>29.46782376502</v>
      </c>
      <c r="O41" s="289">
        <v>0</v>
      </c>
    </row>
    <row r="42" spans="1:15">
      <c r="A42" s="393">
        <v>152</v>
      </c>
      <c r="B42" s="394"/>
      <c r="C42" s="288" t="s">
        <v>441</v>
      </c>
      <c r="D42" s="289">
        <v>2754.82</v>
      </c>
      <c r="E42" s="289">
        <v>116.15</v>
      </c>
      <c r="F42" s="301">
        <v>2638.67</v>
      </c>
      <c r="G42" s="290">
        <v>13890</v>
      </c>
      <c r="H42" s="290">
        <v>0</v>
      </c>
      <c r="I42" s="291">
        <v>0</v>
      </c>
      <c r="J42" s="290">
        <v>0</v>
      </c>
      <c r="K42" s="290">
        <v>16.166666666666</v>
      </c>
      <c r="L42" s="290">
        <v>16.25</v>
      </c>
      <c r="M42" s="289">
        <v>19.833117350612</v>
      </c>
      <c r="N42" s="289">
        <v>18.996904247660002</v>
      </c>
      <c r="O42" s="289">
        <v>0</v>
      </c>
    </row>
    <row r="43" spans="1:15">
      <c r="A43" s="393">
        <v>153</v>
      </c>
      <c r="B43" s="394"/>
      <c r="C43" s="288" t="s">
        <v>442</v>
      </c>
      <c r="D43" s="289">
        <v>3154.12</v>
      </c>
      <c r="E43" s="289">
        <v>157.53</v>
      </c>
      <c r="F43" s="301">
        <v>2996.59</v>
      </c>
      <c r="G43" s="290">
        <v>19091</v>
      </c>
      <c r="H43" s="290">
        <v>0</v>
      </c>
      <c r="I43" s="291">
        <v>0</v>
      </c>
      <c r="J43" s="290">
        <v>0</v>
      </c>
      <c r="K43" s="290">
        <v>8</v>
      </c>
      <c r="L43" s="290">
        <v>13</v>
      </c>
      <c r="M43" s="289">
        <v>16.52150227856</v>
      </c>
      <c r="N43" s="289">
        <v>15.696349065004</v>
      </c>
      <c r="O43" s="289">
        <v>0</v>
      </c>
    </row>
    <row r="44" spans="1:15">
      <c r="A44" s="393">
        <v>160</v>
      </c>
      <c r="B44" s="394"/>
      <c r="C44" s="288" t="s">
        <v>443</v>
      </c>
      <c r="D44" s="289">
        <v>30645.58</v>
      </c>
      <c r="E44" s="289">
        <v>234.4</v>
      </c>
      <c r="F44" s="301">
        <v>30411.18</v>
      </c>
      <c r="G44" s="290">
        <v>28129</v>
      </c>
      <c r="H44" s="290">
        <v>0</v>
      </c>
      <c r="I44" s="291">
        <v>0</v>
      </c>
      <c r="J44" s="290">
        <v>0</v>
      </c>
      <c r="K44" s="290">
        <v>49.833333333333002</v>
      </c>
      <c r="L44" s="290">
        <v>90.416666666666003</v>
      </c>
      <c r="M44" s="289">
        <v>108.946567599275</v>
      </c>
      <c r="N44" s="289">
        <v>108.113263891358</v>
      </c>
      <c r="O44" s="289">
        <v>248.63</v>
      </c>
    </row>
    <row r="45" spans="1:15">
      <c r="A45" s="393">
        <v>165</v>
      </c>
      <c r="B45" s="394"/>
      <c r="C45" s="288" t="s">
        <v>444</v>
      </c>
      <c r="D45" s="289">
        <v>713975.92</v>
      </c>
      <c r="E45" s="289">
        <v>9231.94</v>
      </c>
      <c r="F45" s="301">
        <v>704743.98</v>
      </c>
      <c r="G45" s="290">
        <v>1097952</v>
      </c>
      <c r="H45" s="290">
        <v>0</v>
      </c>
      <c r="I45" s="291">
        <v>0</v>
      </c>
      <c r="J45" s="290">
        <v>0</v>
      </c>
      <c r="K45" s="290">
        <v>730.58333333333303</v>
      </c>
      <c r="L45" s="290">
        <v>1559.6666666666699</v>
      </c>
      <c r="M45" s="289">
        <v>65.027972078925004</v>
      </c>
      <c r="N45" s="289">
        <v>64.187139328494993</v>
      </c>
      <c r="O45" s="289">
        <v>12299.55</v>
      </c>
    </row>
    <row r="46" spans="1:15">
      <c r="A46" s="393">
        <v>166</v>
      </c>
      <c r="B46" s="394"/>
      <c r="C46" s="288" t="s">
        <v>445</v>
      </c>
      <c r="D46" s="289">
        <v>172688.29</v>
      </c>
      <c r="E46" s="289">
        <v>3540.2</v>
      </c>
      <c r="F46" s="301">
        <v>169148.09</v>
      </c>
      <c r="G46" s="290">
        <v>424267</v>
      </c>
      <c r="H46" s="290">
        <v>0</v>
      </c>
      <c r="I46" s="291">
        <v>0</v>
      </c>
      <c r="J46" s="290">
        <v>0</v>
      </c>
      <c r="K46" s="290">
        <v>110</v>
      </c>
      <c r="L46" s="290">
        <v>294.83333333333297</v>
      </c>
      <c r="M46" s="289">
        <v>40.702739077042999</v>
      </c>
      <c r="N46" s="289">
        <v>39.868311699943</v>
      </c>
      <c r="O46" s="289">
        <v>3815.1</v>
      </c>
    </row>
    <row r="47" spans="1:15">
      <c r="A47" s="300" t="s">
        <v>380</v>
      </c>
      <c r="B47" s="287"/>
      <c r="C47" s="288"/>
      <c r="D47" s="289"/>
      <c r="E47" s="289"/>
      <c r="F47" s="303">
        <f>SUM(F21:F46)</f>
        <v>9871495.3000000007</v>
      </c>
      <c r="G47" s="303">
        <f>SUM(G21:G46)</f>
        <v>29840579</v>
      </c>
      <c r="H47" s="290"/>
      <c r="I47" s="291"/>
      <c r="J47" s="303">
        <f>SUM(J21:J46)</f>
        <v>0</v>
      </c>
      <c r="K47" s="303">
        <f>SUM(K21:K46)</f>
        <v>45773.833333333299</v>
      </c>
      <c r="L47" s="303">
        <f>SUM(L21:L46)</f>
        <v>54838.499999999964</v>
      </c>
      <c r="M47" s="289"/>
      <c r="N47" s="289"/>
      <c r="O47" s="289"/>
    </row>
    <row r="48" spans="1:15">
      <c r="A48" s="393">
        <v>204</v>
      </c>
      <c r="B48" s="394"/>
      <c r="C48" s="288" t="s">
        <v>446</v>
      </c>
      <c r="D48" s="289">
        <v>174957.78</v>
      </c>
      <c r="E48" s="289">
        <v>5386.07</v>
      </c>
      <c r="F48" s="296">
        <v>169571.71</v>
      </c>
      <c r="G48" s="290">
        <v>604326</v>
      </c>
      <c r="H48" s="290">
        <v>0</v>
      </c>
      <c r="I48" s="291">
        <v>0</v>
      </c>
      <c r="J48" s="290">
        <v>331.83333333333297</v>
      </c>
      <c r="K48" s="290">
        <v>0</v>
      </c>
      <c r="L48" s="290">
        <v>0</v>
      </c>
      <c r="M48" s="289">
        <v>28.950894053871</v>
      </c>
      <c r="N48" s="289">
        <v>28.059641650366999</v>
      </c>
      <c r="O48" s="289">
        <v>0</v>
      </c>
    </row>
    <row r="49" spans="1:15">
      <c r="A49" s="393">
        <v>211</v>
      </c>
      <c r="B49" s="394"/>
      <c r="C49" s="288" t="s">
        <v>447</v>
      </c>
      <c r="D49" s="289">
        <v>91940113.829999998</v>
      </c>
      <c r="E49" s="289">
        <v>3897937.24</v>
      </c>
      <c r="F49" s="296">
        <v>88042176.590000004</v>
      </c>
      <c r="G49" s="290">
        <v>463607390</v>
      </c>
      <c r="H49" s="290">
        <v>169869</v>
      </c>
      <c r="I49" s="291">
        <v>1478585.9</v>
      </c>
      <c r="J49" s="290">
        <v>27286.333333333299</v>
      </c>
      <c r="K49" s="290">
        <v>0</v>
      </c>
      <c r="L49" s="290">
        <v>0</v>
      </c>
      <c r="M49" s="289">
        <v>19.831459940704999</v>
      </c>
      <c r="N49" s="289">
        <v>18.990675836724002</v>
      </c>
      <c r="O49" s="289">
        <v>0</v>
      </c>
    </row>
    <row r="50" spans="1:15">
      <c r="A50" s="393">
        <v>213</v>
      </c>
      <c r="B50" s="394"/>
      <c r="C50" s="288" t="s">
        <v>448</v>
      </c>
      <c r="D50" s="289">
        <v>534043.04</v>
      </c>
      <c r="E50" s="289">
        <v>17000.93</v>
      </c>
      <c r="F50" s="296">
        <v>517042.11</v>
      </c>
      <c r="G50" s="290">
        <v>2066977</v>
      </c>
      <c r="H50" s="290">
        <v>0</v>
      </c>
      <c r="I50" s="291">
        <v>0</v>
      </c>
      <c r="J50" s="290">
        <v>568.58333333333303</v>
      </c>
      <c r="K50" s="290">
        <v>0</v>
      </c>
      <c r="L50" s="290">
        <v>0</v>
      </c>
      <c r="M50" s="289">
        <v>25.836912553937001</v>
      </c>
      <c r="N50" s="289">
        <v>25.014410416758</v>
      </c>
      <c r="O50" s="289">
        <v>0</v>
      </c>
    </row>
    <row r="51" spans="1:15">
      <c r="A51" s="393">
        <v>214</v>
      </c>
      <c r="B51" s="394"/>
      <c r="C51" s="288" t="s">
        <v>449</v>
      </c>
      <c r="D51" s="289">
        <v>283140.47999999998</v>
      </c>
      <c r="E51" s="289">
        <v>13070.92</v>
      </c>
      <c r="F51" s="296">
        <v>270069.56</v>
      </c>
      <c r="G51" s="290">
        <v>1404978</v>
      </c>
      <c r="H51" s="290">
        <v>269</v>
      </c>
      <c r="I51" s="291">
        <v>29432.2</v>
      </c>
      <c r="J51" s="290">
        <v>89.5</v>
      </c>
      <c r="K51" s="290">
        <v>0</v>
      </c>
      <c r="L51" s="290">
        <v>0</v>
      </c>
      <c r="M51" s="289">
        <v>20.152662888670999</v>
      </c>
      <c r="N51" s="289">
        <v>19.222333730492</v>
      </c>
      <c r="O51" s="289">
        <v>0</v>
      </c>
    </row>
    <row r="52" spans="1:15">
      <c r="A52" s="393">
        <v>215</v>
      </c>
      <c r="B52" s="394"/>
      <c r="C52" s="288" t="s">
        <v>447</v>
      </c>
      <c r="D52" s="289">
        <v>22248907.66</v>
      </c>
      <c r="E52" s="289">
        <v>1013330.75</v>
      </c>
      <c r="F52" s="296">
        <v>21235576.91</v>
      </c>
      <c r="G52" s="290">
        <v>120578157</v>
      </c>
      <c r="H52" s="290">
        <v>0</v>
      </c>
      <c r="I52" s="291">
        <v>484160.7</v>
      </c>
      <c r="J52" s="290">
        <v>1843.9166666666699</v>
      </c>
      <c r="K52" s="290">
        <v>0</v>
      </c>
      <c r="L52" s="290">
        <v>0</v>
      </c>
      <c r="M52" s="289">
        <v>18.451855803369</v>
      </c>
      <c r="N52" s="289">
        <v>17.611462505601001</v>
      </c>
      <c r="O52" s="289">
        <v>0</v>
      </c>
    </row>
    <row r="53" spans="1:15">
      <c r="A53" s="393">
        <v>217</v>
      </c>
      <c r="B53" s="394"/>
      <c r="C53" s="288" t="s">
        <v>450</v>
      </c>
      <c r="D53" s="289">
        <v>637507.22</v>
      </c>
      <c r="E53" s="289">
        <v>30506.79</v>
      </c>
      <c r="F53" s="297">
        <v>607000.43000000005</v>
      </c>
      <c r="G53" s="290">
        <v>3546521</v>
      </c>
      <c r="H53" s="290">
        <v>0</v>
      </c>
      <c r="I53" s="291">
        <v>14869.3</v>
      </c>
      <c r="J53" s="290">
        <v>29.083333333333002</v>
      </c>
      <c r="K53" s="290">
        <v>0</v>
      </c>
      <c r="L53" s="290">
        <v>0</v>
      </c>
      <c r="M53" s="289">
        <v>17.97556591375</v>
      </c>
      <c r="N53" s="289">
        <v>17.115376731167999</v>
      </c>
      <c r="O53" s="289">
        <v>0</v>
      </c>
    </row>
    <row r="54" spans="1:15">
      <c r="A54" s="393">
        <v>218</v>
      </c>
      <c r="B54" s="394"/>
      <c r="C54" s="288" t="s">
        <v>447</v>
      </c>
      <c r="D54" s="289">
        <v>34869.61</v>
      </c>
      <c r="E54" s="289">
        <v>1731.06</v>
      </c>
      <c r="F54" s="296">
        <v>33138.550000000003</v>
      </c>
      <c r="G54" s="290">
        <v>198405</v>
      </c>
      <c r="H54" s="290">
        <v>0</v>
      </c>
      <c r="I54" s="291">
        <v>628</v>
      </c>
      <c r="J54" s="290">
        <v>1</v>
      </c>
      <c r="K54" s="290">
        <v>0</v>
      </c>
      <c r="L54" s="290">
        <v>0</v>
      </c>
      <c r="M54" s="289">
        <v>17.574965348654999</v>
      </c>
      <c r="N54" s="289">
        <v>16.702477256117</v>
      </c>
      <c r="O54" s="289">
        <v>0</v>
      </c>
    </row>
    <row r="55" spans="1:15">
      <c r="A55" s="393">
        <v>220</v>
      </c>
      <c r="B55" s="394"/>
      <c r="C55" s="288" t="s">
        <v>451</v>
      </c>
      <c r="D55" s="289">
        <v>578173</v>
      </c>
      <c r="E55" s="289">
        <v>30024.15</v>
      </c>
      <c r="F55" s="297">
        <v>548148.85</v>
      </c>
      <c r="G55" s="290">
        <v>3361396</v>
      </c>
      <c r="H55" s="290">
        <v>0</v>
      </c>
      <c r="I55" s="291">
        <v>8706.4</v>
      </c>
      <c r="J55" s="290">
        <v>39.333333333333002</v>
      </c>
      <c r="K55" s="290">
        <v>0</v>
      </c>
      <c r="L55" s="290">
        <v>0</v>
      </c>
      <c r="M55" s="289">
        <v>17.200383412130002</v>
      </c>
      <c r="N55" s="289">
        <v>16.307178624595</v>
      </c>
      <c r="O55" s="289">
        <v>0</v>
      </c>
    </row>
    <row r="56" spans="1:15">
      <c r="A56" s="393">
        <v>223</v>
      </c>
      <c r="B56" s="394"/>
      <c r="C56" s="288" t="s">
        <v>452</v>
      </c>
      <c r="D56" s="289">
        <v>143125.9</v>
      </c>
      <c r="E56" s="289">
        <v>6537.86</v>
      </c>
      <c r="F56" s="296">
        <v>136588.04</v>
      </c>
      <c r="G56" s="290">
        <v>782331</v>
      </c>
      <c r="H56" s="290">
        <v>465896</v>
      </c>
      <c r="I56" s="291">
        <v>0</v>
      </c>
      <c r="J56" s="290">
        <v>37</v>
      </c>
      <c r="K56" s="290">
        <v>0</v>
      </c>
      <c r="L56" s="290">
        <v>0</v>
      </c>
      <c r="M56" s="289">
        <v>18.294801049682999</v>
      </c>
      <c r="N56" s="289">
        <v>17.45911129688</v>
      </c>
      <c r="O56" s="289">
        <v>0</v>
      </c>
    </row>
    <row r="57" spans="1:15">
      <c r="A57" s="393">
        <v>225</v>
      </c>
      <c r="B57" s="394"/>
      <c r="C57" s="288" t="s">
        <v>453</v>
      </c>
      <c r="D57" s="289">
        <v>119694.28</v>
      </c>
      <c r="E57" s="289">
        <v>5540.01</v>
      </c>
      <c r="F57" s="296">
        <v>114154.27</v>
      </c>
      <c r="G57" s="290">
        <v>648473</v>
      </c>
      <c r="H57" s="290">
        <v>371708</v>
      </c>
      <c r="I57" s="291">
        <v>99.7</v>
      </c>
      <c r="J57" s="290">
        <v>25</v>
      </c>
      <c r="K57" s="290">
        <v>0</v>
      </c>
      <c r="L57" s="290">
        <v>0</v>
      </c>
      <c r="M57" s="289">
        <v>18.457866403073002</v>
      </c>
      <c r="N57" s="289">
        <v>17.60355018636</v>
      </c>
      <c r="O57" s="289">
        <v>0</v>
      </c>
    </row>
    <row r="58" spans="1:15">
      <c r="A58" s="393">
        <v>227</v>
      </c>
      <c r="B58" s="394"/>
      <c r="C58" s="288" t="s">
        <v>454</v>
      </c>
      <c r="D58" s="289">
        <v>1462095.38</v>
      </c>
      <c r="E58" s="289">
        <v>63277.18</v>
      </c>
      <c r="F58" s="296">
        <v>1398818.2</v>
      </c>
      <c r="G58" s="290">
        <v>7449795</v>
      </c>
      <c r="H58" s="290">
        <v>6223008</v>
      </c>
      <c r="I58" s="291">
        <v>0</v>
      </c>
      <c r="J58" s="290">
        <v>491.91666666666703</v>
      </c>
      <c r="K58" s="290">
        <v>0</v>
      </c>
      <c r="L58" s="290">
        <v>0</v>
      </c>
      <c r="M58" s="289">
        <v>19.625981386065</v>
      </c>
      <c r="N58" s="289">
        <v>18.776599893017</v>
      </c>
      <c r="O58" s="289">
        <v>0</v>
      </c>
    </row>
    <row r="59" spans="1:15">
      <c r="A59" s="393">
        <v>229</v>
      </c>
      <c r="B59" s="394"/>
      <c r="C59" s="288" t="s">
        <v>455</v>
      </c>
      <c r="D59" s="289">
        <v>1294292.43</v>
      </c>
      <c r="E59" s="289">
        <v>63830.18</v>
      </c>
      <c r="F59" s="296">
        <v>1230462.25</v>
      </c>
      <c r="G59" s="290">
        <v>7576805</v>
      </c>
      <c r="H59" s="290">
        <v>4613327</v>
      </c>
      <c r="I59" s="291">
        <v>3842.4</v>
      </c>
      <c r="J59" s="290">
        <v>145</v>
      </c>
      <c r="K59" s="290">
        <v>0</v>
      </c>
      <c r="L59" s="290">
        <v>0</v>
      </c>
      <c r="M59" s="289">
        <v>17.08229827744</v>
      </c>
      <c r="N59" s="289">
        <v>16.239856377456999</v>
      </c>
      <c r="O59" s="289">
        <v>0</v>
      </c>
    </row>
    <row r="60" spans="1:15">
      <c r="A60" s="300" t="s">
        <v>367</v>
      </c>
      <c r="B60" s="287"/>
      <c r="C60" s="288"/>
      <c r="D60" s="289"/>
      <c r="E60" s="289"/>
      <c r="F60" s="304">
        <f>SUM(F56:F59)+F54+SUM(F48:F52)</f>
        <v>113147598.19</v>
      </c>
      <c r="G60" s="304">
        <f>SUM(G56:G59)+G54+SUM(G48:G52)</f>
        <v>604917637</v>
      </c>
      <c r="H60" s="290"/>
      <c r="I60" s="291"/>
      <c r="J60" s="304">
        <f>SUM(J56:J59)+J54+SUM(J48:J52)</f>
        <v>30820.083333333303</v>
      </c>
      <c r="K60" s="290"/>
      <c r="L60" s="290"/>
      <c r="M60" s="289"/>
      <c r="N60" s="289"/>
      <c r="O60" s="289"/>
    </row>
    <row r="61" spans="1:15">
      <c r="A61" s="300" t="s">
        <v>368</v>
      </c>
      <c r="B61" s="287"/>
      <c r="C61" s="288"/>
      <c r="D61" s="289"/>
      <c r="E61" s="289"/>
      <c r="F61" s="307">
        <f>F53+F55</f>
        <v>1155149.28</v>
      </c>
      <c r="G61" s="307">
        <f>G53+G55</f>
        <v>6907917</v>
      </c>
      <c r="H61" s="290"/>
      <c r="I61" s="291"/>
      <c r="J61" s="307">
        <f>J53+J55</f>
        <v>68.416666666666003</v>
      </c>
      <c r="K61" s="290"/>
      <c r="L61" s="290"/>
      <c r="M61" s="289"/>
      <c r="N61" s="289"/>
      <c r="O61" s="289"/>
    </row>
    <row r="62" spans="1:15">
      <c r="A62" s="393">
        <v>236</v>
      </c>
      <c r="B62" s="394"/>
      <c r="C62" s="288" t="s">
        <v>456</v>
      </c>
      <c r="D62" s="289">
        <v>42682.96</v>
      </c>
      <c r="E62" s="289">
        <v>1267.1099999999999</v>
      </c>
      <c r="F62" s="289">
        <v>41415.85</v>
      </c>
      <c r="G62" s="290">
        <v>138114</v>
      </c>
      <c r="H62" s="290">
        <v>0</v>
      </c>
      <c r="I62" s="291">
        <v>90</v>
      </c>
      <c r="J62" s="290">
        <v>3.833333333333</v>
      </c>
      <c r="K62" s="290">
        <v>0</v>
      </c>
      <c r="L62" s="290">
        <v>0</v>
      </c>
      <c r="M62" s="289">
        <v>30.904151642845001</v>
      </c>
      <c r="N62" s="289">
        <v>29.986713874046</v>
      </c>
      <c r="O62" s="289">
        <v>0</v>
      </c>
    </row>
    <row r="63" spans="1:15">
      <c r="A63" s="393">
        <v>240</v>
      </c>
      <c r="B63" s="394"/>
      <c r="C63" s="288" t="s">
        <v>457</v>
      </c>
      <c r="D63" s="289">
        <v>45408806.25</v>
      </c>
      <c r="E63" s="289">
        <v>2362246.65</v>
      </c>
      <c r="F63" s="298">
        <v>43046559.600000001</v>
      </c>
      <c r="G63" s="290">
        <v>278969148</v>
      </c>
      <c r="H63" s="290">
        <v>0</v>
      </c>
      <c r="I63" s="291">
        <v>793173</v>
      </c>
      <c r="J63" s="290">
        <v>340.75</v>
      </c>
      <c r="K63" s="290">
        <v>0</v>
      </c>
      <c r="L63" s="290">
        <v>0</v>
      </c>
      <c r="M63" s="289">
        <v>16.277357756421001</v>
      </c>
      <c r="N63" s="289">
        <v>15.430580732174001</v>
      </c>
      <c r="O63" s="289">
        <v>0</v>
      </c>
    </row>
    <row r="64" spans="1:15">
      <c r="A64" s="393">
        <v>242</v>
      </c>
      <c r="B64" s="394"/>
      <c r="C64" s="288" t="s">
        <v>458</v>
      </c>
      <c r="D64" s="289">
        <v>966457.32</v>
      </c>
      <c r="E64" s="289">
        <v>50780.46</v>
      </c>
      <c r="F64" s="298">
        <v>915676.86</v>
      </c>
      <c r="G64" s="290">
        <v>6191578</v>
      </c>
      <c r="H64" s="290">
        <v>0</v>
      </c>
      <c r="I64" s="291">
        <v>15700</v>
      </c>
      <c r="J64" s="290">
        <v>7</v>
      </c>
      <c r="K64" s="290">
        <v>0</v>
      </c>
      <c r="L64" s="290">
        <v>0</v>
      </c>
      <c r="M64" s="289">
        <v>15.609224659691</v>
      </c>
      <c r="N64" s="289">
        <v>14.789070895981</v>
      </c>
      <c r="O64" s="289">
        <v>0</v>
      </c>
    </row>
    <row r="65" spans="1:15">
      <c r="A65" s="393">
        <v>244</v>
      </c>
      <c r="B65" s="394"/>
      <c r="C65" s="288" t="s">
        <v>459</v>
      </c>
      <c r="D65" s="289">
        <v>11074129.52</v>
      </c>
      <c r="E65" s="289">
        <v>618232.84</v>
      </c>
      <c r="F65" s="299">
        <v>10455896.68</v>
      </c>
      <c r="G65" s="290">
        <v>71940050</v>
      </c>
      <c r="H65" s="290">
        <v>0</v>
      </c>
      <c r="I65" s="291">
        <v>235604</v>
      </c>
      <c r="J65" s="290">
        <v>56.833333333333002</v>
      </c>
      <c r="K65" s="290">
        <v>0</v>
      </c>
      <c r="L65" s="290">
        <v>0</v>
      </c>
      <c r="M65" s="289">
        <v>15.393552715073</v>
      </c>
      <c r="N65" s="289">
        <v>14.534180446079001</v>
      </c>
      <c r="O65" s="289">
        <v>0</v>
      </c>
    </row>
    <row r="66" spans="1:15">
      <c r="A66" s="393">
        <v>246</v>
      </c>
      <c r="B66" s="394"/>
      <c r="C66" s="288" t="s">
        <v>460</v>
      </c>
      <c r="D66" s="289">
        <v>95515.64</v>
      </c>
      <c r="E66" s="289">
        <v>4870.6000000000004</v>
      </c>
      <c r="F66" s="299">
        <v>90645.04</v>
      </c>
      <c r="G66" s="290">
        <v>624413</v>
      </c>
      <c r="H66" s="290">
        <v>0</v>
      </c>
      <c r="I66" s="291">
        <v>1970</v>
      </c>
      <c r="J66" s="290">
        <v>1</v>
      </c>
      <c r="K66" s="290">
        <v>0</v>
      </c>
      <c r="L66" s="290">
        <v>0</v>
      </c>
      <c r="M66" s="289">
        <v>15.296869219571001</v>
      </c>
      <c r="N66" s="289">
        <v>14.516840616707</v>
      </c>
      <c r="O66" s="289">
        <v>0</v>
      </c>
    </row>
    <row r="67" spans="1:15">
      <c r="A67" s="393">
        <v>248</v>
      </c>
      <c r="B67" s="394"/>
      <c r="C67" s="288" t="s">
        <v>461</v>
      </c>
      <c r="D67" s="289">
        <v>814812.85</v>
      </c>
      <c r="E67" s="289">
        <v>60094.84</v>
      </c>
      <c r="F67" s="289">
        <v>754718.01</v>
      </c>
      <c r="G67" s="290">
        <v>6982268</v>
      </c>
      <c r="H67" s="290">
        <v>0</v>
      </c>
      <c r="I67" s="291">
        <v>17295</v>
      </c>
      <c r="J67" s="290">
        <v>7</v>
      </c>
      <c r="K67" s="290">
        <v>0</v>
      </c>
      <c r="L67" s="290">
        <v>0</v>
      </c>
      <c r="M67" s="289">
        <v>11.669744701863999</v>
      </c>
      <c r="N67" s="289">
        <v>10.809066767417001</v>
      </c>
      <c r="O67" s="289">
        <v>0</v>
      </c>
    </row>
    <row r="68" spans="1:15">
      <c r="A68" s="393">
        <v>250</v>
      </c>
      <c r="B68" s="394"/>
      <c r="C68" s="288" t="s">
        <v>462</v>
      </c>
      <c r="D68" s="289">
        <v>151743.96</v>
      </c>
      <c r="E68" s="289">
        <v>10141.59</v>
      </c>
      <c r="F68" s="289">
        <v>141602.37</v>
      </c>
      <c r="G68" s="290">
        <v>1157508</v>
      </c>
      <c r="H68" s="290">
        <v>0</v>
      </c>
      <c r="I68" s="291">
        <v>5040</v>
      </c>
      <c r="J68" s="290">
        <v>1</v>
      </c>
      <c r="K68" s="290">
        <v>0</v>
      </c>
      <c r="L68" s="290">
        <v>0</v>
      </c>
      <c r="M68" s="289">
        <v>13.109538767766001</v>
      </c>
      <c r="N68" s="289">
        <v>12.233381540343</v>
      </c>
      <c r="O68" s="289">
        <v>0</v>
      </c>
    </row>
    <row r="69" spans="1:15">
      <c r="A69" s="393">
        <v>251</v>
      </c>
      <c r="B69" s="394"/>
      <c r="C69" s="288" t="s">
        <v>463</v>
      </c>
      <c r="D69" s="289">
        <v>153158.37</v>
      </c>
      <c r="E69" s="289">
        <v>7475.8</v>
      </c>
      <c r="F69" s="298">
        <v>145682.57</v>
      </c>
      <c r="G69" s="290">
        <v>928009</v>
      </c>
      <c r="H69" s="290">
        <v>518712</v>
      </c>
      <c r="I69" s="291">
        <v>0</v>
      </c>
      <c r="J69" s="290">
        <v>5</v>
      </c>
      <c r="K69" s="290">
        <v>0</v>
      </c>
      <c r="L69" s="290">
        <v>0</v>
      </c>
      <c r="M69" s="289">
        <v>16.503974638176999</v>
      </c>
      <c r="N69" s="289">
        <v>15.698400554305</v>
      </c>
      <c r="O69" s="289">
        <v>0</v>
      </c>
    </row>
    <row r="70" spans="1:15">
      <c r="A70" s="393">
        <v>256</v>
      </c>
      <c r="B70" s="394"/>
      <c r="C70" s="288" t="s">
        <v>464</v>
      </c>
      <c r="D70" s="289">
        <v>914359.46</v>
      </c>
      <c r="E70" s="289">
        <v>50809.77</v>
      </c>
      <c r="F70" s="298">
        <v>863549.69</v>
      </c>
      <c r="G70" s="290">
        <v>5949222</v>
      </c>
      <c r="H70" s="290">
        <v>3414296</v>
      </c>
      <c r="I70" s="291">
        <v>15846</v>
      </c>
      <c r="J70" s="290">
        <v>6.75</v>
      </c>
      <c r="K70" s="290">
        <v>0</v>
      </c>
      <c r="L70" s="290">
        <v>0</v>
      </c>
      <c r="M70" s="289">
        <v>15.369395527684</v>
      </c>
      <c r="N70" s="289">
        <v>14.515338140012</v>
      </c>
      <c r="O70" s="289">
        <v>0</v>
      </c>
    </row>
    <row r="71" spans="1:15">
      <c r="A71" s="300" t="s">
        <v>370</v>
      </c>
      <c r="B71" s="287"/>
      <c r="C71" s="288"/>
      <c r="D71" s="289"/>
      <c r="E71" s="289"/>
      <c r="F71" s="305">
        <f>SUM(F69:F70)+SUM(F63:F64)</f>
        <v>44971468.719999999</v>
      </c>
      <c r="G71" s="305">
        <f>SUM(G69:G70)+SUM(G63:G64)</f>
        <v>292037957</v>
      </c>
      <c r="H71" s="290"/>
      <c r="I71" s="291"/>
      <c r="J71" s="305">
        <f>SUM(J69:J70)+SUM(J63:J64)</f>
        <v>359.5</v>
      </c>
      <c r="K71" s="290"/>
      <c r="L71" s="290"/>
      <c r="M71" s="289"/>
      <c r="N71" s="289"/>
      <c r="O71" s="289"/>
    </row>
    <row r="72" spans="1:15">
      <c r="A72" s="393">
        <v>257</v>
      </c>
      <c r="B72" s="394"/>
      <c r="C72" s="288" t="s">
        <v>465</v>
      </c>
      <c r="D72" s="289">
        <v>303318.09999999998</v>
      </c>
      <c r="E72" s="289">
        <v>19870.810000000001</v>
      </c>
      <c r="F72" s="299">
        <v>283447.28999999998</v>
      </c>
      <c r="G72" s="290">
        <v>2331567</v>
      </c>
      <c r="H72" s="290">
        <v>1420700</v>
      </c>
      <c r="I72" s="291">
        <v>4578</v>
      </c>
      <c r="J72" s="290">
        <v>1.083333333333</v>
      </c>
      <c r="K72" s="290">
        <v>0</v>
      </c>
      <c r="L72" s="290">
        <v>0</v>
      </c>
      <c r="M72" s="289">
        <v>13.009195103550001</v>
      </c>
      <c r="N72" s="289">
        <v>12.156943806460999</v>
      </c>
      <c r="O72" s="289">
        <v>0</v>
      </c>
    </row>
    <row r="73" spans="1:15">
      <c r="A73" s="300" t="s">
        <v>371</v>
      </c>
      <c r="B73" s="287"/>
      <c r="C73" s="288"/>
      <c r="D73" s="289"/>
      <c r="E73" s="289"/>
      <c r="F73" s="306">
        <f>SUM(F65:F66)+F72</f>
        <v>10829989.009999998</v>
      </c>
      <c r="G73" s="306">
        <f>SUM(G65:G66)+G72</f>
        <v>74896030</v>
      </c>
      <c r="H73" s="290"/>
      <c r="I73" s="291"/>
      <c r="J73" s="306">
        <f>SUM(J65:J66)+J72</f>
        <v>58.916666666666003</v>
      </c>
      <c r="K73" s="290"/>
      <c r="L73" s="290"/>
      <c r="M73" s="289"/>
      <c r="N73" s="289"/>
      <c r="O73" s="289"/>
    </row>
    <row r="74" spans="1:15">
      <c r="A74" s="393">
        <v>260</v>
      </c>
      <c r="B74" s="394"/>
      <c r="C74" s="288" t="s">
        <v>466</v>
      </c>
      <c r="D74" s="289">
        <v>14458644.460000001</v>
      </c>
      <c r="E74" s="289">
        <v>692447.31</v>
      </c>
      <c r="F74" s="289">
        <v>13766197.15</v>
      </c>
      <c r="G74" s="290">
        <v>81165370</v>
      </c>
      <c r="H74" s="290">
        <v>0</v>
      </c>
      <c r="I74" s="291">
        <v>302575</v>
      </c>
      <c r="J74" s="290">
        <v>126.916666666667</v>
      </c>
      <c r="K74" s="290">
        <v>0</v>
      </c>
      <c r="L74" s="290">
        <v>0</v>
      </c>
      <c r="M74" s="289">
        <v>17.813809584062</v>
      </c>
      <c r="N74" s="289">
        <v>16.960678119252002</v>
      </c>
      <c r="O74" s="289">
        <v>0</v>
      </c>
    </row>
    <row r="75" spans="1:15">
      <c r="A75" s="393">
        <v>264</v>
      </c>
      <c r="B75" s="394"/>
      <c r="C75" s="288" t="s">
        <v>467</v>
      </c>
      <c r="D75" s="289">
        <v>301802.58</v>
      </c>
      <c r="E75" s="289">
        <v>17305.75</v>
      </c>
      <c r="F75" s="289">
        <v>284496.83</v>
      </c>
      <c r="G75" s="290">
        <v>1989264</v>
      </c>
      <c r="H75" s="290">
        <v>0</v>
      </c>
      <c r="I75" s="291">
        <v>6574</v>
      </c>
      <c r="J75" s="290">
        <v>1</v>
      </c>
      <c r="K75" s="290">
        <v>0</v>
      </c>
      <c r="L75" s="290">
        <v>0</v>
      </c>
      <c r="M75" s="289">
        <v>15.171569987692999</v>
      </c>
      <c r="N75" s="289">
        <v>14.301612556201</v>
      </c>
      <c r="O75" s="289">
        <v>0</v>
      </c>
    </row>
    <row r="76" spans="1:15">
      <c r="A76" s="393">
        <v>330</v>
      </c>
      <c r="B76" s="394"/>
      <c r="C76" s="288" t="s">
        <v>468</v>
      </c>
      <c r="D76" s="289">
        <v>1838941.28</v>
      </c>
      <c r="E76" s="289">
        <v>44726.66</v>
      </c>
      <c r="F76" s="332">
        <v>1794214.62</v>
      </c>
      <c r="G76" s="290">
        <v>6945062</v>
      </c>
      <c r="H76" s="290">
        <v>0</v>
      </c>
      <c r="I76" s="291">
        <v>49354</v>
      </c>
      <c r="J76" s="290">
        <v>1.833333333333</v>
      </c>
      <c r="K76" s="290">
        <v>0</v>
      </c>
      <c r="L76" s="290">
        <v>0</v>
      </c>
      <c r="M76" s="289">
        <v>26.478399760866001</v>
      </c>
      <c r="N76" s="289">
        <v>25.834393127087999</v>
      </c>
      <c r="O76" s="289">
        <v>0</v>
      </c>
    </row>
    <row r="77" spans="1:15">
      <c r="A77" s="393">
        <v>331</v>
      </c>
      <c r="B77" s="394"/>
      <c r="C77" s="288" t="s">
        <v>469</v>
      </c>
      <c r="D77" s="289">
        <v>6473596.5099999998</v>
      </c>
      <c r="E77" s="289">
        <v>48015.01</v>
      </c>
      <c r="F77" s="311">
        <v>6425581.5</v>
      </c>
      <c r="G77" s="290">
        <v>116326829</v>
      </c>
      <c r="H77" s="290">
        <v>-21504000</v>
      </c>
      <c r="I77" s="291">
        <v>221107.20000000001</v>
      </c>
      <c r="J77" s="290">
        <v>1</v>
      </c>
      <c r="K77" s="290">
        <v>0</v>
      </c>
      <c r="L77" s="290">
        <v>0</v>
      </c>
      <c r="M77" s="289">
        <v>5.5650072864959998</v>
      </c>
      <c r="N77" s="289">
        <v>5.5237313311439999</v>
      </c>
      <c r="O77" s="289">
        <v>0</v>
      </c>
    </row>
    <row r="78" spans="1:15">
      <c r="A78" s="393">
        <v>332</v>
      </c>
      <c r="B78" s="394"/>
      <c r="C78" s="288" t="s">
        <v>470</v>
      </c>
      <c r="D78" s="289">
        <v>1668885.2</v>
      </c>
      <c r="E78" s="289">
        <v>129057.86</v>
      </c>
      <c r="F78" s="289">
        <v>1539827.34</v>
      </c>
      <c r="G78" s="290">
        <v>14545377</v>
      </c>
      <c r="H78" s="290">
        <v>0</v>
      </c>
      <c r="I78" s="291">
        <v>45234</v>
      </c>
      <c r="J78" s="290">
        <v>1</v>
      </c>
      <c r="K78" s="290">
        <v>0</v>
      </c>
      <c r="L78" s="290">
        <v>0</v>
      </c>
      <c r="M78" s="289">
        <v>11.47364691888</v>
      </c>
      <c r="N78" s="289">
        <v>10.586369401081001</v>
      </c>
      <c r="O78" s="289">
        <v>0</v>
      </c>
    </row>
    <row r="79" spans="1:15">
      <c r="A79" s="393">
        <v>333</v>
      </c>
      <c r="B79" s="394"/>
      <c r="C79" s="288" t="s">
        <v>471</v>
      </c>
      <c r="D79" s="289">
        <v>3186703.38</v>
      </c>
      <c r="E79" s="289">
        <v>275164.86</v>
      </c>
      <c r="F79" s="311">
        <v>2911538.52</v>
      </c>
      <c r="G79" s="290">
        <v>30835248</v>
      </c>
      <c r="H79" s="290">
        <v>0</v>
      </c>
      <c r="I79" s="291">
        <v>93852</v>
      </c>
      <c r="J79" s="290">
        <v>0.91666666666600005</v>
      </c>
      <c r="K79" s="290">
        <v>0</v>
      </c>
      <c r="L79" s="290">
        <v>0</v>
      </c>
      <c r="M79" s="289">
        <v>10.334612453903</v>
      </c>
      <c r="N79" s="289">
        <v>9.4422412947669994</v>
      </c>
      <c r="O79" s="289">
        <v>0</v>
      </c>
    </row>
    <row r="80" spans="1:15">
      <c r="A80" s="393">
        <v>356</v>
      </c>
      <c r="B80" s="394"/>
      <c r="C80" s="288" t="s">
        <v>472</v>
      </c>
      <c r="D80" s="289">
        <v>2796362.96</v>
      </c>
      <c r="E80" s="289">
        <v>194242.06</v>
      </c>
      <c r="F80" s="308">
        <v>2602120.9</v>
      </c>
      <c r="G80" s="290">
        <v>22864609</v>
      </c>
      <c r="H80" s="290">
        <v>0</v>
      </c>
      <c r="I80" s="291">
        <v>44316</v>
      </c>
      <c r="J80" s="290">
        <v>6</v>
      </c>
      <c r="K80" s="290">
        <v>0</v>
      </c>
      <c r="L80" s="290">
        <v>0</v>
      </c>
      <c r="M80" s="289">
        <v>12.230093066537</v>
      </c>
      <c r="N80" s="289">
        <v>11.380561548197999</v>
      </c>
      <c r="O80" s="289">
        <v>0</v>
      </c>
    </row>
    <row r="81" spans="1:15">
      <c r="A81" s="300" t="s">
        <v>376</v>
      </c>
      <c r="B81" s="287"/>
      <c r="C81" s="288"/>
      <c r="D81" s="289"/>
      <c r="E81" s="289"/>
      <c r="F81" s="309">
        <f>F80</f>
        <v>2602120.9</v>
      </c>
      <c r="G81" s="309">
        <f>G80</f>
        <v>22864609</v>
      </c>
      <c r="H81" s="290"/>
      <c r="I81" s="291"/>
      <c r="J81" s="309">
        <f>J80</f>
        <v>6</v>
      </c>
      <c r="K81" s="290"/>
      <c r="L81" s="290"/>
      <c r="M81" s="289"/>
      <c r="N81" s="289"/>
      <c r="O81" s="289"/>
    </row>
    <row r="82" spans="1:15">
      <c r="A82" s="393">
        <v>358</v>
      </c>
      <c r="B82" s="394"/>
      <c r="C82" s="288" t="s">
        <v>473</v>
      </c>
      <c r="D82" s="289">
        <v>27572209.559999999</v>
      </c>
      <c r="E82" s="289">
        <v>1928656.99</v>
      </c>
      <c r="F82" s="332">
        <v>25643552.57</v>
      </c>
      <c r="G82" s="290">
        <v>223808493</v>
      </c>
      <c r="H82" s="290">
        <v>0</v>
      </c>
      <c r="I82" s="291">
        <v>499401</v>
      </c>
      <c r="J82" s="290">
        <v>30.666666666666</v>
      </c>
      <c r="K82" s="290">
        <v>0</v>
      </c>
      <c r="L82" s="290">
        <v>0</v>
      </c>
      <c r="M82" s="289">
        <v>12.319554629233</v>
      </c>
      <c r="N82" s="289">
        <v>11.457810303024999</v>
      </c>
      <c r="O82" s="289">
        <v>0</v>
      </c>
    </row>
    <row r="83" spans="1:15">
      <c r="A83" s="300" t="s">
        <v>377</v>
      </c>
      <c r="B83" s="287"/>
      <c r="C83" s="288"/>
      <c r="D83" s="289"/>
      <c r="E83" s="289"/>
      <c r="F83" s="333">
        <f>F82+F76+F88</f>
        <v>28234819.010000002</v>
      </c>
      <c r="G83" s="333">
        <f>G82+G76+G88</f>
        <v>237802061</v>
      </c>
      <c r="H83" s="290"/>
      <c r="I83" s="291"/>
      <c r="J83" s="333">
        <f>J82+J76+J88</f>
        <v>33.499999999998998</v>
      </c>
      <c r="K83" s="290"/>
      <c r="L83" s="290"/>
      <c r="M83" s="289"/>
      <c r="N83" s="289"/>
      <c r="O83" s="289"/>
    </row>
    <row r="84" spans="1:15">
      <c r="A84" s="393">
        <v>359</v>
      </c>
      <c r="B84" s="394"/>
      <c r="C84" s="288" t="s">
        <v>474</v>
      </c>
      <c r="D84" s="289">
        <v>27352410.460000001</v>
      </c>
      <c r="E84" s="289">
        <v>2668340.04</v>
      </c>
      <c r="F84" s="311">
        <v>24684070.420000002</v>
      </c>
      <c r="G84" s="290">
        <v>301731228</v>
      </c>
      <c r="H84" s="290">
        <v>0</v>
      </c>
      <c r="I84" s="291">
        <v>624230</v>
      </c>
      <c r="J84" s="290">
        <v>12</v>
      </c>
      <c r="K84" s="290">
        <v>0</v>
      </c>
      <c r="L84" s="290">
        <v>0</v>
      </c>
      <c r="M84" s="289">
        <v>9.0651573061569994</v>
      </c>
      <c r="N84" s="289">
        <v>8.1808139593690008</v>
      </c>
      <c r="O84" s="289">
        <v>0</v>
      </c>
    </row>
    <row r="85" spans="1:15">
      <c r="A85" s="300" t="s">
        <v>378</v>
      </c>
      <c r="B85" s="287"/>
      <c r="C85" s="288"/>
      <c r="D85" s="289"/>
      <c r="E85" s="289"/>
      <c r="F85" s="310">
        <f>F79+F77+F84+F89</f>
        <v>122471317.14999999</v>
      </c>
      <c r="G85" s="310">
        <f>G79+G77+G84+G89</f>
        <v>1649394645</v>
      </c>
      <c r="H85" s="290"/>
      <c r="I85" s="291"/>
      <c r="J85" s="310">
        <f>J79+J77+J84+J89</f>
        <v>16.916666666666</v>
      </c>
      <c r="K85" s="290"/>
      <c r="L85" s="290"/>
      <c r="M85" s="289"/>
      <c r="N85" s="289"/>
      <c r="O85" s="289"/>
    </row>
    <row r="86" spans="1:15">
      <c r="A86" s="300" t="s">
        <v>379</v>
      </c>
      <c r="B86" s="287"/>
      <c r="C86" s="288"/>
      <c r="D86" s="289"/>
      <c r="E86" s="289"/>
      <c r="F86" s="312">
        <f>F78+F87+F90</f>
        <v>19205061.329999998</v>
      </c>
      <c r="G86" s="312">
        <f>G78+G87+G90</f>
        <v>239923189</v>
      </c>
      <c r="H86" s="290"/>
      <c r="I86" s="291"/>
      <c r="J86" s="312">
        <f>J78+J87+J90</f>
        <v>3</v>
      </c>
      <c r="K86" s="290"/>
      <c r="L86" s="290"/>
      <c r="M86" s="289"/>
      <c r="N86" s="289"/>
      <c r="O86" s="289"/>
    </row>
    <row r="87" spans="1:15">
      <c r="A87" s="393">
        <v>360</v>
      </c>
      <c r="B87" s="394"/>
      <c r="C87" s="288" t="s">
        <v>475</v>
      </c>
      <c r="D87" s="289">
        <v>1423514.38</v>
      </c>
      <c r="E87" s="289">
        <v>80026.47</v>
      </c>
      <c r="F87" s="313">
        <v>1343487.91</v>
      </c>
      <c r="G87" s="290">
        <v>9001000</v>
      </c>
      <c r="H87" s="290">
        <v>0</v>
      </c>
      <c r="I87" s="291">
        <v>45968</v>
      </c>
      <c r="J87" s="290">
        <v>1</v>
      </c>
      <c r="K87" s="290">
        <v>0</v>
      </c>
      <c r="L87" s="290">
        <v>0</v>
      </c>
      <c r="M87" s="289">
        <v>15.815069214531</v>
      </c>
      <c r="N87" s="289">
        <v>14.925985001666</v>
      </c>
      <c r="O87" s="289">
        <v>0</v>
      </c>
    </row>
    <row r="88" spans="1:15">
      <c r="A88" s="393">
        <v>370</v>
      </c>
      <c r="B88" s="394"/>
      <c r="C88" s="288" t="s">
        <v>475</v>
      </c>
      <c r="D88" s="289">
        <v>867572.48</v>
      </c>
      <c r="E88" s="289">
        <v>70520.66</v>
      </c>
      <c r="F88" s="332">
        <v>797051.82</v>
      </c>
      <c r="G88" s="290">
        <v>7048506</v>
      </c>
      <c r="H88" s="290">
        <v>0</v>
      </c>
      <c r="I88" s="291">
        <v>15444</v>
      </c>
      <c r="J88" s="290">
        <v>1</v>
      </c>
      <c r="K88" s="290">
        <v>0</v>
      </c>
      <c r="L88" s="290">
        <v>0</v>
      </c>
      <c r="M88" s="289">
        <v>12.308600999985</v>
      </c>
      <c r="N88" s="289">
        <v>11.308095928413</v>
      </c>
      <c r="O88" s="289">
        <v>0</v>
      </c>
    </row>
    <row r="89" spans="1:15">
      <c r="A89" s="393">
        <v>371</v>
      </c>
      <c r="B89" s="394"/>
      <c r="C89" s="288" t="s">
        <v>475</v>
      </c>
      <c r="D89" s="289">
        <v>98244634.549999997</v>
      </c>
      <c r="E89" s="289">
        <v>9794507.8399999999</v>
      </c>
      <c r="F89" s="311">
        <v>88450126.709999993</v>
      </c>
      <c r="G89" s="290">
        <v>1200501340</v>
      </c>
      <c r="H89" s="290">
        <v>-90811000</v>
      </c>
      <c r="I89" s="291">
        <v>1826861</v>
      </c>
      <c r="J89" s="290">
        <v>3</v>
      </c>
      <c r="K89" s="290">
        <v>0</v>
      </c>
      <c r="L89" s="290">
        <v>0</v>
      </c>
      <c r="M89" s="289">
        <v>8.1836338933189996</v>
      </c>
      <c r="N89" s="289">
        <v>7.3677657627600004</v>
      </c>
      <c r="O89" s="289">
        <v>0</v>
      </c>
    </row>
    <row r="90" spans="1:15">
      <c r="A90" s="393">
        <v>372</v>
      </c>
      <c r="B90" s="394"/>
      <c r="C90" s="288" t="s">
        <v>475</v>
      </c>
      <c r="D90" s="289">
        <v>18193690.98</v>
      </c>
      <c r="E90" s="289">
        <v>1871944.9</v>
      </c>
      <c r="F90" s="313">
        <v>16321746.08</v>
      </c>
      <c r="G90" s="290">
        <v>216376812</v>
      </c>
      <c r="H90" s="290">
        <v>0</v>
      </c>
      <c r="I90" s="291">
        <v>353215</v>
      </c>
      <c r="J90" s="290">
        <v>1</v>
      </c>
      <c r="K90" s="290">
        <v>0</v>
      </c>
      <c r="L90" s="290">
        <v>0</v>
      </c>
      <c r="M90" s="289">
        <v>8.4083367398900002</v>
      </c>
      <c r="N90" s="289">
        <v>7.5432048051429996</v>
      </c>
      <c r="O90" s="289">
        <v>0</v>
      </c>
    </row>
    <row r="91" spans="1:15">
      <c r="A91" s="393">
        <v>528</v>
      </c>
      <c r="B91" s="394"/>
      <c r="C91" s="288" t="s">
        <v>476</v>
      </c>
      <c r="D91" s="289">
        <v>2184970.92</v>
      </c>
      <c r="E91" s="289">
        <v>59009.69</v>
      </c>
      <c r="F91" s="289">
        <v>2125961.23</v>
      </c>
      <c r="G91" s="290">
        <v>7343784</v>
      </c>
      <c r="H91" s="290">
        <v>0</v>
      </c>
      <c r="I91" s="291">
        <v>0</v>
      </c>
      <c r="J91" s="290">
        <v>53.166666666666003</v>
      </c>
      <c r="K91" s="290">
        <v>0</v>
      </c>
      <c r="L91" s="290">
        <v>0</v>
      </c>
      <c r="M91" s="289">
        <v>29.752657757906999</v>
      </c>
      <c r="N91" s="289">
        <v>28.949125273837002</v>
      </c>
      <c r="O91" s="289">
        <v>0</v>
      </c>
    </row>
    <row r="92" spans="1:15" ht="13.5" thickBot="1">
      <c r="A92" s="393">
        <v>540</v>
      </c>
      <c r="B92" s="394"/>
      <c r="C92" s="288" t="s">
        <v>477</v>
      </c>
      <c r="D92" s="289">
        <v>268987.28999999998</v>
      </c>
      <c r="E92" s="289">
        <v>14689.9</v>
      </c>
      <c r="F92" s="289">
        <v>254297.39</v>
      </c>
      <c r="G92" s="290">
        <v>1701693</v>
      </c>
      <c r="H92" s="290">
        <v>0</v>
      </c>
      <c r="I92" s="291">
        <v>2489</v>
      </c>
      <c r="J92" s="290">
        <v>8</v>
      </c>
      <c r="K92" s="290">
        <v>0</v>
      </c>
      <c r="L92" s="290">
        <v>0</v>
      </c>
      <c r="M92" s="289">
        <v>15.807039812704</v>
      </c>
      <c r="N92" s="289">
        <v>14.943787745498</v>
      </c>
      <c r="O92" s="289">
        <v>0</v>
      </c>
    </row>
    <row r="93" spans="1:15" ht="13.5" thickBot="1">
      <c r="A93" s="403" t="s">
        <v>478</v>
      </c>
      <c r="B93" s="404"/>
      <c r="C93" s="405"/>
      <c r="D93" s="292">
        <v>726535131.51999998</v>
      </c>
      <c r="E93" s="292">
        <v>42008660.329999998</v>
      </c>
      <c r="F93" s="292">
        <v>684526471.19000006</v>
      </c>
      <c r="G93" s="293">
        <v>5109323094</v>
      </c>
      <c r="H93" s="293">
        <v>-93288318</v>
      </c>
      <c r="I93" s="294">
        <v>7270693.2000000002</v>
      </c>
      <c r="J93" s="293">
        <v>161398.58333333299</v>
      </c>
      <c r="K93" s="293">
        <v>45773.833333333299</v>
      </c>
      <c r="L93" s="293">
        <v>54838.5</v>
      </c>
      <c r="M93" s="292">
        <v>14.219792292509</v>
      </c>
      <c r="N93" s="292">
        <v>13.397596092403001</v>
      </c>
      <c r="O93" s="292">
        <v>321390.7</v>
      </c>
    </row>
    <row r="94" spans="1:15">
      <c r="A94" s="390"/>
      <c r="B94" s="390"/>
      <c r="C94" s="390"/>
      <c r="D94" s="390"/>
      <c r="E94" s="390"/>
      <c r="F94" s="406" t="s">
        <v>479</v>
      </c>
      <c r="G94" s="390"/>
      <c r="H94" s="390"/>
      <c r="I94" s="390"/>
      <c r="J94" s="390"/>
      <c r="K94" s="402" t="s">
        <v>480</v>
      </c>
      <c r="L94" s="390"/>
      <c r="M94" s="390"/>
      <c r="N94" s="390"/>
      <c r="O94" s="390"/>
    </row>
  </sheetData>
  <mergeCells count="90">
    <mergeCell ref="K94:O94"/>
    <mergeCell ref="A82:B82"/>
    <mergeCell ref="A84:B84"/>
    <mergeCell ref="A87:B87"/>
    <mergeCell ref="A88:B88"/>
    <mergeCell ref="A89:B89"/>
    <mergeCell ref="A90:B90"/>
    <mergeCell ref="A91:B91"/>
    <mergeCell ref="A92:B92"/>
    <mergeCell ref="A93:C93"/>
    <mergeCell ref="A94:E94"/>
    <mergeCell ref="F94:J94"/>
    <mergeCell ref="A80:B80"/>
    <mergeCell ref="A67:B67"/>
    <mergeCell ref="A68:B68"/>
    <mergeCell ref="A69:B69"/>
    <mergeCell ref="A70:B70"/>
    <mergeCell ref="A72:B72"/>
    <mergeCell ref="A74:B74"/>
    <mergeCell ref="A75:B75"/>
    <mergeCell ref="A76:B76"/>
    <mergeCell ref="A77:B77"/>
    <mergeCell ref="A78:B78"/>
    <mergeCell ref="A79:B79"/>
    <mergeCell ref="A66:B66"/>
    <mergeCell ref="A53:B53"/>
    <mergeCell ref="A54:B54"/>
    <mergeCell ref="A55:B55"/>
    <mergeCell ref="A56:B56"/>
    <mergeCell ref="A57:B57"/>
    <mergeCell ref="A58:B58"/>
    <mergeCell ref="A59:B59"/>
    <mergeCell ref="A62:B62"/>
    <mergeCell ref="A63:B63"/>
    <mergeCell ref="A64:B64"/>
    <mergeCell ref="A65:B65"/>
    <mergeCell ref="A52:B52"/>
    <mergeCell ref="A40:B40"/>
    <mergeCell ref="A41:B41"/>
    <mergeCell ref="A42:B42"/>
    <mergeCell ref="A43:B43"/>
    <mergeCell ref="A44:B44"/>
    <mergeCell ref="A45:B45"/>
    <mergeCell ref="A46:B46"/>
    <mergeCell ref="A48:B48"/>
    <mergeCell ref="A49:B49"/>
    <mergeCell ref="A50:B50"/>
    <mergeCell ref="A51:B51"/>
    <mergeCell ref="A39:B39"/>
    <mergeCell ref="A28:B28"/>
    <mergeCell ref="A29:B29"/>
    <mergeCell ref="A30:B30"/>
    <mergeCell ref="A31:B31"/>
    <mergeCell ref="A32:B32"/>
    <mergeCell ref="A33:B33"/>
    <mergeCell ref="A34:B34"/>
    <mergeCell ref="A35:B35"/>
    <mergeCell ref="A36:B36"/>
    <mergeCell ref="A37:B37"/>
    <mergeCell ref="A38:B38"/>
    <mergeCell ref="A27:B27"/>
    <mergeCell ref="A15:B15"/>
    <mergeCell ref="A16:B16"/>
    <mergeCell ref="A17:B17"/>
    <mergeCell ref="A18:B18"/>
    <mergeCell ref="A19:B19"/>
    <mergeCell ref="A21:B21"/>
    <mergeCell ref="A22:B22"/>
    <mergeCell ref="A23:B23"/>
    <mergeCell ref="A24:B24"/>
    <mergeCell ref="A25:B25"/>
    <mergeCell ref="A26:B26"/>
    <mergeCell ref="A14:B14"/>
    <mergeCell ref="M4:O4"/>
    <mergeCell ref="A5:B5"/>
    <mergeCell ref="M5:N5"/>
    <mergeCell ref="A6:B6"/>
    <mergeCell ref="A7:B7"/>
    <mergeCell ref="A8:B8"/>
    <mergeCell ref="A9:B9"/>
    <mergeCell ref="A10:B10"/>
    <mergeCell ref="A11:B11"/>
    <mergeCell ref="A12:B12"/>
    <mergeCell ref="A13:B13"/>
    <mergeCell ref="L3:M3"/>
    <mergeCell ref="A1:D3"/>
    <mergeCell ref="E1:H1"/>
    <mergeCell ref="I1:K1"/>
    <mergeCell ref="E2:H2"/>
    <mergeCell ref="I3:K3"/>
  </mergeCells>
  <hyperlinks>
    <hyperlink ref="L3" location="TOC" display="Drill-Through Definition1" xr:uid="{93C5E0B6-CBDD-4360-B8C7-D696F92A6BA5}"/>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U1OTlGODFCLTRCOTEtNDg5Ny1BRjU2LUZDNkI0MDgwMTRGMX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A3OTI8L1VzZXJOYW1lPjxEYXRlVGltZT45LzIyLzIwMjYgNzowMToxOSBQTTwvRGF0ZVRpbWU+PExhYmVsU3RyaW5nPkFFUCBJbnRlcm5hb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zkf3Z14FDxFOmC9RIHHcWIomqolZ9XzdkXML096sACs=</DigestValue>
      </Reference>
      <Reference URI="#CLASSIFICATIONHISTORY">
        <DigestMethod Algorithm="http://www.w3.org/2001/04/xmlenc#sha256"/>
        <DigestValue>eruhumZm/U062J/XPYPqeI6jsKEucVQKCcnQjdSixXE=</DigestValue>
      </Reference>
    </SignedInfo>
    <SignatureValue>uIQ2WwiBnSBhW/6/OpcbCJOSBTpO10UWMAIXXuz8sTUVBbBT3preQ86+RzLMz5NMoNJxaNo+06YWPGCjZE09UQ==</SignatureValue>
    <Object Id="CLASSIFICATIONHISTORY">
      <ArrayOfString xmlns:xsd="http://www.w3.org/2001/XMLSchema" xmlns:xsi="http://www.w3.org/2001/XMLSchema-instance" xmlns="">
        <string>fIU9719wofpNQLxsGowEewZb2U8CIDhP</string>
      </ArrayOfString>
    </Object>
  </Signature>
</WrappedLabelHistory>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element uid="d14f5c36-f44a-4315-b438-005cfe8f069f" value=""/>
</sisl>
</file>

<file path=customXml/itemProps1.xml><?xml version="1.0" encoding="utf-8"?>
<ds:datastoreItem xmlns:ds="http://schemas.openxmlformats.org/officeDocument/2006/customXml" ds:itemID="{E599F81B-4B91-4897-AF56-FC6B408014F1}">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94F14D98-05E8-4D51-9911-440CE1895D24}">
  <ds:schemaRefs>
    <ds:schemaRef ds:uri="http://schemas.microsoft.com/office/2006/documentManagement/types"/>
    <ds:schemaRef ds:uri="http://purl.org/dc/dcmitype/"/>
    <ds:schemaRef ds:uri="http://purl.org/dc/elements/1.1/"/>
    <ds:schemaRef ds:uri="http://www.w3.org/XML/1998/namespace"/>
    <ds:schemaRef ds:uri="http://schemas.openxmlformats.org/package/2006/metadata/core-properties"/>
    <ds:schemaRef ds:uri="http://schemas.microsoft.com/office/2006/metadata/properties"/>
    <ds:schemaRef ds:uri="b6888f76-1100-40b0-929b-1efe9044426d"/>
    <ds:schemaRef ds:uri="http://purl.org/dc/terms/"/>
    <ds:schemaRef ds:uri="http://schemas.microsoft.com/office/infopath/2007/PartnerControls"/>
    <ds:schemaRef ds:uri="f88ffb1c-9230-4705-a789-27bae69f5829"/>
  </ds:schemaRefs>
</ds:datastoreItem>
</file>

<file path=customXml/itemProps3.xml><?xml version="1.0" encoding="utf-8"?>
<ds:datastoreItem xmlns:ds="http://schemas.openxmlformats.org/officeDocument/2006/customXml" ds:itemID="{895591C5-A1EC-485E-9C78-F415A82CC597}">
  <ds:schemaRefs>
    <ds:schemaRef ds:uri="http://schemas.microsoft.com/sharepoint/v3/contenttype/forms"/>
  </ds:schemaRefs>
</ds:datastoreItem>
</file>

<file path=customXml/itemProps4.xml><?xml version="1.0" encoding="utf-8"?>
<ds:datastoreItem xmlns:ds="http://schemas.openxmlformats.org/officeDocument/2006/customXml" ds:itemID="{E6173A10-2E7E-4FCE-8804-B72A508CCD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B6D7F3F-A39F-44C0-887A-2EAFC2903AA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Summary</vt:lpstr>
      <vt:lpstr>AEP 12CP</vt:lpstr>
      <vt:lpstr>Res Impact</vt:lpstr>
      <vt:lpstr>Source Info&gt;&gt;</vt:lpstr>
      <vt:lpstr>Actual RTEP Expense for 2025</vt:lpstr>
      <vt:lpstr>Zonal Rates</vt:lpstr>
      <vt:lpstr>TransCo PJM Zonal Rates</vt:lpstr>
      <vt:lpstr>AMPT RR</vt:lpstr>
      <vt:lpstr>03,KY</vt:lpstr>
      <vt:lpstr>'AMPT RR'!Print_Area</vt:lpstr>
      <vt:lpstr>'TransCo PJM Zonal Rates'!Print_Area</vt:lpstr>
      <vt:lpstr>'Zonal Rates'!Print_Area</vt:lpstr>
      <vt:lpstr>TOC_3</vt:lpstr>
      <vt:lpstr>TOC_4</vt:lpstr>
      <vt:lpstr>TOC_5</vt:lpstr>
    </vt:vector>
  </TitlesOfParts>
  <Company>American Electric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Lerah M Kahn</dc:creator>
  <cp:lastModifiedBy>Hayden A Capace</cp:lastModifiedBy>
  <dcterms:created xsi:type="dcterms:W3CDTF">2026-09-22T16:29:35Z</dcterms:created>
  <dcterms:modified xsi:type="dcterms:W3CDTF">2026-09-25T19:19:29Z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b869e80c-6ad8-4a4e-952c-03d71cab2df4</vt:lpwstr>
  </property>
  <property fmtid="{D5CDD505-2E9C-101B-9397-08002B2CF9AE}" pid="3" name="bjClsUserRVM">
    <vt:lpwstr>[]</vt:lpwstr>
  </property>
  <property fmtid="{D5CDD505-2E9C-101B-9397-08002B2CF9AE}" pid="4" name="bjSaver">
    <vt:lpwstr>Yzo6iu4RCOp5VcJWjy40zzIEO7NbA0wx</vt:lpwstr>
  </property>
  <property fmtid="{D5CDD505-2E9C-101B-9397-08002B2CF9AE}" pid="5"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6" name="bjDocumentLabelXML-0">
    <vt:lpwstr>ames.com/2008/01/sie/internal/label"&gt;&lt;element uid="50c31824-0780-4910-87d1-eaaffd182d42" value="" /&gt;&lt;element uid="d14f5c36-f44a-4315-b438-005cfe8f069f" value="" /&gt;&lt;/sisl&gt;</vt:lpwstr>
  </property>
  <property fmtid="{D5CDD505-2E9C-101B-9397-08002B2CF9AE}" pid="7" name="bjDocumentSecurityLabel">
    <vt:lpwstr>AEP Internal</vt:lpwstr>
  </property>
  <property fmtid="{D5CDD505-2E9C-101B-9397-08002B2CF9AE}" pid="8" name="MSIP_Label_69f43042-6bda-44b2-91eb-eca3d3d484f4_SiteId">
    <vt:lpwstr>15f3c881-6b03-4ff6-8559-77bf5177818f</vt:lpwstr>
  </property>
  <property fmtid="{D5CDD505-2E9C-101B-9397-08002B2CF9AE}" pid="9" name="MSIP_Label_69f43042-6bda-44b2-91eb-eca3d3d484f4_Name">
    <vt:lpwstr>AEP Internal</vt:lpwstr>
  </property>
  <property fmtid="{D5CDD505-2E9C-101B-9397-08002B2CF9AE}" pid="10" name="MSIP_Label_69f43042-6bda-44b2-91eb-eca3d3d484f4_Enabled">
    <vt:lpwstr>true</vt:lpwstr>
  </property>
  <property fmtid="{D5CDD505-2E9C-101B-9397-08002B2CF9AE}" pid="11" name="bjpmDocIH">
    <vt:lpwstr>UlCBV6MZkbRiHma6CQZ9UtsxQkWfju0H</vt:lpwstr>
  </property>
  <property fmtid="{D5CDD505-2E9C-101B-9397-08002B2CF9AE}" pid="12" name="bjLabelHistoryID">
    <vt:lpwstr>{E599F81B-4B91-4897-AF56-FC6B408014F1}</vt:lpwstr>
  </property>
  <property fmtid="{D5CDD505-2E9C-101B-9397-08002B2CF9AE}" pid="13" name="ContentTypeId">
    <vt:lpwstr>0x0101004DF805D1E1DA4A49A223477D3B105720</vt:lpwstr>
  </property>
  <property fmtid="{D5CDD505-2E9C-101B-9397-08002B2CF9AE}" pid="14" name="MediaServiceImageTags">
    <vt:lpwstr/>
  </property>
</Properties>
</file>