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chober, Trey\Revisions\Allen Station\Regulatory\"/>
    </mc:Choice>
  </mc:AlternateContent>
  <xr:revisionPtr revIDLastSave="0" documentId="13_ncr:1_{3E7584CA-410B-4F38-8CD5-16C1C90472D2}" xr6:coauthVersionLast="47" xr6:coauthVersionMax="47" xr10:uidLastSave="{00000000-0000-0000-0000-000000000000}"/>
  <bookViews>
    <workbookView xWindow="-120" yWindow="-120" windowWidth="38640" windowHeight="15720" activeTab="2" xr2:uid="{CB955536-927D-45F8-99B2-0C0487845D77}"/>
  </bookViews>
  <sheets>
    <sheet name="Proposed Project" sheetId="1" r:id="rId1"/>
    <sheet name="Alternative Solution 2020" sheetId="2" state="hidden" r:id="rId2"/>
    <sheet name="Alternative Solution 20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8" i="3" l="1"/>
  <c r="D30" i="3"/>
  <c r="D44" i="3"/>
  <c r="D20" i="3"/>
  <c r="D22" i="2" l="1"/>
  <c r="J22" i="2"/>
  <c r="K19" i="2"/>
  <c r="J19" i="2"/>
  <c r="K16" i="2"/>
  <c r="J21" i="2"/>
  <c r="J16" i="2"/>
  <c r="E19" i="2"/>
  <c r="D19" i="2"/>
  <c r="E18" i="2"/>
  <c r="D18" i="2"/>
  <c r="D18" i="3" s="1"/>
  <c r="D17" i="2"/>
  <c r="D17" i="3" s="1"/>
  <c r="D21" i="2"/>
  <c r="E16" i="2"/>
  <c r="D16" i="2"/>
  <c r="D16" i="3" s="1"/>
  <c r="E17" i="2"/>
  <c r="D4" i="2"/>
  <c r="D4" i="3" s="1"/>
  <c r="D10" i="2"/>
  <c r="D10" i="3" s="1"/>
  <c r="E7" i="2"/>
  <c r="D7" i="2"/>
  <c r="E6" i="2"/>
  <c r="D6" i="2"/>
  <c r="D6" i="3" s="1"/>
  <c r="E5" i="2"/>
  <c r="D5" i="2"/>
  <c r="D5" i="3" s="1"/>
  <c r="E4" i="2"/>
  <c r="D9" i="2"/>
  <c r="D46" i="2"/>
  <c r="D43" i="2"/>
  <c r="D43" i="3" s="1"/>
  <c r="E43" i="2"/>
  <c r="D42" i="2"/>
  <c r="E42" i="2"/>
  <c r="E41" i="2"/>
  <c r="D41" i="2"/>
  <c r="D45" i="2"/>
  <c r="E40" i="2"/>
  <c r="D40" i="2"/>
  <c r="J10" i="2"/>
  <c r="K7" i="2"/>
  <c r="J7" i="2"/>
  <c r="E7" i="3" l="1"/>
  <c r="J10" i="3"/>
  <c r="J7" i="3"/>
  <c r="K5" i="2"/>
  <c r="J5" i="2"/>
  <c r="J9" i="2"/>
  <c r="J9" i="3" s="1"/>
  <c r="K4" i="2"/>
  <c r="J4" i="2"/>
  <c r="D7" i="3"/>
  <c r="E28" i="3"/>
  <c r="D40" i="3"/>
  <c r="E40" i="3"/>
  <c r="D41" i="3"/>
  <c r="E41" i="3"/>
  <c r="J40" i="3"/>
  <c r="K40" i="3"/>
  <c r="J28" i="3"/>
  <c r="K28" i="3"/>
  <c r="J16" i="3"/>
  <c r="K16" i="3"/>
  <c r="E16" i="3"/>
  <c r="K46" i="3"/>
  <c r="J46" i="3"/>
  <c r="K45" i="3"/>
  <c r="J45" i="3"/>
  <c r="K44" i="3"/>
  <c r="J44" i="3"/>
  <c r="K43" i="3"/>
  <c r="J43" i="3"/>
  <c r="K42" i="3"/>
  <c r="J42" i="3"/>
  <c r="K41" i="3"/>
  <c r="J41" i="3"/>
  <c r="E46" i="3"/>
  <c r="D46" i="3"/>
  <c r="E45" i="3"/>
  <c r="D45" i="3"/>
  <c r="E44" i="3"/>
  <c r="E43" i="3"/>
  <c r="E42" i="3"/>
  <c r="D42" i="3"/>
  <c r="E34" i="3"/>
  <c r="D34" i="3"/>
  <c r="E33" i="3"/>
  <c r="D33" i="3"/>
  <c r="E32" i="3"/>
  <c r="D32" i="3"/>
  <c r="E31" i="3"/>
  <c r="E30" i="3"/>
  <c r="E29" i="3"/>
  <c r="D29" i="3"/>
  <c r="K34" i="3"/>
  <c r="J34" i="3"/>
  <c r="L34" i="3" s="1"/>
  <c r="K33" i="3"/>
  <c r="J33" i="3"/>
  <c r="K32" i="3"/>
  <c r="J32" i="3"/>
  <c r="K31" i="3"/>
  <c r="J31" i="3"/>
  <c r="K30" i="3"/>
  <c r="J30" i="3"/>
  <c r="K29" i="3"/>
  <c r="J29" i="3"/>
  <c r="K22" i="3"/>
  <c r="J22" i="3"/>
  <c r="K21" i="3"/>
  <c r="J21" i="3"/>
  <c r="K20" i="3"/>
  <c r="J20" i="3"/>
  <c r="K19" i="3"/>
  <c r="J19" i="3"/>
  <c r="K18" i="3"/>
  <c r="J18" i="3"/>
  <c r="K17" i="3"/>
  <c r="J17" i="3"/>
  <c r="E22" i="3"/>
  <c r="D22" i="3"/>
  <c r="E21" i="3"/>
  <c r="D21" i="3"/>
  <c r="E20" i="3"/>
  <c r="F20" i="3"/>
  <c r="E19" i="3"/>
  <c r="D19" i="3"/>
  <c r="E18" i="3"/>
  <c r="E17" i="3"/>
  <c r="K10" i="3"/>
  <c r="K9" i="3"/>
  <c r="K8" i="3"/>
  <c r="J8" i="3"/>
  <c r="K7" i="3"/>
  <c r="K6" i="3"/>
  <c r="J6" i="3"/>
  <c r="K5" i="3"/>
  <c r="J5" i="3"/>
  <c r="E4" i="3"/>
  <c r="E5" i="3"/>
  <c r="E6" i="3"/>
  <c r="E8" i="3"/>
  <c r="E9" i="3"/>
  <c r="E10" i="3"/>
  <c r="D8" i="3"/>
  <c r="D9" i="3"/>
  <c r="L4" i="3"/>
  <c r="D46" i="1"/>
  <c r="D44" i="1"/>
  <c r="D22" i="1"/>
  <c r="D19" i="1"/>
  <c r="J43" i="1"/>
  <c r="J46" i="1"/>
  <c r="D45" i="1"/>
  <c r="E43" i="1"/>
  <c r="D43" i="1"/>
  <c r="E42" i="1"/>
  <c r="D42" i="1"/>
  <c r="E41" i="1"/>
  <c r="D41" i="1"/>
  <c r="E40" i="1"/>
  <c r="D40" i="1"/>
  <c r="J45" i="1"/>
  <c r="K43" i="1"/>
  <c r="J16" i="1"/>
  <c r="D18" i="1"/>
  <c r="D17" i="1"/>
  <c r="D16" i="1"/>
  <c r="D21" i="1"/>
  <c r="E19" i="1"/>
  <c r="E18" i="1"/>
  <c r="E16" i="1"/>
  <c r="D20" i="1"/>
  <c r="E17" i="1"/>
  <c r="J34" i="1"/>
  <c r="D34" i="1"/>
  <c r="D10" i="1"/>
  <c r="D9" i="1"/>
  <c r="D8" i="1"/>
  <c r="D4" i="1"/>
  <c r="E4" i="1"/>
  <c r="D5" i="1"/>
  <c r="E7" i="1"/>
  <c r="K7" i="1"/>
  <c r="J7" i="1"/>
  <c r="J10" i="1"/>
  <c r="D7" i="1"/>
  <c r="E6" i="1"/>
  <c r="D6" i="1"/>
  <c r="E5" i="1"/>
  <c r="L41" i="3" l="1"/>
  <c r="F42" i="3"/>
  <c r="L43" i="3"/>
  <c r="L5" i="3"/>
  <c r="F17" i="3"/>
  <c r="L20" i="3"/>
  <c r="L33" i="3"/>
  <c r="F34" i="3"/>
  <c r="L42" i="3"/>
  <c r="L6" i="3"/>
  <c r="F32" i="3"/>
  <c r="F21" i="3"/>
  <c r="L44" i="3"/>
  <c r="F44" i="3"/>
  <c r="L18" i="3"/>
  <c r="L40" i="3"/>
  <c r="F22" i="3"/>
  <c r="L29" i="3"/>
  <c r="L45" i="3"/>
  <c r="L16" i="3"/>
  <c r="L17" i="3"/>
  <c r="L30" i="3"/>
  <c r="F45" i="3"/>
  <c r="L9" i="3"/>
  <c r="F16" i="3"/>
  <c r="L10" i="3"/>
  <c r="F43" i="3"/>
  <c r="F41" i="3"/>
  <c r="E48" i="3"/>
  <c r="F40" i="3"/>
  <c r="L31" i="3"/>
  <c r="F29" i="3"/>
  <c r="F30" i="3"/>
  <c r="L32" i="3"/>
  <c r="L28" i="3"/>
  <c r="F18" i="3"/>
  <c r="L19" i="3"/>
  <c r="L46" i="3"/>
  <c r="F28" i="3"/>
  <c r="F19" i="3"/>
  <c r="J24" i="3"/>
  <c r="L8" i="3"/>
  <c r="K24" i="3"/>
  <c r="F31" i="3"/>
  <c r="D24" i="3"/>
  <c r="K36" i="3"/>
  <c r="F8" i="3"/>
  <c r="L22" i="3"/>
  <c r="J48" i="3"/>
  <c r="F33" i="3"/>
  <c r="F46" i="3"/>
  <c r="K12" i="3"/>
  <c r="L7" i="3"/>
  <c r="J12" i="3"/>
  <c r="F10" i="3"/>
  <c r="F6" i="3"/>
  <c r="E12" i="3"/>
  <c r="F9" i="3"/>
  <c r="F7" i="3"/>
  <c r="D36" i="3"/>
  <c r="E36" i="3"/>
  <c r="K48" i="3"/>
  <c r="D48" i="3"/>
  <c r="J36" i="3"/>
  <c r="L21" i="3"/>
  <c r="E24" i="3"/>
  <c r="D12" i="3"/>
  <c r="F5" i="3"/>
  <c r="F4" i="3"/>
  <c r="K48" i="2"/>
  <c r="J48" i="2"/>
  <c r="E48" i="2"/>
  <c r="D48" i="2"/>
  <c r="L46" i="2"/>
  <c r="F46" i="2"/>
  <c r="L45" i="2"/>
  <c r="F45" i="2"/>
  <c r="L44" i="2"/>
  <c r="F44" i="2"/>
  <c r="L43" i="2"/>
  <c r="F43" i="2"/>
  <c r="L42" i="2"/>
  <c r="F42" i="2"/>
  <c r="L41" i="2"/>
  <c r="F41" i="2"/>
  <c r="L40" i="2"/>
  <c r="F40" i="2"/>
  <c r="K36" i="2"/>
  <c r="J36" i="2"/>
  <c r="E36" i="2"/>
  <c r="D36" i="2"/>
  <c r="L34" i="2"/>
  <c r="F34" i="2"/>
  <c r="L33" i="2"/>
  <c r="F33" i="2"/>
  <c r="L32" i="2"/>
  <c r="F32" i="2"/>
  <c r="L31" i="2"/>
  <c r="F31" i="2"/>
  <c r="L30" i="2"/>
  <c r="F30" i="2"/>
  <c r="L29" i="2"/>
  <c r="F29" i="2"/>
  <c r="L28" i="2"/>
  <c r="F28" i="2"/>
  <c r="K24" i="2"/>
  <c r="J24" i="2"/>
  <c r="E24" i="2"/>
  <c r="D24" i="2"/>
  <c r="L22" i="2"/>
  <c r="F22" i="2"/>
  <c r="L21" i="2"/>
  <c r="F21" i="2"/>
  <c r="L20" i="2"/>
  <c r="F20" i="2"/>
  <c r="L19" i="2"/>
  <c r="F19" i="2"/>
  <c r="L18" i="2"/>
  <c r="F18" i="2"/>
  <c r="L17" i="2"/>
  <c r="F17" i="2"/>
  <c r="L16" i="2"/>
  <c r="F16" i="2"/>
  <c r="K12" i="2"/>
  <c r="J12" i="2"/>
  <c r="E12" i="2"/>
  <c r="D12" i="2"/>
  <c r="L10" i="2"/>
  <c r="F10" i="2"/>
  <c r="L9" i="2"/>
  <c r="F9" i="2"/>
  <c r="L8" i="2"/>
  <c r="F8" i="2"/>
  <c r="L7" i="2"/>
  <c r="F7" i="2"/>
  <c r="L6" i="2"/>
  <c r="F6" i="2"/>
  <c r="L5" i="2"/>
  <c r="F5" i="2"/>
  <c r="L4" i="2"/>
  <c r="F4" i="2"/>
  <c r="K48" i="1"/>
  <c r="J48" i="1"/>
  <c r="E48" i="1"/>
  <c r="D48" i="1"/>
  <c r="L46" i="1"/>
  <c r="F46" i="1"/>
  <c r="L45" i="1"/>
  <c r="F45" i="1"/>
  <c r="L44" i="1"/>
  <c r="F44" i="1"/>
  <c r="L43" i="1"/>
  <c r="F43" i="1"/>
  <c r="L42" i="1"/>
  <c r="F42" i="1"/>
  <c r="L41" i="1"/>
  <c r="F41" i="1"/>
  <c r="L40" i="1"/>
  <c r="F40" i="1"/>
  <c r="K36" i="1"/>
  <c r="J36" i="1"/>
  <c r="E36" i="1"/>
  <c r="D36" i="1"/>
  <c r="L34" i="1"/>
  <c r="F34" i="1"/>
  <c r="L33" i="1"/>
  <c r="F33" i="1"/>
  <c r="L32" i="1"/>
  <c r="F32" i="1"/>
  <c r="L31" i="1"/>
  <c r="F31" i="1"/>
  <c r="L30" i="1"/>
  <c r="F30" i="1"/>
  <c r="L29" i="1"/>
  <c r="F29" i="1"/>
  <c r="L28" i="1"/>
  <c r="F28" i="1"/>
  <c r="K24" i="1"/>
  <c r="J24" i="1"/>
  <c r="E24" i="1"/>
  <c r="D24" i="1"/>
  <c r="L22" i="1"/>
  <c r="F22" i="1"/>
  <c r="L21" i="1"/>
  <c r="F21" i="1"/>
  <c r="L20" i="1"/>
  <c r="F20" i="1"/>
  <c r="L19" i="1"/>
  <c r="F19" i="1"/>
  <c r="L18" i="1"/>
  <c r="F18" i="1"/>
  <c r="L17" i="1"/>
  <c r="F17" i="1"/>
  <c r="L16" i="1"/>
  <c r="F16" i="1"/>
  <c r="K12" i="1"/>
  <c r="J12" i="1"/>
  <c r="E12" i="1"/>
  <c r="D12" i="1"/>
  <c r="L10" i="1"/>
  <c r="F10" i="1"/>
  <c r="L9" i="1"/>
  <c r="F9" i="1"/>
  <c r="L8" i="1"/>
  <c r="F8" i="1"/>
  <c r="L7" i="1"/>
  <c r="F7" i="1"/>
  <c r="L6" i="1"/>
  <c r="F6" i="1"/>
  <c r="L5" i="1"/>
  <c r="F5" i="1"/>
  <c r="L4" i="1"/>
  <c r="F4" i="1"/>
  <c r="L48" i="3" l="1"/>
  <c r="L24" i="3"/>
  <c r="F48" i="3"/>
  <c r="F24" i="3"/>
  <c r="L36" i="3"/>
  <c r="F36" i="3"/>
  <c r="L12" i="3"/>
  <c r="F48" i="2"/>
  <c r="L48" i="2"/>
  <c r="F24" i="2"/>
  <c r="L50" i="2" s="1"/>
  <c r="F36" i="2"/>
  <c r="L24" i="2"/>
  <c r="L36" i="2"/>
  <c r="F12" i="3"/>
  <c r="L12" i="1"/>
  <c r="L12" i="2"/>
  <c r="F12" i="2"/>
  <c r="L48" i="1"/>
  <c r="F48" i="1"/>
  <c r="L36" i="1"/>
  <c r="F36" i="1"/>
  <c r="L24" i="1"/>
  <c r="F24" i="1"/>
  <c r="F12" i="1"/>
  <c r="L50" i="3" l="1"/>
  <c r="L50" i="1"/>
</calcChain>
</file>

<file path=xl/sharedStrings.xml><?xml version="1.0" encoding="utf-8"?>
<sst xmlns="http://schemas.openxmlformats.org/spreadsheetml/2006/main" count="368" uniqueCount="43">
  <si>
    <t>T-LINE INSTALL</t>
  </si>
  <si>
    <t>T-LINE REMOVAL</t>
  </si>
  <si>
    <t>Line Work</t>
  </si>
  <si>
    <t>Contingency</t>
  </si>
  <si>
    <t>Total</t>
  </si>
  <si>
    <t>Internal Labor</t>
  </si>
  <si>
    <t>External Engineering</t>
  </si>
  <si>
    <t>Material</t>
  </si>
  <si>
    <t>Construction Labor</t>
  </si>
  <si>
    <t>ROW Acquisition</t>
  </si>
  <si>
    <t>Fleet</t>
  </si>
  <si>
    <t>Overhead</t>
  </si>
  <si>
    <t>Station Work</t>
  </si>
  <si>
    <t>Land Acquisition</t>
  </si>
  <si>
    <t>Total Cost</t>
  </si>
  <si>
    <t>T-STATION INSTALL</t>
  </si>
  <si>
    <t>T-STATION REMOVAL</t>
  </si>
  <si>
    <t>D-LINE INSTALL</t>
  </si>
  <si>
    <t>D-LINE REMOVAL</t>
  </si>
  <si>
    <t>D-STATION INSTALL</t>
  </si>
  <si>
    <t>D-STATION REMOVAL</t>
  </si>
  <si>
    <t>P19092002</t>
  </si>
  <si>
    <t>P19092014</t>
  </si>
  <si>
    <t>P19092016</t>
  </si>
  <si>
    <t>P19092007</t>
  </si>
  <si>
    <t>P19092008</t>
  </si>
  <si>
    <t>P19092011</t>
  </si>
  <si>
    <t>P19092012</t>
  </si>
  <si>
    <t>P19092013</t>
  </si>
  <si>
    <t>P19092017</t>
  </si>
  <si>
    <t>P19092018</t>
  </si>
  <si>
    <t>P19092019</t>
  </si>
  <si>
    <t>TP1909210</t>
  </si>
  <si>
    <t>P19092005</t>
  </si>
  <si>
    <t>P19092006</t>
  </si>
  <si>
    <t>P19092009</t>
  </si>
  <si>
    <t>P19092015</t>
  </si>
  <si>
    <t>P19092022</t>
  </si>
  <si>
    <t>P19092023</t>
  </si>
  <si>
    <t>P19092024</t>
  </si>
  <si>
    <t>P19092020</t>
  </si>
  <si>
    <t>P19092004</t>
  </si>
  <si>
    <t>P19092021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</si>
</sst>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" xfId="0" applyBorder="1"/>
    <xf numFmtId="44" fontId="0" fillId="0" borderId="2" xfId="1" applyFont="1" applyBorder="1"/>
    <xf numFmtId="44" fontId="0" fillId="0" borderId="3" xfId="1" applyFont="1" applyBorder="1"/>
    <xf numFmtId="0" fontId="0" fillId="0" borderId="7" xfId="0" applyBorder="1"/>
    <xf numFmtId="44" fontId="0" fillId="0" borderId="0" xfId="1" applyFont="1" applyBorder="1"/>
    <xf numFmtId="44" fontId="0" fillId="0" borderId="8" xfId="1" applyFont="1" applyBorder="1"/>
    <xf numFmtId="0" fontId="0" fillId="0" borderId="9" xfId="0" applyBorder="1"/>
    <xf numFmtId="44" fontId="0" fillId="0" borderId="10" xfId="1" applyFont="1" applyBorder="1"/>
    <xf numFmtId="44" fontId="2" fillId="0" borderId="11" xfId="1" applyFont="1" applyBorder="1"/>
    <xf numFmtId="44" fontId="2" fillId="0" borderId="0" xfId="1" applyFont="1" applyBorder="1"/>
    <xf numFmtId="0" fontId="2" fillId="0" borderId="0" xfId="0" applyFont="1"/>
    <xf numFmtId="44" fontId="2" fillId="0" borderId="0" xfId="0" applyNumberFormat="1" applyFont="1"/>
    <xf numFmtId="44" fontId="0" fillId="0" borderId="0" xfId="0" applyNumberForma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E0BA-092D-4716-9A31-8D70C1919BDF}">
  <dimension ref="B1:L51"/>
  <sheetViews>
    <sheetView topLeftCell="A27" workbookViewId="0">
      <selection activeCell="F17" sqref="F17"/>
    </sheetView>
  </sheetViews>
  <sheetFormatPr defaultRowHeight="15" x14ac:dyDescent="0.25"/>
  <cols>
    <col min="2" max="2" width="10.140625" hidden="1" customWidth="1"/>
    <col min="3" max="3" width="19" bestFit="1" customWidth="1"/>
    <col min="4" max="4" width="15.28515625" bestFit="1" customWidth="1"/>
    <col min="5" max="5" width="14.28515625" bestFit="1" customWidth="1"/>
    <col min="6" max="6" width="15.28515625" bestFit="1" customWidth="1"/>
    <col min="8" max="8" width="10.140625" hidden="1" customWidth="1"/>
    <col min="9" max="9" width="19" bestFit="1" customWidth="1"/>
    <col min="10" max="11" width="14.28515625" bestFit="1" customWidth="1"/>
    <col min="12" max="12" width="16.28515625" bestFit="1" customWidth="1"/>
  </cols>
  <sheetData>
    <row r="1" spans="2:12" ht="15.75" thickBot="1" x14ac:dyDescent="0.3"/>
    <row r="2" spans="2:12" x14ac:dyDescent="0.25">
      <c r="C2" s="23" t="s">
        <v>0</v>
      </c>
      <c r="D2" s="24"/>
      <c r="E2" s="24"/>
      <c r="F2" s="25"/>
      <c r="I2" s="23" t="s">
        <v>1</v>
      </c>
      <c r="J2" s="24"/>
      <c r="K2" s="24"/>
      <c r="L2" s="25"/>
    </row>
    <row r="3" spans="2:12" ht="15.75" thickBot="1" x14ac:dyDescent="0.3">
      <c r="C3" s="1"/>
      <c r="D3" s="2" t="s">
        <v>2</v>
      </c>
      <c r="E3" s="2" t="s">
        <v>3</v>
      </c>
      <c r="F3" s="3" t="s">
        <v>4</v>
      </c>
      <c r="I3" s="1"/>
      <c r="J3" s="2" t="s">
        <v>2</v>
      </c>
      <c r="K3" s="2" t="s">
        <v>3</v>
      </c>
      <c r="L3" s="3" t="s">
        <v>4</v>
      </c>
    </row>
    <row r="4" spans="2:12" x14ac:dyDescent="0.25">
      <c r="B4" t="s">
        <v>24</v>
      </c>
      <c r="C4" s="4" t="s">
        <v>5</v>
      </c>
      <c r="D4" s="5">
        <f>94181+7843.63+135256+54093+169193+4175.2+4784+45925.05</f>
        <v>515450.88</v>
      </c>
      <c r="E4" s="5">
        <f>9295+12930+5587+16096+6822</f>
        <v>50730</v>
      </c>
      <c r="F4" s="6">
        <f t="shared" ref="F4:F10" si="0">D4+E4</f>
        <v>566180.88</v>
      </c>
      <c r="H4" t="s">
        <v>24</v>
      </c>
      <c r="I4" s="4" t="s">
        <v>5</v>
      </c>
      <c r="J4" s="5"/>
      <c r="K4" s="5"/>
      <c r="L4" s="6">
        <f t="shared" ref="L4:L10" si="1">J4+K4</f>
        <v>0</v>
      </c>
    </row>
    <row r="5" spans="2:12" x14ac:dyDescent="0.25">
      <c r="B5" t="s">
        <v>25</v>
      </c>
      <c r="C5" s="7" t="s">
        <v>6</v>
      </c>
      <c r="D5" s="8">
        <f>1455761+1501660+1241289+1873218</f>
        <v>6071928</v>
      </c>
      <c r="E5" s="8">
        <f>111727+116610+118151+121712</f>
        <v>468200</v>
      </c>
      <c r="F5" s="9">
        <f t="shared" si="0"/>
        <v>6540128</v>
      </c>
      <c r="H5" t="s">
        <v>26</v>
      </c>
      <c r="I5" s="7" t="s">
        <v>6</v>
      </c>
      <c r="J5" s="8"/>
      <c r="K5" s="8"/>
      <c r="L5" s="9">
        <f t="shared" si="1"/>
        <v>0</v>
      </c>
    </row>
    <row r="6" spans="2:12" x14ac:dyDescent="0.25">
      <c r="B6" t="s">
        <v>26</v>
      </c>
      <c r="C6" s="7" t="s">
        <v>7</v>
      </c>
      <c r="D6" s="8">
        <f>367053+615307+237240+514018</f>
        <v>1733618</v>
      </c>
      <c r="E6" s="8">
        <f>66127+111819+42364+93488</f>
        <v>313798</v>
      </c>
      <c r="F6" s="9">
        <f t="shared" si="0"/>
        <v>2047416</v>
      </c>
      <c r="H6" t="s">
        <v>27</v>
      </c>
      <c r="I6" s="7" t="s">
        <v>7</v>
      </c>
      <c r="J6" s="8"/>
      <c r="K6" s="8"/>
      <c r="L6" s="9">
        <f t="shared" si="1"/>
        <v>0</v>
      </c>
    </row>
    <row r="7" spans="2:12" x14ac:dyDescent="0.25">
      <c r="B7" t="s">
        <v>27</v>
      </c>
      <c r="C7" s="7" t="s">
        <v>8</v>
      </c>
      <c r="D7" s="8">
        <f>508748+1228874+492006+1340156</f>
        <v>3569784</v>
      </c>
      <c r="E7" s="8">
        <f>127187+307218+125739+312712+2144502</f>
        <v>3017358</v>
      </c>
      <c r="F7" s="9">
        <f t="shared" si="0"/>
        <v>6587142</v>
      </c>
      <c r="H7" t="s">
        <v>28</v>
      </c>
      <c r="I7" s="7" t="s">
        <v>8</v>
      </c>
      <c r="J7" s="8">
        <f>46619+31729+38531+33599</f>
        <v>150478</v>
      </c>
      <c r="K7" s="8">
        <f>11655+7970+9633+8400</f>
        <v>37658</v>
      </c>
      <c r="L7" s="9">
        <f t="shared" si="1"/>
        <v>188136</v>
      </c>
    </row>
    <row r="8" spans="2:12" x14ac:dyDescent="0.25">
      <c r="B8" t="s">
        <v>28</v>
      </c>
      <c r="C8" s="7" t="s">
        <v>9</v>
      </c>
      <c r="D8" s="8">
        <f>68.23+21140+777.44+37.34+1302.36+46471.59+116344.44+61013.51</f>
        <v>247154.91</v>
      </c>
      <c r="E8" s="8"/>
      <c r="F8" s="9">
        <f t="shared" si="0"/>
        <v>247154.91</v>
      </c>
      <c r="I8" s="7" t="s">
        <v>9</v>
      </c>
      <c r="J8" s="8"/>
      <c r="K8" s="8"/>
      <c r="L8" s="9">
        <f t="shared" si="1"/>
        <v>0</v>
      </c>
    </row>
    <row r="9" spans="2:12" x14ac:dyDescent="0.25">
      <c r="B9" t="s">
        <v>29</v>
      </c>
      <c r="C9" s="7" t="s">
        <v>10</v>
      </c>
      <c r="D9" s="8">
        <f>1667+310.46+2394+925+3027+137.95+324.92</f>
        <v>8786.33</v>
      </c>
      <c r="E9" s="8"/>
      <c r="F9" s="9">
        <f t="shared" si="0"/>
        <v>8786.33</v>
      </c>
      <c r="I9" s="7" t="s">
        <v>10</v>
      </c>
      <c r="J9" s="8"/>
      <c r="K9" s="8"/>
      <c r="L9" s="9">
        <f t="shared" si="1"/>
        <v>0</v>
      </c>
    </row>
    <row r="10" spans="2:12" x14ac:dyDescent="0.25">
      <c r="B10" t="s">
        <v>30</v>
      </c>
      <c r="C10" s="7" t="s">
        <v>11</v>
      </c>
      <c r="D10" s="8">
        <f>609056.6+17781.54+857777.99+397526+794146+19918.85+8420.77+76408.62</f>
        <v>2781036.37</v>
      </c>
      <c r="E10" s="8"/>
      <c r="F10" s="9">
        <f t="shared" si="0"/>
        <v>2781036.37</v>
      </c>
      <c r="I10" s="7" t="s">
        <v>11</v>
      </c>
      <c r="J10" s="8">
        <f>9469+3188+3853+3360</f>
        <v>19870</v>
      </c>
      <c r="K10" s="8"/>
      <c r="L10" s="9">
        <f t="shared" si="1"/>
        <v>19870</v>
      </c>
    </row>
    <row r="11" spans="2:12" x14ac:dyDescent="0.25">
      <c r="B11" t="s">
        <v>31</v>
      </c>
      <c r="C11" s="7"/>
      <c r="D11" s="8"/>
      <c r="E11" s="8"/>
      <c r="F11" s="9"/>
      <c r="I11" s="7"/>
      <c r="J11" s="8"/>
      <c r="K11" s="8"/>
      <c r="L11" s="9"/>
    </row>
    <row r="12" spans="2:12" ht="15.75" thickBot="1" x14ac:dyDescent="0.3">
      <c r="C12" s="10" t="s">
        <v>4</v>
      </c>
      <c r="D12" s="11">
        <f>SUM(D4:D10)</f>
        <v>14927758.489999998</v>
      </c>
      <c r="E12" s="11">
        <f>SUM(E4:E9)</f>
        <v>3850086</v>
      </c>
      <c r="F12" s="12">
        <f>SUM(F4:F10)</f>
        <v>18777844.489999998</v>
      </c>
      <c r="I12" s="10" t="s">
        <v>4</v>
      </c>
      <c r="J12" s="11">
        <f>SUM(J4:J10)</f>
        <v>170348</v>
      </c>
      <c r="K12" s="11">
        <f>SUM(K4:K10)</f>
        <v>37658</v>
      </c>
      <c r="L12" s="12">
        <f>SUM(L4:L10)</f>
        <v>208006</v>
      </c>
    </row>
    <row r="13" spans="2:12" ht="15.75" thickBot="1" x14ac:dyDescent="0.3">
      <c r="D13" s="8"/>
      <c r="E13" s="8"/>
      <c r="F13" s="13"/>
      <c r="J13" s="8"/>
      <c r="K13" s="8"/>
      <c r="L13" s="13"/>
    </row>
    <row r="14" spans="2:12" x14ac:dyDescent="0.25">
      <c r="C14" s="20" t="s">
        <v>15</v>
      </c>
      <c r="D14" s="21"/>
      <c r="E14" s="21"/>
      <c r="F14" s="22"/>
      <c r="I14" s="20" t="s">
        <v>16</v>
      </c>
      <c r="J14" s="21"/>
      <c r="K14" s="21"/>
      <c r="L14" s="22"/>
    </row>
    <row r="15" spans="2:12" ht="15.75" thickBot="1" x14ac:dyDescent="0.3">
      <c r="C15" s="1"/>
      <c r="D15" s="2" t="s">
        <v>12</v>
      </c>
      <c r="E15" s="2" t="s">
        <v>3</v>
      </c>
      <c r="F15" s="3" t="s">
        <v>4</v>
      </c>
      <c r="I15" s="1"/>
      <c r="J15" s="2" t="s">
        <v>12</v>
      </c>
      <c r="K15" s="2" t="s">
        <v>3</v>
      </c>
      <c r="L15" s="3" t="s">
        <v>4</v>
      </c>
    </row>
    <row r="16" spans="2:12" x14ac:dyDescent="0.25">
      <c r="B16" t="s">
        <v>33</v>
      </c>
      <c r="C16" s="7" t="s">
        <v>5</v>
      </c>
      <c r="D16" s="8">
        <f>583729+62099+12877+26561</f>
        <v>685266</v>
      </c>
      <c r="E16" s="8">
        <f>66112+6948+1465</f>
        <v>74525</v>
      </c>
      <c r="F16" s="9">
        <f t="shared" ref="F16:F22" si="2">D16+E16</f>
        <v>759791</v>
      </c>
      <c r="H16" t="s">
        <v>36</v>
      </c>
      <c r="I16" s="7" t="s">
        <v>5</v>
      </c>
      <c r="J16" s="8">
        <f>17058</f>
        <v>17058</v>
      </c>
      <c r="K16" s="8">
        <v>1531</v>
      </c>
      <c r="L16" s="9">
        <f t="shared" ref="L16:L22" si="3">J16+K16</f>
        <v>18589</v>
      </c>
    </row>
    <row r="17" spans="2:12" x14ac:dyDescent="0.25">
      <c r="B17" t="s">
        <v>34</v>
      </c>
      <c r="C17" s="7" t="s">
        <v>6</v>
      </c>
      <c r="D17" s="8">
        <f>788565+17494</f>
        <v>806059</v>
      </c>
      <c r="E17" s="8">
        <f>50706</f>
        <v>50706</v>
      </c>
      <c r="F17" s="9">
        <f t="shared" si="2"/>
        <v>856765</v>
      </c>
      <c r="I17" s="7" t="s">
        <v>6</v>
      </c>
      <c r="J17" s="8"/>
      <c r="K17" s="8"/>
      <c r="L17" s="9">
        <f t="shared" si="3"/>
        <v>0</v>
      </c>
    </row>
    <row r="18" spans="2:12" x14ac:dyDescent="0.25">
      <c r="B18" t="s">
        <v>35</v>
      </c>
      <c r="C18" s="7" t="s">
        <v>7</v>
      </c>
      <c r="D18" s="8">
        <f>8440109+88036+11229+75453</f>
        <v>8614827</v>
      </c>
      <c r="E18" s="8">
        <f>1471200+16160+2005</f>
        <v>1489365</v>
      </c>
      <c r="F18" s="9">
        <f t="shared" si="2"/>
        <v>10104192</v>
      </c>
      <c r="I18" s="7" t="s">
        <v>7</v>
      </c>
      <c r="J18" s="8"/>
      <c r="K18" s="8"/>
      <c r="L18" s="9">
        <f t="shared" si="3"/>
        <v>0</v>
      </c>
    </row>
    <row r="19" spans="2:12" x14ac:dyDescent="0.25">
      <c r="B19" t="s">
        <v>36</v>
      </c>
      <c r="C19" s="7" t="s">
        <v>8</v>
      </c>
      <c r="D19" s="8">
        <f>1955552+111875+53944</f>
        <v>2121371</v>
      </c>
      <c r="E19" s="8">
        <f>452023+27969+13486</f>
        <v>493478</v>
      </c>
      <c r="F19" s="9">
        <f t="shared" si="2"/>
        <v>2614849</v>
      </c>
      <c r="I19" s="7" t="s">
        <v>8</v>
      </c>
      <c r="J19" s="8"/>
      <c r="K19" s="8"/>
      <c r="L19" s="9">
        <f t="shared" si="3"/>
        <v>0</v>
      </c>
    </row>
    <row r="20" spans="2:12" x14ac:dyDescent="0.25">
      <c r="B20" t="s">
        <v>37</v>
      </c>
      <c r="C20" s="7" t="s">
        <v>13</v>
      </c>
      <c r="D20" s="8">
        <f>1647.81+269673-8486+10659</f>
        <v>273493.81</v>
      </c>
      <c r="E20" s="8"/>
      <c r="F20" s="9">
        <f t="shared" si="2"/>
        <v>273493.81</v>
      </c>
      <c r="I20" s="7" t="s">
        <v>13</v>
      </c>
      <c r="J20" s="8"/>
      <c r="K20" s="8"/>
      <c r="L20" s="9">
        <f t="shared" si="3"/>
        <v>0</v>
      </c>
    </row>
    <row r="21" spans="2:12" x14ac:dyDescent="0.25">
      <c r="B21" t="s">
        <v>38</v>
      </c>
      <c r="C21" s="7" t="s">
        <v>10</v>
      </c>
      <c r="D21" s="8">
        <f>10331+1099+228</f>
        <v>11658</v>
      </c>
      <c r="E21" s="8"/>
      <c r="F21" s="9">
        <f t="shared" si="2"/>
        <v>11658</v>
      </c>
      <c r="I21" s="7" t="s">
        <v>10</v>
      </c>
      <c r="J21" s="8">
        <v>292</v>
      </c>
      <c r="K21" s="8"/>
      <c r="L21" s="9">
        <f t="shared" si="3"/>
        <v>292</v>
      </c>
    </row>
    <row r="22" spans="2:12" x14ac:dyDescent="0.25">
      <c r="B22" t="s">
        <v>39</v>
      </c>
      <c r="C22" s="7" t="s">
        <v>11</v>
      </c>
      <c r="D22" s="8">
        <f>2504272+150874+29214+61053</f>
        <v>2745413</v>
      </c>
      <c r="E22" s="8"/>
      <c r="F22" s="9">
        <f t="shared" si="2"/>
        <v>2745413</v>
      </c>
      <c r="I22" s="7" t="s">
        <v>11</v>
      </c>
      <c r="J22" s="8">
        <v>21570</v>
      </c>
      <c r="K22" s="8"/>
      <c r="L22" s="9">
        <f t="shared" si="3"/>
        <v>21570</v>
      </c>
    </row>
    <row r="23" spans="2:12" x14ac:dyDescent="0.25">
      <c r="C23" s="7"/>
      <c r="D23" s="8"/>
      <c r="E23" s="8"/>
      <c r="F23" s="9"/>
      <c r="I23" s="7"/>
      <c r="J23" s="8"/>
      <c r="K23" s="8"/>
      <c r="L23" s="9"/>
    </row>
    <row r="24" spans="2:12" ht="15.75" thickBot="1" x14ac:dyDescent="0.3">
      <c r="C24" s="10" t="s">
        <v>4</v>
      </c>
      <c r="D24" s="11">
        <f>SUM(D16:D22)</f>
        <v>15258087.810000001</v>
      </c>
      <c r="E24" s="11">
        <f>SUM(E16:E22)</f>
        <v>2108074</v>
      </c>
      <c r="F24" s="12">
        <f>SUM(F16:F22)</f>
        <v>17366161.810000002</v>
      </c>
      <c r="I24" s="10" t="s">
        <v>4</v>
      </c>
      <c r="J24" s="11">
        <f>SUM(J16:J22)</f>
        <v>38920</v>
      </c>
      <c r="K24" s="11">
        <f>SUM(K16:K22)</f>
        <v>1531</v>
      </c>
      <c r="L24" s="12">
        <f>SUM(L16:L22)</f>
        <v>40451</v>
      </c>
    </row>
    <row r="25" spans="2:12" ht="15.75" thickBot="1" x14ac:dyDescent="0.3"/>
    <row r="26" spans="2:12" x14ac:dyDescent="0.25">
      <c r="C26" s="23" t="s">
        <v>17</v>
      </c>
      <c r="D26" s="24"/>
      <c r="E26" s="24"/>
      <c r="F26" s="25"/>
      <c r="I26" s="23" t="s">
        <v>18</v>
      </c>
      <c r="J26" s="24"/>
      <c r="K26" s="24"/>
      <c r="L26" s="25"/>
    </row>
    <row r="27" spans="2:12" ht="15.75" thickBot="1" x14ac:dyDescent="0.3">
      <c r="C27" s="1"/>
      <c r="D27" s="2" t="s">
        <v>2</v>
      </c>
      <c r="E27" s="2" t="s">
        <v>3</v>
      </c>
      <c r="F27" s="3" t="s">
        <v>4</v>
      </c>
      <c r="I27" s="1"/>
      <c r="J27" s="2" t="s">
        <v>2</v>
      </c>
      <c r="K27" s="2" t="s">
        <v>3</v>
      </c>
      <c r="L27" s="3" t="s">
        <v>4</v>
      </c>
    </row>
    <row r="28" spans="2:12" x14ac:dyDescent="0.25">
      <c r="B28" t="s">
        <v>32</v>
      </c>
      <c r="C28" s="4" t="s">
        <v>5</v>
      </c>
      <c r="D28" s="5">
        <v>2423.7800000000002</v>
      </c>
      <c r="E28" s="5"/>
      <c r="F28" s="6">
        <f t="shared" ref="F28:F34" si="4">D28+E28</f>
        <v>2423.7800000000002</v>
      </c>
      <c r="I28" s="4" t="s">
        <v>5</v>
      </c>
      <c r="J28" s="5">
        <v>776.39</v>
      </c>
      <c r="K28" s="5"/>
      <c r="L28" s="6">
        <f t="shared" ref="L28:L34" si="5">J28+K28</f>
        <v>776.39</v>
      </c>
    </row>
    <row r="29" spans="2:12" x14ac:dyDescent="0.25">
      <c r="C29" s="7" t="s">
        <v>6</v>
      </c>
      <c r="D29" s="8">
        <v>191102.6</v>
      </c>
      <c r="E29" s="8"/>
      <c r="F29" s="9">
        <f t="shared" si="4"/>
        <v>191102.6</v>
      </c>
      <c r="I29" s="7" t="s">
        <v>6</v>
      </c>
      <c r="J29" s="8"/>
      <c r="K29" s="8"/>
      <c r="L29" s="9">
        <f t="shared" si="5"/>
        <v>0</v>
      </c>
    </row>
    <row r="30" spans="2:12" x14ac:dyDescent="0.25">
      <c r="C30" s="7" t="s">
        <v>7</v>
      </c>
      <c r="D30" s="8">
        <v>114683</v>
      </c>
      <c r="E30" s="8"/>
      <c r="F30" s="9">
        <f t="shared" si="4"/>
        <v>114683</v>
      </c>
      <c r="I30" s="7" t="s">
        <v>7</v>
      </c>
      <c r="J30" s="8"/>
      <c r="K30" s="8"/>
      <c r="L30" s="9">
        <f t="shared" si="5"/>
        <v>0</v>
      </c>
    </row>
    <row r="31" spans="2:12" x14ac:dyDescent="0.25">
      <c r="C31" s="7" t="s">
        <v>8</v>
      </c>
      <c r="D31" s="8"/>
      <c r="E31" s="8"/>
      <c r="F31" s="9">
        <f t="shared" si="4"/>
        <v>0</v>
      </c>
      <c r="I31" s="7" t="s">
        <v>8</v>
      </c>
      <c r="J31" s="8"/>
      <c r="K31" s="8"/>
      <c r="L31" s="9">
        <f t="shared" si="5"/>
        <v>0</v>
      </c>
    </row>
    <row r="32" spans="2:12" x14ac:dyDescent="0.25">
      <c r="C32" s="7" t="s">
        <v>9</v>
      </c>
      <c r="D32" s="8">
        <v>9024.24</v>
      </c>
      <c r="E32" s="8"/>
      <c r="F32" s="9">
        <f t="shared" si="4"/>
        <v>9024.24</v>
      </c>
      <c r="I32" s="7" t="s">
        <v>9</v>
      </c>
      <c r="J32" s="8">
        <v>18638.03</v>
      </c>
      <c r="K32" s="8"/>
      <c r="L32" s="9">
        <f t="shared" si="5"/>
        <v>18638.03</v>
      </c>
    </row>
    <row r="33" spans="2:12" x14ac:dyDescent="0.25">
      <c r="C33" s="7" t="s">
        <v>10</v>
      </c>
      <c r="D33" s="8">
        <v>290.11</v>
      </c>
      <c r="E33" s="8"/>
      <c r="F33" s="9">
        <f t="shared" si="4"/>
        <v>290.11</v>
      </c>
      <c r="I33" s="7" t="s">
        <v>10</v>
      </c>
      <c r="J33" s="8">
        <v>98.6</v>
      </c>
      <c r="K33" s="8"/>
      <c r="L33" s="9">
        <f t="shared" si="5"/>
        <v>98.6</v>
      </c>
    </row>
    <row r="34" spans="2:12" x14ac:dyDescent="0.25">
      <c r="C34" s="7" t="s">
        <v>11</v>
      </c>
      <c r="D34" s="8">
        <f>1017.7+60955.86+23990.36</f>
        <v>85963.92</v>
      </c>
      <c r="E34" s="8"/>
      <c r="F34" s="9">
        <f t="shared" si="4"/>
        <v>85963.92</v>
      </c>
      <c r="I34" s="7" t="s">
        <v>11</v>
      </c>
      <c r="J34" s="8">
        <f>332.33+311.1</f>
        <v>643.43000000000006</v>
      </c>
      <c r="K34" s="8"/>
      <c r="L34" s="9">
        <f t="shared" si="5"/>
        <v>643.43000000000006</v>
      </c>
    </row>
    <row r="35" spans="2:12" x14ac:dyDescent="0.25">
      <c r="C35" s="7"/>
      <c r="D35" s="8"/>
      <c r="E35" s="8"/>
      <c r="F35" s="9"/>
      <c r="I35" s="7"/>
      <c r="J35" s="8"/>
      <c r="K35" s="8"/>
      <c r="L35" s="9"/>
    </row>
    <row r="36" spans="2:12" ht="15.75" thickBot="1" x14ac:dyDescent="0.3">
      <c r="C36" s="10" t="s">
        <v>4</v>
      </c>
      <c r="D36" s="11">
        <f>SUM(D28:D34)</f>
        <v>403487.64999999997</v>
      </c>
      <c r="E36" s="11">
        <f>SUM(E28:E33)</f>
        <v>0</v>
      </c>
      <c r="F36" s="12">
        <f>SUM(F28:F34)</f>
        <v>403487.64999999997</v>
      </c>
      <c r="I36" s="10" t="s">
        <v>4</v>
      </c>
      <c r="J36" s="11">
        <f>SUM(J28:J34)</f>
        <v>20156.449999999997</v>
      </c>
      <c r="K36" s="11">
        <f>SUM(K28:K34)</f>
        <v>0</v>
      </c>
      <c r="L36" s="12">
        <f>SUM(L28:L34)</f>
        <v>20156.449999999997</v>
      </c>
    </row>
    <row r="37" spans="2:12" ht="15.75" thickBot="1" x14ac:dyDescent="0.3">
      <c r="D37" s="8"/>
      <c r="E37" s="8"/>
      <c r="F37" s="13"/>
      <c r="J37" s="8"/>
      <c r="K37" s="8"/>
      <c r="L37" s="13"/>
    </row>
    <row r="38" spans="2:12" x14ac:dyDescent="0.25">
      <c r="C38" s="20" t="s">
        <v>19</v>
      </c>
      <c r="D38" s="21"/>
      <c r="E38" s="21"/>
      <c r="F38" s="22"/>
      <c r="I38" s="20" t="s">
        <v>20</v>
      </c>
      <c r="J38" s="21"/>
      <c r="K38" s="21"/>
      <c r="L38" s="22"/>
    </row>
    <row r="39" spans="2:12" ht="15.75" thickBot="1" x14ac:dyDescent="0.3">
      <c r="C39" s="1"/>
      <c r="D39" s="2" t="s">
        <v>12</v>
      </c>
      <c r="E39" s="2" t="s">
        <v>3</v>
      </c>
      <c r="F39" s="3" t="s">
        <v>4</v>
      </c>
      <c r="I39" s="1"/>
      <c r="J39" s="2" t="s">
        <v>12</v>
      </c>
      <c r="K39" s="2" t="s">
        <v>3</v>
      </c>
      <c r="L39" s="3" t="s">
        <v>4</v>
      </c>
    </row>
    <row r="40" spans="2:12" x14ac:dyDescent="0.25">
      <c r="B40" t="s">
        <v>21</v>
      </c>
      <c r="C40" s="7" t="s">
        <v>5</v>
      </c>
      <c r="D40" s="8">
        <f>373176+168107+78553</f>
        <v>619836</v>
      </c>
      <c r="E40" s="8">
        <f>40107+29231+11743</f>
        <v>81081</v>
      </c>
      <c r="F40" s="9">
        <f t="shared" ref="F40:F46" si="6">D40+E40</f>
        <v>700917</v>
      </c>
      <c r="H40" t="s">
        <v>21</v>
      </c>
      <c r="I40" s="7" t="s">
        <v>5</v>
      </c>
      <c r="J40" s="8"/>
      <c r="K40" s="8"/>
      <c r="L40" s="9">
        <f t="shared" ref="L40:L46" si="7">J40+K40</f>
        <v>0</v>
      </c>
    </row>
    <row r="41" spans="2:12" x14ac:dyDescent="0.25">
      <c r="B41" t="s">
        <v>22</v>
      </c>
      <c r="C41" s="7" t="s">
        <v>6</v>
      </c>
      <c r="D41" s="8">
        <f>240148+30850+94148</f>
        <v>365146</v>
      </c>
      <c r="E41" s="8">
        <f>14687+9415</f>
        <v>24102</v>
      </c>
      <c r="F41" s="9">
        <f t="shared" si="6"/>
        <v>389248</v>
      </c>
      <c r="H41" t="s">
        <v>22</v>
      </c>
      <c r="I41" s="7" t="s">
        <v>6</v>
      </c>
      <c r="J41" s="8"/>
      <c r="K41" s="8"/>
      <c r="L41" s="9">
        <f t="shared" si="7"/>
        <v>0</v>
      </c>
    </row>
    <row r="42" spans="2:12" x14ac:dyDescent="0.25">
      <c r="B42" t="s">
        <v>23</v>
      </c>
      <c r="C42" s="7" t="s">
        <v>7</v>
      </c>
      <c r="D42" s="8">
        <f>4187195+420096+99183</f>
        <v>4706474</v>
      </c>
      <c r="E42" s="8">
        <f>747951+77063+18219</f>
        <v>843233</v>
      </c>
      <c r="F42" s="9">
        <f t="shared" si="6"/>
        <v>5549707</v>
      </c>
      <c r="H42" t="s">
        <v>23</v>
      </c>
      <c r="I42" s="7" t="s">
        <v>7</v>
      </c>
      <c r="J42" s="8"/>
      <c r="K42" s="8"/>
      <c r="L42" s="9">
        <f t="shared" si="7"/>
        <v>0</v>
      </c>
    </row>
    <row r="43" spans="2:12" x14ac:dyDescent="0.25">
      <c r="C43" s="7" t="s">
        <v>8</v>
      </c>
      <c r="D43" s="8">
        <f>1439737+177092+104584</f>
        <v>1721413</v>
      </c>
      <c r="E43" s="8">
        <f>360014+44273+26146</f>
        <v>430433</v>
      </c>
      <c r="F43" s="9">
        <f t="shared" si="6"/>
        <v>2151846</v>
      </c>
      <c r="I43" s="7" t="s">
        <v>8</v>
      </c>
      <c r="J43" s="8">
        <f>984366+3237+3213</f>
        <v>990816</v>
      </c>
      <c r="K43" s="8">
        <f>248383+809</f>
        <v>249192</v>
      </c>
      <c r="L43" s="9">
        <f t="shared" si="7"/>
        <v>1240008</v>
      </c>
    </row>
    <row r="44" spans="2:12" x14ac:dyDescent="0.25">
      <c r="C44" s="7" t="s">
        <v>13</v>
      </c>
      <c r="D44" s="8">
        <f>554.96+209.9+4198.82</f>
        <v>4963.6799999999994</v>
      </c>
      <c r="E44" s="8"/>
      <c r="F44" s="9">
        <f t="shared" si="6"/>
        <v>4963.6799999999994</v>
      </c>
      <c r="I44" s="7" t="s">
        <v>13</v>
      </c>
      <c r="J44" s="8"/>
      <c r="K44" s="8"/>
      <c r="L44" s="9">
        <f t="shared" si="7"/>
        <v>0</v>
      </c>
    </row>
    <row r="45" spans="2:12" x14ac:dyDescent="0.25">
      <c r="C45" s="7" t="s">
        <v>10</v>
      </c>
      <c r="D45" s="8">
        <f>6605+2975+1543.65</f>
        <v>11123.65</v>
      </c>
      <c r="E45" s="8"/>
      <c r="F45" s="9">
        <f t="shared" si="6"/>
        <v>11123.65</v>
      </c>
      <c r="I45" s="7" t="s">
        <v>10</v>
      </c>
      <c r="J45" s="8">
        <f>426</f>
        <v>426</v>
      </c>
      <c r="K45" s="8"/>
      <c r="L45" s="9">
        <f t="shared" si="7"/>
        <v>426</v>
      </c>
    </row>
    <row r="46" spans="2:12" x14ac:dyDescent="0.25">
      <c r="C46" s="7" t="s">
        <v>11</v>
      </c>
      <c r="D46" s="8">
        <f>2071644.59+362982.03+210660</f>
        <v>2645286.62</v>
      </c>
      <c r="E46" s="8"/>
      <c r="F46" s="9">
        <f t="shared" si="6"/>
        <v>2645286.62</v>
      </c>
      <c r="I46" s="7" t="s">
        <v>11</v>
      </c>
      <c r="J46" s="8">
        <f>188634.06+622.26+615.71</f>
        <v>189872.03</v>
      </c>
      <c r="K46" s="8"/>
      <c r="L46" s="9">
        <f t="shared" si="7"/>
        <v>189872.03</v>
      </c>
    </row>
    <row r="47" spans="2:12" x14ac:dyDescent="0.25">
      <c r="C47" s="7"/>
      <c r="D47" s="8"/>
      <c r="E47" s="8"/>
      <c r="F47" s="9"/>
      <c r="I47" s="7"/>
      <c r="J47" s="8"/>
      <c r="K47" s="8"/>
      <c r="L47" s="9"/>
    </row>
    <row r="48" spans="2:12" ht="15.75" thickBot="1" x14ac:dyDescent="0.3">
      <c r="C48" s="10" t="s">
        <v>4</v>
      </c>
      <c r="D48" s="11">
        <f>SUM(D40:D46)</f>
        <v>10074242.949999999</v>
      </c>
      <c r="E48" s="11">
        <f>SUM(E40:E46)</f>
        <v>1378849</v>
      </c>
      <c r="F48" s="12">
        <f>SUM(F40:F46)</f>
        <v>11453091.949999999</v>
      </c>
      <c r="I48" s="10" t="s">
        <v>4</v>
      </c>
      <c r="J48" s="11">
        <f>SUM(J40:J46)</f>
        <v>1181114.03</v>
      </c>
      <c r="K48" s="11">
        <f>SUM(K40:K46)</f>
        <v>249192</v>
      </c>
      <c r="L48" s="12">
        <f>SUM(L40:L46)</f>
        <v>1430306.03</v>
      </c>
    </row>
    <row r="50" spans="11:12" x14ac:dyDescent="0.25">
      <c r="K50" s="14" t="s">
        <v>14</v>
      </c>
      <c r="L50" s="15">
        <f>SUM(F12,L12,F24,L24,F36,L36,F48,L48)</f>
        <v>49699505.379999995</v>
      </c>
    </row>
    <row r="51" spans="11:12" x14ac:dyDescent="0.25">
      <c r="L51" s="16"/>
    </row>
  </sheetData>
  <mergeCells count="8">
    <mergeCell ref="C38:F38"/>
    <mergeCell ref="I38:L38"/>
    <mergeCell ref="C26:F26"/>
    <mergeCell ref="I26:L26"/>
    <mergeCell ref="C2:F2"/>
    <mergeCell ref="I2:L2"/>
    <mergeCell ref="C14:F14"/>
    <mergeCell ref="I14:L1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AC46-9ACB-465E-82F1-F3EE66573FB9}">
  <dimension ref="B1:L51"/>
  <sheetViews>
    <sheetView topLeftCell="A27" workbookViewId="0">
      <selection activeCell="L51" sqref="L51"/>
    </sheetView>
  </sheetViews>
  <sheetFormatPr defaultRowHeight="15" x14ac:dyDescent="0.25"/>
  <cols>
    <col min="2" max="2" width="10.140625" hidden="1" customWidth="1"/>
    <col min="3" max="3" width="19" bestFit="1" customWidth="1"/>
    <col min="4" max="4" width="15.28515625" bestFit="1" customWidth="1"/>
    <col min="5" max="5" width="14.28515625" bestFit="1" customWidth="1"/>
    <col min="6" max="6" width="15.28515625" bestFit="1" customWidth="1"/>
    <col min="7" max="7" width="12.5703125" bestFit="1" customWidth="1"/>
    <col min="8" max="8" width="10.140625" hidden="1" customWidth="1"/>
    <col min="9" max="9" width="19" bestFit="1" customWidth="1"/>
    <col min="10" max="11" width="14.28515625" bestFit="1" customWidth="1"/>
    <col min="12" max="12" width="16.28515625" bestFit="1" customWidth="1"/>
  </cols>
  <sheetData>
    <row r="1" spans="2:12" ht="15.75" thickBot="1" x14ac:dyDescent="0.3"/>
    <row r="2" spans="2:12" x14ac:dyDescent="0.25">
      <c r="B2" t="s">
        <v>24</v>
      </c>
      <c r="C2" s="23" t="s">
        <v>0</v>
      </c>
      <c r="D2" s="24"/>
      <c r="E2" s="24"/>
      <c r="F2" s="25"/>
      <c r="I2" s="23" t="s">
        <v>1</v>
      </c>
      <c r="J2" s="24"/>
      <c r="K2" s="24"/>
      <c r="L2" s="25"/>
    </row>
    <row r="3" spans="2:12" ht="15.75" thickBot="1" x14ac:dyDescent="0.3">
      <c r="B3" t="s">
        <v>25</v>
      </c>
      <c r="C3" s="1"/>
      <c r="D3" s="2" t="s">
        <v>2</v>
      </c>
      <c r="E3" s="2" t="s">
        <v>3</v>
      </c>
      <c r="F3" s="3" t="s">
        <v>4</v>
      </c>
      <c r="I3" s="1"/>
      <c r="J3" s="2" t="s">
        <v>2</v>
      </c>
      <c r="K3" s="2" t="s">
        <v>3</v>
      </c>
      <c r="L3" s="3" t="s">
        <v>4</v>
      </c>
    </row>
    <row r="4" spans="2:12" x14ac:dyDescent="0.25">
      <c r="B4" t="s">
        <v>35</v>
      </c>
      <c r="C4" s="4" t="s">
        <v>5</v>
      </c>
      <c r="D4" s="5">
        <f>53548.28+9103.21+4856.24+825.56+123215.2+20946.58+6909.12+1174.55+151369+25732.73+3716.18+631.75+170923.92+29057.07</f>
        <v>602009.3899999999</v>
      </c>
      <c r="E4" s="5">
        <f>7028.87+971.25+17192.98+999.09+21159.18+743.24+23349.71</f>
        <v>71444.319999999992</v>
      </c>
      <c r="F4" s="6">
        <f t="shared" ref="F4:F10" si="0">D4+E4</f>
        <v>673453.70999999985</v>
      </c>
      <c r="H4" t="s">
        <v>24</v>
      </c>
      <c r="I4" s="4" t="s">
        <v>5</v>
      </c>
      <c r="J4" s="5">
        <f>25654.28+4361.23</f>
        <v>30015.51</v>
      </c>
      <c r="K4" s="5">
        <f>3101.79</f>
        <v>3101.79</v>
      </c>
      <c r="L4" s="6">
        <f t="shared" ref="L4:L10" si="1">J4+K4</f>
        <v>33117.299999999996</v>
      </c>
    </row>
    <row r="5" spans="2:12" x14ac:dyDescent="0.25">
      <c r="B5" t="s">
        <v>26</v>
      </c>
      <c r="C5" s="7" t="s">
        <v>6</v>
      </c>
      <c r="D5" s="8">
        <f>358321+49540+272440+16895+248790+32040+499087.5</f>
        <v>1477113.5</v>
      </c>
      <c r="E5" s="8">
        <f>40335.7+9908+30548+3363+27800+6408+52758.75</f>
        <v>171121.45</v>
      </c>
      <c r="F5" s="9">
        <f t="shared" si="0"/>
        <v>1648234.95</v>
      </c>
      <c r="H5" t="s">
        <v>26</v>
      </c>
      <c r="I5" s="7" t="s">
        <v>6</v>
      </c>
      <c r="J5" s="8">
        <f>45196</f>
        <v>45196</v>
      </c>
      <c r="K5" s="8">
        <f>16</f>
        <v>16</v>
      </c>
      <c r="L5" s="9">
        <f t="shared" si="1"/>
        <v>45212</v>
      </c>
    </row>
    <row r="6" spans="2:12" x14ac:dyDescent="0.25">
      <c r="B6" t="s">
        <v>27</v>
      </c>
      <c r="C6" s="7" t="s">
        <v>7</v>
      </c>
      <c r="D6" s="8">
        <f>145055.97+8703.36+10153.92+77370+4642.2+86718.6+5203.12+6070.3+5982.34+358.94+418.76+2872.34+172.34+172.34+115033.81+6902.03+8052.37+43330+2599.8+511353.13+30681.19+32173.12</f>
        <v>1104019.9800000004</v>
      </c>
      <c r="E6" s="8">
        <f>14505.6+8671.86+598.23+287.23+11503.38+51135.31</f>
        <v>86701.609999999986</v>
      </c>
      <c r="F6" s="9">
        <f t="shared" si="0"/>
        <v>1190721.5900000003</v>
      </c>
      <c r="H6" t="s">
        <v>27</v>
      </c>
      <c r="I6" s="7" t="s">
        <v>7</v>
      </c>
      <c r="J6" s="8"/>
      <c r="K6" s="8"/>
      <c r="L6" s="9">
        <f t="shared" si="1"/>
        <v>0</v>
      </c>
    </row>
    <row r="7" spans="2:12" x14ac:dyDescent="0.25">
      <c r="B7" t="s">
        <v>28</v>
      </c>
      <c r="C7" s="7" t="s">
        <v>8</v>
      </c>
      <c r="D7" s="8">
        <f>1794340.93+21500+726017.56+25000+32770.17+5604+1112000.12+20000+3419211.36</f>
        <v>7156444.1400000006</v>
      </c>
      <c r="E7" s="8">
        <f>358868.19+4300+145203.51+5000+6554.03+1120.8+222400.02+4000+683842.27</f>
        <v>1431288.82</v>
      </c>
      <c r="F7" s="9">
        <f t="shared" si="0"/>
        <v>8587732.9600000009</v>
      </c>
      <c r="H7" t="s">
        <v>28</v>
      </c>
      <c r="I7" s="7" t="s">
        <v>8</v>
      </c>
      <c r="J7" s="8">
        <f>19494.9+5057.64+4478.49+35426.34</f>
        <v>64457.369999999995</v>
      </c>
      <c r="K7" s="8">
        <f>3898.98+1011.53+895.7+7085.27</f>
        <v>12891.48</v>
      </c>
      <c r="L7" s="9">
        <f t="shared" si="1"/>
        <v>77348.849999999991</v>
      </c>
    </row>
    <row r="8" spans="2:12" x14ac:dyDescent="0.25">
      <c r="B8" t="s">
        <v>29</v>
      </c>
      <c r="C8" s="7" t="s">
        <v>9</v>
      </c>
      <c r="D8" s="8">
        <v>769777.54</v>
      </c>
      <c r="E8" s="8"/>
      <c r="F8" s="9">
        <f t="shared" si="0"/>
        <v>769777.54</v>
      </c>
      <c r="I8" s="7" t="s">
        <v>9</v>
      </c>
      <c r="J8" s="8"/>
      <c r="K8" s="8"/>
      <c r="L8" s="9">
        <f t="shared" si="1"/>
        <v>0</v>
      </c>
    </row>
    <row r="9" spans="2:12" x14ac:dyDescent="0.25">
      <c r="B9" t="s">
        <v>30</v>
      </c>
      <c r="C9" s="7" t="s">
        <v>10</v>
      </c>
      <c r="D9" s="8">
        <f>5354.83+485.62+12321.52+690.91+15136.9+371.62+17092.39</f>
        <v>51453.79</v>
      </c>
      <c r="E9" s="8"/>
      <c r="F9" s="9">
        <f t="shared" si="0"/>
        <v>51453.79</v>
      </c>
      <c r="I9" s="7" t="s">
        <v>10</v>
      </c>
      <c r="J9" s="8">
        <f>2565.43</f>
        <v>2565.4299999999998</v>
      </c>
      <c r="K9" s="8"/>
      <c r="L9" s="9">
        <f t="shared" si="1"/>
        <v>2565.4299999999998</v>
      </c>
    </row>
    <row r="10" spans="2:12" x14ac:dyDescent="0.25">
      <c r="B10" t="s">
        <v>31</v>
      </c>
      <c r="C10" s="7" t="s">
        <v>11</v>
      </c>
      <c r="D10" s="8">
        <f>520828.5+31139.2+386614.88+20727.54+502888.75+19707.72+1102205.93</f>
        <v>2584112.52</v>
      </c>
      <c r="E10" s="8"/>
      <c r="F10" s="9">
        <f t="shared" si="0"/>
        <v>2584112.52</v>
      </c>
      <c r="I10" s="7" t="s">
        <v>11</v>
      </c>
      <c r="J10" s="8">
        <f>43176.92+505.76+626.99+4959.69</f>
        <v>49269.36</v>
      </c>
      <c r="K10" s="8"/>
      <c r="L10" s="9">
        <f t="shared" si="1"/>
        <v>49269.36</v>
      </c>
    </row>
    <row r="11" spans="2:12" x14ac:dyDescent="0.25">
      <c r="B11" t="s">
        <v>40</v>
      </c>
      <c r="C11" s="7"/>
      <c r="D11" s="8"/>
      <c r="E11" s="8"/>
      <c r="F11" s="9"/>
      <c r="I11" s="7"/>
      <c r="J11" s="8"/>
      <c r="K11" s="8"/>
      <c r="L11" s="9"/>
    </row>
    <row r="12" spans="2:12" ht="15.75" thickBot="1" x14ac:dyDescent="0.3">
      <c r="B12" t="s">
        <v>42</v>
      </c>
      <c r="C12" s="10" t="s">
        <v>4</v>
      </c>
      <c r="D12" s="11">
        <f>SUM(D4:D10)</f>
        <v>13744930.859999999</v>
      </c>
      <c r="E12" s="11">
        <f>SUM(E4:E9)</f>
        <v>1760556.2000000002</v>
      </c>
      <c r="F12" s="12">
        <f>SUM(F4:F10)</f>
        <v>15505487.059999999</v>
      </c>
      <c r="G12" s="16"/>
      <c r="I12" s="10" t="s">
        <v>4</v>
      </c>
      <c r="J12" s="11">
        <f>SUM(J4:J10)</f>
        <v>191503.66999999998</v>
      </c>
      <c r="K12" s="11">
        <f>SUM(K4:K10)</f>
        <v>16009.27</v>
      </c>
      <c r="L12" s="12">
        <f>SUM(L4:L10)</f>
        <v>207512.93999999994</v>
      </c>
    </row>
    <row r="13" spans="2:12" ht="15.75" thickBot="1" x14ac:dyDescent="0.3">
      <c r="D13" s="8"/>
      <c r="E13" s="8"/>
      <c r="F13" s="13"/>
      <c r="J13" s="8"/>
      <c r="K13" s="8"/>
      <c r="L13" s="13"/>
    </row>
    <row r="14" spans="2:12" x14ac:dyDescent="0.25">
      <c r="C14" s="20" t="s">
        <v>15</v>
      </c>
      <c r="D14" s="21"/>
      <c r="E14" s="21"/>
      <c r="F14" s="22"/>
      <c r="I14" s="20" t="s">
        <v>16</v>
      </c>
      <c r="J14" s="21"/>
      <c r="K14" s="21"/>
      <c r="L14" s="22"/>
    </row>
    <row r="15" spans="2:12" ht="15.75" thickBot="1" x14ac:dyDescent="0.3">
      <c r="C15" s="1"/>
      <c r="D15" s="2" t="s">
        <v>12</v>
      </c>
      <c r="E15" s="2" t="s">
        <v>3</v>
      </c>
      <c r="F15" s="3" t="s">
        <v>4</v>
      </c>
      <c r="I15" s="1"/>
      <c r="J15" s="2" t="s">
        <v>12</v>
      </c>
      <c r="K15" s="2" t="s">
        <v>3</v>
      </c>
      <c r="L15" s="3" t="s">
        <v>4</v>
      </c>
    </row>
    <row r="16" spans="2:12" x14ac:dyDescent="0.25">
      <c r="B16" t="s">
        <v>36</v>
      </c>
      <c r="C16" s="7" t="s">
        <v>5</v>
      </c>
      <c r="D16" s="8">
        <f>235875.44+40098.82+23636.94+4018.28+6814.74+1158.51+22590.72+3840.42</f>
        <v>338033.87000000005</v>
      </c>
      <c r="E16" s="8">
        <f>23587.54+2837.73+681.47+2259.07</f>
        <v>29365.81</v>
      </c>
      <c r="F16" s="9">
        <f t="shared" ref="F16:F22" si="2">D16+E16</f>
        <v>367399.68000000005</v>
      </c>
      <c r="H16" t="s">
        <v>36</v>
      </c>
      <c r="I16" s="7" t="s">
        <v>5</v>
      </c>
      <c r="J16" s="8">
        <f>5999.6+1019.93+5999.6+1019.93</f>
        <v>14039.060000000001</v>
      </c>
      <c r="K16" s="8">
        <f>599.96+599.96</f>
        <v>1199.92</v>
      </c>
      <c r="L16" s="9">
        <f t="shared" ref="L16:L22" si="3">J16+K16</f>
        <v>15238.980000000001</v>
      </c>
    </row>
    <row r="17" spans="2:12" x14ac:dyDescent="0.25">
      <c r="B17" t="s">
        <v>23</v>
      </c>
      <c r="C17" s="7" t="s">
        <v>6</v>
      </c>
      <c r="D17" s="8">
        <f>175367+55000+2500+55000</f>
        <v>287867</v>
      </c>
      <c r="E17" s="8">
        <f>6626+250</f>
        <v>6876</v>
      </c>
      <c r="F17" s="9">
        <f t="shared" si="2"/>
        <v>294743</v>
      </c>
      <c r="I17" s="7" t="s">
        <v>6</v>
      </c>
      <c r="J17" s="8"/>
      <c r="K17" s="8"/>
      <c r="L17" s="9">
        <f t="shared" si="3"/>
        <v>0</v>
      </c>
    </row>
    <row r="18" spans="2:12" x14ac:dyDescent="0.25">
      <c r="B18" t="s">
        <v>37</v>
      </c>
      <c r="C18" s="7" t="s">
        <v>7</v>
      </c>
      <c r="D18" s="8">
        <f>1703022.14+102181.33+94968.26+57026.53+3421.59+570.27+7683.52+461.01+153.67+38295.47+2297.73+2680.68</f>
        <v>2012762.2</v>
      </c>
      <c r="E18" s="8">
        <f>170302.21+5702.65+768.35+3829.55</f>
        <v>180602.75999999998</v>
      </c>
      <c r="F18" s="9">
        <f t="shared" si="2"/>
        <v>2193364.96</v>
      </c>
      <c r="I18" s="7" t="s">
        <v>7</v>
      </c>
      <c r="J18" s="8"/>
      <c r="K18" s="8"/>
      <c r="L18" s="9">
        <f t="shared" si="3"/>
        <v>0</v>
      </c>
    </row>
    <row r="19" spans="2:12" x14ac:dyDescent="0.25">
      <c r="B19" t="s">
        <v>38</v>
      </c>
      <c r="C19" s="7" t="s">
        <v>8</v>
      </c>
      <c r="D19" s="8">
        <f>3791029.67+112537.18+33025+97727.99</f>
        <v>4034319.8400000003</v>
      </c>
      <c r="E19" s="8">
        <f>751205.93+20507.44+6355+17545.6</f>
        <v>795613.97</v>
      </c>
      <c r="F19" s="9">
        <f t="shared" si="2"/>
        <v>4829933.8100000005</v>
      </c>
      <c r="I19" s="7" t="s">
        <v>8</v>
      </c>
      <c r="J19" s="8">
        <f>4852+4852</f>
        <v>9704</v>
      </c>
      <c r="K19" s="8">
        <f>970.4+970.4</f>
        <v>1940.8</v>
      </c>
      <c r="L19" s="9">
        <f t="shared" si="3"/>
        <v>11644.8</v>
      </c>
    </row>
    <row r="20" spans="2:12" x14ac:dyDescent="0.25">
      <c r="B20" t="s">
        <v>39</v>
      </c>
      <c r="C20" s="7" t="s">
        <v>13</v>
      </c>
      <c r="D20" s="8">
        <v>740664.88</v>
      </c>
      <c r="E20" s="8"/>
      <c r="F20" s="9">
        <f t="shared" si="2"/>
        <v>740664.88</v>
      </c>
      <c r="I20" s="7" t="s">
        <v>13</v>
      </c>
      <c r="J20" s="8"/>
      <c r="K20" s="8"/>
      <c r="L20" s="9">
        <f t="shared" si="3"/>
        <v>0</v>
      </c>
    </row>
    <row r="21" spans="2:12" x14ac:dyDescent="0.25">
      <c r="C21" s="7" t="s">
        <v>10</v>
      </c>
      <c r="D21" s="8">
        <f>25946.3+2363.69+749.62+2259.07</f>
        <v>31318.679999999997</v>
      </c>
      <c r="E21" s="8"/>
      <c r="F21" s="9">
        <f t="shared" si="2"/>
        <v>31318.679999999997</v>
      </c>
      <c r="I21" s="7" t="s">
        <v>10</v>
      </c>
      <c r="J21" s="8">
        <f>599.96+599.96</f>
        <v>1199.92</v>
      </c>
      <c r="K21" s="8"/>
      <c r="L21" s="9">
        <f t="shared" si="3"/>
        <v>1199.92</v>
      </c>
    </row>
    <row r="22" spans="2:12" x14ac:dyDescent="0.25">
      <c r="C22" s="7" t="s">
        <v>11</v>
      </c>
      <c r="D22" s="8">
        <f>1746067.12+28127.96+15818.57+75658.32+40360.38</f>
        <v>1906032.35</v>
      </c>
      <c r="E22" s="8"/>
      <c r="F22" s="9">
        <f t="shared" si="2"/>
        <v>1906032.35</v>
      </c>
      <c r="I22" s="7" t="s">
        <v>11</v>
      </c>
      <c r="J22" s="8">
        <f>7139.52+8159.46+824.84</f>
        <v>16123.82</v>
      </c>
      <c r="K22" s="8"/>
      <c r="L22" s="9">
        <f t="shared" si="3"/>
        <v>16123.82</v>
      </c>
    </row>
    <row r="23" spans="2:12" x14ac:dyDescent="0.25">
      <c r="C23" s="7"/>
      <c r="D23" s="8"/>
      <c r="E23" s="8"/>
      <c r="F23" s="9"/>
      <c r="I23" s="7"/>
      <c r="J23" s="8"/>
      <c r="K23" s="8"/>
      <c r="L23" s="9"/>
    </row>
    <row r="24" spans="2:12" ht="15.75" thickBot="1" x14ac:dyDescent="0.3">
      <c r="C24" s="10" t="s">
        <v>4</v>
      </c>
      <c r="D24" s="11">
        <f>SUM(D16:D22)</f>
        <v>9350998.8200000003</v>
      </c>
      <c r="E24" s="11">
        <f>SUM(E16:E22)</f>
        <v>1012458.5399999999</v>
      </c>
      <c r="F24" s="12">
        <f>SUM(F16:F22)</f>
        <v>10363457.360000001</v>
      </c>
      <c r="G24" s="16"/>
      <c r="I24" s="10" t="s">
        <v>4</v>
      </c>
      <c r="J24" s="11">
        <f>SUM(J16:J22)</f>
        <v>41066.800000000003</v>
      </c>
      <c r="K24" s="11">
        <f>SUM(K16:K22)</f>
        <v>3140.7200000000003</v>
      </c>
      <c r="L24" s="12">
        <f>SUM(L16:L22)</f>
        <v>44207.519999999997</v>
      </c>
    </row>
    <row r="25" spans="2:12" ht="15.75" thickBot="1" x14ac:dyDescent="0.3"/>
    <row r="26" spans="2:12" x14ac:dyDescent="0.25">
      <c r="C26" s="23" t="s">
        <v>17</v>
      </c>
      <c r="D26" s="24"/>
      <c r="E26" s="24"/>
      <c r="F26" s="25"/>
      <c r="I26" s="23" t="s">
        <v>18</v>
      </c>
      <c r="J26" s="24"/>
      <c r="K26" s="24"/>
      <c r="L26" s="25"/>
    </row>
    <row r="27" spans="2:12" ht="15.75" thickBot="1" x14ac:dyDescent="0.3">
      <c r="C27" s="1"/>
      <c r="D27" s="2" t="s">
        <v>2</v>
      </c>
      <c r="E27" s="2" t="s">
        <v>3</v>
      </c>
      <c r="F27" s="3" t="s">
        <v>4</v>
      </c>
      <c r="I27" s="1"/>
      <c r="J27" s="2" t="s">
        <v>2</v>
      </c>
      <c r="K27" s="2" t="s">
        <v>3</v>
      </c>
      <c r="L27" s="3" t="s">
        <v>4</v>
      </c>
    </row>
    <row r="28" spans="2:12" x14ac:dyDescent="0.25">
      <c r="B28" t="s">
        <v>32</v>
      </c>
      <c r="C28" s="4" t="s">
        <v>5</v>
      </c>
      <c r="D28" s="8">
        <v>3429.6487000000002</v>
      </c>
      <c r="E28" s="8">
        <v>0</v>
      </c>
      <c r="F28" s="6">
        <f t="shared" ref="F28:F34" si="4">D28+E28</f>
        <v>3429.6487000000002</v>
      </c>
      <c r="H28" t="s">
        <v>32</v>
      </c>
      <c r="I28" s="4" t="s">
        <v>5</v>
      </c>
      <c r="J28" s="8">
        <v>1102.4738</v>
      </c>
      <c r="K28" s="8">
        <v>0</v>
      </c>
      <c r="L28" s="6">
        <f t="shared" ref="L28:L34" si="5">J28+K28</f>
        <v>1102.4738</v>
      </c>
    </row>
    <row r="29" spans="2:12" x14ac:dyDescent="0.25">
      <c r="C29" s="7" t="s">
        <v>6</v>
      </c>
      <c r="D29" s="8">
        <v>270910.179</v>
      </c>
      <c r="E29" s="8">
        <v>0</v>
      </c>
      <c r="F29" s="9">
        <f t="shared" si="4"/>
        <v>270910.179</v>
      </c>
      <c r="I29" s="7" t="s">
        <v>6</v>
      </c>
      <c r="J29" s="8">
        <v>0</v>
      </c>
      <c r="K29" s="8">
        <v>0</v>
      </c>
      <c r="L29" s="9">
        <f t="shared" si="5"/>
        <v>0</v>
      </c>
    </row>
    <row r="30" spans="2:12" x14ac:dyDescent="0.25">
      <c r="C30" s="7" t="s">
        <v>7</v>
      </c>
      <c r="D30" s="8">
        <v>162276.44500000001</v>
      </c>
      <c r="E30" s="8">
        <v>0</v>
      </c>
      <c r="F30" s="9">
        <f t="shared" si="4"/>
        <v>162276.44500000001</v>
      </c>
      <c r="I30" s="7" t="s">
        <v>7</v>
      </c>
      <c r="J30" s="8">
        <v>0</v>
      </c>
      <c r="K30" s="8">
        <v>0</v>
      </c>
      <c r="L30" s="9">
        <f t="shared" si="5"/>
        <v>0</v>
      </c>
    </row>
    <row r="31" spans="2:12" x14ac:dyDescent="0.25">
      <c r="C31" s="7" t="s">
        <v>8</v>
      </c>
      <c r="D31" s="8">
        <v>0</v>
      </c>
      <c r="E31" s="8">
        <v>0</v>
      </c>
      <c r="F31" s="9">
        <f t="shared" si="4"/>
        <v>0</v>
      </c>
      <c r="I31" s="7" t="s">
        <v>8</v>
      </c>
      <c r="J31" s="8">
        <v>0</v>
      </c>
      <c r="K31" s="8">
        <v>0</v>
      </c>
      <c r="L31" s="9">
        <f t="shared" si="5"/>
        <v>0</v>
      </c>
    </row>
    <row r="32" spans="2:12" x14ac:dyDescent="0.25">
      <c r="C32" s="7" t="s">
        <v>9</v>
      </c>
      <c r="D32" s="8">
        <v>12769.2996</v>
      </c>
      <c r="E32" s="8">
        <v>0</v>
      </c>
      <c r="F32" s="9">
        <f t="shared" si="4"/>
        <v>12769.2996</v>
      </c>
      <c r="I32" s="7" t="s">
        <v>9</v>
      </c>
      <c r="J32" s="8">
        <v>26466.002599999996</v>
      </c>
      <c r="K32" s="8">
        <v>0</v>
      </c>
      <c r="L32" s="9">
        <f t="shared" si="5"/>
        <v>26466.002599999996</v>
      </c>
    </row>
    <row r="33" spans="2:12" x14ac:dyDescent="0.25">
      <c r="C33" s="7" t="s">
        <v>10</v>
      </c>
      <c r="D33" s="8">
        <v>410.50565</v>
      </c>
      <c r="E33" s="8">
        <v>0</v>
      </c>
      <c r="F33" s="9">
        <f t="shared" si="4"/>
        <v>410.50565</v>
      </c>
      <c r="I33" s="7" t="s">
        <v>10</v>
      </c>
      <c r="J33" s="8">
        <v>140.01199999999997</v>
      </c>
      <c r="K33" s="8">
        <v>0</v>
      </c>
      <c r="L33" s="9">
        <f t="shared" si="5"/>
        <v>140.01199999999997</v>
      </c>
    </row>
    <row r="34" spans="2:12" x14ac:dyDescent="0.25">
      <c r="C34" s="7" t="s">
        <v>11</v>
      </c>
      <c r="D34" s="8">
        <v>121638.94680000001</v>
      </c>
      <c r="E34" s="8">
        <v>0</v>
      </c>
      <c r="F34" s="9">
        <f t="shared" si="4"/>
        <v>121638.94680000001</v>
      </c>
      <c r="I34" s="7" t="s">
        <v>11</v>
      </c>
      <c r="J34" s="8">
        <v>913.67060000000004</v>
      </c>
      <c r="K34" s="8">
        <v>0</v>
      </c>
      <c r="L34" s="9">
        <f t="shared" si="5"/>
        <v>913.67060000000004</v>
      </c>
    </row>
    <row r="35" spans="2:12" x14ac:dyDescent="0.25">
      <c r="C35" s="7"/>
      <c r="D35" s="8"/>
      <c r="E35" s="8"/>
      <c r="F35" s="9"/>
      <c r="I35" s="7"/>
      <c r="J35" s="8"/>
      <c r="K35" s="8"/>
      <c r="L35" s="9"/>
    </row>
    <row r="36" spans="2:12" ht="15.75" thickBot="1" x14ac:dyDescent="0.3">
      <c r="C36" s="10" t="s">
        <v>4</v>
      </c>
      <c r="D36" s="11">
        <f>SUM(D28:D34)</f>
        <v>571435.0247500001</v>
      </c>
      <c r="E36" s="11">
        <f>SUM(E28:E33)</f>
        <v>0</v>
      </c>
      <c r="F36" s="12">
        <f>SUM(F28:F34)</f>
        <v>571435.0247500001</v>
      </c>
      <c r="G36" s="16"/>
      <c r="I36" s="10" t="s">
        <v>4</v>
      </c>
      <c r="J36" s="11">
        <f>SUM(J28:J34)</f>
        <v>28622.158999999996</v>
      </c>
      <c r="K36" s="11">
        <f>SUM(K28:K34)</f>
        <v>0</v>
      </c>
      <c r="L36" s="12">
        <f>SUM(L28:L34)</f>
        <v>28622.158999999996</v>
      </c>
    </row>
    <row r="37" spans="2:12" ht="15.75" thickBot="1" x14ac:dyDescent="0.3">
      <c r="D37" s="8"/>
      <c r="E37" s="8"/>
      <c r="F37" s="13"/>
      <c r="J37" s="8"/>
      <c r="K37" s="8"/>
      <c r="L37" s="13"/>
    </row>
    <row r="38" spans="2:12" x14ac:dyDescent="0.25">
      <c r="C38" s="20" t="s">
        <v>19</v>
      </c>
      <c r="D38" s="21"/>
      <c r="E38" s="21"/>
      <c r="F38" s="22"/>
      <c r="I38" s="20" t="s">
        <v>20</v>
      </c>
      <c r="J38" s="21"/>
      <c r="K38" s="21"/>
      <c r="L38" s="22"/>
    </row>
    <row r="39" spans="2:12" ht="15.75" thickBot="1" x14ac:dyDescent="0.3">
      <c r="C39" s="1"/>
      <c r="D39" s="2" t="s">
        <v>12</v>
      </c>
      <c r="E39" s="2" t="s">
        <v>3</v>
      </c>
      <c r="F39" s="3" t="s">
        <v>4</v>
      </c>
      <c r="I39" s="1"/>
      <c r="J39" s="2" t="s">
        <v>12</v>
      </c>
      <c r="K39" s="2" t="s">
        <v>3</v>
      </c>
      <c r="L39" s="3" t="s">
        <v>4</v>
      </c>
    </row>
    <row r="40" spans="2:12" x14ac:dyDescent="0.25">
      <c r="B40" t="s">
        <v>21</v>
      </c>
      <c r="C40" s="7" t="s">
        <v>5</v>
      </c>
      <c r="D40" s="8">
        <f>57235.76+9730.08</f>
        <v>66965.84</v>
      </c>
      <c r="E40" s="8">
        <f>5918.62</f>
        <v>5918.62</v>
      </c>
      <c r="F40" s="9">
        <f t="shared" ref="F40:F46" si="6">D40+E40</f>
        <v>72884.459999999992</v>
      </c>
      <c r="I40" s="7" t="s">
        <v>5</v>
      </c>
      <c r="J40" s="8"/>
      <c r="K40" s="8"/>
      <c r="L40" s="9">
        <f t="shared" ref="L40:L46" si="7">J40+K40</f>
        <v>0</v>
      </c>
    </row>
    <row r="41" spans="2:12" x14ac:dyDescent="0.25">
      <c r="B41" t="s">
        <v>41</v>
      </c>
      <c r="C41" s="7" t="s">
        <v>6</v>
      </c>
      <c r="D41" s="8">
        <f>302000</f>
        <v>302000</v>
      </c>
      <c r="E41" s="8">
        <f>200</f>
        <v>200</v>
      </c>
      <c r="F41" s="9">
        <f t="shared" si="6"/>
        <v>302200</v>
      </c>
      <c r="I41" s="7" t="s">
        <v>6</v>
      </c>
      <c r="J41" s="8"/>
      <c r="K41" s="8"/>
      <c r="L41" s="9">
        <f t="shared" si="7"/>
        <v>0</v>
      </c>
    </row>
    <row r="42" spans="2:12" x14ac:dyDescent="0.25">
      <c r="C42" s="7" t="s">
        <v>7</v>
      </c>
      <c r="D42" s="8">
        <f>1133328.49+67999.71+46219.25</f>
        <v>1247547.45</v>
      </c>
      <c r="E42" s="8">
        <f>113332.85</f>
        <v>113332.85</v>
      </c>
      <c r="F42" s="9">
        <f t="shared" si="6"/>
        <v>1360880.3</v>
      </c>
      <c r="I42" s="7" t="s">
        <v>7</v>
      </c>
      <c r="J42" s="8"/>
      <c r="K42" s="8"/>
      <c r="L42" s="9">
        <f t="shared" si="7"/>
        <v>0</v>
      </c>
    </row>
    <row r="43" spans="2:12" x14ac:dyDescent="0.25">
      <c r="C43" s="7" t="s">
        <v>8</v>
      </c>
      <c r="D43" s="8">
        <f>763562.31</f>
        <v>763562.31</v>
      </c>
      <c r="E43" s="8">
        <f>150712.46</f>
        <v>150712.46</v>
      </c>
      <c r="F43" s="9">
        <f t="shared" si="6"/>
        <v>914274.77</v>
      </c>
      <c r="I43" s="7" t="s">
        <v>8</v>
      </c>
      <c r="J43" s="8"/>
      <c r="K43" s="8"/>
      <c r="L43" s="9">
        <f t="shared" si="7"/>
        <v>0</v>
      </c>
    </row>
    <row r="44" spans="2:12" x14ac:dyDescent="0.25">
      <c r="C44" s="7" t="s">
        <v>13</v>
      </c>
      <c r="D44" s="8">
        <v>243531.01</v>
      </c>
      <c r="E44" s="8"/>
      <c r="F44" s="9">
        <f t="shared" si="6"/>
        <v>243531.01</v>
      </c>
      <c r="I44" s="7" t="s">
        <v>13</v>
      </c>
      <c r="J44" s="8"/>
      <c r="K44" s="8"/>
      <c r="L44" s="9">
        <f t="shared" si="7"/>
        <v>0</v>
      </c>
    </row>
    <row r="45" spans="2:12" x14ac:dyDescent="0.25">
      <c r="C45" s="7" t="s">
        <v>10</v>
      </c>
      <c r="D45" s="8">
        <f>5723.58</f>
        <v>5723.58</v>
      </c>
      <c r="E45" s="8"/>
      <c r="F45" s="9">
        <f t="shared" si="6"/>
        <v>5723.58</v>
      </c>
      <c r="I45" s="7" t="s">
        <v>10</v>
      </c>
      <c r="J45" s="8"/>
      <c r="K45" s="8"/>
      <c r="L45" s="9">
        <f t="shared" si="7"/>
        <v>0</v>
      </c>
    </row>
    <row r="46" spans="2:12" x14ac:dyDescent="0.25">
      <c r="C46" s="7" t="s">
        <v>11</v>
      </c>
      <c r="D46" s="8">
        <f>575956.68</f>
        <v>575956.68000000005</v>
      </c>
      <c r="E46" s="8"/>
      <c r="F46" s="9">
        <f t="shared" si="6"/>
        <v>575956.68000000005</v>
      </c>
      <c r="I46" s="7" t="s">
        <v>11</v>
      </c>
      <c r="J46" s="8"/>
      <c r="K46" s="8"/>
      <c r="L46" s="9">
        <f t="shared" si="7"/>
        <v>0</v>
      </c>
    </row>
    <row r="47" spans="2:12" x14ac:dyDescent="0.25">
      <c r="C47" s="7"/>
      <c r="D47" s="8"/>
      <c r="E47" s="8"/>
      <c r="F47" s="9"/>
      <c r="I47" s="7"/>
      <c r="J47" s="8"/>
      <c r="K47" s="8"/>
      <c r="L47" s="9"/>
    </row>
    <row r="48" spans="2:12" ht="15.75" thickBot="1" x14ac:dyDescent="0.3">
      <c r="C48" s="10" t="s">
        <v>4</v>
      </c>
      <c r="D48" s="11">
        <f>SUM(D40:D46)</f>
        <v>3205286.8700000006</v>
      </c>
      <c r="E48" s="11">
        <f>SUM(E40:E46)</f>
        <v>270163.93</v>
      </c>
      <c r="F48" s="12">
        <f>SUM(F40:F46)</f>
        <v>3475450.8000000003</v>
      </c>
      <c r="G48" s="16"/>
      <c r="I48" s="10" t="s">
        <v>4</v>
      </c>
      <c r="J48" s="11">
        <f>SUM(J40:J46)</f>
        <v>0</v>
      </c>
      <c r="K48" s="11">
        <f>SUM(K40:K46)</f>
        <v>0</v>
      </c>
      <c r="L48" s="12">
        <f>SUM(L40:L46)</f>
        <v>0</v>
      </c>
    </row>
    <row r="50" spans="11:12" x14ac:dyDescent="0.25">
      <c r="K50" s="14" t="s">
        <v>14</v>
      </c>
      <c r="L50" s="15">
        <f>SUM(F12,L12,F24,L24,F36,L36,F48,L48)</f>
        <v>30196172.863750003</v>
      </c>
    </row>
    <row r="51" spans="11:12" x14ac:dyDescent="0.25">
      <c r="L51" s="16"/>
    </row>
  </sheetData>
  <mergeCells count="8">
    <mergeCell ref="C38:F38"/>
    <mergeCell ref="I38:L38"/>
    <mergeCell ref="C2:F2"/>
    <mergeCell ref="I2:L2"/>
    <mergeCell ref="C14:F14"/>
    <mergeCell ref="I14:L14"/>
    <mergeCell ref="C26:F26"/>
    <mergeCell ref="I26:L2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0915-C5BC-4D30-8C98-348E1330CC8B}">
  <dimension ref="B1:L51"/>
  <sheetViews>
    <sheetView tabSelected="1" workbookViewId="0">
      <selection activeCell="I51" sqref="I51"/>
    </sheetView>
  </sheetViews>
  <sheetFormatPr defaultRowHeight="15" x14ac:dyDescent="0.25"/>
  <cols>
    <col min="2" max="2" width="10.140625" hidden="1" customWidth="1"/>
    <col min="3" max="3" width="19" bestFit="1" customWidth="1"/>
    <col min="4" max="4" width="15.28515625" bestFit="1" customWidth="1"/>
    <col min="5" max="5" width="14.28515625" bestFit="1" customWidth="1"/>
    <col min="6" max="6" width="15.28515625" bestFit="1" customWidth="1"/>
    <col min="8" max="8" width="10.140625" hidden="1" customWidth="1"/>
    <col min="9" max="9" width="19" bestFit="1" customWidth="1"/>
    <col min="10" max="11" width="14.28515625" bestFit="1" customWidth="1"/>
    <col min="12" max="12" width="16.28515625" bestFit="1" customWidth="1"/>
  </cols>
  <sheetData>
    <row r="1" spans="2:12" ht="15.75" thickBot="1" x14ac:dyDescent="0.3"/>
    <row r="2" spans="2:12" ht="15.75" thickBot="1" x14ac:dyDescent="0.3">
      <c r="B2" t="s">
        <v>24</v>
      </c>
      <c r="C2" s="23" t="s">
        <v>0</v>
      </c>
      <c r="D2" s="24"/>
      <c r="E2" s="24"/>
      <c r="F2" s="25"/>
      <c r="I2" s="23" t="s">
        <v>1</v>
      </c>
      <c r="J2" s="24"/>
      <c r="K2" s="24"/>
      <c r="L2" s="25"/>
    </row>
    <row r="3" spans="2:12" ht="15.75" thickBot="1" x14ac:dyDescent="0.3">
      <c r="B3" t="s">
        <v>25</v>
      </c>
      <c r="C3" s="17"/>
      <c r="D3" s="18" t="s">
        <v>2</v>
      </c>
      <c r="E3" s="18" t="s">
        <v>3</v>
      </c>
      <c r="F3" s="19" t="s">
        <v>4</v>
      </c>
      <c r="I3" s="1"/>
      <c r="J3" s="2" t="s">
        <v>2</v>
      </c>
      <c r="K3" s="2" t="s">
        <v>3</v>
      </c>
      <c r="L3" s="3" t="s">
        <v>4</v>
      </c>
    </row>
    <row r="4" spans="2:12" x14ac:dyDescent="0.25">
      <c r="B4" t="s">
        <v>35</v>
      </c>
      <c r="C4" s="7" t="s">
        <v>5</v>
      </c>
      <c r="D4" s="8">
        <f>'Alternative Solution 2020'!D4*1.4743+81000+112000</f>
        <v>1080542.4436769998</v>
      </c>
      <c r="E4" s="8">
        <f>'Alternative Solution 2020'!E4*1.4743</f>
        <v>105330.36097599998</v>
      </c>
      <c r="F4" s="9">
        <f t="shared" ref="F4:F10" si="0">D4+E4</f>
        <v>1185872.8046529999</v>
      </c>
      <c r="H4" t="s">
        <v>24</v>
      </c>
      <c r="I4" s="4" t="s">
        <v>5</v>
      </c>
      <c r="J4" s="5"/>
      <c r="K4" s="5"/>
      <c r="L4" s="6">
        <f t="shared" ref="L4:L10" si="1">J4+K4</f>
        <v>0</v>
      </c>
    </row>
    <row r="5" spans="2:12" x14ac:dyDescent="0.25">
      <c r="B5" t="s">
        <v>26</v>
      </c>
      <c r="C5" s="7" t="s">
        <v>6</v>
      </c>
      <c r="D5" s="8">
        <f>'Alternative Solution 2020'!D5*1.4743+339000+336000+60000+371000</f>
        <v>3283708.4330500001</v>
      </c>
      <c r="E5" s="8">
        <f>'Alternative Solution 2020'!E5*1.4743</f>
        <v>252284.35373500001</v>
      </c>
      <c r="F5" s="9">
        <f t="shared" si="0"/>
        <v>3535992.786785</v>
      </c>
      <c r="H5" t="s">
        <v>26</v>
      </c>
      <c r="I5" s="7" t="s">
        <v>6</v>
      </c>
      <c r="J5" s="8">
        <f>'Alternative Solution 2020'!J5*1.4743</f>
        <v>66632.462799999994</v>
      </c>
      <c r="K5" s="8">
        <f>'Alternative Solution 2020'!K5*1.4743</f>
        <v>23.588799999999999</v>
      </c>
      <c r="L5" s="9">
        <f t="shared" si="1"/>
        <v>66656.051599999992</v>
      </c>
    </row>
    <row r="6" spans="2:12" x14ac:dyDescent="0.25">
      <c r="B6" t="s">
        <v>27</v>
      </c>
      <c r="C6" s="7" t="s">
        <v>7</v>
      </c>
      <c r="D6" s="8">
        <f>'Alternative Solution 2020'!D6*1.4743+120000+170000+204000</f>
        <v>2121656.6565140006</v>
      </c>
      <c r="E6" s="8">
        <f>'Alternative Solution 2020'!E6*1.4743</f>
        <v>127824.18362299998</v>
      </c>
      <c r="F6" s="9">
        <f t="shared" si="0"/>
        <v>2249480.8401370007</v>
      </c>
      <c r="H6" t="s">
        <v>27</v>
      </c>
      <c r="I6" s="7" t="s">
        <v>7</v>
      </c>
      <c r="J6" s="8">
        <f>'Alternative Solution 2020'!J6*1.4743</f>
        <v>0</v>
      </c>
      <c r="K6" s="8">
        <f>'Alternative Solution 2020'!K6*1.4743</f>
        <v>0</v>
      </c>
      <c r="L6" s="9">
        <f t="shared" si="1"/>
        <v>0</v>
      </c>
    </row>
    <row r="7" spans="2:12" x14ac:dyDescent="0.25">
      <c r="B7" t="s">
        <v>28</v>
      </c>
      <c r="C7" s="7" t="s">
        <v>8</v>
      </c>
      <c r="D7" s="8">
        <f>'Alternative Solution 2020'!D7*1.4743</f>
        <v>10550745.595602</v>
      </c>
      <c r="E7" s="8">
        <f>'Alternative Solution 2020'!E7*1.4743</f>
        <v>2110149.107326</v>
      </c>
      <c r="F7" s="9">
        <f t="shared" si="0"/>
        <v>12660894.702927999</v>
      </c>
      <c r="H7" t="s">
        <v>28</v>
      </c>
      <c r="I7" s="7" t="s">
        <v>8</v>
      </c>
      <c r="J7" s="8">
        <f>'Alternative Solution 2020'!J7*1.4743</f>
        <v>95029.500590999989</v>
      </c>
      <c r="K7" s="8">
        <f>'Alternative Solution 2020'!K7*1.4743</f>
        <v>19005.908963999998</v>
      </c>
      <c r="L7" s="9">
        <f t="shared" si="1"/>
        <v>114035.40955499999</v>
      </c>
    </row>
    <row r="8" spans="2:12" x14ac:dyDescent="0.25">
      <c r="B8" t="s">
        <v>29</v>
      </c>
      <c r="C8" s="7" t="s">
        <v>9</v>
      </c>
      <c r="D8" s="8">
        <f>'Alternative Solution 2020'!D8*1.4743</f>
        <v>1134883.0272220001</v>
      </c>
      <c r="E8" s="8">
        <f>'Alternative Solution 2020'!E8*1.4743</f>
        <v>0</v>
      </c>
      <c r="F8" s="9">
        <f t="shared" si="0"/>
        <v>1134883.0272220001</v>
      </c>
      <c r="I8" s="7" t="s">
        <v>9</v>
      </c>
      <c r="J8" s="8">
        <f>'Alternative Solution 2020'!J8*1.4743</f>
        <v>0</v>
      </c>
      <c r="K8" s="8">
        <f>'Alternative Solution 2020'!K8*1.4743</f>
        <v>0</v>
      </c>
      <c r="L8" s="9">
        <f t="shared" si="1"/>
        <v>0</v>
      </c>
    </row>
    <row r="9" spans="2:12" x14ac:dyDescent="0.25">
      <c r="B9" t="s">
        <v>30</v>
      </c>
      <c r="C9" s="7" t="s">
        <v>10</v>
      </c>
      <c r="D9" s="8">
        <f>'Alternative Solution 2020'!D9*1.4743</f>
        <v>75858.322596999991</v>
      </c>
      <c r="E9" s="8">
        <f>'Alternative Solution 2020'!E9*1.4743</f>
        <v>0</v>
      </c>
      <c r="F9" s="9">
        <f t="shared" si="0"/>
        <v>75858.322596999991</v>
      </c>
      <c r="I9" s="7" t="s">
        <v>10</v>
      </c>
      <c r="J9" s="8">
        <f>'Alternative Solution 2020'!J9*1.4743</f>
        <v>3782.2134489999994</v>
      </c>
      <c r="K9" s="8">
        <f>'Alternative Solution 2020'!K9*1.4743</f>
        <v>0</v>
      </c>
      <c r="L9" s="9">
        <f t="shared" si="1"/>
        <v>3782.2134489999994</v>
      </c>
    </row>
    <row r="10" spans="2:12" x14ac:dyDescent="0.25">
      <c r="B10" t="s">
        <v>31</v>
      </c>
      <c r="C10" s="7" t="s">
        <v>11</v>
      </c>
      <c r="D10" s="8">
        <f>'Alternative Solution 2020'!D10*1.4743+49000</f>
        <v>3858757.0882359999</v>
      </c>
      <c r="E10" s="8">
        <f>'Alternative Solution 2020'!E10*1.4743</f>
        <v>0</v>
      </c>
      <c r="F10" s="9">
        <f t="shared" si="0"/>
        <v>3858757.0882359999</v>
      </c>
      <c r="I10" s="7" t="s">
        <v>11</v>
      </c>
      <c r="J10" s="8">
        <f>'Alternative Solution 2020'!J10*1.4743</f>
        <v>72637.817448000002</v>
      </c>
      <c r="K10" s="8">
        <f>'Alternative Solution 2020'!K10*1.4743</f>
        <v>0</v>
      </c>
      <c r="L10" s="9">
        <f t="shared" si="1"/>
        <v>72637.817448000002</v>
      </c>
    </row>
    <row r="11" spans="2:12" x14ac:dyDescent="0.25">
      <c r="B11" t="s">
        <v>40</v>
      </c>
      <c r="C11" s="7"/>
      <c r="D11" s="8"/>
      <c r="E11" s="8"/>
      <c r="F11" s="9"/>
      <c r="I11" s="7"/>
      <c r="J11" s="8"/>
      <c r="K11" s="8"/>
      <c r="L11" s="9"/>
    </row>
    <row r="12" spans="2:12" ht="15.75" thickBot="1" x14ac:dyDescent="0.3">
      <c r="B12" t="s">
        <v>42</v>
      </c>
      <c r="C12" s="10" t="s">
        <v>4</v>
      </c>
      <c r="D12" s="11">
        <f>SUM(D4:D10)</f>
        <v>22106151.566898003</v>
      </c>
      <c r="E12" s="11">
        <f>SUM(E4:E9)</f>
        <v>2595588.0056599998</v>
      </c>
      <c r="F12" s="12">
        <f>SUM(F4:F10)</f>
        <v>24701739.572558001</v>
      </c>
      <c r="I12" s="10" t="s">
        <v>4</v>
      </c>
      <c r="J12" s="11">
        <f>SUM(J4:J10)</f>
        <v>238081.99428799999</v>
      </c>
      <c r="K12" s="11">
        <f>SUM(K4:K10)</f>
        <v>19029.497764</v>
      </c>
      <c r="L12" s="12">
        <f>SUM(L4:L10)</f>
        <v>257111.49205199996</v>
      </c>
    </row>
    <row r="13" spans="2:12" ht="15.75" thickBot="1" x14ac:dyDescent="0.3">
      <c r="D13" s="8"/>
      <c r="E13" s="8"/>
      <c r="F13" s="13"/>
      <c r="J13" s="8"/>
      <c r="K13" s="8"/>
      <c r="L13" s="13"/>
    </row>
    <row r="14" spans="2:12" x14ac:dyDescent="0.25">
      <c r="C14" s="20" t="s">
        <v>15</v>
      </c>
      <c r="D14" s="21"/>
      <c r="E14" s="21"/>
      <c r="F14" s="22"/>
      <c r="I14" s="20" t="s">
        <v>16</v>
      </c>
      <c r="J14" s="21"/>
      <c r="K14" s="21"/>
      <c r="L14" s="22"/>
    </row>
    <row r="15" spans="2:12" ht="15.75" thickBot="1" x14ac:dyDescent="0.3">
      <c r="C15" s="1"/>
      <c r="D15" s="2" t="s">
        <v>12</v>
      </c>
      <c r="E15" s="2" t="s">
        <v>3</v>
      </c>
      <c r="F15" s="3" t="s">
        <v>4</v>
      </c>
      <c r="I15" s="1"/>
      <c r="J15" s="2" t="s">
        <v>12</v>
      </c>
      <c r="K15" s="2" t="s">
        <v>3</v>
      </c>
      <c r="L15" s="3" t="s">
        <v>4</v>
      </c>
    </row>
    <row r="16" spans="2:12" x14ac:dyDescent="0.25">
      <c r="B16" t="s">
        <v>36</v>
      </c>
      <c r="C16" s="7" t="s">
        <v>5</v>
      </c>
      <c r="D16" s="8">
        <f>'Alternative Solution 2020'!D16*1.4743+145000</f>
        <v>643363.33454100008</v>
      </c>
      <c r="E16" s="8">
        <f>'Alternative Solution 2020'!E16*1.4743</f>
        <v>43294.013682999997</v>
      </c>
      <c r="F16" s="9">
        <f t="shared" ref="F16:F22" si="2">D16+E16</f>
        <v>686657.34822400007</v>
      </c>
      <c r="H16" t="s">
        <v>36</v>
      </c>
      <c r="I16" s="7" t="s">
        <v>5</v>
      </c>
      <c r="J16" s="8">
        <f>'Alternative Solution 2020'!J16*1.4743</f>
        <v>20697.786158000003</v>
      </c>
      <c r="K16" s="8">
        <f>'Alternative Solution 2020'!K16*1.4743</f>
        <v>1769.042056</v>
      </c>
      <c r="L16" s="9">
        <f t="shared" ref="L16:L22" si="3">J16+K16</f>
        <v>22466.828214000001</v>
      </c>
    </row>
    <row r="17" spans="2:12" x14ac:dyDescent="0.25">
      <c r="B17" t="s">
        <v>23</v>
      </c>
      <c r="C17" s="7" t="s">
        <v>6</v>
      </c>
      <c r="D17" s="8">
        <f>'Alternative Solution 2020'!D17*1.4743+325000</f>
        <v>749402.31810000003</v>
      </c>
      <c r="E17" s="8">
        <f>'Alternative Solution 2020'!E17*1.4743</f>
        <v>10137.2868</v>
      </c>
      <c r="F17" s="9">
        <f t="shared" si="2"/>
        <v>759539.60490000003</v>
      </c>
      <c r="I17" s="7" t="s">
        <v>6</v>
      </c>
      <c r="J17" s="8">
        <f>'Alternative Solution 2020'!J17*1.4743</f>
        <v>0</v>
      </c>
      <c r="K17" s="8">
        <f>'Alternative Solution 2020'!K17*1.4743</f>
        <v>0</v>
      </c>
      <c r="L17" s="9">
        <f t="shared" si="3"/>
        <v>0</v>
      </c>
    </row>
    <row r="18" spans="2:12" x14ac:dyDescent="0.25">
      <c r="B18" t="s">
        <v>37</v>
      </c>
      <c r="C18" s="7" t="s">
        <v>7</v>
      </c>
      <c r="D18" s="8">
        <f>'Alternative Solution 2020'!D18*1.4743+4248000</f>
        <v>7215415.3114599995</v>
      </c>
      <c r="E18" s="8">
        <f>'Alternative Solution 2020'!E18*1.4743</f>
        <v>266262.64906799997</v>
      </c>
      <c r="F18" s="9">
        <f t="shared" si="2"/>
        <v>7481677.9605279993</v>
      </c>
      <c r="I18" s="7" t="s">
        <v>7</v>
      </c>
      <c r="J18" s="8">
        <f>'Alternative Solution 2020'!J18*1.4743</f>
        <v>0</v>
      </c>
      <c r="K18" s="8">
        <f>'Alternative Solution 2020'!K18*1.4743</f>
        <v>0</v>
      </c>
      <c r="L18" s="9">
        <f t="shared" si="3"/>
        <v>0</v>
      </c>
    </row>
    <row r="19" spans="2:12" x14ac:dyDescent="0.25">
      <c r="B19" t="s">
        <v>38</v>
      </c>
      <c r="C19" s="7" t="s">
        <v>8</v>
      </c>
      <c r="D19" s="8">
        <f>'Alternative Solution 2020'!D19*1.4743</f>
        <v>5947797.7401120001</v>
      </c>
      <c r="E19" s="8">
        <f>'Alternative Solution 2020'!E19*1.4743</f>
        <v>1172973.675971</v>
      </c>
      <c r="F19" s="9">
        <f t="shared" si="2"/>
        <v>7120771.4160830006</v>
      </c>
      <c r="I19" s="7" t="s">
        <v>8</v>
      </c>
      <c r="J19" s="8">
        <f>'Alternative Solution 2020'!J19*1.4743</f>
        <v>14306.607199999999</v>
      </c>
      <c r="K19" s="8">
        <f>'Alternative Solution 2020'!K19*1.4743</f>
        <v>2861.3214399999997</v>
      </c>
      <c r="L19" s="9">
        <f t="shared" si="3"/>
        <v>17167.928639999998</v>
      </c>
    </row>
    <row r="20" spans="2:12" x14ac:dyDescent="0.25">
      <c r="B20" t="s">
        <v>39</v>
      </c>
      <c r="C20" s="7" t="s">
        <v>13</v>
      </c>
      <c r="D20" s="8">
        <f>'Alternative Solution 2020'!D20*1.4743</f>
        <v>1091962.2325839999</v>
      </c>
      <c r="E20" s="8">
        <f>'Alternative Solution 2020'!E20*1.4743</f>
        <v>0</v>
      </c>
      <c r="F20" s="9">
        <f t="shared" si="2"/>
        <v>1091962.2325839999</v>
      </c>
      <c r="I20" s="7" t="s">
        <v>13</v>
      </c>
      <c r="J20" s="8">
        <f>'Alternative Solution 2020'!J20*1.4743</f>
        <v>0</v>
      </c>
      <c r="K20" s="8">
        <f>'Alternative Solution 2020'!K20*1.4743</f>
        <v>0</v>
      </c>
      <c r="L20" s="9">
        <f t="shared" si="3"/>
        <v>0</v>
      </c>
    </row>
    <row r="21" spans="2:12" x14ac:dyDescent="0.25">
      <c r="C21" s="7" t="s">
        <v>10</v>
      </c>
      <c r="D21" s="8">
        <f>'Alternative Solution 2020'!D21*1.4743</f>
        <v>46173.129923999993</v>
      </c>
      <c r="E21" s="8">
        <f>'Alternative Solution 2020'!E21*1.4743</f>
        <v>0</v>
      </c>
      <c r="F21" s="9">
        <f t="shared" si="2"/>
        <v>46173.129923999993</v>
      </c>
      <c r="I21" s="7" t="s">
        <v>10</v>
      </c>
      <c r="J21" s="8">
        <f>'Alternative Solution 2020'!J21*1.4743</f>
        <v>1769.042056</v>
      </c>
      <c r="K21" s="8">
        <f>'Alternative Solution 2020'!K21*1.4743</f>
        <v>0</v>
      </c>
      <c r="L21" s="9">
        <f t="shared" si="3"/>
        <v>1769.042056</v>
      </c>
    </row>
    <row r="22" spans="2:12" x14ac:dyDescent="0.25">
      <c r="C22" s="7" t="s">
        <v>11</v>
      </c>
      <c r="D22" s="8">
        <f>'Alternative Solution 2020'!D22*1.4743</f>
        <v>2810063.493605</v>
      </c>
      <c r="E22" s="8">
        <f>'Alternative Solution 2020'!E22*1.4743</f>
        <v>0</v>
      </c>
      <c r="F22" s="9">
        <f t="shared" si="2"/>
        <v>2810063.493605</v>
      </c>
      <c r="I22" s="7" t="s">
        <v>11</v>
      </c>
      <c r="J22" s="8">
        <f>'Alternative Solution 2020'!J22*1.4743</f>
        <v>23771.347825999997</v>
      </c>
      <c r="K22" s="8">
        <f>'Alternative Solution 2020'!K22*1.4743</f>
        <v>0</v>
      </c>
      <c r="L22" s="9">
        <f t="shared" si="3"/>
        <v>23771.347825999997</v>
      </c>
    </row>
    <row r="23" spans="2:12" x14ac:dyDescent="0.25">
      <c r="C23" s="7"/>
      <c r="D23" s="8"/>
      <c r="E23" s="8"/>
      <c r="F23" s="9"/>
      <c r="I23" s="7"/>
      <c r="J23" s="8"/>
      <c r="K23" s="8"/>
      <c r="L23" s="9"/>
    </row>
    <row r="24" spans="2:12" ht="15.75" thickBot="1" x14ac:dyDescent="0.3">
      <c r="C24" s="10" t="s">
        <v>4</v>
      </c>
      <c r="D24" s="11">
        <f>SUM(D16:D22)</f>
        <v>18504177.560325999</v>
      </c>
      <c r="E24" s="11">
        <f>SUM(E16:E22)</f>
        <v>1492667.625522</v>
      </c>
      <c r="F24" s="12">
        <f>SUM(F16:F22)</f>
        <v>19996845.185847998</v>
      </c>
      <c r="I24" s="10" t="s">
        <v>4</v>
      </c>
      <c r="J24" s="11">
        <f>SUM(J16:J22)</f>
        <v>60544.783239999997</v>
      </c>
      <c r="K24" s="11">
        <f>SUM(K16:K22)</f>
        <v>4630.3634959999999</v>
      </c>
      <c r="L24" s="12">
        <f>SUM(L16:L22)</f>
        <v>65175.146735999995</v>
      </c>
    </row>
    <row r="25" spans="2:12" ht="15.75" thickBot="1" x14ac:dyDescent="0.3"/>
    <row r="26" spans="2:12" x14ac:dyDescent="0.25">
      <c r="C26" s="23" t="s">
        <v>17</v>
      </c>
      <c r="D26" s="24"/>
      <c r="E26" s="24"/>
      <c r="F26" s="25"/>
      <c r="I26" s="23" t="s">
        <v>18</v>
      </c>
      <c r="J26" s="24"/>
      <c r="K26" s="24"/>
      <c r="L26" s="25"/>
    </row>
    <row r="27" spans="2:12" ht="15.75" thickBot="1" x14ac:dyDescent="0.3">
      <c r="C27" s="1"/>
      <c r="D27" s="2" t="s">
        <v>2</v>
      </c>
      <c r="E27" s="2" t="s">
        <v>3</v>
      </c>
      <c r="F27" s="3" t="s">
        <v>4</v>
      </c>
      <c r="I27" s="1"/>
      <c r="J27" s="2" t="s">
        <v>2</v>
      </c>
      <c r="K27" s="2" t="s">
        <v>3</v>
      </c>
      <c r="L27" s="3" t="s">
        <v>4</v>
      </c>
    </row>
    <row r="28" spans="2:12" x14ac:dyDescent="0.25">
      <c r="B28" t="s">
        <v>32</v>
      </c>
      <c r="C28" s="4" t="s">
        <v>5</v>
      </c>
      <c r="D28" s="8">
        <f>'Alternative Solution 2020'!D28*1.4743+102000</f>
        <v>107056.33107841</v>
      </c>
      <c r="E28" s="8">
        <f>'Alternative Solution 2020'!E28*1.4743</f>
        <v>0</v>
      </c>
      <c r="F28" s="6">
        <f t="shared" ref="F28:F34" si="4">D28+E28</f>
        <v>107056.33107841</v>
      </c>
      <c r="H28" t="s">
        <v>32</v>
      </c>
      <c r="I28" s="4" t="s">
        <v>5</v>
      </c>
      <c r="J28" s="8">
        <f>'Alternative Solution 2020'!J28*1.4743</f>
        <v>1625.37712334</v>
      </c>
      <c r="K28" s="8">
        <f>'Alternative Solution 2020'!K28*1.4743</f>
        <v>0</v>
      </c>
      <c r="L28" s="6">
        <f t="shared" ref="L28:L34" si="5">J28+K28</f>
        <v>1625.37712334</v>
      </c>
    </row>
    <row r="29" spans="2:12" x14ac:dyDescent="0.25">
      <c r="C29" s="7" t="s">
        <v>6</v>
      </c>
      <c r="D29" s="8">
        <f>'Alternative Solution 2020'!D29*1.4743</f>
        <v>399402.87689969997</v>
      </c>
      <c r="E29" s="8">
        <f>'Alternative Solution 2020'!E29*1.4743</f>
        <v>0</v>
      </c>
      <c r="F29" s="9">
        <f t="shared" si="4"/>
        <v>399402.87689969997</v>
      </c>
      <c r="I29" s="7" t="s">
        <v>6</v>
      </c>
      <c r="J29" s="8">
        <f>'Alternative Solution 2020'!J29*1.4743</f>
        <v>0</v>
      </c>
      <c r="K29" s="8">
        <f>'Alternative Solution 2020'!K29*1.4743</f>
        <v>0</v>
      </c>
      <c r="L29" s="9">
        <f t="shared" si="5"/>
        <v>0</v>
      </c>
    </row>
    <row r="30" spans="2:12" x14ac:dyDescent="0.25">
      <c r="C30" s="7" t="s">
        <v>7</v>
      </c>
      <c r="D30" s="8">
        <f>'Alternative Solution 2020'!D30*1.4743+93000+45000+1058000</f>
        <v>1435244.1628635</v>
      </c>
      <c r="E30" s="8">
        <f>'Alternative Solution 2020'!E30*1.4743</f>
        <v>0</v>
      </c>
      <c r="F30" s="9">
        <f t="shared" si="4"/>
        <v>1435244.1628635</v>
      </c>
      <c r="I30" s="7" t="s">
        <v>7</v>
      </c>
      <c r="J30" s="8">
        <f>'Alternative Solution 2020'!J30*1.4743</f>
        <v>0</v>
      </c>
      <c r="K30" s="8">
        <f>'Alternative Solution 2020'!K30*1.4743</f>
        <v>0</v>
      </c>
      <c r="L30" s="9">
        <f t="shared" si="5"/>
        <v>0</v>
      </c>
    </row>
    <row r="31" spans="2:12" x14ac:dyDescent="0.25">
      <c r="C31" s="7" t="s">
        <v>8</v>
      </c>
      <c r="D31" s="8">
        <v>0</v>
      </c>
      <c r="E31" s="8">
        <f>'Alternative Solution 2020'!E31*1.4743</f>
        <v>0</v>
      </c>
      <c r="F31" s="9">
        <f t="shared" si="4"/>
        <v>0</v>
      </c>
      <c r="I31" s="7" t="s">
        <v>8</v>
      </c>
      <c r="J31" s="8">
        <f>'Alternative Solution 2020'!J31*1.4743</f>
        <v>0</v>
      </c>
      <c r="K31" s="8">
        <f>'Alternative Solution 2020'!K31*1.4743</f>
        <v>0</v>
      </c>
      <c r="L31" s="9">
        <f t="shared" si="5"/>
        <v>0</v>
      </c>
    </row>
    <row r="32" spans="2:12" x14ac:dyDescent="0.25">
      <c r="C32" s="7" t="s">
        <v>9</v>
      </c>
      <c r="D32" s="8">
        <f>'Alternative Solution 2020'!D32*1.4743</f>
        <v>18825.77840028</v>
      </c>
      <c r="E32" s="8">
        <f>'Alternative Solution 2020'!E32*1.4743</f>
        <v>0</v>
      </c>
      <c r="F32" s="9">
        <f t="shared" si="4"/>
        <v>18825.77840028</v>
      </c>
      <c r="I32" s="7" t="s">
        <v>9</v>
      </c>
      <c r="J32" s="8">
        <f>'Alternative Solution 2020'!J32*1.4743</f>
        <v>39018.827633179993</v>
      </c>
      <c r="K32" s="8">
        <f>'Alternative Solution 2020'!K32*1.4743</f>
        <v>0</v>
      </c>
      <c r="L32" s="9">
        <f t="shared" si="5"/>
        <v>39018.827633179993</v>
      </c>
    </row>
    <row r="33" spans="2:12" x14ac:dyDescent="0.25">
      <c r="C33" s="7" t="s">
        <v>10</v>
      </c>
      <c r="D33" s="8">
        <f>'Alternative Solution 2020'!D33*1.4743</f>
        <v>605.20847979500002</v>
      </c>
      <c r="E33" s="8">
        <f>'Alternative Solution 2020'!E33*1.4743</f>
        <v>0</v>
      </c>
      <c r="F33" s="9">
        <f t="shared" si="4"/>
        <v>605.20847979500002</v>
      </c>
      <c r="I33" s="7" t="s">
        <v>10</v>
      </c>
      <c r="J33" s="8">
        <f>'Alternative Solution 2020'!J33*1.4743</f>
        <v>206.41969159999996</v>
      </c>
      <c r="K33" s="8">
        <f>'Alternative Solution 2020'!K33*1.4743</f>
        <v>0</v>
      </c>
      <c r="L33" s="9">
        <f t="shared" si="5"/>
        <v>206.41969159999996</v>
      </c>
    </row>
    <row r="34" spans="2:12" x14ac:dyDescent="0.25">
      <c r="C34" s="7" t="s">
        <v>11</v>
      </c>
      <c r="D34" s="8">
        <f>'Alternative Solution 2020'!D34*1.4743</f>
        <v>179332.29926724001</v>
      </c>
      <c r="E34" s="8">
        <f>'Alternative Solution 2020'!E34*1.4743</f>
        <v>0</v>
      </c>
      <c r="F34" s="9">
        <f t="shared" si="4"/>
        <v>179332.29926724001</v>
      </c>
      <c r="I34" s="7" t="s">
        <v>11</v>
      </c>
      <c r="J34" s="8">
        <f>'Alternative Solution 2020'!J34*1.4743</f>
        <v>1347.0245655799999</v>
      </c>
      <c r="K34" s="8">
        <f>'Alternative Solution 2020'!K34*1.4743</f>
        <v>0</v>
      </c>
      <c r="L34" s="9">
        <f t="shared" si="5"/>
        <v>1347.0245655799999</v>
      </c>
    </row>
    <row r="35" spans="2:12" x14ac:dyDescent="0.25">
      <c r="C35" s="7"/>
      <c r="D35" s="8"/>
      <c r="E35" s="8"/>
      <c r="F35" s="9"/>
      <c r="I35" s="7"/>
      <c r="J35" s="8"/>
      <c r="K35" s="8"/>
      <c r="L35" s="9"/>
    </row>
    <row r="36" spans="2:12" ht="15.75" thickBot="1" x14ac:dyDescent="0.3">
      <c r="C36" s="10" t="s">
        <v>4</v>
      </c>
      <c r="D36" s="11">
        <f>SUM(D28:D34)</f>
        <v>2140466.6569889248</v>
      </c>
      <c r="E36" s="11">
        <f>SUM(E28:E33)</f>
        <v>0</v>
      </c>
      <c r="F36" s="12">
        <f>SUM(F28:F34)</f>
        <v>2140466.6569889248</v>
      </c>
      <c r="I36" s="10" t="s">
        <v>4</v>
      </c>
      <c r="J36" s="11">
        <f>SUM(J28:J34)</f>
        <v>42197.649013699993</v>
      </c>
      <c r="K36" s="11">
        <f>SUM(K28:K34)</f>
        <v>0</v>
      </c>
      <c r="L36" s="12">
        <f>SUM(L28:L34)</f>
        <v>42197.649013699993</v>
      </c>
    </row>
    <row r="37" spans="2:12" ht="15.75" thickBot="1" x14ac:dyDescent="0.3">
      <c r="D37" s="8"/>
      <c r="E37" s="8"/>
      <c r="F37" s="13"/>
      <c r="J37" s="8"/>
      <c r="K37" s="8"/>
      <c r="L37" s="13"/>
    </row>
    <row r="38" spans="2:12" x14ac:dyDescent="0.25">
      <c r="C38" s="20" t="s">
        <v>19</v>
      </c>
      <c r="D38" s="21"/>
      <c r="E38" s="21"/>
      <c r="F38" s="22"/>
      <c r="I38" s="20" t="s">
        <v>20</v>
      </c>
      <c r="J38" s="21"/>
      <c r="K38" s="21"/>
      <c r="L38" s="22"/>
    </row>
    <row r="39" spans="2:12" ht="15.75" thickBot="1" x14ac:dyDescent="0.3">
      <c r="C39" s="1"/>
      <c r="D39" s="2" t="s">
        <v>12</v>
      </c>
      <c r="E39" s="2" t="s">
        <v>3</v>
      </c>
      <c r="F39" s="3" t="s">
        <v>4</v>
      </c>
      <c r="I39" s="1"/>
      <c r="J39" s="2" t="s">
        <v>12</v>
      </c>
      <c r="K39" s="2" t="s">
        <v>3</v>
      </c>
      <c r="L39" s="3" t="s">
        <v>4</v>
      </c>
    </row>
    <row r="40" spans="2:12" x14ac:dyDescent="0.25">
      <c r="B40" t="s">
        <v>21</v>
      </c>
      <c r="C40" s="7" t="s">
        <v>5</v>
      </c>
      <c r="D40" s="8">
        <f>'Alternative Solution 2020'!D40*1.4743</f>
        <v>98727.737911999997</v>
      </c>
      <c r="E40" s="8">
        <f>'Alternative Solution 2020'!E40*1.4743</f>
        <v>8725.8214659999994</v>
      </c>
      <c r="F40" s="9">
        <f t="shared" ref="F40:F46" si="6">D40+E40</f>
        <v>107453.55937799999</v>
      </c>
      <c r="I40" s="7" t="s">
        <v>5</v>
      </c>
      <c r="J40" s="8">
        <f>'Alternative Solution 2020'!J40*1.4743</f>
        <v>0</v>
      </c>
      <c r="K40" s="8">
        <f>'Alternative Solution 2020'!K40*1.4743</f>
        <v>0</v>
      </c>
      <c r="L40" s="9">
        <f t="shared" ref="L40:L46" si="7">J40+K40</f>
        <v>0</v>
      </c>
    </row>
    <row r="41" spans="2:12" x14ac:dyDescent="0.25">
      <c r="B41" t="s">
        <v>41</v>
      </c>
      <c r="C41" s="7" t="s">
        <v>6</v>
      </c>
      <c r="D41" s="8">
        <f>'Alternative Solution 2020'!D41*1.4743</f>
        <v>445238.6</v>
      </c>
      <c r="E41" s="8">
        <f>'Alternative Solution 2020'!E41*1.4743</f>
        <v>294.86</v>
      </c>
      <c r="F41" s="9">
        <f t="shared" si="6"/>
        <v>445533.45999999996</v>
      </c>
      <c r="I41" s="7" t="s">
        <v>6</v>
      </c>
      <c r="J41" s="8">
        <f>'Alternative Solution 2020'!J41*1.4743</f>
        <v>0</v>
      </c>
      <c r="K41" s="8">
        <f>'Alternative Solution 2020'!K41*1.4743</f>
        <v>0</v>
      </c>
      <c r="L41" s="9">
        <f t="shared" si="7"/>
        <v>0</v>
      </c>
    </row>
    <row r="42" spans="2:12" x14ac:dyDescent="0.25">
      <c r="C42" s="7" t="s">
        <v>7</v>
      </c>
      <c r="D42" s="8">
        <f>'Alternative Solution 2020'!D42*1.4743</f>
        <v>1839259.205535</v>
      </c>
      <c r="E42" s="8">
        <f>'Alternative Solution 2020'!E42*1.4743</f>
        <v>167086.62075500001</v>
      </c>
      <c r="F42" s="9">
        <f t="shared" si="6"/>
        <v>2006345.82629</v>
      </c>
      <c r="I42" s="7" t="s">
        <v>7</v>
      </c>
      <c r="J42" s="8">
        <f>'Alternative Solution 2020'!J42*1.4743</f>
        <v>0</v>
      </c>
      <c r="K42" s="8">
        <f>'Alternative Solution 2020'!K42*1.4743</f>
        <v>0</v>
      </c>
      <c r="L42" s="9">
        <f t="shared" si="7"/>
        <v>0</v>
      </c>
    </row>
    <row r="43" spans="2:12" x14ac:dyDescent="0.25">
      <c r="C43" s="7" t="s">
        <v>8</v>
      </c>
      <c r="D43" s="8">
        <f>'Alternative Solution 2020'!D43*1.4743</f>
        <v>1125719.9136330001</v>
      </c>
      <c r="E43" s="8">
        <f>'Alternative Solution 2020'!E43*1.4743</f>
        <v>222195.37977799997</v>
      </c>
      <c r="F43" s="9">
        <f t="shared" si="6"/>
        <v>1347915.2934110002</v>
      </c>
      <c r="I43" s="7" t="s">
        <v>8</v>
      </c>
      <c r="J43" s="8">
        <f>'Alternative Solution 2020'!J43*1.4743</f>
        <v>0</v>
      </c>
      <c r="K43" s="8">
        <f>'Alternative Solution 2020'!K43*1.4743</f>
        <v>0</v>
      </c>
      <c r="L43" s="9">
        <f t="shared" si="7"/>
        <v>0</v>
      </c>
    </row>
    <row r="44" spans="2:12" x14ac:dyDescent="0.25">
      <c r="C44" s="7" t="s">
        <v>13</v>
      </c>
      <c r="D44" s="8">
        <f>'Alternative Solution 2020'!D44*1.4743</f>
        <v>359037.76804300002</v>
      </c>
      <c r="E44" s="8">
        <f>'Alternative Solution 2020'!E44*1.4743</f>
        <v>0</v>
      </c>
      <c r="F44" s="9">
        <f t="shared" si="6"/>
        <v>359037.76804300002</v>
      </c>
      <c r="I44" s="7" t="s">
        <v>13</v>
      </c>
      <c r="J44" s="8">
        <f>'Alternative Solution 2020'!J44*1.4743</f>
        <v>0</v>
      </c>
      <c r="K44" s="8">
        <f>'Alternative Solution 2020'!K44*1.4743</f>
        <v>0</v>
      </c>
      <c r="L44" s="9">
        <f t="shared" si="7"/>
        <v>0</v>
      </c>
    </row>
    <row r="45" spans="2:12" x14ac:dyDescent="0.25">
      <c r="C45" s="7" t="s">
        <v>10</v>
      </c>
      <c r="D45" s="8">
        <f>'Alternative Solution 2020'!D45*1.4743</f>
        <v>8438.2739939999992</v>
      </c>
      <c r="E45" s="8">
        <f>'Alternative Solution 2020'!E45*1.4743</f>
        <v>0</v>
      </c>
      <c r="F45" s="9">
        <f t="shared" si="6"/>
        <v>8438.2739939999992</v>
      </c>
      <c r="I45" s="7" t="s">
        <v>10</v>
      </c>
      <c r="J45" s="8">
        <f>'Alternative Solution 2020'!J45*1.4743</f>
        <v>0</v>
      </c>
      <c r="K45" s="8">
        <f>'Alternative Solution 2020'!K45*1.4743</f>
        <v>0</v>
      </c>
      <c r="L45" s="9">
        <f t="shared" si="7"/>
        <v>0</v>
      </c>
    </row>
    <row r="46" spans="2:12" x14ac:dyDescent="0.25">
      <c r="C46" s="7" t="s">
        <v>11</v>
      </c>
      <c r="D46" s="8">
        <f>'Alternative Solution 2020'!D46*1.4743</f>
        <v>849132.9333240001</v>
      </c>
      <c r="E46" s="8">
        <f>'Alternative Solution 2020'!E46*1.4743</f>
        <v>0</v>
      </c>
      <c r="F46" s="9">
        <f t="shared" si="6"/>
        <v>849132.9333240001</v>
      </c>
      <c r="I46" s="7" t="s">
        <v>11</v>
      </c>
      <c r="J46" s="8">
        <f>'Alternative Solution 2020'!J46*1.4743</f>
        <v>0</v>
      </c>
      <c r="K46" s="8">
        <f>'Alternative Solution 2020'!K46*1.4743</f>
        <v>0</v>
      </c>
      <c r="L46" s="9">
        <f t="shared" si="7"/>
        <v>0</v>
      </c>
    </row>
    <row r="47" spans="2:12" x14ac:dyDescent="0.25">
      <c r="C47" s="7"/>
      <c r="D47" s="8"/>
      <c r="E47" s="8"/>
      <c r="F47" s="9"/>
      <c r="I47" s="7"/>
      <c r="J47" s="8"/>
      <c r="K47" s="8"/>
      <c r="L47" s="9"/>
    </row>
    <row r="48" spans="2:12" ht="15.75" thickBot="1" x14ac:dyDescent="0.3">
      <c r="C48" s="10" t="s">
        <v>4</v>
      </c>
      <c r="D48" s="11">
        <f>SUM(D40:D46)</f>
        <v>4725554.4324410008</v>
      </c>
      <c r="E48" s="11">
        <f>SUM(E40:E46)</f>
        <v>398302.68199900002</v>
      </c>
      <c r="F48" s="12">
        <f>SUM(F40:F46)</f>
        <v>5123857.1144399997</v>
      </c>
      <c r="I48" s="10" t="s">
        <v>4</v>
      </c>
      <c r="J48" s="11">
        <f>SUM(J40:J46)</f>
        <v>0</v>
      </c>
      <c r="K48" s="11">
        <f>SUM(K40:K46)</f>
        <v>0</v>
      </c>
      <c r="L48" s="12">
        <f>SUM(L40:L46)</f>
        <v>0</v>
      </c>
    </row>
    <row r="50" spans="11:12" x14ac:dyDescent="0.25">
      <c r="K50" s="14" t="s">
        <v>14</v>
      </c>
      <c r="L50" s="15">
        <f>SUM(F12,L12,F24,L24,F36,L36,F48,L48)</f>
        <v>52327392.817636631</v>
      </c>
    </row>
    <row r="51" spans="11:12" x14ac:dyDescent="0.25">
      <c r="L51" s="16"/>
    </row>
  </sheetData>
  <mergeCells count="8">
    <mergeCell ref="C38:F38"/>
    <mergeCell ref="I38:L38"/>
    <mergeCell ref="C2:F2"/>
    <mergeCell ref="I2:L2"/>
    <mergeCell ref="C14:F14"/>
    <mergeCell ref="I14:L14"/>
    <mergeCell ref="C26:F26"/>
    <mergeCell ref="I26:L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NDMDFBN0YzLUFBNzktNDBEMi1COTg3LTFEMjM3NjY0RjUwRn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FMzNzgyNTk8L1VzZXJOYW1lPjxEYXRlVGltZT45LzI0LzIwMjYgNTozMzozMCBQTTwvRGF0ZVRpbWU+PExhYmVsU3RyaW5nPkFFUCBJbnRlcm5hbDwvTGFiZWxTdHJpbmc+PC9pdGVtPjwvbGFiZWxIaXN0b3J5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1BNZ2B6i990LxPDEv/gR2wk9yl4dUWv3FbZVQT78LA4=</DigestValue>
      </Reference>
      <Reference URI="#CLASSIFICATIONHISTORY">
        <DigestMethod Algorithm="http://www.w3.org/2001/04/xmlenc#sha256"/>
        <DigestValue>x1Gpf0IQ4Wkh3nOQ3aN97eR8lCVvcyjtWlUjQ6uUduI=</DigestValue>
      </Reference>
    </SignedInfo>
    <SignatureValue>Z3+CtlkeKzH46jGN/Ny+rS6cZGeg/tB7WWzmZY0Ylo+IRe4OUz4vbwLbjm2srn23inBNx7EpDt1f48WczwhBKQ==</SignatureValue>
    <Object Id="CLASSIFICATIONHISTORY">
      <ArrayOfString xmlns:xsd="http://www.w3.org/2001/XMLSchema" xmlns:xsi="http://www.w3.org/2001/XMLSchema-instance" xmlns="">
        <string>OyZU0GngKhU6M0duuCIjx21DVEAgX6JY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Props1.xml><?xml version="1.0" encoding="utf-8"?>
<ds:datastoreItem xmlns:ds="http://schemas.openxmlformats.org/officeDocument/2006/customXml" ds:itemID="{3C01A7F3-AA79-40D2-B987-1D237664F50F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35261F6C-2464-4DA1-8141-21087E1100C4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996372D1-870B-4C0C-AA78-3E4DA551160A}"/>
</file>

<file path=customXml/itemProps4.xml><?xml version="1.0" encoding="utf-8"?>
<ds:datastoreItem xmlns:ds="http://schemas.openxmlformats.org/officeDocument/2006/customXml" ds:itemID="{D089EA46-FE73-425A-92F6-2D8406895F7B}"/>
</file>

<file path=customXml/itemProps5.xml><?xml version="1.0" encoding="utf-8"?>
<ds:datastoreItem xmlns:ds="http://schemas.openxmlformats.org/officeDocument/2006/customXml" ds:itemID="{CC4D89D2-C846-478E-BB1F-B3E87120D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Proposed Project</vt:lpstr>
      <vt:lpstr>Alternative Solution 2020</vt:lpstr>
      <vt:lpstr>Alternative Solution 2026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Schober</dc:creator>
  <cp:lastModifiedBy>Trey Schober</cp:lastModifiedBy>
  <dcterms:created xsi:type="dcterms:W3CDTF">2026-09-24T17:18:22Z</dcterms:created>
  <dcterms:modified xsi:type="dcterms:W3CDTF">2026-09-25T03:32:05Z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fb063c21-e5e5-49ee-97ba-169daa432553</vt:lpwstr>
  </property>
  <property fmtid="{D5CDD505-2E9C-101B-9397-08002B2CF9AE}" pid="3" name="bjClsUserRVM">
    <vt:lpwstr>[]</vt:lpwstr>
  </property>
  <property fmtid="{D5CDD505-2E9C-101B-9397-08002B2CF9AE}" pid="4" name="bjSaver">
    <vt:lpwstr>x6Xf+M+SMLfQsR22DdoNYdby+imjOnQQ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7" name="bjDocumentSecurityLabel">
    <vt:lpwstr>AEP Internal</vt:lpwstr>
  </property>
  <property fmtid="{D5CDD505-2E9C-101B-9397-08002B2CF9AE}" pid="8" name="MSIP_Label_69f43042-6bda-44b2-91eb-eca3d3d484f4_SiteId">
    <vt:lpwstr>15f3c881-6b03-4ff6-8559-77bf5177818f</vt:lpwstr>
  </property>
  <property fmtid="{D5CDD505-2E9C-101B-9397-08002B2CF9AE}" pid="9" name="MSIP_Label_69f43042-6bda-44b2-91eb-eca3d3d484f4_Name">
    <vt:lpwstr>AEP Internal</vt:lpwstr>
  </property>
  <property fmtid="{D5CDD505-2E9C-101B-9397-08002B2CF9AE}" pid="10" name="MSIP_Label_69f43042-6bda-44b2-91eb-eca3d3d484f4_Enabled">
    <vt:lpwstr>true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{3C01A7F3-AA79-40D2-B987-1D237664F50F}</vt:lpwstr>
  </property>
  <property fmtid="{D5CDD505-2E9C-101B-9397-08002B2CF9AE}" pid="13" name="ContentTypeId">
    <vt:lpwstr>0x0101004DF805D1E1DA4A49A223477D3B105720</vt:lpwstr>
  </property>
</Properties>
</file>