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8595\Desktop\KRWA\East Clark Co. WD\Application\"/>
    </mc:Choice>
  </mc:AlternateContent>
  <xr:revisionPtr revIDLastSave="0" documentId="13_ncr:1_{EC960670-F586-496B-BA21-89D625C5BD06}" xr6:coauthVersionLast="47" xr6:coauthVersionMax="47" xr10:uidLastSave="{00000000-0000-0000-0000-000000000000}"/>
  <bookViews>
    <workbookView xWindow="28680" yWindow="270" windowWidth="25440" windowHeight="15270" activeTab="1" xr2:uid="{00000000-000D-0000-FFFF-FFFF00000000}"/>
  </bookViews>
  <sheets>
    <sheet name="References" sheetId="54" r:id="rId1"/>
    <sheet name="SAO" sheetId="6" r:id="rId2"/>
    <sheet name="Revenue Requirements" sheetId="56" r:id="rId3"/>
    <sheet name="Water Loss" sheetId="55" r:id="rId4"/>
    <sheet name="Wages" sheetId="49" r:id="rId5"/>
    <sheet name="Medical" sheetId="40" r:id="rId6"/>
    <sheet name="Depreciation" sheetId="52" r:id="rId7"/>
    <sheet name="Debt Service" sheetId="53" r:id="rId8"/>
    <sheet name="Rates" sheetId="2" r:id="rId9"/>
    <sheet name="Bills" sheetId="42" r:id="rId10"/>
    <sheet name="ExBA" sheetId="51" r:id="rId11"/>
    <sheet name="PrBA" sheetId="43" r:id="rId12"/>
  </sheets>
  <definedNames>
    <definedName name="AHV">#REF!</definedName>
    <definedName name="_xlnm.Print_Area" localSheetId="9">Bills!$A$2:$J$28</definedName>
    <definedName name="_xlnm.Print_Area" localSheetId="7">'Debt Service'!$A$1:$O$31</definedName>
    <definedName name="_xlnm.Print_Area" localSheetId="10">ExBA!$A$1:$N$118</definedName>
    <definedName name="_xlnm.Print_Area" localSheetId="11">PrBA!$A$1:$N$211</definedName>
    <definedName name="_xlnm.Print_Area" localSheetId="8">Rates!$A$1:$L$42</definedName>
    <definedName name="_xlnm.Print_Area" localSheetId="2">'Revenue Requirements'!$A$2:$G$29</definedName>
    <definedName name="_xlnm.Print_Area" localSheetId="1">SAO!$A$1:$H$48</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6" l="1"/>
  <c r="G8" i="6" s="1"/>
  <c r="G14" i="6" s="1"/>
  <c r="E8" i="6"/>
  <c r="E9" i="6"/>
  <c r="G9" i="6"/>
  <c r="G11" i="6"/>
  <c r="E12" i="6"/>
  <c r="G12" i="6"/>
  <c r="G13" i="6"/>
  <c r="D14" i="6"/>
  <c r="E14" i="6"/>
  <c r="E19" i="6"/>
  <c r="G20" i="6"/>
  <c r="G21" i="6"/>
  <c r="E22" i="6"/>
  <c r="E23" i="6"/>
  <c r="G24" i="6"/>
  <c r="E25" i="6"/>
  <c r="G25" i="6"/>
  <c r="G26" i="6"/>
  <c r="G27" i="6"/>
  <c r="G29" i="6"/>
  <c r="G31" i="6"/>
  <c r="G32" i="6"/>
  <c r="G33" i="6"/>
  <c r="G34" i="6"/>
  <c r="G35" i="6"/>
  <c r="G36" i="6"/>
  <c r="G37" i="6"/>
  <c r="O15" i="42" l="1"/>
  <c r="O14" i="42"/>
  <c r="O13" i="42"/>
  <c r="N15" i="42"/>
  <c r="N14" i="42"/>
  <c r="N13" i="42"/>
  <c r="P12" i="42"/>
  <c r="Q12" i="42" s="1"/>
  <c r="O12" i="42"/>
  <c r="N12" i="42"/>
  <c r="O11" i="42"/>
  <c r="P11" i="42" s="1"/>
  <c r="Q11" i="42" s="1"/>
  <c r="N11" i="42"/>
  <c r="P10" i="42"/>
  <c r="Q10" i="42" s="1"/>
  <c r="O10" i="42"/>
  <c r="N10" i="42"/>
  <c r="M10" i="42"/>
  <c r="P14" i="42" l="1"/>
  <c r="Q14" i="42" s="1"/>
  <c r="P15" i="42"/>
  <c r="Q15" i="42" s="1"/>
  <c r="P13" i="42"/>
  <c r="Q13" i="42" s="1"/>
  <c r="G5" i="56" l="1"/>
  <c r="G2" i="56"/>
  <c r="G4" i="56"/>
  <c r="G10" i="56"/>
  <c r="G52" i="6"/>
  <c r="G60" i="6"/>
  <c r="G7" i="56"/>
  <c r="G55" i="6"/>
  <c r="N46" i="42"/>
  <c r="N45" i="42"/>
  <c r="N44" i="42"/>
  <c r="N43" i="42"/>
  <c r="N42" i="42"/>
  <c r="N41" i="42"/>
  <c r="M41" i="42"/>
  <c r="M29" i="53"/>
  <c r="E55" i="42"/>
  <c r="E54" i="42"/>
  <c r="E48" i="42"/>
  <c r="E53" i="42"/>
  <c r="E52" i="42"/>
  <c r="E51" i="42"/>
  <c r="E50" i="42"/>
  <c r="E49" i="42"/>
  <c r="E47" i="42"/>
  <c r="E46" i="42"/>
  <c r="E45" i="42"/>
  <c r="E44" i="42"/>
  <c r="E43" i="42"/>
  <c r="E42" i="42"/>
  <c r="E41" i="42"/>
  <c r="G13" i="51"/>
  <c r="G12" i="51"/>
  <c r="G14" i="51" s="1"/>
  <c r="E12" i="51"/>
  <c r="G9" i="51"/>
  <c r="R11" i="51"/>
  <c r="G44" i="40"/>
  <c r="G6" i="56" l="1"/>
  <c r="G9" i="56"/>
  <c r="C39" i="40"/>
  <c r="E38" i="40"/>
  <c r="C28" i="40"/>
  <c r="E31" i="40"/>
  <c r="F31" i="40" s="1"/>
  <c r="G31" i="40" s="1"/>
  <c r="E34" i="40"/>
  <c r="F34" i="40" s="1"/>
  <c r="G34" i="40" s="1"/>
  <c r="E33" i="40"/>
  <c r="F33" i="40" s="1"/>
  <c r="G33" i="40" s="1"/>
  <c r="E32" i="40"/>
  <c r="F32" i="40" s="1"/>
  <c r="G32" i="40" s="1"/>
  <c r="G19" i="40"/>
  <c r="D52" i="40" l="1"/>
  <c r="G39" i="6" l="1"/>
  <c r="B11" i="43" l="1"/>
  <c r="R13" i="51"/>
  <c r="M7" i="40"/>
  <c r="G10" i="51" l="1"/>
  <c r="G11" i="51" s="1"/>
  <c r="D73" i="43"/>
  <c r="C73" i="43"/>
  <c r="D72" i="43"/>
  <c r="C72" i="43"/>
  <c r="D58" i="43"/>
  <c r="C58" i="43"/>
  <c r="D57" i="43"/>
  <c r="C57" i="43"/>
  <c r="D43" i="43"/>
  <c r="D42" i="43"/>
  <c r="D41" i="43"/>
  <c r="D40" i="43"/>
  <c r="C43" i="43"/>
  <c r="C42" i="43"/>
  <c r="C41" i="43"/>
  <c r="C40" i="43"/>
  <c r="D24" i="43"/>
  <c r="D23" i="43"/>
  <c r="D22" i="43"/>
  <c r="D21" i="43"/>
  <c r="C23" i="43"/>
  <c r="C22" i="43"/>
  <c r="C21" i="43"/>
  <c r="D73" i="51"/>
  <c r="D14" i="40"/>
  <c r="E14" i="40" s="1"/>
  <c r="F14" i="40" s="1"/>
  <c r="G14" i="40" s="1"/>
  <c r="J40" i="52"/>
  <c r="K40" i="52" s="1"/>
  <c r="D116" i="43" l="1"/>
  <c r="B109" i="43"/>
  <c r="C108" i="43"/>
  <c r="B108" i="43"/>
  <c r="D104" i="43"/>
  <c r="C104" i="43"/>
  <c r="B103" i="43"/>
  <c r="F101" i="43" s="1"/>
  <c r="H102" i="43"/>
  <c r="E102" i="43"/>
  <c r="B102" i="43"/>
  <c r="E101" i="43"/>
  <c r="E103" i="43" s="1"/>
  <c r="B96" i="43"/>
  <c r="B95" i="43"/>
  <c r="C94" i="43"/>
  <c r="B94" i="43"/>
  <c r="D90" i="43"/>
  <c r="C90" i="43"/>
  <c r="B89" i="43"/>
  <c r="G86" i="43" s="1"/>
  <c r="B88" i="43"/>
  <c r="E88" i="43" s="1"/>
  <c r="F88" i="43" s="1"/>
  <c r="E87" i="43"/>
  <c r="B87" i="43"/>
  <c r="E86" i="43" s="1"/>
  <c r="E89" i="43" s="1"/>
  <c r="G89" i="43" s="1"/>
  <c r="F86" i="43"/>
  <c r="F89" i="43" s="1"/>
  <c r="B81" i="43"/>
  <c r="B80" i="43"/>
  <c r="B79" i="43"/>
  <c r="D75" i="43"/>
  <c r="C75" i="43"/>
  <c r="C79" i="43" s="1"/>
  <c r="B74" i="43"/>
  <c r="G71" i="43" s="1"/>
  <c r="E72" i="43"/>
  <c r="H72" i="43" s="1"/>
  <c r="B72" i="43"/>
  <c r="E71" i="43" s="1"/>
  <c r="F71" i="43"/>
  <c r="B66" i="43"/>
  <c r="B65" i="43"/>
  <c r="B64" i="43"/>
  <c r="D60" i="43"/>
  <c r="C60" i="43"/>
  <c r="C64" i="43" s="1"/>
  <c r="B59" i="43"/>
  <c r="F58" i="43"/>
  <c r="B58" i="43"/>
  <c r="F56" i="43" s="1"/>
  <c r="F59" i="43" s="1"/>
  <c r="E57" i="43"/>
  <c r="H57" i="43" s="1"/>
  <c r="B57" i="43"/>
  <c r="G56" i="43"/>
  <c r="E56" i="43"/>
  <c r="E59" i="43" s="1"/>
  <c r="E60" i="43" s="1"/>
  <c r="D64" i="43" s="1"/>
  <c r="B51" i="43"/>
  <c r="B50" i="43"/>
  <c r="B49" i="43"/>
  <c r="B48" i="43"/>
  <c r="B43" i="43"/>
  <c r="H39" i="43" s="1"/>
  <c r="B42" i="43"/>
  <c r="G39" i="43" s="1"/>
  <c r="G43" i="43" s="1"/>
  <c r="B41" i="43"/>
  <c r="F39" i="43" s="1"/>
  <c r="D44" i="43"/>
  <c r="C44" i="43"/>
  <c r="C48" i="43" s="1"/>
  <c r="B40" i="43"/>
  <c r="E39" i="43" s="1"/>
  <c r="B33" i="43"/>
  <c r="B32" i="43"/>
  <c r="B31" i="43"/>
  <c r="B30" i="43"/>
  <c r="J25" i="43"/>
  <c r="I25" i="43"/>
  <c r="D25" i="43"/>
  <c r="C25" i="43"/>
  <c r="C30" i="43" s="1"/>
  <c r="B24" i="43"/>
  <c r="H20" i="43" s="1"/>
  <c r="B23" i="43"/>
  <c r="G20" i="43" s="1"/>
  <c r="G24" i="43" s="1"/>
  <c r="B22" i="43"/>
  <c r="F20" i="43" s="1"/>
  <c r="E21" i="43"/>
  <c r="B21" i="43"/>
  <c r="E20" i="43"/>
  <c r="E24" i="43" s="1"/>
  <c r="E8" i="43"/>
  <c r="A2" i="43"/>
  <c r="F42" i="43" l="1"/>
  <c r="F43" i="43"/>
  <c r="E104" i="43"/>
  <c r="D108" i="43" s="1"/>
  <c r="E7" i="43"/>
  <c r="E74" i="43"/>
  <c r="E73" i="43"/>
  <c r="F90" i="43"/>
  <c r="D95" i="43" s="1"/>
  <c r="K21" i="43"/>
  <c r="E43" i="43"/>
  <c r="E41" i="43"/>
  <c r="E42" i="43"/>
  <c r="D110" i="43"/>
  <c r="E90" i="43"/>
  <c r="D94" i="43" s="1"/>
  <c r="H104" i="43"/>
  <c r="F23" i="43"/>
  <c r="F24" i="43"/>
  <c r="F60" i="43"/>
  <c r="D65" i="43" s="1"/>
  <c r="H103" i="43"/>
  <c r="F103" i="43"/>
  <c r="F104" i="43" s="1"/>
  <c r="D109" i="43" s="1"/>
  <c r="E40" i="43"/>
  <c r="G87" i="43"/>
  <c r="G90" i="43" s="1"/>
  <c r="D96" i="43" s="1"/>
  <c r="D7" i="43"/>
  <c r="E23" i="43"/>
  <c r="G59" i="43"/>
  <c r="G60" i="43" s="1"/>
  <c r="D66" i="43" s="1"/>
  <c r="E22" i="43"/>
  <c r="H58" i="43"/>
  <c r="D116" i="51"/>
  <c r="D6" i="49"/>
  <c r="G6" i="49" s="1"/>
  <c r="D11" i="49"/>
  <c r="G11" i="49" s="1"/>
  <c r="D9" i="49"/>
  <c r="G9" i="49" s="1"/>
  <c r="D8" i="49"/>
  <c r="G8" i="49" s="1"/>
  <c r="D7" i="49"/>
  <c r="G7" i="49" s="1"/>
  <c r="D5" i="49"/>
  <c r="G5" i="49" s="1"/>
  <c r="G12" i="49"/>
  <c r="G10" i="49"/>
  <c r="C52" i="49"/>
  <c r="L14" i="53"/>
  <c r="K14" i="53"/>
  <c r="J14" i="53"/>
  <c r="I14" i="53"/>
  <c r="F14" i="53"/>
  <c r="H14" i="53"/>
  <c r="G14" i="53"/>
  <c r="E14" i="53"/>
  <c r="D14" i="53"/>
  <c r="C14" i="53"/>
  <c r="E40" i="6"/>
  <c r="G40" i="6" s="1"/>
  <c r="B80" i="51"/>
  <c r="E80" i="51"/>
  <c r="E95" i="51"/>
  <c r="B95" i="51"/>
  <c r="B88" i="51"/>
  <c r="F71" i="51"/>
  <c r="L13" i="53"/>
  <c r="J13" i="53"/>
  <c r="H13" i="53"/>
  <c r="F13" i="53"/>
  <c r="D13" i="53"/>
  <c r="J12" i="53"/>
  <c r="H12" i="53"/>
  <c r="F12" i="53"/>
  <c r="D12" i="53"/>
  <c r="B3" i="55"/>
  <c r="D13" i="40"/>
  <c r="D12" i="40"/>
  <c r="D11" i="40"/>
  <c r="D10" i="40"/>
  <c r="D9" i="40"/>
  <c r="D8" i="40"/>
  <c r="D7" i="40"/>
  <c r="D6" i="40"/>
  <c r="G42" i="43" l="1"/>
  <c r="G44" i="43" s="1"/>
  <c r="D50" i="43" s="1"/>
  <c r="H43" i="43"/>
  <c r="H44" i="43" s="1"/>
  <c r="D51" i="43" s="1"/>
  <c r="I43" i="43"/>
  <c r="I40" i="43"/>
  <c r="E44" i="43"/>
  <c r="D48" i="43" s="1"/>
  <c r="D67" i="43"/>
  <c r="G23" i="43"/>
  <c r="G25" i="43" s="1"/>
  <c r="D32" i="43" s="1"/>
  <c r="K23" i="43"/>
  <c r="F41" i="43"/>
  <c r="F44" i="43" s="1"/>
  <c r="D49" i="43" s="1"/>
  <c r="F73" i="43"/>
  <c r="D97" i="43"/>
  <c r="F74" i="43"/>
  <c r="F22" i="43"/>
  <c r="F25" i="43" s="1"/>
  <c r="D31" i="43" s="1"/>
  <c r="K22" i="43"/>
  <c r="H24" i="43"/>
  <c r="H25" i="43" s="1"/>
  <c r="D33" i="43" s="1"/>
  <c r="H59" i="43"/>
  <c r="H60" i="43" s="1"/>
  <c r="E25" i="43"/>
  <c r="D30" i="43" s="1"/>
  <c r="E75" i="43"/>
  <c r="D79" i="43" s="1"/>
  <c r="E88" i="51"/>
  <c r="F88" i="51" s="1"/>
  <c r="F86" i="51"/>
  <c r="F89" i="51" s="1"/>
  <c r="C12" i="49"/>
  <c r="C11" i="49"/>
  <c r="C10" i="49"/>
  <c r="C9" i="49"/>
  <c r="C8" i="49"/>
  <c r="C7" i="49"/>
  <c r="C6" i="49"/>
  <c r="C5" i="49"/>
  <c r="E24" i="42"/>
  <c r="E22" i="42"/>
  <c r="E21" i="42"/>
  <c r="E17" i="42"/>
  <c r="E23" i="42"/>
  <c r="E20" i="42"/>
  <c r="E19" i="42"/>
  <c r="E18" i="42"/>
  <c r="E16" i="42"/>
  <c r="E15" i="42"/>
  <c r="E14" i="42"/>
  <c r="E13" i="42"/>
  <c r="D52" i="43" l="1"/>
  <c r="F75" i="43"/>
  <c r="D80" i="43" s="1"/>
  <c r="G74" i="43"/>
  <c r="G75" i="43" s="1"/>
  <c r="D81" i="43" s="1"/>
  <c r="H73" i="43"/>
  <c r="I42" i="43"/>
  <c r="I41" i="43"/>
  <c r="K24" i="43"/>
  <c r="K25" i="43" s="1"/>
  <c r="D34" i="43"/>
  <c r="H44" i="52"/>
  <c r="C5" i="52"/>
  <c r="I44" i="43" l="1"/>
  <c r="D82" i="43"/>
  <c r="H74" i="43"/>
  <c r="H75" i="43" s="1"/>
  <c r="M18" i="53"/>
  <c r="M19" i="53"/>
  <c r="F17" i="49" l="1"/>
  <c r="F16" i="49"/>
  <c r="G20" i="49"/>
  <c r="F20" i="49"/>
  <c r="G19" i="49"/>
  <c r="F19" i="49"/>
  <c r="G18" i="49"/>
  <c r="F18" i="49"/>
  <c r="G15" i="49"/>
  <c r="F15" i="49"/>
  <c r="H15" i="49" s="1"/>
  <c r="G14" i="49"/>
  <c r="F14" i="49"/>
  <c r="G13" i="49"/>
  <c r="F13" i="49"/>
  <c r="F12" i="49"/>
  <c r="H12" i="49" s="1"/>
  <c r="D23" i="49"/>
  <c r="C23" i="49"/>
  <c r="H13" i="49" l="1"/>
  <c r="H19" i="49"/>
  <c r="H18" i="49"/>
  <c r="H14" i="49"/>
  <c r="H20" i="49"/>
  <c r="E116" i="51"/>
  <c r="G116" i="51" s="1"/>
  <c r="B74" i="51"/>
  <c r="G71" i="51" s="1"/>
  <c r="F7" i="49"/>
  <c r="F11" i="49"/>
  <c r="J33" i="52"/>
  <c r="K33" i="52" s="1"/>
  <c r="H7" i="49" l="1"/>
  <c r="H11" i="49"/>
  <c r="D60" i="51"/>
  <c r="C60" i="51"/>
  <c r="D104" i="51"/>
  <c r="C104" i="51"/>
  <c r="E21" i="51"/>
  <c r="K21" i="51" s="1"/>
  <c r="F42" i="52"/>
  <c r="B103" i="51"/>
  <c r="F101" i="51" s="1"/>
  <c r="B102" i="51"/>
  <c r="E101" i="51" s="1"/>
  <c r="B89" i="51"/>
  <c r="G86" i="51" s="1"/>
  <c r="B87" i="51"/>
  <c r="E86" i="51" s="1"/>
  <c r="B72" i="51"/>
  <c r="E71" i="51" s="1"/>
  <c r="E73" i="51" s="1"/>
  <c r="B59" i="51"/>
  <c r="G56" i="51" s="1"/>
  <c r="B58" i="51"/>
  <c r="F56" i="51" s="1"/>
  <c r="B57" i="51"/>
  <c r="E56" i="51" s="1"/>
  <c r="B43" i="51"/>
  <c r="H39" i="51" s="1"/>
  <c r="B42" i="51"/>
  <c r="G39" i="51" s="1"/>
  <c r="B41" i="51"/>
  <c r="F39" i="51" s="1"/>
  <c r="B40" i="51"/>
  <c r="E39" i="51" s="1"/>
  <c r="B24" i="51"/>
  <c r="H20" i="51" s="1"/>
  <c r="B23" i="51"/>
  <c r="G20" i="51" s="1"/>
  <c r="B22" i="51"/>
  <c r="F20" i="51" s="1"/>
  <c r="B21" i="51"/>
  <c r="E20" i="51" s="1"/>
  <c r="C15" i="40"/>
  <c r="I15" i="40" s="1"/>
  <c r="F38" i="40"/>
  <c r="G38" i="40" s="1"/>
  <c r="E37" i="40"/>
  <c r="F37" i="40" s="1"/>
  <c r="G37" i="40" s="1"/>
  <c r="E36" i="40"/>
  <c r="F36" i="40" s="1"/>
  <c r="G36" i="40" s="1"/>
  <c r="E35" i="40"/>
  <c r="F35" i="40" s="1"/>
  <c r="G35" i="40" s="1"/>
  <c r="G39" i="40" s="1"/>
  <c r="E27" i="40"/>
  <c r="F27" i="40" s="1"/>
  <c r="G27" i="40" s="1"/>
  <c r="E26" i="40"/>
  <c r="F26" i="40" s="1"/>
  <c r="G26" i="40" s="1"/>
  <c r="E25" i="40"/>
  <c r="F25" i="40" s="1"/>
  <c r="G25" i="40" s="1"/>
  <c r="E24" i="40"/>
  <c r="F24" i="40" s="1"/>
  <c r="G24" i="40" s="1"/>
  <c r="E13" i="40"/>
  <c r="F13" i="40" s="1"/>
  <c r="G13" i="40" s="1"/>
  <c r="E12" i="40"/>
  <c r="F12" i="40" s="1"/>
  <c r="G12" i="40" s="1"/>
  <c r="E11" i="40"/>
  <c r="F11" i="40" s="1"/>
  <c r="G11" i="40" s="1"/>
  <c r="E10" i="40"/>
  <c r="F10" i="40" s="1"/>
  <c r="G10" i="40" s="1"/>
  <c r="E9" i="40"/>
  <c r="F9" i="40" s="1"/>
  <c r="G9" i="40" s="1"/>
  <c r="E8" i="40"/>
  <c r="F8" i="40" s="1"/>
  <c r="G8" i="40" s="1"/>
  <c r="E7" i="40"/>
  <c r="F7" i="40" s="1"/>
  <c r="G7" i="40" s="1"/>
  <c r="E6" i="40"/>
  <c r="F6" i="40" s="1"/>
  <c r="G6" i="40" s="1"/>
  <c r="H35" i="49"/>
  <c r="E109" i="51"/>
  <c r="E108" i="51"/>
  <c r="B109" i="51"/>
  <c r="B108" i="51"/>
  <c r="E96" i="51"/>
  <c r="E94" i="51"/>
  <c r="B96" i="51"/>
  <c r="B94" i="51"/>
  <c r="B81" i="51"/>
  <c r="B79" i="51"/>
  <c r="E81" i="51"/>
  <c r="E79" i="51"/>
  <c r="E66" i="51"/>
  <c r="E65" i="51"/>
  <c r="E64" i="51"/>
  <c r="B66" i="51"/>
  <c r="B65" i="51"/>
  <c r="B64" i="51"/>
  <c r="E51" i="51"/>
  <c r="E50" i="51"/>
  <c r="E49" i="51"/>
  <c r="E48" i="51"/>
  <c r="B51" i="51"/>
  <c r="B50" i="51"/>
  <c r="B49" i="51"/>
  <c r="B48" i="51"/>
  <c r="B33" i="51"/>
  <c r="B32" i="51"/>
  <c r="B31" i="51"/>
  <c r="B30" i="51"/>
  <c r="E33" i="51"/>
  <c r="E32" i="51"/>
  <c r="E31" i="51"/>
  <c r="E30" i="51"/>
  <c r="E12" i="42"/>
  <c r="E11" i="42"/>
  <c r="E10" i="42"/>
  <c r="C14" i="55"/>
  <c r="G28" i="40" l="1"/>
  <c r="F73" i="51"/>
  <c r="H73" i="51" s="1"/>
  <c r="G57" i="6"/>
  <c r="C90" i="51"/>
  <c r="C94" i="51" s="1"/>
  <c r="G94" i="51" s="1"/>
  <c r="C64" i="51"/>
  <c r="F42" i="51"/>
  <c r="D25" i="51"/>
  <c r="C25" i="51"/>
  <c r="D44" i="51"/>
  <c r="E40" i="51"/>
  <c r="I40" i="51" s="1"/>
  <c r="D75" i="51"/>
  <c r="C75" i="51"/>
  <c r="C79" i="51" s="1"/>
  <c r="G79" i="51" s="1"/>
  <c r="E72" i="51"/>
  <c r="H72" i="51" s="1"/>
  <c r="E87" i="51"/>
  <c r="G87" i="51" s="1"/>
  <c r="C108" i="51"/>
  <c r="G108" i="51" s="1"/>
  <c r="E102" i="51"/>
  <c r="H102" i="51" s="1"/>
  <c r="E103" i="51"/>
  <c r="F103" i="51" s="1"/>
  <c r="F104" i="51" s="1"/>
  <c r="D109" i="51" s="1"/>
  <c r="E89" i="51"/>
  <c r="G89" i="51" s="1"/>
  <c r="E74" i="51"/>
  <c r="E59" i="51"/>
  <c r="F59" i="51"/>
  <c r="E43" i="51"/>
  <c r="E41" i="51"/>
  <c r="F41" i="51" s="1"/>
  <c r="I41" i="51" s="1"/>
  <c r="F43" i="51"/>
  <c r="G43" i="51"/>
  <c r="F24" i="51"/>
  <c r="F23" i="51"/>
  <c r="G24" i="51"/>
  <c r="E22" i="51"/>
  <c r="F22" i="51" s="1"/>
  <c r="K22" i="51" s="1"/>
  <c r="E24" i="51"/>
  <c r="E23" i="51"/>
  <c r="H24" i="51" l="1"/>
  <c r="G23" i="51"/>
  <c r="C30" i="51"/>
  <c r="G30" i="51" s="1"/>
  <c r="G59" i="51"/>
  <c r="G60" i="51" s="1"/>
  <c r="D66" i="51" s="1"/>
  <c r="G66" i="51" s="1"/>
  <c r="J25" i="51"/>
  <c r="F90" i="51"/>
  <c r="F74" i="51"/>
  <c r="H43" i="51"/>
  <c r="G64" i="51"/>
  <c r="E57" i="51"/>
  <c r="H57" i="51" s="1"/>
  <c r="D90" i="51"/>
  <c r="E7" i="51" s="1"/>
  <c r="C44" i="51"/>
  <c r="D7" i="51" s="1"/>
  <c r="E42" i="51"/>
  <c r="G42" i="51" s="1"/>
  <c r="G109" i="51"/>
  <c r="E104" i="51"/>
  <c r="D108" i="51" s="1"/>
  <c r="E90" i="51"/>
  <c r="D94" i="51" s="1"/>
  <c r="E75" i="51"/>
  <c r="D79" i="51" s="1"/>
  <c r="F58" i="51"/>
  <c r="H58" i="51" s="1"/>
  <c r="F44" i="51"/>
  <c r="D49" i="51" s="1"/>
  <c r="G49" i="51" s="1"/>
  <c r="F25" i="51"/>
  <c r="E25" i="51"/>
  <c r="D30" i="51" s="1"/>
  <c r="D14" i="55"/>
  <c r="D16" i="55" s="1"/>
  <c r="C9" i="55"/>
  <c r="F5" i="49"/>
  <c r="D31" i="51" l="1"/>
  <c r="G31" i="51" s="1"/>
  <c r="D95" i="51"/>
  <c r="F75" i="51"/>
  <c r="D80" i="51" s="1"/>
  <c r="G80" i="51" s="1"/>
  <c r="G74" i="51"/>
  <c r="C48" i="51"/>
  <c r="G48" i="51" s="1"/>
  <c r="G90" i="51"/>
  <c r="D96" i="51" s="1"/>
  <c r="G96" i="51" s="1"/>
  <c r="G97" i="51" s="1"/>
  <c r="H59" i="51"/>
  <c r="H60" i="51" s="1"/>
  <c r="K24" i="51"/>
  <c r="I43" i="51"/>
  <c r="H44" i="51"/>
  <c r="D51" i="51" s="1"/>
  <c r="G51" i="51" s="1"/>
  <c r="G44" i="51"/>
  <c r="D50" i="51" s="1"/>
  <c r="G50" i="51" s="1"/>
  <c r="I42" i="51"/>
  <c r="I25" i="51"/>
  <c r="K23" i="51"/>
  <c r="H25" i="51"/>
  <c r="G25" i="51"/>
  <c r="E60" i="51"/>
  <c r="D64" i="51" s="1"/>
  <c r="F60" i="51"/>
  <c r="D65" i="51" s="1"/>
  <c r="G65" i="51" s="1"/>
  <c r="E44" i="51"/>
  <c r="D48" i="51" s="1"/>
  <c r="G110" i="51"/>
  <c r="D110" i="51"/>
  <c r="H103" i="51"/>
  <c r="H5" i="49"/>
  <c r="D32" i="51" l="1"/>
  <c r="G32" i="51" s="1"/>
  <c r="D33" i="51"/>
  <c r="G33" i="51" s="1"/>
  <c r="H74" i="51"/>
  <c r="H75" i="51" s="1"/>
  <c r="G75" i="51"/>
  <c r="D81" i="51" s="1"/>
  <c r="D82" i="51" s="1"/>
  <c r="G81" i="51"/>
  <c r="G82" i="51" s="1"/>
  <c r="D52" i="51"/>
  <c r="I44" i="51"/>
  <c r="G52" i="51"/>
  <c r="K25" i="51"/>
  <c r="G67" i="51"/>
  <c r="D67" i="51"/>
  <c r="D97" i="51"/>
  <c r="H104" i="51"/>
  <c r="H29" i="49"/>
  <c r="K22" i="53" l="1"/>
  <c r="I22" i="53"/>
  <c r="G22" i="53"/>
  <c r="E22" i="53"/>
  <c r="C22" i="53"/>
  <c r="M17" i="53"/>
  <c r="M16" i="53"/>
  <c r="M15" i="53"/>
  <c r="M14" i="53"/>
  <c r="L22" i="53"/>
  <c r="M13" i="53"/>
  <c r="J22" i="53"/>
  <c r="F22" i="53"/>
  <c r="M12" i="53"/>
  <c r="H42" i="52"/>
  <c r="J36" i="52"/>
  <c r="K36" i="52" s="1"/>
  <c r="J32" i="52"/>
  <c r="K32" i="52" s="1"/>
  <c r="J31" i="52"/>
  <c r="K31" i="52" s="1"/>
  <c r="J30" i="52"/>
  <c r="K30" i="52" s="1"/>
  <c r="J29" i="52"/>
  <c r="K29" i="52" s="1"/>
  <c r="J28" i="52"/>
  <c r="K28" i="52" s="1"/>
  <c r="J27" i="52"/>
  <c r="K27" i="52" s="1"/>
  <c r="J26" i="52"/>
  <c r="K26" i="52" s="1"/>
  <c r="J25" i="52"/>
  <c r="K25" i="52" s="1"/>
  <c r="J22" i="52"/>
  <c r="K22" i="52" s="1"/>
  <c r="J21" i="52"/>
  <c r="K21" i="52" s="1"/>
  <c r="J20" i="52"/>
  <c r="K20" i="52" s="1"/>
  <c r="J17" i="52"/>
  <c r="K17" i="52" s="1"/>
  <c r="J16" i="52"/>
  <c r="K16" i="52" s="1"/>
  <c r="J15" i="52"/>
  <c r="K15" i="52" s="1"/>
  <c r="J14" i="52"/>
  <c r="K14" i="52" s="1"/>
  <c r="J13" i="52"/>
  <c r="K13" i="52" s="1"/>
  <c r="J12" i="52"/>
  <c r="K12" i="52" s="1"/>
  <c r="M22" i="53" l="1"/>
  <c r="M25" i="53" s="1"/>
  <c r="H22" i="53"/>
  <c r="D22" i="53"/>
  <c r="M32" i="53" s="1"/>
  <c r="M34" i="53" s="1"/>
  <c r="K42" i="52"/>
  <c r="J42" i="52"/>
  <c r="J44" i="52" s="1"/>
  <c r="K44" i="52" s="1"/>
  <c r="E43" i="6" s="1"/>
  <c r="M27" i="53" l="1"/>
  <c r="A2" i="51"/>
  <c r="C5" i="42"/>
  <c r="C36" i="42" s="1"/>
  <c r="C6" i="2"/>
  <c r="P27" i="53" l="1"/>
  <c r="F22" i="49"/>
  <c r="F10" i="49"/>
  <c r="F9" i="49"/>
  <c r="F8" i="49"/>
  <c r="G22" i="49" l="1"/>
  <c r="H9" i="49"/>
  <c r="H8" i="49"/>
  <c r="F6" i="49"/>
  <c r="F23" i="49" s="1"/>
  <c r="G23" i="49" l="1"/>
  <c r="H22" i="49"/>
  <c r="H6" i="49"/>
  <c r="H10" i="49"/>
  <c r="G38" i="6"/>
  <c r="H23" i="49" l="1"/>
  <c r="H25" i="49" l="1"/>
  <c r="H38" i="49" s="1"/>
  <c r="H40" i="49" s="1"/>
  <c r="H42" i="49" s="1"/>
  <c r="H32" i="49"/>
  <c r="H34" i="49" s="1"/>
  <c r="H36" i="49" s="1"/>
  <c r="H28" i="49"/>
  <c r="E44" i="6" l="1"/>
  <c r="G44" i="6" s="1"/>
  <c r="G15" i="40"/>
  <c r="E49" i="40" s="1"/>
  <c r="D51" i="40" s="1"/>
  <c r="D53" i="40" l="1"/>
  <c r="G43" i="6" l="1"/>
  <c r="D41" i="6" l="1"/>
  <c r="D45" i="6" l="1"/>
  <c r="D47" i="6" l="1"/>
  <c r="H30" i="49" l="1"/>
  <c r="G41" i="6" l="1"/>
  <c r="G45" i="6" s="1"/>
  <c r="E41" i="6" l="1"/>
  <c r="E45" i="6" s="1"/>
  <c r="G54" i="6" l="1"/>
  <c r="G56" i="6" s="1"/>
  <c r="G59" i="6" s="1"/>
  <c r="G34" i="51" l="1"/>
  <c r="G7" i="51" s="1"/>
  <c r="D34" i="51"/>
  <c r="G11" i="43" l="1"/>
  <c r="G61" i="6" l="1"/>
  <c r="G12" i="56" l="1"/>
  <c r="G62" i="6"/>
  <c r="G63" i="6" s="1"/>
  <c r="G47" i="6"/>
  <c r="O44" i="42" l="1"/>
  <c r="P44" i="42" s="1"/>
  <c r="Q44" i="42" s="1"/>
  <c r="O46" i="42"/>
  <c r="P46" i="42" s="1"/>
  <c r="Q46" i="42" s="1"/>
  <c r="O45" i="42"/>
  <c r="P45" i="42" s="1"/>
  <c r="Q45" i="42" s="1"/>
  <c r="G13" i="56"/>
  <c r="F55" i="42" l="1"/>
  <c r="G55" i="42" s="1"/>
  <c r="H55" i="42" s="1"/>
  <c r="F54" i="42"/>
  <c r="G54" i="42" s="1"/>
  <c r="H54" i="42" s="1"/>
  <c r="F43" i="42"/>
  <c r="F41" i="42"/>
  <c r="G41" i="42" s="1"/>
  <c r="H41" i="42" s="1"/>
  <c r="F42" i="42"/>
  <c r="G42" i="42" s="1"/>
  <c r="H42" i="42" s="1"/>
  <c r="F46" i="42"/>
  <c r="G46" i="42" s="1"/>
  <c r="H46" i="42" s="1"/>
  <c r="F45" i="42"/>
  <c r="G45" i="42" s="1"/>
  <c r="H45" i="42" s="1"/>
  <c r="F44" i="42"/>
  <c r="G44" i="42" s="1"/>
  <c r="H44" i="42" s="1"/>
  <c r="F51" i="42"/>
  <c r="G51" i="42" s="1"/>
  <c r="H51" i="42" s="1"/>
  <c r="F50" i="42"/>
  <c r="F52" i="42"/>
  <c r="G52" i="42" s="1"/>
  <c r="H52" i="42" s="1"/>
  <c r="F53" i="42"/>
  <c r="G53" i="42" s="1"/>
  <c r="H53" i="42" s="1"/>
  <c r="F49" i="42"/>
  <c r="G49" i="42" s="1"/>
  <c r="H49" i="42" s="1"/>
  <c r="F48" i="42"/>
  <c r="G48" i="42" s="1"/>
  <c r="H48" i="42" s="1"/>
  <c r="F47" i="42"/>
  <c r="H12" i="2"/>
  <c r="H11" i="2"/>
  <c r="H10" i="2"/>
  <c r="H37" i="2"/>
  <c r="H15" i="2"/>
  <c r="H41" i="2"/>
  <c r="H17" i="2"/>
  <c r="H9" i="2"/>
  <c r="H23" i="2"/>
  <c r="H18" i="2"/>
  <c r="H31" i="2"/>
  <c r="H22" i="2"/>
  <c r="H33" i="2"/>
  <c r="H16" i="2"/>
  <c r="H21" i="2"/>
  <c r="H28" i="2"/>
  <c r="H32" i="2"/>
  <c r="H36" i="2"/>
  <c r="H26" i="2"/>
  <c r="H27" i="2"/>
  <c r="G47" i="42" l="1"/>
  <c r="H47" i="42" s="1"/>
  <c r="O42" i="42"/>
  <c r="P42" i="42" s="1"/>
  <c r="Q42" i="42" s="1"/>
  <c r="G50" i="42"/>
  <c r="H50" i="42" s="1"/>
  <c r="O43" i="42"/>
  <c r="P43" i="42" s="1"/>
  <c r="Q43" i="42" s="1"/>
  <c r="G43" i="42"/>
  <c r="H43" i="42" s="1"/>
  <c r="O41" i="42"/>
  <c r="P41" i="42" s="1"/>
  <c r="Q41" i="42" s="1"/>
  <c r="J41" i="2"/>
  <c r="K41" i="2" s="1"/>
  <c r="E116" i="43"/>
  <c r="G116" i="43" s="1"/>
  <c r="G8" i="43" s="1"/>
  <c r="J32" i="2"/>
  <c r="K32" i="2" s="1"/>
  <c r="E95" i="43"/>
  <c r="E81" i="43"/>
  <c r="G81" i="43" s="1"/>
  <c r="J28" i="2"/>
  <c r="K28" i="2" s="1"/>
  <c r="F20" i="42"/>
  <c r="G20" i="42" s="1"/>
  <c r="H20" i="42" s="1"/>
  <c r="F19" i="42"/>
  <c r="G19" i="42" s="1"/>
  <c r="H19" i="42" s="1"/>
  <c r="J21" i="2"/>
  <c r="K21" i="2" s="1"/>
  <c r="E64" i="43"/>
  <c r="G64" i="43" s="1"/>
  <c r="J27" i="2"/>
  <c r="K27" i="2" s="1"/>
  <c r="E80" i="43"/>
  <c r="G80" i="43" s="1"/>
  <c r="J33" i="2"/>
  <c r="K33" i="2" s="1"/>
  <c r="E96" i="43"/>
  <c r="G96" i="43" s="1"/>
  <c r="E66" i="43"/>
  <c r="G66" i="43" s="1"/>
  <c r="J23" i="2"/>
  <c r="K23" i="2" s="1"/>
  <c r="F11" i="42"/>
  <c r="G11" i="42" s="1"/>
  <c r="H11" i="42" s="1"/>
  <c r="E30" i="43"/>
  <c r="G30" i="43" s="1"/>
  <c r="F12" i="42"/>
  <c r="G12" i="42" s="1"/>
  <c r="H12" i="42" s="1"/>
  <c r="F15" i="42"/>
  <c r="G15" i="42" s="1"/>
  <c r="H15" i="42" s="1"/>
  <c r="F13" i="42"/>
  <c r="G13" i="42" s="1"/>
  <c r="H13" i="42" s="1"/>
  <c r="J9" i="2"/>
  <c r="K9" i="2" s="1"/>
  <c r="F14" i="42"/>
  <c r="G14" i="42" s="1"/>
  <c r="H14" i="42" s="1"/>
  <c r="F10" i="42"/>
  <c r="G10" i="42" s="1"/>
  <c r="H10" i="42" s="1"/>
  <c r="J17" i="2"/>
  <c r="K17" i="2" s="1"/>
  <c r="E50" i="43"/>
  <c r="G50" i="43" s="1"/>
  <c r="E49" i="43"/>
  <c r="G49" i="43" s="1"/>
  <c r="J16" i="2"/>
  <c r="K16" i="2" s="1"/>
  <c r="J11" i="2"/>
  <c r="K11" i="2" s="1"/>
  <c r="E32" i="43"/>
  <c r="G32" i="43" s="1"/>
  <c r="F21" i="42"/>
  <c r="G21" i="42" s="1"/>
  <c r="H21" i="42" s="1"/>
  <c r="E79" i="43"/>
  <c r="G79" i="43" s="1"/>
  <c r="J26" i="2"/>
  <c r="K26" i="2" s="1"/>
  <c r="F22" i="42"/>
  <c r="G22" i="42" s="1"/>
  <c r="H22" i="42" s="1"/>
  <c r="J10" i="2"/>
  <c r="K10" i="2" s="1"/>
  <c r="E31" i="43"/>
  <c r="G31" i="43" s="1"/>
  <c r="E65" i="43"/>
  <c r="G65" i="43" s="1"/>
  <c r="J22" i="2"/>
  <c r="K22" i="2" s="1"/>
  <c r="E33" i="43"/>
  <c r="G33" i="43" s="1"/>
  <c r="J12" i="2"/>
  <c r="K12" i="2" s="1"/>
  <c r="J31" i="2"/>
  <c r="K31" i="2" s="1"/>
  <c r="F23" i="42"/>
  <c r="G23" i="42" s="1"/>
  <c r="H23" i="42" s="1"/>
  <c r="E94" i="43"/>
  <c r="G94" i="43" s="1"/>
  <c r="F16" i="42"/>
  <c r="G16" i="42" s="1"/>
  <c r="H16" i="42" s="1"/>
  <c r="F17" i="42"/>
  <c r="G17" i="42" s="1"/>
  <c r="H17" i="42" s="1"/>
  <c r="F18" i="42"/>
  <c r="G18" i="42" s="1"/>
  <c r="H18" i="42" s="1"/>
  <c r="E48" i="43"/>
  <c r="G48" i="43" s="1"/>
  <c r="J15" i="2"/>
  <c r="K15" i="2" s="1"/>
  <c r="J36" i="2"/>
  <c r="K36" i="2" s="1"/>
  <c r="F24" i="42"/>
  <c r="G24" i="42" s="1"/>
  <c r="H24" i="42" s="1"/>
  <c r="E108" i="43"/>
  <c r="G108" i="43" s="1"/>
  <c r="E51" i="43"/>
  <c r="G51" i="43" s="1"/>
  <c r="J18" i="2"/>
  <c r="K18" i="2" s="1"/>
  <c r="E109" i="43"/>
  <c r="G109" i="43" s="1"/>
  <c r="J37" i="2"/>
  <c r="K37" i="2" s="1"/>
  <c r="G82" i="43" l="1"/>
  <c r="G67" i="43"/>
  <c r="G34" i="43"/>
  <c r="G52" i="43"/>
  <c r="G110" i="43"/>
  <c r="G97" i="43"/>
  <c r="G7" i="43" l="1"/>
  <c r="G10" i="43" l="1"/>
  <c r="G12" i="43" l="1"/>
</calcChain>
</file>

<file path=xl/sharedStrings.xml><?xml version="1.0" encoding="utf-8"?>
<sst xmlns="http://schemas.openxmlformats.org/spreadsheetml/2006/main" count="943" uniqueCount="333">
  <si>
    <t>Total Operating Expenses</t>
  </si>
  <si>
    <t>Taxes Other Than Income</t>
  </si>
  <si>
    <t>Salaries and Wages - Employees</t>
  </si>
  <si>
    <t>Salaries and Wages - Officers</t>
  </si>
  <si>
    <t>Employee Pensions and Benefits</t>
  </si>
  <si>
    <t>Purchased Water</t>
  </si>
  <si>
    <t>Purchased Power</t>
  </si>
  <si>
    <t>Materials and Supplies</t>
  </si>
  <si>
    <t>Miscellaneous Expenses</t>
  </si>
  <si>
    <t>Transportation Expenses</t>
  </si>
  <si>
    <t>Proposed</t>
  </si>
  <si>
    <t>Total</t>
  </si>
  <si>
    <t>Gallons</t>
  </si>
  <si>
    <t>Operating Revenues</t>
  </si>
  <si>
    <t>Sales for Resale</t>
  </si>
  <si>
    <t>Other Water Revenues:</t>
  </si>
  <si>
    <t>Total Operating Revenues</t>
  </si>
  <si>
    <t>Operating Expenses</t>
  </si>
  <si>
    <t>Depreciation Expense</t>
  </si>
  <si>
    <t>Plus:</t>
  </si>
  <si>
    <t>Less:</t>
  </si>
  <si>
    <t>Existing</t>
  </si>
  <si>
    <t>Change</t>
  </si>
  <si>
    <t>1"</t>
  </si>
  <si>
    <t>2"</t>
  </si>
  <si>
    <t>Table A</t>
  </si>
  <si>
    <t>SCHEDULE OF ADJUSTED OPERATIONS</t>
  </si>
  <si>
    <t>Test Year</t>
  </si>
  <si>
    <t>Adjustments</t>
  </si>
  <si>
    <t>Ref.</t>
  </si>
  <si>
    <t>Proforma</t>
  </si>
  <si>
    <t>Operation and Maintenance</t>
  </si>
  <si>
    <t>Insurance - Gen. Liab. &amp; Workers Comp.</t>
  </si>
  <si>
    <t>Total Operation and Mnt. Expenses</t>
  </si>
  <si>
    <t>Total Utility Operating Income</t>
  </si>
  <si>
    <t>Pro Forma Operating Expenses</t>
  </si>
  <si>
    <t>Adjustment</t>
  </si>
  <si>
    <t>Forfeited Discounts</t>
  </si>
  <si>
    <t>DEPRECIATION EXPENSE ADJUSTMENTS</t>
  </si>
  <si>
    <t>Depreciation</t>
  </si>
  <si>
    <t>Date in</t>
  </si>
  <si>
    <t>Original</t>
  </si>
  <si>
    <t>Expense</t>
  </si>
  <si>
    <t>Service</t>
  </si>
  <si>
    <t>Life</t>
  </si>
  <si>
    <t>Depr. Exp.</t>
  </si>
  <si>
    <t>SUMMARY</t>
  </si>
  <si>
    <t>USAGE</t>
  </si>
  <si>
    <t>BILLS</t>
  </si>
  <si>
    <t>GALLONS</t>
  </si>
  <si>
    <t>TOTAL</t>
  </si>
  <si>
    <t>RATE</t>
  </si>
  <si>
    <t>REVENUE</t>
  </si>
  <si>
    <t>CURRENT AND PROPOSED RATES</t>
  </si>
  <si>
    <t>Insurance - Other</t>
  </si>
  <si>
    <t>Bad Debt</t>
  </si>
  <si>
    <t>Revenue Required From Sales of Water</t>
  </si>
  <si>
    <t>Revenue from Sales with Present Rates</t>
  </si>
  <si>
    <t>Total Revenue Requirement</t>
  </si>
  <si>
    <t>Required Revenue Increase</t>
  </si>
  <si>
    <t>Percent Increase</t>
  </si>
  <si>
    <t>various</t>
  </si>
  <si>
    <t>Meter</t>
  </si>
  <si>
    <t>Difference</t>
  </si>
  <si>
    <t>Bill</t>
  </si>
  <si>
    <t>Percentage</t>
  </si>
  <si>
    <t>Size</t>
  </si>
  <si>
    <t>EXISTING AND PROPOSED BILLS</t>
  </si>
  <si>
    <t>MONTHLY</t>
  </si>
  <si>
    <t>EMPLOYEE</t>
  </si>
  <si>
    <t xml:space="preserve">WATER DIST </t>
  </si>
  <si>
    <t>PREMIUM</t>
  </si>
  <si>
    <t>ANNUAL</t>
  </si>
  <si>
    <t>Medical Insurance Adjustment</t>
  </si>
  <si>
    <t>CONTRIB</t>
  </si>
  <si>
    <t>CONTRIB %</t>
  </si>
  <si>
    <t>TOTALS</t>
  </si>
  <si>
    <t>TABLE C</t>
  </si>
  <si>
    <t>per Month*</t>
  </si>
  <si>
    <t>* Highlighted usage represents the average residential bill.</t>
  </si>
  <si>
    <t>Chemicals</t>
  </si>
  <si>
    <t>Salaries &amp; Wages and Associated Adjustments</t>
  </si>
  <si>
    <t>Pro Forma</t>
  </si>
  <si>
    <t xml:space="preserve">Pro Forma </t>
  </si>
  <si>
    <t>Employee</t>
  </si>
  <si>
    <t>Reg. Hrs</t>
  </si>
  <si>
    <t>O. T. Hours</t>
  </si>
  <si>
    <t>Wage Rate</t>
  </si>
  <si>
    <t>Reg. Wages</t>
  </si>
  <si>
    <t>O. T. Wages</t>
  </si>
  <si>
    <t>Wages</t>
  </si>
  <si>
    <t>Pro Forma Salaries &amp; Wages Expense</t>
  </si>
  <si>
    <t>Less: Test Year Salaries &amp; Wages Exp</t>
  </si>
  <si>
    <t>Pro Forma Salaries &amp; Wages Adj'mt</t>
  </si>
  <si>
    <t xml:space="preserve"> </t>
  </si>
  <si>
    <t>Times: 7.65 Percent FICA Rate</t>
  </si>
  <si>
    <t>Pro Forma Payroll Taxes</t>
  </si>
  <si>
    <t>Less: Test Year Payroll Taxes</t>
  </si>
  <si>
    <t>Payroll Tax Adjustment</t>
  </si>
  <si>
    <t>Wages applicable to CERS payments</t>
  </si>
  <si>
    <t>Times: Percent Pension Contribution</t>
  </si>
  <si>
    <t>Total Pro Forma Pension Contribution</t>
  </si>
  <si>
    <t>Less: Test Year Pension Contribution</t>
  </si>
  <si>
    <t>Pension &amp; Benefits Adjustment</t>
  </si>
  <si>
    <t>per month</t>
  </si>
  <si>
    <t>1 Inch Meter</t>
  </si>
  <si>
    <t>1 1/2 Inch Meter</t>
  </si>
  <si>
    <t>2 Inch Meter</t>
  </si>
  <si>
    <t>4 Inch Meter</t>
  </si>
  <si>
    <t>COMPONENT</t>
  </si>
  <si>
    <t>1 INCH METER</t>
  </si>
  <si>
    <t>1 1/2 INCH METER</t>
  </si>
  <si>
    <t>2 INCH METER</t>
  </si>
  <si>
    <t>4 INCH METER</t>
  </si>
  <si>
    <t>Less Adjustments</t>
  </si>
  <si>
    <t xml:space="preserve">Total  </t>
  </si>
  <si>
    <t>Medical Adjustment</t>
  </si>
  <si>
    <t>Reported</t>
  </si>
  <si>
    <t>Asset</t>
  </si>
  <si>
    <t>Cost *</t>
  </si>
  <si>
    <t>General Plant</t>
  </si>
  <si>
    <t>Structures &amp; Improvements</t>
  </si>
  <si>
    <t>varies</t>
  </si>
  <si>
    <t>Communication &amp; Computer Eqmt.</t>
  </si>
  <si>
    <t>Office Furniture &amp; Equipment</t>
  </si>
  <si>
    <t>Power Operated Equipment</t>
  </si>
  <si>
    <t>Tools, Shop, &amp; Garage Equipment</t>
  </si>
  <si>
    <t>Tank Repairs &amp; Painting</t>
  </si>
  <si>
    <t>Pumping Plant</t>
  </si>
  <si>
    <t>Telemetry</t>
  </si>
  <si>
    <t>Pumping Equipment</t>
  </si>
  <si>
    <t>Transmission &amp; Distribution Plant</t>
  </si>
  <si>
    <t>Hydrants</t>
  </si>
  <si>
    <t>Transmission &amp; Distribution Mains</t>
  </si>
  <si>
    <t>Meter Installations</t>
  </si>
  <si>
    <t>Meter Change-outs</t>
  </si>
  <si>
    <t>Pump Equipment</t>
  </si>
  <si>
    <t>Tank Fence</t>
  </si>
  <si>
    <t>Services</t>
  </si>
  <si>
    <t>Reservoirs &amp; Tanks</t>
  </si>
  <si>
    <t>Transportation Equipment</t>
  </si>
  <si>
    <t>Entire Group</t>
  </si>
  <si>
    <t>Water Treatment Plant</t>
  </si>
  <si>
    <t xml:space="preserve">              *  Includes only costs associated with assets that contributed to depreciation expense in the test year.</t>
  </si>
  <si>
    <t>Table B</t>
  </si>
  <si>
    <t>DEBT SERVICE SCHDULE</t>
  </si>
  <si>
    <t>Interest</t>
  </si>
  <si>
    <t>Principal</t>
  </si>
  <si>
    <t>&amp; Fees</t>
  </si>
  <si>
    <t>DISTRICT'S</t>
  </si>
  <si>
    <t>Total Gross Wages</t>
  </si>
  <si>
    <t>Gross Wages for Full Time Employees CERS Eligible</t>
  </si>
  <si>
    <t>`</t>
  </si>
  <si>
    <t>Water Loss Adjustment</t>
  </si>
  <si>
    <t>Produced &amp; Purchased</t>
  </si>
  <si>
    <t>Sold</t>
  </si>
  <si>
    <t>Uses:</t>
  </si>
  <si>
    <t xml:space="preserve">  WTP</t>
  </si>
  <si>
    <t xml:space="preserve">  Flushing</t>
  </si>
  <si>
    <t xml:space="preserve">  Fire</t>
  </si>
  <si>
    <t xml:space="preserve">  Other</t>
  </si>
  <si>
    <t>Tank O.F.</t>
  </si>
  <si>
    <t>Line Brks.</t>
  </si>
  <si>
    <t>Line Leaks</t>
  </si>
  <si>
    <t xml:space="preserve">  water loss percentage</t>
  </si>
  <si>
    <t xml:space="preserve">  allowable in rates</t>
  </si>
  <si>
    <t xml:space="preserve">  adjustment percentage</t>
  </si>
  <si>
    <t>Other</t>
  </si>
  <si>
    <t>TABLE D</t>
  </si>
  <si>
    <t>Miscellaneous Service Revenues</t>
  </si>
  <si>
    <t>Current</t>
  </si>
  <si>
    <t>Location</t>
  </si>
  <si>
    <t>Fuel for Power Production</t>
  </si>
  <si>
    <t>Non-Utility Income</t>
  </si>
  <si>
    <t>5/8 Inch Meter</t>
  </si>
  <si>
    <t>per gallon</t>
  </si>
  <si>
    <t>gallons</t>
  </si>
  <si>
    <t>First</t>
  </si>
  <si>
    <t>Next</t>
  </si>
  <si>
    <t>Over</t>
  </si>
  <si>
    <t>3 Inch Meter</t>
  </si>
  <si>
    <t>5/8"</t>
  </si>
  <si>
    <t>3"</t>
  </si>
  <si>
    <t>4"</t>
  </si>
  <si>
    <t>5/8 INCH METER</t>
  </si>
  <si>
    <t>3 INCH METER</t>
  </si>
  <si>
    <t>MEDICAL</t>
  </si>
  <si>
    <t>DENTAL</t>
  </si>
  <si>
    <t>REVENUE BY RATE INCREMENT</t>
  </si>
  <si>
    <t>CONSUMPTION BY RATE INCREMENT</t>
  </si>
  <si>
    <t>Tank Painting &amp; Repairs**</t>
  </si>
  <si>
    <t>Total Retail Sales</t>
  </si>
  <si>
    <t>A</t>
  </si>
  <si>
    <t>B</t>
  </si>
  <si>
    <t>C</t>
  </si>
  <si>
    <t>D</t>
  </si>
  <si>
    <t>E</t>
  </si>
  <si>
    <t>F</t>
  </si>
  <si>
    <t>G</t>
  </si>
  <si>
    <t>H</t>
  </si>
  <si>
    <t>I</t>
  </si>
  <si>
    <t>J</t>
  </si>
  <si>
    <t>K</t>
  </si>
  <si>
    <t>L</t>
  </si>
  <si>
    <t>REVENUE REQUIREMENTS USING OPERATING RATIO METHOD</t>
  </si>
  <si>
    <t>Divided by:  Operating Ratio</t>
  </si>
  <si>
    <t xml:space="preserve">  Subtotal</t>
  </si>
  <si>
    <t>Interest Only</t>
  </si>
  <si>
    <t>Sheet Wages Cell H27</t>
  </si>
  <si>
    <t>Contractual Services - Water Testing</t>
  </si>
  <si>
    <t>Commissioners</t>
  </si>
  <si>
    <t>Adjustments report</t>
  </si>
  <si>
    <t>CY 2027</t>
  </si>
  <si>
    <t>5 yr Average Interest Only</t>
  </si>
  <si>
    <t>5 yr.Average Annual Principal &amp; Interest</t>
  </si>
  <si>
    <t>5 yr. Average Annual Coverage</t>
  </si>
  <si>
    <t>Water Treatment Equipment</t>
  </si>
  <si>
    <t>Sheet Depreciation Cell K44</t>
  </si>
  <si>
    <t>EAST CLARK COUNTY WATER DISTRICT</t>
  </si>
  <si>
    <t>Contractual Services- Accounting</t>
  </si>
  <si>
    <t>Contractional Services - Other</t>
  </si>
  <si>
    <t>Rental of Equipment</t>
  </si>
  <si>
    <t>CY 2028</t>
  </si>
  <si>
    <t>CY 2029</t>
  </si>
  <si>
    <t>Bulk Sales</t>
  </si>
  <si>
    <t>1 1/2"</t>
  </si>
  <si>
    <t>2025 AR</t>
  </si>
  <si>
    <t>Pro Forma Salaries and Wages Expense+ Commissioners</t>
  </si>
  <si>
    <t>Sales to Commercial Customers</t>
  </si>
  <si>
    <t>Sales to Residential Customers</t>
  </si>
  <si>
    <t>Sales through Bulk Loading station</t>
  </si>
  <si>
    <t>2025 Annual Report</t>
  </si>
  <si>
    <t>25 AR pg 20</t>
  </si>
  <si>
    <t>CY 2027 - 2031</t>
  </si>
  <si>
    <t>CY 2030</t>
  </si>
  <si>
    <t>CY 2031</t>
  </si>
  <si>
    <t>KYRWFC 2010 C</t>
  </si>
  <si>
    <t>Amount</t>
  </si>
  <si>
    <t>Case</t>
  </si>
  <si>
    <t>KYRWFC 2011 C</t>
  </si>
  <si>
    <t>KIA B25-008</t>
  </si>
  <si>
    <t>2025-261</t>
  </si>
  <si>
    <t xml:space="preserve">Over </t>
  </si>
  <si>
    <t>BULK SALES</t>
  </si>
  <si>
    <t>CURRENT BILLING ANALYSIS WITH 2025 USAGE &amp; EXISTING RATES</t>
  </si>
  <si>
    <t>INVOICE</t>
  </si>
  <si>
    <t>Depreciation Expense 2025 PSC Annual Report</t>
  </si>
  <si>
    <t>TOTALS for 2025 Depreciation Expense</t>
  </si>
  <si>
    <t>Amortization rate case expense</t>
  </si>
  <si>
    <t>3 year amortization of rate case expense ($10,000)</t>
  </si>
  <si>
    <t>*ECCWD has no customers served by 3 inch meter*</t>
  </si>
  <si>
    <t>*ECCWD has no customers served by 4 inch meter*</t>
  </si>
  <si>
    <t>5/27/26 PC with William use 15 yrs life on meters</t>
  </si>
  <si>
    <t>References</t>
  </si>
  <si>
    <t xml:space="preserve">Recovery of Rate Case Expense of $9,335 amortized over a three year period (9,335/3yrs=$3,112). </t>
  </si>
  <si>
    <t>PROPOSED BILLING ANALYSIS WITH 2025 USAGE &amp; PROPOSED RATES</t>
  </si>
  <si>
    <t>1/1/2025 - 12/31/25</t>
  </si>
  <si>
    <t>2025 depreciation schedule provided</t>
  </si>
  <si>
    <t>Billing Fees</t>
  </si>
  <si>
    <t>Eff. 7/1/26</t>
  </si>
  <si>
    <t>KPPA- KYRET.ky.gpv</t>
  </si>
  <si>
    <t>Late charge</t>
  </si>
  <si>
    <t>Field collection</t>
  </si>
  <si>
    <t xml:space="preserve">Reconnect </t>
  </si>
  <si>
    <t>check fee</t>
  </si>
  <si>
    <t>turn on charge</t>
  </si>
  <si>
    <t>After Hrs service call</t>
  </si>
  <si>
    <t>Emp. Benefits- Retirement</t>
  </si>
  <si>
    <t>Emp. Benefits- Medical Ins.</t>
  </si>
  <si>
    <t>Other Water Revenues</t>
  </si>
  <si>
    <t>Miscellaneous Income</t>
  </si>
  <si>
    <t>Bulk Water Sales</t>
  </si>
  <si>
    <t>Sheet ExBA Cell R11</t>
  </si>
  <si>
    <t>Demolition of water tank no longer in service</t>
  </si>
  <si>
    <t>Adjust taxes to 2026 wage rates.</t>
  </si>
  <si>
    <t>Adjust bulk sales to TY billing analysis</t>
  </si>
  <si>
    <t>Net Adjustments to retail sales to TY billing analysis.</t>
  </si>
  <si>
    <t>Adjust wages to 2026 rates.</t>
  </si>
  <si>
    <t xml:space="preserve">Net adjustment to reported retail sales to match test year billing analysis. </t>
  </si>
  <si>
    <t>Since 2025, there have been increase in wage rates, resulting in an annual wage increase of $17,806 .</t>
  </si>
  <si>
    <t>Adjust reported bulk sales to test year billing analysis.</t>
  </si>
  <si>
    <t>Miscellaneous Expense reduced by $38,100. One time cost for demolition of tank no longer in service</t>
  </si>
  <si>
    <t>Ted Marcum</t>
  </si>
  <si>
    <t>Harry Fiefhaus</t>
  </si>
  <si>
    <t>Rhonda Morphew</t>
  </si>
  <si>
    <t>Kenny Segress</t>
  </si>
  <si>
    <t>Craig Vaughn</t>
  </si>
  <si>
    <t>2010-150</t>
  </si>
  <si>
    <t>2011-271</t>
  </si>
  <si>
    <t>2025 annual report Employee Pension  and Benefits expense</t>
  </si>
  <si>
    <t>Sheet Wages Cell H42</t>
  </si>
  <si>
    <t>Sheet Wages Cell H30</t>
  </si>
  <si>
    <t>Employee + Spouse</t>
  </si>
  <si>
    <t xml:space="preserve">Employee  </t>
  </si>
  <si>
    <t>Family</t>
  </si>
  <si>
    <t>Decrease in pension contribution rate.</t>
  </si>
  <si>
    <t>LIFE</t>
  </si>
  <si>
    <t>HSA</t>
  </si>
  <si>
    <t>American Fidelity</t>
  </si>
  <si>
    <t>Short-Term Disablity</t>
  </si>
  <si>
    <t>Employee health benefits</t>
  </si>
  <si>
    <t>Less 2025 health benefits</t>
  </si>
  <si>
    <t>Increase due to Health benefits insurance premiums</t>
  </si>
  <si>
    <t xml:space="preserve"> Employee</t>
  </si>
  <si>
    <t>Amount per</t>
  </si>
  <si>
    <t>Net Adjustment to SAO retail Billed Revenues</t>
  </si>
  <si>
    <t>Adjustment to SAO Bulk Sales Revenue</t>
  </si>
  <si>
    <t>TOTAL EMPLOYEE HEALTH BENEFITS</t>
  </si>
  <si>
    <t>* Source 6/11 email from accountant</t>
  </si>
  <si>
    <t>* Source 6/18 phone call with accountant</t>
  </si>
  <si>
    <t>Reclassify Miscellaneous service revenues included in metered sales</t>
  </si>
  <si>
    <t>Reclassify Miscellaneous revenues included in metered sales</t>
  </si>
  <si>
    <t>MISCELLANEOUS REVENUES</t>
  </si>
  <si>
    <t>After Hrs reconnect</t>
  </si>
  <si>
    <t xml:space="preserve">Increase in health benefit expenses </t>
  </si>
  <si>
    <t>Decrease in pension benefits expense to reflect current wages and decrease in contribution rate.</t>
  </si>
  <si>
    <t>The PSC requires adjustments to a water utility's depreciation expense when asset lives fall outside the ranges recommended by NARUC in its publication titled "Depreciation Practices for small utilities". Adjustments are included to bring asset lives to the midpoint of the recommended ranges to reflect PSC policy.  Depreciation expense has been decreased by $26,316 to reflect these changes. See Table A.</t>
  </si>
  <si>
    <t>Increase payroll taxes by $681 due to increase employee wages.</t>
  </si>
  <si>
    <t>Sheet ExBA Cell G11</t>
  </si>
  <si>
    <t>Sheet ExBA Cell G14</t>
  </si>
  <si>
    <t>Sheet Medical Cell D53</t>
  </si>
  <si>
    <t>Less Bulk Sales PSC Annual Report</t>
  </si>
  <si>
    <t>Reclassify Miscellaneous Service revenues included in metered sales.</t>
  </si>
  <si>
    <t>Less Retail sales PSC Annual Report(adjusted for revenue reclassified)</t>
  </si>
  <si>
    <t>Five Yr. average Interest on promissory note.</t>
  </si>
  <si>
    <t>OPERATING RATIO METHOD</t>
  </si>
  <si>
    <t>5 yr. average Interest Expense</t>
  </si>
  <si>
    <t xml:space="preserve">  5 yr. Average Interest Only</t>
  </si>
  <si>
    <t>per Month</t>
  </si>
  <si>
    <t>Sheet Debt Service Cell M34</t>
  </si>
  <si>
    <t>Subtotal</t>
  </si>
  <si>
    <t xml:space="preserve">The Revenue Requirement is computed using the Operating Ratio Method. This method is used when a utility has little or no debt. </t>
  </si>
  <si>
    <t>The five year average interest expense of $27,147 is determined from existing debt and added to the Revenue Requirement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</si>
</sst>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 numFmtId="167" formatCode="0.0%"/>
    <numFmt numFmtId="168" formatCode="_(* #,##0.0_);_(* \(#,##0.0\);_(* &quot;-&quot;??_);_(@_)"/>
    <numFmt numFmtId="169" formatCode="mm/dd/yy;@"/>
    <numFmt numFmtId="170" formatCode="_([$$-409]* #,##0_);_([$$-409]* \(#,##0\);_([$$-409]* &quot;-&quot;??_);_(@_)"/>
    <numFmt numFmtId="171" formatCode="[$$-409]#,##0"/>
    <numFmt numFmtId="172" formatCode="_(* #,##0.0000_);_(* \(#,##0.0000\);_(* &quot;-&quot;??_);_(@_)"/>
    <numFmt numFmtId="173" formatCode="&quot;$&quot;#,##0.00000"/>
    <numFmt numFmtId="174" formatCode="0_);\(0\)"/>
    <numFmt numFmtId="175" formatCode="0.000"/>
  </numFmts>
  <fonts count="30" x14ac:knownFonts="1">
    <font>
      <sz val="12"/>
      <name val="Arial"/>
    </font>
    <font>
      <sz val="12"/>
      <name val="Arial"/>
      <family val="2"/>
    </font>
    <font>
      <sz val="12"/>
      <name val="Arial"/>
      <family val="2"/>
    </font>
    <font>
      <sz val="11"/>
      <name val="Calibri"/>
      <family val="2"/>
      <scheme val="minor"/>
    </font>
    <font>
      <b/>
      <sz val="14"/>
      <name val="Calibri"/>
      <family val="2"/>
      <scheme val="minor"/>
    </font>
    <font>
      <b/>
      <u/>
      <sz val="14"/>
      <name val="Calibri"/>
      <family val="2"/>
      <scheme val="minor"/>
    </font>
    <font>
      <u/>
      <sz val="11"/>
      <name val="Calibri"/>
      <family val="2"/>
      <scheme val="minor"/>
    </font>
    <font>
      <b/>
      <sz val="11"/>
      <name val="Calibri"/>
      <family val="2"/>
      <scheme val="minor"/>
    </font>
    <font>
      <b/>
      <u/>
      <sz val="11"/>
      <name val="Calibri"/>
      <family val="2"/>
      <scheme val="minor"/>
    </font>
    <font>
      <u val="singleAccounting"/>
      <sz val="11"/>
      <name val="Calibri"/>
      <family val="2"/>
      <scheme val="minor"/>
    </font>
    <font>
      <b/>
      <u val="singleAccounting"/>
      <sz val="11"/>
      <name val="Calibri"/>
      <family val="2"/>
      <scheme val="minor"/>
    </font>
    <font>
      <b/>
      <sz val="12"/>
      <name val="Calibri"/>
      <family val="2"/>
      <scheme val="minor"/>
    </font>
    <font>
      <sz val="8"/>
      <color rgb="FFFF0000"/>
      <name val="Calibri"/>
      <family val="2"/>
      <scheme val="minor"/>
    </font>
    <font>
      <b/>
      <sz val="11"/>
      <color rgb="FFFF0000"/>
      <name val="Calibri"/>
      <family val="2"/>
      <scheme val="minor"/>
    </font>
    <font>
      <b/>
      <sz val="8"/>
      <color rgb="FF00B050"/>
      <name val="Calibri"/>
      <family val="2"/>
      <scheme val="minor"/>
    </font>
    <font>
      <sz val="11"/>
      <color theme="1"/>
      <name val="Calibri"/>
      <family val="2"/>
      <scheme val="minor"/>
    </font>
    <font>
      <b/>
      <sz val="11"/>
      <color theme="1"/>
      <name val="Calibri"/>
      <family val="2"/>
      <scheme val="minor"/>
    </font>
    <font>
      <b/>
      <sz val="11"/>
      <color rgb="FF00B050"/>
      <name val="Calibri"/>
      <family val="2"/>
      <scheme val="minor"/>
    </font>
    <font>
      <sz val="8"/>
      <name val="Calibri"/>
      <family val="2"/>
      <scheme val="minor"/>
    </font>
    <font>
      <u/>
      <sz val="11"/>
      <color theme="1"/>
      <name val="Calibri"/>
      <family val="2"/>
      <scheme val="minor"/>
    </font>
    <font>
      <b/>
      <sz val="16"/>
      <name val="Calibri"/>
      <family val="2"/>
      <scheme val="minor"/>
    </font>
    <font>
      <sz val="11"/>
      <color rgb="FFFF0000"/>
      <name val="Calibri"/>
      <family val="2"/>
      <scheme val="minor"/>
    </font>
    <font>
      <b/>
      <u/>
      <sz val="11"/>
      <color theme="1"/>
      <name val="Calibri"/>
      <family val="2"/>
      <scheme val="minor"/>
    </font>
    <font>
      <sz val="12"/>
      <name val="Calibri"/>
      <family val="2"/>
      <scheme val="minor"/>
    </font>
    <font>
      <u/>
      <sz val="12"/>
      <color theme="10"/>
      <name val="Arial"/>
      <family val="2"/>
    </font>
    <font>
      <sz val="11"/>
      <name val="Calibri"/>
      <family val="2"/>
    </font>
    <font>
      <b/>
      <sz val="10"/>
      <name val="Arial"/>
      <family val="2"/>
    </font>
    <font>
      <sz val="10"/>
      <name val="Arial"/>
      <family val="2"/>
    </font>
    <font>
      <sz val="11"/>
      <color theme="4" tint="-0.249977111117893"/>
      <name val="Calibri"/>
      <family val="2"/>
      <scheme val="minor"/>
    </font>
    <font>
      <b/>
      <sz val="11"/>
      <name val="Calibri"/>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CFF"/>
        <bgColor indexed="64"/>
      </patternFill>
    </fill>
    <fill>
      <patternFill patternType="solid">
        <fgColor theme="6" tint="0.59999389629810485"/>
        <bgColor indexed="64"/>
      </patternFill>
    </fill>
  </fills>
  <borders count="2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44" fontId="15" fillId="0" borderId="0" applyFont="0" applyFill="0" applyBorder="0" applyAlignment="0" applyProtection="0"/>
    <xf numFmtId="0" fontId="24" fillId="0" borderId="0" applyNumberFormat="0" applyFill="0" applyBorder="0" applyAlignment="0" applyProtection="0"/>
  </cellStyleXfs>
  <cellXfs count="479">
    <xf numFmtId="0" fontId="0" fillId="0" borderId="0" xfId="0"/>
    <xf numFmtId="0" fontId="3" fillId="0" borderId="0" xfId="0" applyFont="1"/>
    <xf numFmtId="0" fontId="0" fillId="0" borderId="6" xfId="0" applyBorder="1"/>
    <xf numFmtId="165" fontId="3" fillId="0" borderId="1" xfId="1" applyNumberFormat="1" applyFont="1" applyBorder="1"/>
    <xf numFmtId="165" fontId="3" fillId="0" borderId="0" xfId="1" applyNumberFormat="1" applyFont="1" applyBorder="1"/>
    <xf numFmtId="165" fontId="3" fillId="0" borderId="0" xfId="1" applyNumberFormat="1" applyFont="1"/>
    <xf numFmtId="165" fontId="3" fillId="0" borderId="3" xfId="1" applyNumberFormat="1" applyFont="1" applyBorder="1"/>
    <xf numFmtId="165" fontId="3" fillId="0" borderId="2" xfId="1" applyNumberFormat="1" applyFont="1" applyBorder="1"/>
    <xf numFmtId="165" fontId="3" fillId="0" borderId="4" xfId="1" applyNumberFormat="1" applyFont="1" applyBorder="1"/>
    <xf numFmtId="165" fontId="3" fillId="0" borderId="7" xfId="1" applyNumberFormat="1" applyFont="1" applyBorder="1"/>
    <xf numFmtId="165" fontId="3" fillId="0" borderId="8" xfId="1" applyNumberFormat="1" applyFont="1" applyBorder="1"/>
    <xf numFmtId="165" fontId="3" fillId="0" borderId="5" xfId="1" applyNumberFormat="1" applyFont="1" applyBorder="1"/>
    <xf numFmtId="165" fontId="3" fillId="0" borderId="6" xfId="1" applyNumberFormat="1" applyFont="1" applyBorder="1"/>
    <xf numFmtId="43" fontId="3" fillId="0" borderId="0" xfId="1" applyFont="1"/>
    <xf numFmtId="165" fontId="9" fillId="0" borderId="0" xfId="1" applyNumberFormat="1" applyFont="1" applyBorder="1" applyAlignment="1">
      <alignment horizontal="center"/>
    </xf>
    <xf numFmtId="43" fontId="3" fillId="0" borderId="0" xfId="1" applyFont="1" applyBorder="1"/>
    <xf numFmtId="165" fontId="3" fillId="0" borderId="0" xfId="5" applyNumberFormat="1" applyFont="1"/>
    <xf numFmtId="165" fontId="3" fillId="0" borderId="7" xfId="5" applyNumberFormat="1" applyFont="1" applyBorder="1"/>
    <xf numFmtId="0" fontId="3" fillId="0" borderId="0" xfId="0" applyFont="1" applyAlignment="1">
      <alignment horizontal="center"/>
    </xf>
    <xf numFmtId="0" fontId="3" fillId="0" borderId="1" xfId="0" applyFont="1" applyBorder="1" applyAlignment="1">
      <alignment horizontal="center"/>
    </xf>
    <xf numFmtId="165" fontId="3" fillId="0" borderId="0" xfId="5" applyNumberFormat="1" applyFont="1" applyBorder="1"/>
    <xf numFmtId="164" fontId="3" fillId="0" borderId="0" xfId="0" applyNumberFormat="1" applyFont="1"/>
    <xf numFmtId="168" fontId="3" fillId="0" borderId="0" xfId="5" applyNumberFormat="1" applyFont="1" applyBorder="1"/>
    <xf numFmtId="168" fontId="8" fillId="0" borderId="0" xfId="5" applyNumberFormat="1" applyFont="1" applyBorder="1" applyAlignment="1">
      <alignment horizontal="center"/>
    </xf>
    <xf numFmtId="43" fontId="3" fillId="0" borderId="0" xfId="1" applyFont="1" applyBorder="1" applyAlignment="1"/>
    <xf numFmtId="165" fontId="9" fillId="0" borderId="0" xfId="5" applyNumberFormat="1" applyFont="1"/>
    <xf numFmtId="164" fontId="3" fillId="0" borderId="0" xfId="6" applyNumberFormat="1" applyFont="1"/>
    <xf numFmtId="165" fontId="6" fillId="0" borderId="0" xfId="1" applyNumberFormat="1" applyFont="1"/>
    <xf numFmtId="165" fontId="9" fillId="0" borderId="8" xfId="1" applyNumberFormat="1" applyFont="1" applyBorder="1" applyAlignment="1">
      <alignment horizontal="center"/>
    </xf>
    <xf numFmtId="3" fontId="4" fillId="0" borderId="0" xfId="0" applyNumberFormat="1" applyFont="1" applyAlignment="1">
      <alignment horizontal="center" vertical="center"/>
    </xf>
    <xf numFmtId="3" fontId="11" fillId="0" borderId="0" xfId="0" applyNumberFormat="1" applyFont="1" applyAlignment="1">
      <alignment horizontal="center" vertical="center"/>
    </xf>
    <xf numFmtId="3" fontId="11" fillId="0" borderId="8" xfId="0" applyNumberFormat="1" applyFont="1" applyBorder="1" applyAlignment="1">
      <alignment horizontal="center" vertical="center"/>
    </xf>
    <xf numFmtId="43" fontId="3" fillId="0" borderId="8" xfId="1" quotePrefix="1" applyFont="1" applyBorder="1" applyAlignment="1">
      <alignment horizontal="center"/>
    </xf>
    <xf numFmtId="0" fontId="3" fillId="0" borderId="8" xfId="0" applyFont="1" applyBorder="1" applyAlignment="1">
      <alignment horizontal="center"/>
    </xf>
    <xf numFmtId="167" fontId="3" fillId="0" borderId="8" xfId="3" applyNumberFormat="1" applyFont="1" applyBorder="1"/>
    <xf numFmtId="164" fontId="3" fillId="0" borderId="0" xfId="6" applyNumberFormat="1" applyFont="1" applyBorder="1"/>
    <xf numFmtId="165" fontId="13" fillId="0" borderId="0" xfId="1" applyNumberFormat="1" applyFont="1"/>
    <xf numFmtId="44" fontId="3" fillId="0" borderId="0" xfId="10" applyFont="1"/>
    <xf numFmtId="165" fontId="9" fillId="0" borderId="0" xfId="1" applyNumberFormat="1" applyFont="1" applyBorder="1"/>
    <xf numFmtId="0" fontId="16" fillId="0" borderId="0" xfId="0" applyFont="1"/>
    <xf numFmtId="0" fontId="19" fillId="0" borderId="0" xfId="0" applyFont="1" applyAlignment="1">
      <alignment horizontal="center"/>
    </xf>
    <xf numFmtId="10" fontId="3" fillId="0" borderId="0" xfId="3" applyNumberFormat="1" applyFont="1" applyAlignment="1">
      <alignment horizontal="center"/>
    </xf>
    <xf numFmtId="44" fontId="3" fillId="0" borderId="0" xfId="0" applyNumberFormat="1" applyFont="1"/>
    <xf numFmtId="165" fontId="3" fillId="0" borderId="0" xfId="5" quotePrefix="1" applyNumberFormat="1" applyFont="1"/>
    <xf numFmtId="166" fontId="3" fillId="0" borderId="0" xfId="1" applyNumberFormat="1" applyFont="1" applyBorder="1" applyAlignment="1"/>
    <xf numFmtId="0" fontId="3" fillId="0" borderId="7" xfId="0" applyFont="1" applyBorder="1"/>
    <xf numFmtId="165" fontId="3" fillId="0" borderId="0" xfId="1" applyNumberFormat="1" applyFont="1" applyAlignment="1">
      <alignment vertical="center"/>
    </xf>
    <xf numFmtId="165" fontId="8" fillId="0" borderId="0" xfId="1" applyNumberFormat="1" applyFont="1" applyAlignment="1">
      <alignment horizontal="center" vertical="center"/>
    </xf>
    <xf numFmtId="165" fontId="6" fillId="0" borderId="0" xfId="1" applyNumberFormat="1" applyFont="1" applyAlignment="1">
      <alignment vertical="center"/>
    </xf>
    <xf numFmtId="165" fontId="3" fillId="0" borderId="0" xfId="1" applyNumberFormat="1" applyFont="1" applyAlignment="1">
      <alignment horizontal="center" vertical="center"/>
    </xf>
    <xf numFmtId="165" fontId="12" fillId="0" borderId="0" xfId="1" applyNumberFormat="1" applyFont="1" applyAlignment="1">
      <alignment vertical="center"/>
    </xf>
    <xf numFmtId="165" fontId="14" fillId="0" borderId="0" xfId="1" applyNumberFormat="1" applyFont="1" applyAlignment="1">
      <alignment vertical="center"/>
    </xf>
    <xf numFmtId="165" fontId="18" fillId="0" borderId="0" xfId="1" applyNumberFormat="1" applyFont="1" applyAlignment="1">
      <alignment vertical="center"/>
    </xf>
    <xf numFmtId="165" fontId="7" fillId="0" borderId="0" xfId="1" applyNumberFormat="1" applyFont="1" applyAlignment="1">
      <alignment vertical="center"/>
    </xf>
    <xf numFmtId="165" fontId="3" fillId="0" borderId="0" xfId="1" applyNumberFormat="1" applyFont="1" applyAlignment="1">
      <alignment horizontal="center"/>
    </xf>
    <xf numFmtId="165" fontId="12" fillId="0" borderId="0" xfId="1" applyNumberFormat="1" applyFont="1" applyAlignment="1">
      <alignment horizontal="left"/>
    </xf>
    <xf numFmtId="165" fontId="12" fillId="0" borderId="0" xfId="1" applyNumberFormat="1" applyFont="1" applyAlignment="1">
      <alignment horizontal="center"/>
    </xf>
    <xf numFmtId="165" fontId="10" fillId="0" borderId="0" xfId="1" quotePrefix="1" applyNumberFormat="1" applyFont="1" applyAlignment="1">
      <alignment horizontal="center" vertical="center"/>
    </xf>
    <xf numFmtId="165" fontId="10" fillId="0" borderId="0" xfId="1" applyNumberFormat="1" applyFont="1" applyAlignment="1">
      <alignment horizontal="center" vertical="center"/>
    </xf>
    <xf numFmtId="165" fontId="3" fillId="0" borderId="0" xfId="1" applyNumberFormat="1" applyFont="1" applyAlignment="1"/>
    <xf numFmtId="10" fontId="3" fillId="0" borderId="0" xfId="3" applyNumberFormat="1" applyFont="1" applyAlignment="1">
      <alignment vertical="center"/>
    </xf>
    <xf numFmtId="165" fontId="3" fillId="0" borderId="0" xfId="5" applyNumberFormat="1" applyFont="1" applyBorder="1" applyAlignment="1">
      <alignment horizontal="center"/>
    </xf>
    <xf numFmtId="10" fontId="3" fillId="0" borderId="0" xfId="3" applyNumberFormat="1" applyFont="1" applyBorder="1" applyAlignment="1">
      <alignment vertical="center"/>
    </xf>
    <xf numFmtId="10" fontId="3" fillId="0" borderId="0" xfId="3" applyNumberFormat="1" applyFont="1" applyBorder="1"/>
    <xf numFmtId="43" fontId="3" fillId="0" borderId="0" xfId="5" applyFont="1"/>
    <xf numFmtId="165" fontId="3" fillId="0" borderId="8" xfId="5" applyNumberFormat="1" applyFont="1" applyBorder="1"/>
    <xf numFmtId="0" fontId="22" fillId="0" borderId="0" xfId="0" applyFont="1" applyAlignment="1">
      <alignment horizontal="center"/>
    </xf>
    <xf numFmtId="165" fontId="21" fillId="0" borderId="0" xfId="5" applyNumberFormat="1" applyFont="1"/>
    <xf numFmtId="170" fontId="3" fillId="0" borderId="0" xfId="0" applyNumberFormat="1" applyFont="1"/>
    <xf numFmtId="164" fontId="16" fillId="0" borderId="9" xfId="6" applyNumberFormat="1" applyFont="1" applyBorder="1"/>
    <xf numFmtId="10" fontId="3" fillId="0" borderId="1" xfId="0" applyNumberFormat="1" applyFont="1" applyBorder="1"/>
    <xf numFmtId="164" fontId="3" fillId="0" borderId="1" xfId="6" applyNumberFormat="1" applyFont="1" applyBorder="1"/>
    <xf numFmtId="43" fontId="3" fillId="0" borderId="0" xfId="1" applyFont="1" applyBorder="1" applyAlignment="1">
      <alignment horizontal="center"/>
    </xf>
    <xf numFmtId="166" fontId="3" fillId="0" borderId="0" xfId="1" applyNumberFormat="1" applyFont="1" applyBorder="1" applyAlignment="1">
      <alignment horizontal="center"/>
    </xf>
    <xf numFmtId="166" fontId="3" fillId="0" borderId="0" xfId="2" applyNumberFormat="1" applyFont="1" applyBorder="1"/>
    <xf numFmtId="0" fontId="6" fillId="0" borderId="0" xfId="0" applyFont="1"/>
    <xf numFmtId="0" fontId="3" fillId="0" borderId="3" xfId="0" applyFont="1" applyBorder="1"/>
    <xf numFmtId="0" fontId="3" fillId="0" borderId="5" xfId="0" applyFont="1" applyBorder="1"/>
    <xf numFmtId="0" fontId="3" fillId="0" borderId="0" xfId="1" applyNumberFormat="1" applyFont="1" applyBorder="1" applyAlignment="1"/>
    <xf numFmtId="0" fontId="3" fillId="0" borderId="0" xfId="1" applyNumberFormat="1" applyFont="1" applyBorder="1" applyAlignment="1">
      <alignment horizontal="center"/>
    </xf>
    <xf numFmtId="43" fontId="3" fillId="0" borderId="0" xfId="5" applyFont="1" applyFill="1"/>
    <xf numFmtId="37" fontId="3" fillId="0" borderId="0" xfId="0" applyNumberFormat="1" applyFont="1" applyAlignment="1">
      <alignment horizontal="center"/>
    </xf>
    <xf numFmtId="165" fontId="3" fillId="0" borderId="0" xfId="0" applyNumberFormat="1" applyFont="1"/>
    <xf numFmtId="165" fontId="9" fillId="0" borderId="0" xfId="5" applyNumberFormat="1" applyFont="1" applyBorder="1"/>
    <xf numFmtId="165" fontId="9" fillId="0" borderId="0" xfId="0" applyNumberFormat="1" applyFont="1"/>
    <xf numFmtId="0" fontId="13" fillId="0" borderId="0" xfId="0" applyFont="1" applyAlignment="1">
      <alignment horizontal="centerContinuous"/>
    </xf>
    <xf numFmtId="0" fontId="3" fillId="0" borderId="0" xfId="0" applyFont="1" applyAlignment="1">
      <alignment horizontal="centerContinuous"/>
    </xf>
    <xf numFmtId="3" fontId="3" fillId="0" borderId="0" xfId="0" applyNumberFormat="1" applyFont="1" applyAlignment="1">
      <alignment horizontal="right"/>
    </xf>
    <xf numFmtId="0" fontId="3" fillId="0" borderId="0" xfId="0" quotePrefix="1" applyFont="1"/>
    <xf numFmtId="0" fontId="3" fillId="0" borderId="0" xfId="0" applyFont="1" applyAlignment="1">
      <alignment horizontal="right"/>
    </xf>
    <xf numFmtId="0" fontId="3" fillId="0" borderId="0" xfId="0" applyFont="1" applyAlignment="1">
      <alignment horizontal="left"/>
    </xf>
    <xf numFmtId="165" fontId="3" fillId="0" borderId="0" xfId="1" applyNumberFormat="1" applyFont="1" applyBorder="1" applyAlignment="1"/>
    <xf numFmtId="165" fontId="4" fillId="0" borderId="0" xfId="1" applyNumberFormat="1" applyFont="1" applyBorder="1" applyAlignment="1">
      <alignment horizontal="center" vertical="center"/>
    </xf>
    <xf numFmtId="165" fontId="3" fillId="0" borderId="0" xfId="1" applyNumberFormat="1" applyFont="1" applyBorder="1" applyAlignment="1">
      <alignment horizontal="centerContinuous"/>
    </xf>
    <xf numFmtId="165" fontId="3" fillId="0" borderId="0" xfId="1" applyNumberFormat="1" applyFont="1" applyBorder="1" applyAlignment="1">
      <alignment horizontal="center"/>
    </xf>
    <xf numFmtId="165" fontId="0" fillId="0" borderId="0" xfId="1" applyNumberFormat="1" applyFont="1" applyBorder="1"/>
    <xf numFmtId="164" fontId="9" fillId="0" borderId="0" xfId="6" applyNumberFormat="1" applyFont="1" applyBorder="1"/>
    <xf numFmtId="44" fontId="4" fillId="0" borderId="0" xfId="0" applyNumberFormat="1" applyFont="1" applyAlignment="1">
      <alignment horizontal="center" vertical="center"/>
    </xf>
    <xf numFmtId="44" fontId="3" fillId="0" borderId="0" xfId="0" applyNumberFormat="1" applyFont="1" applyAlignment="1">
      <alignment horizontal="centerContinuous"/>
    </xf>
    <xf numFmtId="44" fontId="3" fillId="0" borderId="0" xfId="0" applyNumberFormat="1" applyFont="1" applyAlignment="1">
      <alignment horizontal="center"/>
    </xf>
    <xf numFmtId="44" fontId="3" fillId="0" borderId="0" xfId="5" applyNumberFormat="1" applyFont="1" applyBorder="1"/>
    <xf numFmtId="44" fontId="9" fillId="0" borderId="0" xfId="5" applyNumberFormat="1" applyFont="1" applyBorder="1"/>
    <xf numFmtId="44" fontId="0" fillId="0" borderId="0" xfId="0" applyNumberFormat="1"/>
    <xf numFmtId="44" fontId="3" fillId="0" borderId="2" xfId="1" applyNumberFormat="1" applyFont="1" applyBorder="1"/>
    <xf numFmtId="44" fontId="3" fillId="0" borderId="1" xfId="1" applyNumberFormat="1" applyFont="1" applyBorder="1"/>
    <xf numFmtId="44" fontId="11" fillId="0" borderId="7" xfId="0" applyNumberFormat="1" applyFont="1" applyBorder="1" applyAlignment="1">
      <alignment horizontal="center" vertical="center"/>
    </xf>
    <xf numFmtId="44" fontId="9" fillId="0" borderId="7" xfId="1" applyNumberFormat="1" applyFont="1" applyBorder="1" applyAlignment="1">
      <alignment horizontal="center"/>
    </xf>
    <xf numFmtId="44" fontId="3" fillId="0" borderId="7" xfId="1" applyNumberFormat="1" applyFont="1" applyBorder="1"/>
    <xf numFmtId="44" fontId="3" fillId="0" borderId="5" xfId="1" applyNumberFormat="1" applyFont="1" applyBorder="1"/>
    <xf numFmtId="44" fontId="3" fillId="0" borderId="0" xfId="1" applyNumberFormat="1" applyFont="1"/>
    <xf numFmtId="44" fontId="11" fillId="0" borderId="0" xfId="0" applyNumberFormat="1" applyFont="1" applyAlignment="1">
      <alignment horizontal="center" vertical="center"/>
    </xf>
    <xf numFmtId="44" fontId="9" fillId="0" borderId="0" xfId="1" applyNumberFormat="1" applyFont="1" applyBorder="1" applyAlignment="1">
      <alignment horizontal="center"/>
    </xf>
    <xf numFmtId="44" fontId="3" fillId="0" borderId="0" xfId="1" applyNumberFormat="1" applyFont="1" applyBorder="1"/>
    <xf numFmtId="44" fontId="3" fillId="0" borderId="0" xfId="2" applyFont="1" applyBorder="1"/>
    <xf numFmtId="0" fontId="7" fillId="0" borderId="0" xfId="0" applyFont="1"/>
    <xf numFmtId="165" fontId="3" fillId="0" borderId="0" xfId="9" applyNumberFormat="1" applyFont="1" applyFill="1" applyBorder="1"/>
    <xf numFmtId="165" fontId="9" fillId="0" borderId="0" xfId="9" applyNumberFormat="1" applyFont="1" applyFill="1" applyBorder="1"/>
    <xf numFmtId="0" fontId="1" fillId="0" borderId="0" xfId="4"/>
    <xf numFmtId="0" fontId="19" fillId="0" borderId="0" xfId="4" applyFont="1" applyAlignment="1">
      <alignment horizontal="center"/>
    </xf>
    <xf numFmtId="167" fontId="3" fillId="0" borderId="0" xfId="3" applyNumberFormat="1" applyFont="1" applyFill="1" applyBorder="1"/>
    <xf numFmtId="165" fontId="3" fillId="0" borderId="0" xfId="9" applyNumberFormat="1" applyFont="1" applyFill="1" applyBorder="1" applyAlignment="1">
      <alignment horizontal="center"/>
    </xf>
    <xf numFmtId="165" fontId="7" fillId="0" borderId="7" xfId="5" applyNumberFormat="1" applyFont="1" applyBorder="1" applyAlignment="1">
      <alignment horizontal="center"/>
    </xf>
    <xf numFmtId="3" fontId="3" fillId="0" borderId="0" xfId="0" applyNumberFormat="1" applyFont="1"/>
    <xf numFmtId="168" fontId="3" fillId="0" borderId="0" xfId="5" applyNumberFormat="1" applyFont="1" applyAlignment="1"/>
    <xf numFmtId="3" fontId="3" fillId="0" borderId="2" xfId="0" applyNumberFormat="1" applyFont="1" applyBorder="1"/>
    <xf numFmtId="168" fontId="3" fillId="0" borderId="2" xfId="5" applyNumberFormat="1" applyFont="1" applyBorder="1"/>
    <xf numFmtId="3" fontId="3" fillId="0" borderId="4" xfId="0" applyNumberFormat="1" applyFont="1" applyBorder="1"/>
    <xf numFmtId="3" fontId="3" fillId="0" borderId="7" xfId="0" applyNumberFormat="1" applyFont="1" applyBorder="1"/>
    <xf numFmtId="3" fontId="3" fillId="0" borderId="8" xfId="0" applyNumberFormat="1" applyFont="1" applyBorder="1"/>
    <xf numFmtId="168" fontId="3" fillId="0" borderId="0" xfId="5" applyNumberFormat="1" applyFont="1" applyBorder="1" applyAlignment="1"/>
    <xf numFmtId="3" fontId="8" fillId="0" borderId="0" xfId="0" applyNumberFormat="1" applyFont="1" applyAlignment="1">
      <alignment horizontal="center"/>
    </xf>
    <xf numFmtId="3" fontId="7" fillId="0" borderId="0" xfId="0" applyNumberFormat="1" applyFont="1" applyAlignment="1">
      <alignment horizontal="center"/>
    </xf>
    <xf numFmtId="168" fontId="8" fillId="0" borderId="0" xfId="5" applyNumberFormat="1" applyFont="1" applyBorder="1" applyAlignment="1">
      <alignment horizontal="centerContinuous"/>
    </xf>
    <xf numFmtId="3" fontId="8" fillId="0" borderId="0" xfId="0" applyNumberFormat="1" applyFont="1" applyAlignment="1">
      <alignment horizontal="centerContinuous"/>
    </xf>
    <xf numFmtId="44" fontId="10" fillId="0" borderId="0" xfId="0" applyNumberFormat="1" applyFont="1" applyAlignment="1">
      <alignment horizontal="center"/>
    </xf>
    <xf numFmtId="3" fontId="8" fillId="0" borderId="0" xfId="0" applyNumberFormat="1" applyFont="1"/>
    <xf numFmtId="169" fontId="3" fillId="0" borderId="0" xfId="0" applyNumberFormat="1" applyFont="1" applyAlignment="1">
      <alignment horizontal="center"/>
    </xf>
    <xf numFmtId="168" fontId="3" fillId="0" borderId="0" xfId="5" applyNumberFormat="1" applyFont="1" applyBorder="1" applyAlignment="1">
      <alignment horizontal="center"/>
    </xf>
    <xf numFmtId="168" fontId="3" fillId="0" borderId="0" xfId="5" quotePrefix="1" applyNumberFormat="1" applyFont="1" applyBorder="1" applyAlignment="1">
      <alignment horizontal="center"/>
    </xf>
    <xf numFmtId="168" fontId="13" fillId="0" borderId="0" xfId="5" applyNumberFormat="1" applyFont="1" applyBorder="1" applyAlignment="1"/>
    <xf numFmtId="165" fontId="3" fillId="0" borderId="0" xfId="5" applyNumberFormat="1" applyFont="1" applyBorder="1" applyAlignment="1"/>
    <xf numFmtId="3" fontId="7" fillId="0" borderId="0" xfId="0" applyNumberFormat="1" applyFont="1"/>
    <xf numFmtId="171" fontId="3" fillId="0" borderId="0" xfId="0" applyNumberFormat="1" applyFont="1"/>
    <xf numFmtId="170" fontId="7" fillId="0" borderId="0" xfId="0" applyNumberFormat="1" applyFont="1"/>
    <xf numFmtId="3" fontId="3" fillId="0" borderId="1" xfId="0" applyNumberFormat="1" applyFont="1" applyBorder="1"/>
    <xf numFmtId="168" fontId="3" fillId="0" borderId="1" xfId="5" applyNumberFormat="1" applyFont="1" applyBorder="1" applyAlignment="1"/>
    <xf numFmtId="3" fontId="3" fillId="0" borderId="6" xfId="0" applyNumberFormat="1" applyFont="1" applyBorder="1"/>
    <xf numFmtId="4" fontId="3" fillId="0" borderId="7" xfId="0" applyNumberFormat="1" applyFont="1" applyBorder="1"/>
    <xf numFmtId="165" fontId="3" fillId="0" borderId="3" xfId="5" applyNumberFormat="1" applyFont="1" applyBorder="1"/>
    <xf numFmtId="165" fontId="3" fillId="0" borderId="2" xfId="5" applyNumberFormat="1" applyFont="1" applyBorder="1"/>
    <xf numFmtId="165" fontId="3" fillId="0" borderId="4" xfId="5" applyNumberFormat="1" applyFont="1" applyBorder="1"/>
    <xf numFmtId="165" fontId="4" fillId="0" borderId="7" xfId="5" applyNumberFormat="1" applyFont="1" applyBorder="1" applyAlignment="1">
      <alignment horizontal="centerContinuous"/>
    </xf>
    <xf numFmtId="165" fontId="7" fillId="0" borderId="0" xfId="5" applyNumberFormat="1" applyFont="1" applyAlignment="1">
      <alignment horizontal="centerContinuous"/>
    </xf>
    <xf numFmtId="165" fontId="5" fillId="0" borderId="7" xfId="5" applyNumberFormat="1" applyFont="1" applyBorder="1" applyAlignment="1">
      <alignment horizontal="centerContinuous"/>
    </xf>
    <xf numFmtId="165" fontId="8" fillId="0" borderId="0" xfId="5" applyNumberFormat="1" applyFont="1" applyAlignment="1">
      <alignment horizontal="centerContinuous"/>
    </xf>
    <xf numFmtId="3" fontId="11" fillId="0" borderId="7" xfId="0" applyNumberFormat="1" applyFont="1" applyBorder="1" applyAlignment="1">
      <alignment horizontal="centerContinuous" vertical="center"/>
    </xf>
    <xf numFmtId="165" fontId="23" fillId="0" borderId="7" xfId="5" applyNumberFormat="1" applyFont="1" applyBorder="1" applyAlignment="1">
      <alignment horizontal="centerContinuous"/>
    </xf>
    <xf numFmtId="165" fontId="3" fillId="0" borderId="0" xfId="5" applyNumberFormat="1" applyFont="1" applyAlignment="1">
      <alignment horizontal="centerContinuous"/>
    </xf>
    <xf numFmtId="165" fontId="3" fillId="0" borderId="7" xfId="5" applyNumberFormat="1" applyFont="1" applyBorder="1" applyAlignment="1">
      <alignment horizontal="centerContinuous"/>
    </xf>
    <xf numFmtId="165" fontId="3" fillId="0" borderId="10" xfId="5" applyNumberFormat="1" applyFont="1" applyBorder="1" applyAlignment="1">
      <alignment horizontal="left"/>
    </xf>
    <xf numFmtId="165" fontId="3" fillId="0" borderId="3" xfId="5" applyNumberFormat="1" applyFont="1" applyBorder="1" applyAlignment="1">
      <alignment horizontal="left"/>
    </xf>
    <xf numFmtId="165" fontId="3" fillId="0" borderId="2" xfId="5" applyNumberFormat="1" applyFont="1" applyBorder="1" applyAlignment="1">
      <alignment horizontal="left"/>
    </xf>
    <xf numFmtId="165" fontId="3" fillId="0" borderId="4" xfId="5" applyNumberFormat="1" applyFont="1" applyBorder="1" applyAlignment="1">
      <alignment horizontal="left"/>
    </xf>
    <xf numFmtId="165" fontId="3" fillId="0" borderId="11" xfId="5" applyNumberFormat="1" applyFont="1" applyBorder="1"/>
    <xf numFmtId="165" fontId="10" fillId="0" borderId="0" xfId="5" applyNumberFormat="1" applyFont="1" applyAlignment="1">
      <alignment horizontal="center" vertical="center"/>
    </xf>
    <xf numFmtId="165" fontId="7" fillId="0" borderId="8" xfId="5" applyNumberFormat="1" applyFont="1" applyBorder="1" applyAlignment="1">
      <alignment horizontal="center" vertical="center"/>
    </xf>
    <xf numFmtId="165" fontId="7" fillId="0" borderId="0" xfId="5" applyNumberFormat="1" applyFont="1" applyAlignment="1">
      <alignment horizontal="center" vertical="center"/>
    </xf>
    <xf numFmtId="165" fontId="10" fillId="0" borderId="8" xfId="5" applyNumberFormat="1" applyFont="1" applyBorder="1" applyAlignment="1">
      <alignment horizontal="center" vertical="center"/>
    </xf>
    <xf numFmtId="165" fontId="10" fillId="0" borderId="0" xfId="5" applyNumberFormat="1" applyFont="1" applyBorder="1" applyAlignment="1">
      <alignment horizontal="center" vertical="center"/>
    </xf>
    <xf numFmtId="165" fontId="3" fillId="0" borderId="11" xfId="5" applyNumberFormat="1" applyFont="1" applyBorder="1" applyAlignment="1">
      <alignment horizontal="left"/>
    </xf>
    <xf numFmtId="165" fontId="3" fillId="0" borderId="7" xfId="5" applyNumberFormat="1" applyFont="1" applyBorder="1" applyAlignment="1">
      <alignment horizontal="center"/>
    </xf>
    <xf numFmtId="165" fontId="3" fillId="0" borderId="0" xfId="5" applyNumberFormat="1" applyFont="1" applyAlignment="1">
      <alignment horizontal="center"/>
    </xf>
    <xf numFmtId="165" fontId="3" fillId="0" borderId="8" xfId="5" applyNumberFormat="1" applyFont="1" applyBorder="1" applyAlignment="1">
      <alignment horizontal="center"/>
    </xf>
    <xf numFmtId="164" fontId="3" fillId="0" borderId="0" xfId="6" quotePrefix="1" applyNumberFormat="1" applyFont="1" applyBorder="1" applyAlignment="1">
      <alignment horizontal="center"/>
    </xf>
    <xf numFmtId="165" fontId="3" fillId="0" borderId="0" xfId="5" quotePrefix="1" applyNumberFormat="1" applyFont="1" applyBorder="1" applyAlignment="1">
      <alignment horizontal="center"/>
    </xf>
    <xf numFmtId="165" fontId="3" fillId="0" borderId="11" xfId="5" quotePrefix="1" applyNumberFormat="1" applyFont="1" applyBorder="1" applyAlignment="1">
      <alignment horizontal="center"/>
    </xf>
    <xf numFmtId="165" fontId="3" fillId="0" borderId="7" xfId="5" quotePrefix="1" applyNumberFormat="1" applyFont="1" applyBorder="1" applyAlignment="1">
      <alignment horizontal="left"/>
    </xf>
    <xf numFmtId="165" fontId="3" fillId="0" borderId="0" xfId="5" quotePrefix="1" applyNumberFormat="1" applyFont="1" applyAlignment="1">
      <alignment horizontal="left"/>
    </xf>
    <xf numFmtId="165" fontId="3" fillId="0" borderId="8" xfId="5" quotePrefix="1" applyNumberFormat="1" applyFont="1" applyBorder="1" applyAlignment="1">
      <alignment horizontal="left"/>
    </xf>
    <xf numFmtId="165" fontId="7" fillId="0" borderId="7" xfId="5" quotePrefix="1" applyNumberFormat="1" applyFont="1" applyBorder="1" applyAlignment="1">
      <alignment horizontal="left"/>
    </xf>
    <xf numFmtId="165" fontId="7" fillId="0" borderId="0" xfId="5" quotePrefix="1" applyNumberFormat="1" applyFont="1" applyAlignment="1">
      <alignment horizontal="left"/>
    </xf>
    <xf numFmtId="165" fontId="7" fillId="0" borderId="8" xfId="5" quotePrefix="1" applyNumberFormat="1" applyFont="1" applyBorder="1" applyAlignment="1">
      <alignment horizontal="left"/>
    </xf>
    <xf numFmtId="164" fontId="7" fillId="0" borderId="0" xfId="6" quotePrefix="1" applyNumberFormat="1" applyFont="1" applyBorder="1" applyAlignment="1">
      <alignment horizontal="left"/>
    </xf>
    <xf numFmtId="165" fontId="7" fillId="0" borderId="12" xfId="5" applyNumberFormat="1" applyFont="1" applyBorder="1" applyAlignment="1">
      <alignment horizontal="right"/>
    </xf>
    <xf numFmtId="165" fontId="7" fillId="0" borderId="5" xfId="5" applyNumberFormat="1" applyFont="1" applyBorder="1" applyAlignment="1">
      <alignment horizontal="right"/>
    </xf>
    <xf numFmtId="165" fontId="7" fillId="0" borderId="1" xfId="5" applyNumberFormat="1" applyFont="1" applyBorder="1" applyAlignment="1">
      <alignment horizontal="right"/>
    </xf>
    <xf numFmtId="165" fontId="7" fillId="0" borderId="6" xfId="5" applyNumberFormat="1" applyFont="1" applyBorder="1" applyAlignment="1">
      <alignment horizontal="right"/>
    </xf>
    <xf numFmtId="165" fontId="7" fillId="0" borderId="8" xfId="5" applyNumberFormat="1" applyFont="1" applyBorder="1" applyAlignment="1">
      <alignment horizontal="right"/>
    </xf>
    <xf numFmtId="165" fontId="3" fillId="0" borderId="6" xfId="5" applyNumberFormat="1" applyFont="1" applyBorder="1"/>
    <xf numFmtId="165" fontId="7" fillId="0" borderId="7" xfId="5" applyNumberFormat="1" applyFont="1" applyBorder="1" applyAlignment="1">
      <alignment horizontal="right"/>
    </xf>
    <xf numFmtId="165" fontId="7" fillId="0" borderId="0" xfId="5" applyNumberFormat="1" applyFont="1" applyAlignment="1">
      <alignment horizontal="right"/>
    </xf>
    <xf numFmtId="165" fontId="7" fillId="0" borderId="2" xfId="5" applyNumberFormat="1" applyFont="1" applyBorder="1" applyAlignment="1">
      <alignment horizontal="right"/>
    </xf>
    <xf numFmtId="165" fontId="7" fillId="0" borderId="7" xfId="5" applyNumberFormat="1" applyFont="1" applyBorder="1"/>
    <xf numFmtId="164" fontId="7" fillId="0" borderId="0" xfId="6" applyNumberFormat="1" applyFont="1"/>
    <xf numFmtId="165" fontId="7" fillId="0" borderId="0" xfId="5" applyNumberFormat="1" applyFont="1"/>
    <xf numFmtId="165" fontId="7" fillId="0" borderId="0" xfId="5" applyNumberFormat="1" applyFont="1" applyBorder="1"/>
    <xf numFmtId="164" fontId="7" fillId="0" borderId="0" xfId="6" applyNumberFormat="1" applyFont="1" applyBorder="1"/>
    <xf numFmtId="165" fontId="3" fillId="0" borderId="5" xfId="5" applyNumberFormat="1" applyFont="1" applyBorder="1" applyAlignment="1">
      <alignment horizontal="center"/>
    </xf>
    <xf numFmtId="165" fontId="3" fillId="0" borderId="1" xfId="5" applyNumberFormat="1" applyFont="1" applyBorder="1" applyAlignment="1">
      <alignment horizontal="center"/>
    </xf>
    <xf numFmtId="0" fontId="21" fillId="0" borderId="0" xfId="0" applyFont="1" applyAlignment="1">
      <alignment horizontal="left"/>
    </xf>
    <xf numFmtId="9" fontId="3" fillId="0" borderId="0" xfId="0" applyNumberFormat="1" applyFont="1" applyAlignment="1">
      <alignment horizontal="center"/>
    </xf>
    <xf numFmtId="9" fontId="19" fillId="0" borderId="0" xfId="0" applyNumberFormat="1" applyFont="1" applyAlignment="1">
      <alignment horizontal="center"/>
    </xf>
    <xf numFmtId="9" fontId="3" fillId="0" borderId="0" xfId="3" applyFont="1" applyAlignment="1">
      <alignment horizontal="center"/>
    </xf>
    <xf numFmtId="164" fontId="3" fillId="0" borderId="0" xfId="5" applyNumberFormat="1" applyFont="1" applyBorder="1"/>
    <xf numFmtId="164" fontId="3" fillId="0" borderId="0" xfId="2" applyNumberFormat="1" applyFont="1" applyBorder="1"/>
    <xf numFmtId="9" fontId="3" fillId="0" borderId="0" xfId="3" applyFont="1"/>
    <xf numFmtId="42" fontId="3" fillId="0" borderId="0" xfId="0" applyNumberFormat="1" applyFont="1"/>
    <xf numFmtId="10" fontId="3" fillId="0" borderId="0" xfId="0" applyNumberFormat="1" applyFont="1"/>
    <xf numFmtId="164" fontId="7" fillId="0" borderId="9" xfId="6" applyNumberFormat="1" applyFont="1" applyBorder="1"/>
    <xf numFmtId="9" fontId="3" fillId="0" borderId="0" xfId="9" applyNumberFormat="1" applyFont="1" applyFill="1" applyBorder="1" applyAlignment="1">
      <alignment horizontal="center"/>
    </xf>
    <xf numFmtId="9" fontId="9" fillId="0" borderId="0" xfId="9" applyNumberFormat="1" applyFont="1" applyFill="1" applyBorder="1" applyAlignment="1">
      <alignment horizontal="center"/>
    </xf>
    <xf numFmtId="164" fontId="3" fillId="0" borderId="0" xfId="0" applyNumberFormat="1" applyFont="1" applyAlignment="1">
      <alignment horizontal="left" indent="1"/>
    </xf>
    <xf numFmtId="164" fontId="7" fillId="0" borderId="0" xfId="4" applyNumberFormat="1" applyFont="1" applyAlignment="1">
      <alignment horizontal="left" indent="1"/>
    </xf>
    <xf numFmtId="10" fontId="7" fillId="0" borderId="0" xfId="0" applyNumberFormat="1" applyFont="1"/>
    <xf numFmtId="165" fontId="3" fillId="0" borderId="0" xfId="1" applyNumberFormat="1" applyFont="1" applyBorder="1" applyAlignment="1">
      <alignment vertical="center"/>
    </xf>
    <xf numFmtId="165" fontId="9" fillId="0" borderId="0" xfId="1" applyNumberFormat="1" applyFont="1" applyBorder="1" applyAlignment="1">
      <alignment vertical="center"/>
    </xf>
    <xf numFmtId="165" fontId="9" fillId="0" borderId="0" xfId="1" applyNumberFormat="1" applyFont="1" applyBorder="1" applyAlignment="1">
      <alignment horizontal="center" vertical="center"/>
    </xf>
    <xf numFmtId="172" fontId="3" fillId="0" borderId="0" xfId="1" applyNumberFormat="1" applyFont="1" applyBorder="1"/>
    <xf numFmtId="172" fontId="0" fillId="0" borderId="0" xfId="1" applyNumberFormat="1" applyFont="1" applyBorder="1"/>
    <xf numFmtId="43" fontId="0" fillId="0" borderId="0" xfId="1" applyFont="1" applyBorder="1"/>
    <xf numFmtId="165" fontId="9" fillId="0" borderId="0" xfId="1" applyNumberFormat="1" applyFont="1"/>
    <xf numFmtId="10" fontId="3" fillId="0" borderId="0" xfId="3" applyNumberFormat="1" applyFont="1" applyBorder="1" applyAlignment="1"/>
    <xf numFmtId="172" fontId="3" fillId="0" borderId="0" xfId="1" applyNumberFormat="1" applyFont="1" applyBorder="1" applyAlignment="1">
      <alignment horizontal="center"/>
    </xf>
    <xf numFmtId="165" fontId="25" fillId="0" borderId="0" xfId="11" applyNumberFormat="1" applyFont="1" applyAlignment="1">
      <alignment vertical="center"/>
    </xf>
    <xf numFmtId="165" fontId="10" fillId="0" borderId="0" xfId="1" applyNumberFormat="1" applyFont="1" applyAlignment="1">
      <alignment vertical="center"/>
    </xf>
    <xf numFmtId="173" fontId="3" fillId="0" borderId="0" xfId="1" applyNumberFormat="1" applyFont="1" applyBorder="1" applyAlignment="1"/>
    <xf numFmtId="165" fontId="6" fillId="0" borderId="0" xfId="1" applyNumberFormat="1" applyFont="1" applyBorder="1"/>
    <xf numFmtId="0" fontId="3" fillId="0" borderId="0" xfId="1" applyNumberFormat="1" applyFont="1" applyBorder="1" applyAlignment="1">
      <alignment horizontal="left"/>
    </xf>
    <xf numFmtId="0" fontId="3" fillId="0" borderId="0" xfId="1" applyNumberFormat="1" applyFont="1" applyBorder="1" applyAlignment="1">
      <alignment horizontal="right"/>
    </xf>
    <xf numFmtId="166" fontId="3" fillId="0" borderId="0" xfId="1" applyNumberFormat="1" applyFont="1" applyBorder="1" applyAlignment="1">
      <alignment horizontal="right"/>
    </xf>
    <xf numFmtId="173" fontId="3" fillId="0" borderId="0" xfId="1" applyNumberFormat="1" applyFont="1" applyBorder="1" applyAlignment="1">
      <alignment horizontal="right"/>
    </xf>
    <xf numFmtId="43" fontId="3" fillId="0" borderId="13" xfId="1" applyFont="1" applyBorder="1" applyAlignment="1"/>
    <xf numFmtId="43" fontId="3" fillId="0" borderId="14" xfId="1" applyFont="1" applyBorder="1" applyAlignment="1"/>
    <xf numFmtId="165" fontId="3" fillId="0" borderId="14" xfId="1" applyNumberFormat="1" applyFont="1" applyBorder="1" applyAlignment="1"/>
    <xf numFmtId="0" fontId="3" fillId="0" borderId="14" xfId="1" applyNumberFormat="1" applyFont="1" applyBorder="1" applyAlignment="1"/>
    <xf numFmtId="10" fontId="3" fillId="0" borderId="14" xfId="3" applyNumberFormat="1" applyFont="1" applyBorder="1" applyAlignment="1"/>
    <xf numFmtId="43" fontId="3" fillId="0" borderId="15" xfId="1" applyFont="1" applyBorder="1" applyAlignment="1"/>
    <xf numFmtId="43" fontId="3" fillId="0" borderId="16" xfId="1" applyFont="1" applyBorder="1" applyAlignment="1"/>
    <xf numFmtId="43" fontId="3" fillId="0" borderId="17" xfId="1" applyFont="1" applyBorder="1" applyAlignment="1"/>
    <xf numFmtId="43" fontId="3" fillId="0" borderId="17" xfId="1" applyFont="1" applyBorder="1" applyAlignment="1">
      <alignment vertical="center"/>
    </xf>
    <xf numFmtId="0" fontId="3" fillId="0" borderId="16" xfId="0" applyFont="1" applyBorder="1"/>
    <xf numFmtId="43" fontId="3" fillId="0" borderId="18" xfId="1" applyFont="1" applyBorder="1" applyAlignment="1"/>
    <xf numFmtId="43" fontId="3" fillId="0" borderId="19" xfId="1" applyFont="1" applyBorder="1" applyAlignment="1"/>
    <xf numFmtId="165" fontId="3" fillId="0" borderId="19" xfId="1" applyNumberFormat="1" applyFont="1" applyBorder="1" applyAlignment="1"/>
    <xf numFmtId="0" fontId="3" fillId="0" borderId="19" xfId="1" applyNumberFormat="1" applyFont="1" applyBorder="1" applyAlignment="1"/>
    <xf numFmtId="10" fontId="3" fillId="0" borderId="19" xfId="3" applyNumberFormat="1" applyFont="1" applyBorder="1" applyAlignment="1"/>
    <xf numFmtId="43" fontId="3" fillId="0" borderId="20" xfId="1" applyFont="1" applyBorder="1" applyAlignment="1"/>
    <xf numFmtId="0" fontId="3" fillId="0" borderId="14" xfId="1" applyNumberFormat="1" applyFont="1" applyBorder="1" applyAlignment="1">
      <alignment horizontal="left"/>
    </xf>
    <xf numFmtId="0" fontId="6" fillId="0" borderId="0" xfId="0" applyFont="1" applyAlignment="1">
      <alignment horizontal="left"/>
    </xf>
    <xf numFmtId="0" fontId="3" fillId="0" borderId="19" xfId="1" applyNumberFormat="1" applyFont="1" applyBorder="1" applyAlignment="1">
      <alignment horizontal="left"/>
    </xf>
    <xf numFmtId="173" fontId="3" fillId="0" borderId="0" xfId="0" applyNumberFormat="1" applyFont="1"/>
    <xf numFmtId="173" fontId="3" fillId="0" borderId="0" xfId="2" applyNumberFormat="1" applyFont="1" applyBorder="1"/>
    <xf numFmtId="3" fontId="3" fillId="0" borderId="0" xfId="1" applyNumberFormat="1" applyFont="1" applyBorder="1"/>
    <xf numFmtId="37" fontId="3" fillId="0" borderId="0" xfId="2" applyNumberFormat="1" applyFont="1" applyBorder="1"/>
    <xf numFmtId="44" fontId="3" fillId="0" borderId="1" xfId="0" applyNumberFormat="1" applyFont="1" applyBorder="1"/>
    <xf numFmtId="44" fontId="3" fillId="0" borderId="1" xfId="10" applyFont="1" applyBorder="1"/>
    <xf numFmtId="0" fontId="7" fillId="0" borderId="0" xfId="0" applyFont="1" applyAlignment="1">
      <alignment horizontal="center"/>
    </xf>
    <xf numFmtId="165" fontId="3" fillId="0" borderId="0" xfId="0" applyNumberFormat="1" applyFont="1" applyAlignment="1">
      <alignment horizontal="right"/>
    </xf>
    <xf numFmtId="165" fontId="3" fillId="0" borderId="0" xfId="1" applyNumberFormat="1" applyFont="1" applyBorder="1" applyAlignment="1">
      <alignment horizontal="right"/>
    </xf>
    <xf numFmtId="165" fontId="9" fillId="0" borderId="0" xfId="1" quotePrefix="1" applyNumberFormat="1" applyFont="1" applyBorder="1"/>
    <xf numFmtId="165" fontId="9" fillId="0" borderId="0" xfId="1" applyNumberFormat="1" applyFont="1" applyBorder="1" applyAlignment="1">
      <alignment horizontal="right"/>
    </xf>
    <xf numFmtId="165" fontId="6" fillId="0" borderId="0" xfId="0" applyNumberFormat="1" applyFont="1"/>
    <xf numFmtId="0" fontId="7" fillId="0" borderId="13" xfId="0" applyFont="1" applyBorder="1"/>
    <xf numFmtId="165" fontId="3" fillId="0" borderId="14" xfId="1" applyNumberFormat="1" applyFont="1" applyBorder="1"/>
    <xf numFmtId="3" fontId="3" fillId="0" borderId="14" xfId="0" applyNumberFormat="1" applyFont="1" applyBorder="1" applyAlignment="1">
      <alignment horizontal="right"/>
    </xf>
    <xf numFmtId="165" fontId="3" fillId="0" borderId="14" xfId="0" applyNumberFormat="1" applyFont="1" applyBorder="1"/>
    <xf numFmtId="44" fontId="3" fillId="0" borderId="15" xfId="0" applyNumberFormat="1" applyFont="1" applyBorder="1"/>
    <xf numFmtId="0" fontId="7" fillId="0" borderId="16" xfId="0" applyFont="1" applyBorder="1"/>
    <xf numFmtId="0" fontId="3" fillId="0" borderId="17" xfId="0" applyFont="1" applyBorder="1"/>
    <xf numFmtId="0" fontId="3" fillId="0" borderId="17" xfId="0" applyFont="1" applyBorder="1" applyAlignment="1">
      <alignment horizontal="right"/>
    </xf>
    <xf numFmtId="0" fontId="3" fillId="0" borderId="16" xfId="0" applyFont="1" applyBorder="1" applyAlignment="1">
      <alignment horizontal="right"/>
    </xf>
    <xf numFmtId="165" fontId="3" fillId="0" borderId="17" xfId="1" applyNumberFormat="1" applyFont="1" applyBorder="1"/>
    <xf numFmtId="165" fontId="9" fillId="0" borderId="17" xfId="1" applyNumberFormat="1" applyFont="1" applyBorder="1"/>
    <xf numFmtId="44" fontId="3" fillId="0" borderId="17" xfId="0" applyNumberFormat="1" applyFont="1" applyBorder="1"/>
    <xf numFmtId="0" fontId="7" fillId="0" borderId="17" xfId="0" applyFont="1" applyBorder="1"/>
    <xf numFmtId="44" fontId="3" fillId="0" borderId="17" xfId="0" applyNumberFormat="1" applyFont="1" applyBorder="1" applyAlignment="1">
      <alignment horizontal="center"/>
    </xf>
    <xf numFmtId="0" fontId="3" fillId="0" borderId="16" xfId="1" applyNumberFormat="1" applyFont="1" applyBorder="1" applyAlignment="1">
      <alignment horizontal="right"/>
    </xf>
    <xf numFmtId="0" fontId="3" fillId="0" borderId="18" xfId="0" applyFont="1" applyBorder="1"/>
    <xf numFmtId="165" fontId="3" fillId="0" borderId="19" xfId="1" applyNumberFormat="1" applyFont="1" applyBorder="1"/>
    <xf numFmtId="164" fontId="3" fillId="0" borderId="19" xfId="2" applyNumberFormat="1" applyFont="1" applyBorder="1"/>
    <xf numFmtId="0" fontId="3" fillId="0" borderId="19" xfId="0" applyFont="1" applyBorder="1"/>
    <xf numFmtId="164" fontId="3" fillId="0" borderId="20" xfId="2" applyNumberFormat="1" applyFont="1" applyBorder="1"/>
    <xf numFmtId="44" fontId="3" fillId="0" borderId="14" xfId="0" applyNumberFormat="1" applyFont="1" applyBorder="1"/>
    <xf numFmtId="0" fontId="3" fillId="0" borderId="15" xfId="0" applyFont="1" applyBorder="1"/>
    <xf numFmtId="0" fontId="3" fillId="0" borderId="20" xfId="0" applyFont="1" applyBorder="1"/>
    <xf numFmtId="0" fontId="3" fillId="0" borderId="14" xfId="0" applyFont="1" applyBorder="1"/>
    <xf numFmtId="43" fontId="3" fillId="0" borderId="15" xfId="1" applyFont="1" applyBorder="1"/>
    <xf numFmtId="43" fontId="3" fillId="0" borderId="17" xfId="1" applyFont="1" applyBorder="1"/>
    <xf numFmtId="43" fontId="3" fillId="0" borderId="20" xfId="1" applyFont="1" applyBorder="1"/>
    <xf numFmtId="43" fontId="3" fillId="0" borderId="14" xfId="1" applyFont="1" applyBorder="1"/>
    <xf numFmtId="172" fontId="3" fillId="0" borderId="15" xfId="1" applyNumberFormat="1" applyFont="1" applyBorder="1" applyAlignment="1">
      <alignment horizontal="center"/>
    </xf>
    <xf numFmtId="172" fontId="3" fillId="0" borderId="17" xfId="1" applyNumberFormat="1" applyFont="1" applyBorder="1"/>
    <xf numFmtId="43" fontId="3" fillId="0" borderId="19" xfId="1" applyFont="1" applyBorder="1"/>
    <xf numFmtId="172" fontId="3" fillId="0" borderId="20" xfId="1" applyNumberFormat="1" applyFont="1" applyBorder="1"/>
    <xf numFmtId="172" fontId="3" fillId="0" borderId="14" xfId="1" applyNumberFormat="1" applyFont="1" applyBorder="1" applyAlignment="1">
      <alignment horizontal="center"/>
    </xf>
    <xf numFmtId="165" fontId="9" fillId="0" borderId="15" xfId="0" applyNumberFormat="1" applyFont="1" applyBorder="1"/>
    <xf numFmtId="172" fontId="3" fillId="0" borderId="19" xfId="1" applyNumberFormat="1" applyFont="1" applyBorder="1"/>
    <xf numFmtId="165" fontId="9" fillId="0" borderId="14" xfId="0" applyNumberFormat="1" applyFont="1" applyBorder="1"/>
    <xf numFmtId="0" fontId="3" fillId="0" borderId="15" xfId="0" quotePrefix="1" applyFont="1" applyBorder="1"/>
    <xf numFmtId="44" fontId="3" fillId="0" borderId="19" xfId="5" applyNumberFormat="1" applyFont="1" applyBorder="1"/>
    <xf numFmtId="0" fontId="3" fillId="0" borderId="14" xfId="0" quotePrefix="1" applyFont="1" applyBorder="1"/>
    <xf numFmtId="0" fontId="3" fillId="0" borderId="18" xfId="0" applyFont="1" applyBorder="1" applyAlignment="1">
      <alignment horizontal="right"/>
    </xf>
    <xf numFmtId="165" fontId="3" fillId="0" borderId="19" xfId="5" applyNumberFormat="1" applyFont="1" applyBorder="1"/>
    <xf numFmtId="0" fontId="3" fillId="0" borderId="17" xfId="0" quotePrefix="1" applyFont="1" applyBorder="1"/>
    <xf numFmtId="3" fontId="3" fillId="0" borderId="19" xfId="1" applyNumberFormat="1" applyFont="1" applyBorder="1"/>
    <xf numFmtId="165" fontId="3" fillId="0" borderId="0" xfId="1" applyNumberFormat="1" applyFont="1" applyFill="1" applyAlignment="1">
      <alignment vertical="center"/>
    </xf>
    <xf numFmtId="165" fontId="9" fillId="0" borderId="0" xfId="1" applyNumberFormat="1" applyFont="1" applyAlignment="1">
      <alignment vertical="center"/>
    </xf>
    <xf numFmtId="164" fontId="3" fillId="0" borderId="17" xfId="5" applyNumberFormat="1" applyFont="1" applyBorder="1"/>
    <xf numFmtId="164" fontId="9" fillId="0" borderId="17" xfId="5" applyNumberFormat="1" applyFont="1" applyBorder="1"/>
    <xf numFmtId="164" fontId="9" fillId="0" borderId="0" xfId="5" applyNumberFormat="1" applyFont="1" applyBorder="1"/>
    <xf numFmtId="164" fontId="9" fillId="0" borderId="0" xfId="0" applyNumberFormat="1" applyFont="1"/>
    <xf numFmtId="164" fontId="3" fillId="0" borderId="0" xfId="3" applyNumberFormat="1" applyFont="1" applyBorder="1"/>
    <xf numFmtId="9" fontId="3" fillId="0" borderId="0" xfId="3" applyFont="1" applyBorder="1"/>
    <xf numFmtId="42" fontId="3" fillId="0" borderId="0" xfId="2" applyNumberFormat="1" applyFont="1"/>
    <xf numFmtId="164" fontId="3" fillId="0" borderId="0" xfId="2" applyNumberFormat="1" applyFont="1"/>
    <xf numFmtId="164" fontId="3" fillId="0" borderId="1" xfId="2" applyNumberFormat="1" applyFont="1" applyBorder="1"/>
    <xf numFmtId="0" fontId="3" fillId="0" borderId="1" xfId="0" applyFont="1" applyBorder="1"/>
    <xf numFmtId="42" fontId="3" fillId="0" borderId="1" xfId="2" applyNumberFormat="1" applyFont="1" applyBorder="1"/>
    <xf numFmtId="3" fontId="7" fillId="0" borderId="0" xfId="0" applyNumberFormat="1" applyFont="1" applyAlignment="1">
      <alignment vertical="center"/>
    </xf>
    <xf numFmtId="3" fontId="3" fillId="0" borderId="0" xfId="0" applyNumberFormat="1" applyFont="1" applyAlignment="1">
      <alignment vertical="center"/>
    </xf>
    <xf numFmtId="0" fontId="25" fillId="0" borderId="0" xfId="0" applyFont="1"/>
    <xf numFmtId="165" fontId="25" fillId="0" borderId="0" xfId="0" applyNumberFormat="1" applyFont="1"/>
    <xf numFmtId="165" fontId="3" fillId="0" borderId="0" xfId="1" applyNumberFormat="1" applyFont="1" applyFill="1"/>
    <xf numFmtId="165" fontId="3" fillId="0" borderId="0" xfId="1" applyNumberFormat="1" applyFont="1" applyFill="1" applyBorder="1"/>
    <xf numFmtId="165" fontId="9" fillId="0" borderId="0" xfId="1" applyNumberFormat="1" applyFont="1" applyFill="1" applyBorder="1"/>
    <xf numFmtId="0" fontId="3" fillId="0" borderId="0" xfId="0" applyFont="1" applyAlignment="1">
      <alignment horizontal="left" vertical="center"/>
    </xf>
    <xf numFmtId="0" fontId="3" fillId="0" borderId="0" xfId="1" applyNumberFormat="1" applyFont="1" applyAlignment="1">
      <alignment horizontal="left" vertical="center"/>
    </xf>
    <xf numFmtId="0" fontId="3" fillId="0" borderId="0" xfId="1" applyNumberFormat="1" applyFont="1" applyAlignment="1">
      <alignment vertical="center"/>
    </xf>
    <xf numFmtId="165" fontId="3" fillId="0" borderId="0" xfId="5" applyNumberFormat="1" applyFont="1" applyFill="1"/>
    <xf numFmtId="165" fontId="9" fillId="0" borderId="0" xfId="5" applyNumberFormat="1" applyFont="1" applyFill="1" applyBorder="1"/>
    <xf numFmtId="43" fontId="3" fillId="0" borderId="0" xfId="1" applyFont="1" applyFill="1"/>
    <xf numFmtId="0" fontId="6" fillId="0" borderId="0" xfId="1" applyNumberFormat="1" applyFont="1" applyBorder="1" applyAlignment="1">
      <alignment horizontal="left"/>
    </xf>
    <xf numFmtId="165" fontId="3" fillId="0" borderId="1" xfId="1" applyNumberFormat="1" applyFont="1" applyBorder="1" applyAlignment="1">
      <alignment horizontal="right"/>
    </xf>
    <xf numFmtId="165" fontId="3" fillId="2" borderId="0" xfId="1" applyNumberFormat="1" applyFont="1" applyFill="1" applyAlignment="1">
      <alignment vertical="center"/>
    </xf>
    <xf numFmtId="0" fontId="6" fillId="0" borderId="0" xfId="0" applyFont="1" applyAlignment="1">
      <alignment horizontal="center"/>
    </xf>
    <xf numFmtId="0" fontId="3" fillId="2" borderId="0" xfId="0" applyFont="1" applyFill="1"/>
    <xf numFmtId="165" fontId="17" fillId="0" borderId="0" xfId="1" applyNumberFormat="1" applyFont="1" applyFill="1"/>
    <xf numFmtId="165" fontId="18" fillId="0" borderId="0" xfId="1" applyNumberFormat="1" applyFont="1" applyFill="1" applyAlignment="1">
      <alignment vertical="center"/>
    </xf>
    <xf numFmtId="165" fontId="9" fillId="0" borderId="0" xfId="1" applyNumberFormat="1" applyFont="1" applyFill="1" applyBorder="1" applyAlignment="1">
      <alignment vertical="center"/>
    </xf>
    <xf numFmtId="165" fontId="9" fillId="0" borderId="0" xfId="1" applyNumberFormat="1" applyFont="1" applyFill="1" applyAlignment="1">
      <alignment vertical="center"/>
    </xf>
    <xf numFmtId="44" fontId="3" fillId="0" borderId="0" xfId="2" applyFont="1"/>
    <xf numFmtId="174" fontId="3" fillId="0" borderId="0" xfId="1" applyNumberFormat="1" applyFont="1" applyAlignment="1">
      <alignment horizontal="center" vertical="center"/>
    </xf>
    <xf numFmtId="0" fontId="0" fillId="0" borderId="0" xfId="0" applyAlignment="1">
      <alignment horizontal="center"/>
    </xf>
    <xf numFmtId="0" fontId="16" fillId="0" borderId="0" xfId="0" applyFont="1" applyAlignment="1">
      <alignment horizontal="center"/>
    </xf>
    <xf numFmtId="0" fontId="26" fillId="0" borderId="0" xfId="0" applyFont="1" applyAlignment="1">
      <alignment horizontal="center"/>
    </xf>
    <xf numFmtId="44" fontId="27" fillId="0" borderId="0" xfId="0" applyNumberFormat="1" applyFont="1" applyAlignment="1">
      <alignment horizontal="center"/>
    </xf>
    <xf numFmtId="7" fontId="0" fillId="0" borderId="0" xfId="0" applyNumberFormat="1" applyAlignment="1">
      <alignment horizontal="center"/>
    </xf>
    <xf numFmtId="44" fontId="0" fillId="0" borderId="0" xfId="0" applyNumberFormat="1" applyAlignment="1">
      <alignment horizontal="center"/>
    </xf>
    <xf numFmtId="0" fontId="27" fillId="0" borderId="0" xfId="0" applyFont="1" applyAlignment="1">
      <alignment horizontal="left"/>
    </xf>
    <xf numFmtId="43" fontId="3" fillId="0" borderId="0" xfId="1" applyFont="1" applyAlignment="1">
      <alignment horizontal="right"/>
    </xf>
    <xf numFmtId="44" fontId="3" fillId="0" borderId="0" xfId="2" applyFont="1" applyFill="1"/>
    <xf numFmtId="44" fontId="3" fillId="0" borderId="0" xfId="5" applyNumberFormat="1" applyFont="1" applyFill="1"/>
    <xf numFmtId="43" fontId="3" fillId="0" borderId="0" xfId="0" applyNumberFormat="1" applyFont="1"/>
    <xf numFmtId="43" fontId="3" fillId="0" borderId="0" xfId="5" applyFont="1" applyBorder="1"/>
    <xf numFmtId="3" fontId="3" fillId="2" borderId="0" xfId="0" applyNumberFormat="1" applyFont="1" applyFill="1"/>
    <xf numFmtId="165" fontId="3" fillId="0" borderId="0" xfId="5" applyNumberFormat="1" applyFont="1" applyFill="1" applyBorder="1"/>
    <xf numFmtId="14" fontId="3" fillId="0" borderId="0" xfId="0" applyNumberFormat="1" applyFont="1"/>
    <xf numFmtId="14" fontId="3" fillId="0" borderId="0" xfId="0" applyNumberFormat="1" applyFont="1" applyAlignment="1">
      <alignment horizontal="center"/>
    </xf>
    <xf numFmtId="165" fontId="3" fillId="3" borderId="0" xfId="5" applyNumberFormat="1" applyFont="1" applyFill="1" applyAlignment="1">
      <alignment vertical="center"/>
    </xf>
    <xf numFmtId="165" fontId="3" fillId="0" borderId="0" xfId="5" applyNumberFormat="1" applyFont="1" applyAlignment="1">
      <alignment vertical="center"/>
    </xf>
    <xf numFmtId="2" fontId="0" fillId="0" borderId="0" xfId="0" applyNumberFormat="1"/>
    <xf numFmtId="2" fontId="1" fillId="0" borderId="0" xfId="5" applyNumberFormat="1" applyFont="1"/>
    <xf numFmtId="2" fontId="1" fillId="0" borderId="1" xfId="5" applyNumberFormat="1" applyFont="1" applyBorder="1"/>
    <xf numFmtId="43" fontId="1" fillId="0" borderId="0" xfId="5" applyFont="1"/>
    <xf numFmtId="164" fontId="3" fillId="0" borderId="0" xfId="6" applyNumberFormat="1" applyFont="1" applyFill="1"/>
    <xf numFmtId="168" fontId="3" fillId="0" borderId="0" xfId="1" applyNumberFormat="1" applyFont="1" applyFill="1"/>
    <xf numFmtId="168" fontId="3" fillId="0" borderId="0" xfId="1" applyNumberFormat="1" applyFont="1" applyFill="1" applyBorder="1"/>
    <xf numFmtId="164" fontId="3" fillId="4" borderId="0" xfId="2" applyNumberFormat="1" applyFont="1" applyFill="1" applyBorder="1"/>
    <xf numFmtId="165" fontId="3" fillId="4" borderId="0" xfId="1" applyNumberFormat="1" applyFont="1" applyFill="1" applyBorder="1"/>
    <xf numFmtId="0" fontId="3" fillId="4" borderId="0" xfId="0" applyFont="1" applyFill="1"/>
    <xf numFmtId="165" fontId="3" fillId="0" borderId="0" xfId="1" applyNumberFormat="1" applyFont="1" applyFill="1" applyAlignment="1">
      <alignment horizontal="center" vertical="center"/>
    </xf>
    <xf numFmtId="165" fontId="12" fillId="0" borderId="0" xfId="1" applyNumberFormat="1" applyFont="1" applyFill="1" applyAlignment="1">
      <alignment vertical="center"/>
    </xf>
    <xf numFmtId="165" fontId="3" fillId="0" borderId="0" xfId="1" quotePrefix="1" applyNumberFormat="1" applyFont="1" applyFill="1" applyAlignment="1">
      <alignment horizontal="left" vertical="center"/>
    </xf>
    <xf numFmtId="165" fontId="3" fillId="0" borderId="0" xfId="1" applyNumberFormat="1" applyFont="1" applyFill="1" applyAlignment="1">
      <alignment horizontal="right" vertical="center"/>
    </xf>
    <xf numFmtId="0" fontId="0" fillId="0" borderId="0" xfId="0" applyAlignment="1">
      <alignment horizontal="center" vertical="center"/>
    </xf>
    <xf numFmtId="0" fontId="1" fillId="0" borderId="0" xfId="0" applyFont="1" applyAlignment="1">
      <alignment horizontal="center" wrapText="1"/>
    </xf>
    <xf numFmtId="0" fontId="1" fillId="0" borderId="0" xfId="0" applyFont="1" applyAlignment="1">
      <alignment horizontal="center" vertical="center"/>
    </xf>
    <xf numFmtId="0" fontId="9" fillId="0" borderId="0" xfId="0" applyFont="1" applyAlignment="1">
      <alignment horizontal="left"/>
    </xf>
    <xf numFmtId="37" fontId="9" fillId="0" borderId="0" xfId="0" applyNumberFormat="1" applyFont="1" applyAlignment="1">
      <alignment horizontal="right"/>
    </xf>
    <xf numFmtId="37" fontId="9" fillId="0" borderId="0" xfId="0" applyNumberFormat="1" applyFont="1" applyAlignment="1">
      <alignment horizontal="center"/>
    </xf>
    <xf numFmtId="44" fontId="9" fillId="0" borderId="0" xfId="0" applyNumberFormat="1" applyFont="1" applyAlignment="1">
      <alignment horizontal="center"/>
    </xf>
    <xf numFmtId="3" fontId="8" fillId="2" borderId="0" xfId="0" applyNumberFormat="1" applyFont="1" applyFill="1" applyAlignment="1">
      <alignment horizontal="center"/>
    </xf>
    <xf numFmtId="3" fontId="8" fillId="2" borderId="0" xfId="0" applyNumberFormat="1" applyFont="1" applyFill="1"/>
    <xf numFmtId="1" fontId="0" fillId="0" borderId="0" xfId="0" applyNumberFormat="1"/>
    <xf numFmtId="175" fontId="0" fillId="0" borderId="0" xfId="0" applyNumberFormat="1"/>
    <xf numFmtId="165" fontId="3" fillId="0" borderId="1" xfId="1" applyNumberFormat="1" applyFont="1" applyBorder="1" applyAlignment="1">
      <alignment horizontal="center"/>
    </xf>
    <xf numFmtId="37" fontId="3" fillId="0" borderId="1" xfId="0" applyNumberFormat="1" applyFont="1" applyBorder="1" applyAlignment="1">
      <alignment horizontal="center"/>
    </xf>
    <xf numFmtId="165" fontId="3" fillId="0" borderId="1" xfId="0" applyNumberFormat="1" applyFont="1" applyBorder="1" applyAlignment="1">
      <alignment horizontal="right"/>
    </xf>
    <xf numFmtId="44" fontId="3" fillId="0" borderId="1" xfId="0" applyNumberFormat="1" applyFont="1" applyBorder="1" applyAlignment="1">
      <alignment horizontal="center"/>
    </xf>
    <xf numFmtId="43" fontId="3" fillId="0" borderId="1" xfId="1" applyFont="1" applyBorder="1"/>
    <xf numFmtId="43" fontId="3" fillId="0" borderId="0" xfId="1" applyFont="1" applyFill="1" applyBorder="1"/>
    <xf numFmtId="43" fontId="3" fillId="0" borderId="19" xfId="1" applyFont="1" applyFill="1" applyBorder="1"/>
    <xf numFmtId="173" fontId="6" fillId="0" borderId="0" xfId="0" applyNumberFormat="1" applyFont="1"/>
    <xf numFmtId="4" fontId="3" fillId="0" borderId="0" xfId="0" applyNumberFormat="1" applyFont="1"/>
    <xf numFmtId="4" fontId="3" fillId="0" borderId="1" xfId="0" applyNumberFormat="1" applyFont="1" applyBorder="1"/>
    <xf numFmtId="2" fontId="3" fillId="0" borderId="0" xfId="0" applyNumberFormat="1" applyFont="1"/>
    <xf numFmtId="2" fontId="3" fillId="0" borderId="1" xfId="0" applyNumberFormat="1" applyFont="1" applyBorder="1"/>
    <xf numFmtId="2" fontId="6" fillId="0" borderId="1" xfId="0" applyNumberFormat="1" applyFont="1" applyBorder="1"/>
    <xf numFmtId="0" fontId="1" fillId="0" borderId="0" xfId="0" applyFont="1" applyAlignment="1">
      <alignment wrapText="1"/>
    </xf>
    <xf numFmtId="0" fontId="0" fillId="0" borderId="0" xfId="0" applyAlignment="1">
      <alignment wrapText="1"/>
    </xf>
    <xf numFmtId="9" fontId="3" fillId="0" borderId="0" xfId="0" applyNumberFormat="1" applyFont="1"/>
    <xf numFmtId="165" fontId="3" fillId="5" borderId="0" xfId="1" applyNumberFormat="1" applyFont="1" applyFill="1" applyBorder="1"/>
    <xf numFmtId="43" fontId="3" fillId="5" borderId="8" xfId="1" quotePrefix="1" applyFont="1" applyFill="1" applyBorder="1" applyAlignment="1">
      <alignment horizontal="center"/>
    </xf>
    <xf numFmtId="44" fontId="3" fillId="5" borderId="7" xfId="1" applyNumberFormat="1" applyFont="1" applyFill="1" applyBorder="1"/>
    <xf numFmtId="44" fontId="3" fillId="5" borderId="0" xfId="1" applyNumberFormat="1" applyFont="1" applyFill="1" applyBorder="1"/>
    <xf numFmtId="10" fontId="3" fillId="5" borderId="0" xfId="3" applyNumberFormat="1" applyFont="1" applyFill="1" applyBorder="1"/>
    <xf numFmtId="167" fontId="3" fillId="5" borderId="8" xfId="3" applyNumberFormat="1" applyFont="1" applyFill="1" applyBorder="1"/>
    <xf numFmtId="43" fontId="3" fillId="0" borderId="1" xfId="1" applyFont="1" applyFill="1" applyBorder="1"/>
    <xf numFmtId="164" fontId="3" fillId="0" borderId="1" xfId="4" applyNumberFormat="1" applyFont="1" applyBorder="1" applyAlignment="1">
      <alignment horizontal="left" indent="1"/>
    </xf>
    <xf numFmtId="0" fontId="16" fillId="0" borderId="1" xfId="0" applyFont="1" applyBorder="1" applyAlignment="1">
      <alignment horizontal="center"/>
    </xf>
    <xf numFmtId="165" fontId="3" fillId="0" borderId="1" xfId="5" applyNumberFormat="1" applyFont="1" applyFill="1" applyBorder="1"/>
    <xf numFmtId="0" fontId="8" fillId="0" borderId="0" xfId="0" applyFont="1" applyAlignment="1">
      <alignment horizontal="center"/>
    </xf>
    <xf numFmtId="164" fontId="3" fillId="0" borderId="0" xfId="6" applyNumberFormat="1" applyFont="1" applyFill="1" applyBorder="1"/>
    <xf numFmtId="165" fontId="3" fillId="0" borderId="0" xfId="1" applyNumberFormat="1" applyFont="1" applyFill="1" applyAlignment="1">
      <alignment horizontal="center"/>
    </xf>
    <xf numFmtId="165" fontId="21" fillId="0" borderId="0" xfId="1" applyNumberFormat="1" applyFont="1" applyFill="1" applyAlignment="1">
      <alignment vertical="center"/>
    </xf>
    <xf numFmtId="164" fontId="3" fillId="0" borderId="1" xfId="0" applyNumberFormat="1" applyFont="1" applyBorder="1"/>
    <xf numFmtId="10" fontId="3" fillId="0" borderId="0" xfId="3" applyNumberFormat="1" applyFont="1" applyFill="1" applyBorder="1"/>
    <xf numFmtId="0" fontId="27" fillId="2" borderId="0" xfId="0" applyFont="1" applyFill="1" applyAlignment="1">
      <alignment horizontal="left"/>
    </xf>
    <xf numFmtId="173" fontId="3" fillId="0" borderId="0" xfId="1" applyNumberFormat="1" applyFont="1" applyFill="1" applyBorder="1" applyAlignment="1"/>
    <xf numFmtId="43" fontId="3" fillId="0" borderId="0" xfId="1" applyFont="1" applyFill="1" applyBorder="1" applyAlignment="1"/>
    <xf numFmtId="0" fontId="1" fillId="0" borderId="21" xfId="0" applyFont="1" applyBorder="1" applyAlignment="1">
      <alignment wrapText="1"/>
    </xf>
    <xf numFmtId="0" fontId="1" fillId="0" borderId="0" xfId="0" applyFont="1"/>
    <xf numFmtId="165" fontId="3" fillId="0" borderId="0" xfId="1" applyNumberFormat="1" applyFont="1" applyFill="1" applyBorder="1" applyAlignment="1">
      <alignment horizontal="center" vertical="center"/>
    </xf>
    <xf numFmtId="44" fontId="3" fillId="0" borderId="7" xfId="2" applyFont="1" applyBorder="1"/>
    <xf numFmtId="0" fontId="29" fillId="0" borderId="0" xfId="0" applyFont="1"/>
    <xf numFmtId="43" fontId="3" fillId="0" borderId="8" xfId="1" quotePrefix="1" applyFont="1" applyFill="1" applyBorder="1" applyAlignment="1">
      <alignment horizontal="center"/>
    </xf>
    <xf numFmtId="44" fontId="3" fillId="0" borderId="0" xfId="1" applyNumberFormat="1" applyFont="1" applyFill="1" applyBorder="1"/>
    <xf numFmtId="165" fontId="7" fillId="0" borderId="0" xfId="1" applyNumberFormat="1" applyFont="1" applyFill="1" applyAlignment="1">
      <alignment vertical="center"/>
    </xf>
    <xf numFmtId="165" fontId="3" fillId="0" borderId="0" xfId="1" applyNumberFormat="1" applyFont="1" applyFill="1" applyAlignment="1"/>
    <xf numFmtId="164" fontId="3" fillId="0" borderId="0" xfId="2" applyNumberFormat="1" applyFont="1" applyFill="1"/>
    <xf numFmtId="165" fontId="9" fillId="0" borderId="0" xfId="1" applyNumberFormat="1" applyFont="1" applyFill="1"/>
    <xf numFmtId="10" fontId="3" fillId="0" borderId="0" xfId="3" applyNumberFormat="1" applyFont="1" applyFill="1"/>
    <xf numFmtId="9" fontId="3" fillId="0" borderId="0" xfId="3" applyFont="1" applyFill="1"/>
    <xf numFmtId="165" fontId="3" fillId="0" borderId="1" xfId="1" applyNumberFormat="1" applyFont="1" applyFill="1" applyBorder="1"/>
    <xf numFmtId="0" fontId="3" fillId="0" borderId="0" xfId="1" applyNumberFormat="1" applyFont="1" applyFill="1" applyBorder="1" applyAlignment="1">
      <alignment horizontal="left"/>
    </xf>
    <xf numFmtId="43" fontId="4" fillId="0" borderId="0" xfId="1" applyFont="1" applyFill="1" applyBorder="1" applyAlignment="1">
      <alignment horizontal="center"/>
    </xf>
    <xf numFmtId="0" fontId="3" fillId="0" borderId="0" xfId="1" applyNumberFormat="1" applyFont="1" applyFill="1" applyBorder="1" applyAlignment="1"/>
    <xf numFmtId="165" fontId="3" fillId="0" borderId="0" xfId="1" applyNumberFormat="1" applyFont="1" applyFill="1" applyBorder="1" applyAlignment="1"/>
    <xf numFmtId="10" fontId="3" fillId="0" borderId="0" xfId="3" applyNumberFormat="1" applyFont="1" applyFill="1" applyBorder="1" applyAlignment="1"/>
    <xf numFmtId="165" fontId="6" fillId="0" borderId="0" xfId="1" applyNumberFormat="1" applyFont="1" applyFill="1" applyBorder="1"/>
    <xf numFmtId="43" fontId="3" fillId="0" borderId="0" xfId="1" applyFont="1" applyFill="1" applyBorder="1" applyAlignment="1">
      <alignment vertical="center"/>
    </xf>
    <xf numFmtId="166" fontId="3" fillId="0" borderId="0" xfId="1" applyNumberFormat="1" applyFont="1" applyFill="1" applyBorder="1" applyAlignment="1">
      <alignment horizontal="right"/>
    </xf>
    <xf numFmtId="166" fontId="3" fillId="0" borderId="0" xfId="1" applyNumberFormat="1" applyFont="1" applyFill="1" applyBorder="1" applyAlignment="1"/>
    <xf numFmtId="10" fontId="3" fillId="0" borderId="0" xfId="3" applyNumberFormat="1" applyFont="1" applyFill="1" applyBorder="1" applyAlignment="1">
      <alignment vertical="center"/>
    </xf>
    <xf numFmtId="173" fontId="3" fillId="0" borderId="0" xfId="1" applyNumberFormat="1" applyFont="1" applyFill="1" applyBorder="1" applyAlignment="1">
      <alignment horizontal="right"/>
    </xf>
    <xf numFmtId="0" fontId="3" fillId="0" borderId="0" xfId="1" applyNumberFormat="1" applyFont="1" applyFill="1" applyBorder="1" applyAlignment="1">
      <alignment horizontal="right"/>
    </xf>
    <xf numFmtId="165" fontId="3" fillId="0" borderId="0" xfId="1" applyNumberFormat="1" applyFont="1" applyFill="1" applyBorder="1" applyAlignment="1">
      <alignment horizontal="center"/>
    </xf>
    <xf numFmtId="43" fontId="3" fillId="0" borderId="0" xfId="1" applyFont="1" applyFill="1" applyBorder="1" applyAlignment="1">
      <alignment horizontal="center"/>
    </xf>
    <xf numFmtId="166" fontId="3" fillId="0" borderId="0" xfId="1" applyNumberFormat="1" applyFont="1" applyFill="1" applyBorder="1" applyAlignment="1">
      <alignment horizontal="center"/>
    </xf>
    <xf numFmtId="0" fontId="3" fillId="0" borderId="0" xfId="1" applyNumberFormat="1" applyFont="1" applyFill="1" applyBorder="1" applyAlignment="1">
      <alignment horizontal="center"/>
    </xf>
    <xf numFmtId="0" fontId="6" fillId="0" borderId="0" xfId="1" applyNumberFormat="1" applyFont="1" applyFill="1" applyBorder="1" applyAlignment="1">
      <alignment horizontal="left"/>
    </xf>
    <xf numFmtId="166" fontId="6" fillId="0" borderId="0" xfId="1" applyNumberFormat="1" applyFont="1" applyBorder="1" applyAlignment="1">
      <alignment horizontal="center"/>
    </xf>
    <xf numFmtId="43" fontId="4" fillId="0" borderId="0" xfId="1" applyFont="1" applyBorder="1" applyAlignment="1">
      <alignment horizontal="center"/>
    </xf>
    <xf numFmtId="3" fontId="5" fillId="0" borderId="0" xfId="0" applyNumberFormat="1" applyFont="1" applyAlignment="1">
      <alignment horizontal="center"/>
    </xf>
    <xf numFmtId="3" fontId="11" fillId="0" borderId="0" xfId="0" applyNumberFormat="1" applyFont="1" applyAlignment="1">
      <alignment horizontal="center" vertical="center"/>
    </xf>
    <xf numFmtId="43" fontId="4" fillId="0" borderId="0" xfId="1" applyFont="1" applyFill="1" applyBorder="1" applyAlignment="1">
      <alignment horizontal="center"/>
    </xf>
    <xf numFmtId="166" fontId="6" fillId="0" borderId="0" xfId="1" applyNumberFormat="1" applyFont="1" applyFill="1" applyBorder="1" applyAlignment="1">
      <alignment horizontal="center"/>
    </xf>
    <xf numFmtId="165" fontId="4" fillId="0" borderId="0" xfId="1" applyNumberFormat="1" applyFont="1" applyAlignment="1">
      <alignment horizontal="center" vertical="center"/>
    </xf>
    <xf numFmtId="165" fontId="4" fillId="0" borderId="0" xfId="1" applyNumberFormat="1" applyFont="1" applyFill="1" applyAlignment="1">
      <alignment horizontal="center" vertical="center"/>
    </xf>
    <xf numFmtId="165" fontId="9" fillId="0" borderId="0" xfId="1" applyNumberFormat="1" applyFont="1" applyAlignment="1">
      <alignment horizontal="center"/>
    </xf>
    <xf numFmtId="0" fontId="0" fillId="0" borderId="0" xfId="0" applyAlignment="1">
      <alignment horizontal="center"/>
    </xf>
    <xf numFmtId="3" fontId="4" fillId="0" borderId="0" xfId="0" applyNumberFormat="1" applyFont="1" applyAlignment="1">
      <alignment horizontal="center"/>
    </xf>
    <xf numFmtId="165" fontId="10" fillId="0" borderId="7" xfId="5" applyNumberFormat="1" applyFont="1" applyBorder="1" applyAlignment="1">
      <alignment horizontal="center" vertical="center"/>
    </xf>
    <xf numFmtId="165" fontId="10" fillId="0" borderId="8" xfId="5" applyNumberFormat="1" applyFont="1" applyBorder="1" applyAlignment="1">
      <alignment horizontal="center" vertical="center"/>
    </xf>
    <xf numFmtId="165" fontId="28" fillId="0" borderId="1" xfId="1" applyNumberFormat="1" applyFont="1" applyBorder="1" applyAlignment="1">
      <alignment horizontal="center"/>
    </xf>
    <xf numFmtId="165" fontId="28" fillId="0" borderId="6" xfId="1" applyNumberFormat="1"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3" fontId="11" fillId="0" borderId="8" xfId="0" applyNumberFormat="1" applyFont="1" applyBorder="1" applyAlignment="1">
      <alignment horizontal="center" vertical="center"/>
    </xf>
    <xf numFmtId="165" fontId="4" fillId="0" borderId="0" xfId="1" applyNumberFormat="1" applyFont="1" applyBorder="1" applyAlignment="1">
      <alignment horizontal="center"/>
    </xf>
    <xf numFmtId="165" fontId="4" fillId="0" borderId="8" xfId="1" applyNumberFormat="1" applyFont="1" applyBorder="1" applyAlignment="1">
      <alignment horizontal="center"/>
    </xf>
    <xf numFmtId="0" fontId="7" fillId="0" borderId="14" xfId="0" applyFont="1" applyBorder="1" applyAlignment="1">
      <alignment horizontal="center"/>
    </xf>
    <xf numFmtId="37" fontId="3" fillId="0" borderId="0" xfId="0" applyNumberFormat="1" applyFont="1" applyAlignment="1">
      <alignment horizontal="center"/>
    </xf>
    <xf numFmtId="0" fontId="7" fillId="0" borderId="0" xfId="0" applyFont="1" applyAlignment="1">
      <alignment horizontal="center"/>
    </xf>
    <xf numFmtId="37" fontId="3" fillId="0" borderId="1" xfId="0" applyNumberFormat="1" applyFont="1" applyBorder="1" applyAlignment="1">
      <alignment horizontal="center"/>
    </xf>
    <xf numFmtId="0" fontId="20" fillId="0" borderId="0" xfId="0" applyFont="1" applyAlignment="1">
      <alignment horizontal="center"/>
    </xf>
    <xf numFmtId="3" fontId="4" fillId="0" borderId="0" xfId="0" applyNumberFormat="1" applyFont="1" applyAlignment="1">
      <alignment horizontal="center" vertical="center"/>
    </xf>
    <xf numFmtId="165" fontId="11" fillId="0" borderId="0" xfId="5" applyNumberFormat="1" applyFont="1" applyBorder="1" applyAlignment="1">
      <alignment horizontal="center" vertical="center"/>
    </xf>
    <xf numFmtId="165" fontId="11" fillId="0" borderId="0" xfId="1" applyNumberFormat="1" applyFont="1" applyAlignment="1">
      <alignment horizontal="center" vertical="center"/>
    </xf>
  </cellXfs>
  <cellStyles count="12">
    <cellStyle name="Comma" xfId="1" builtinId="3"/>
    <cellStyle name="Comma 2" xfId="5" xr:uid="{00000000-0005-0000-0000-000001000000}"/>
    <cellStyle name="Comma 3" xfId="9" xr:uid="{00000000-0005-0000-0000-000002000000}"/>
    <cellStyle name="Currency" xfId="2" builtinId="4"/>
    <cellStyle name="Currency 2" xfId="6" xr:uid="{00000000-0005-0000-0000-000004000000}"/>
    <cellStyle name="Currency 3" xfId="10" xr:uid="{00000000-0005-0000-0000-000005000000}"/>
    <cellStyle name="Hyperlink" xfId="11" builtinId="8"/>
    <cellStyle name="Normal" xfId="0" builtinId="0"/>
    <cellStyle name="Normal 2" xfId="4" xr:uid="{00000000-0005-0000-0000-000007000000}"/>
    <cellStyle name="Normal 3" xfId="8" xr:uid="{00000000-0005-0000-0000-000008000000}"/>
    <cellStyle name="Percent" xfId="3" builtinId="5"/>
    <cellStyle name="Percent 2" xfId="7" xr:uid="{00000000-0005-0000-0000-00000A000000}"/>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03B9-59C5-4DF9-BA7B-F1E3EC2BAAEC}">
  <sheetPr>
    <tabColor rgb="FF92D050"/>
  </sheetPr>
  <dimension ref="B2:G30"/>
  <sheetViews>
    <sheetView workbookViewId="0">
      <selection activeCell="B2" sqref="B2:C27"/>
    </sheetView>
  </sheetViews>
  <sheetFormatPr defaultColWidth="8.84375" defaultRowHeight="14.5" x14ac:dyDescent="0.35"/>
  <cols>
    <col min="1" max="1" width="4.921875" style="1" customWidth="1"/>
    <col min="2" max="2" width="5.3828125" style="205" customWidth="1"/>
    <col min="3" max="3" width="73.3046875" style="206" customWidth="1"/>
    <col min="4" max="4" width="8.84375" style="18"/>
    <col min="5" max="16384" width="8.84375" style="1"/>
  </cols>
  <sheetData>
    <row r="2" spans="2:7" ht="15.5" x14ac:dyDescent="0.35">
      <c r="B2" s="374"/>
      <c r="C2" s="375" t="s">
        <v>253</v>
      </c>
      <c r="G2" s="356"/>
    </row>
    <row r="3" spans="2:7" ht="15.5" x14ac:dyDescent="0.35">
      <c r="B3" s="374"/>
      <c r="C3" s="375"/>
      <c r="G3" s="356"/>
    </row>
    <row r="4" spans="2:7" ht="15.5" x14ac:dyDescent="0.35">
      <c r="B4" s="376" t="s">
        <v>192</v>
      </c>
      <c r="C4" s="398" t="s">
        <v>322</v>
      </c>
    </row>
    <row r="5" spans="2:7" ht="15.5" x14ac:dyDescent="0.35">
      <c r="B5" s="376"/>
      <c r="C5" s="398"/>
    </row>
    <row r="6" spans="2:7" ht="15.5" x14ac:dyDescent="0.35">
      <c r="B6" s="376" t="s">
        <v>193</v>
      </c>
      <c r="C6" s="398" t="s">
        <v>278</v>
      </c>
    </row>
    <row r="7" spans="2:7" ht="15.5" x14ac:dyDescent="0.35">
      <c r="B7" s="376"/>
      <c r="C7" s="398"/>
    </row>
    <row r="8" spans="2:7" ht="15.5" x14ac:dyDescent="0.35">
      <c r="B8" s="374" t="s">
        <v>194</v>
      </c>
      <c r="C8" s="398" t="s">
        <v>280</v>
      </c>
    </row>
    <row r="9" spans="2:7" ht="15.5" x14ac:dyDescent="0.35">
      <c r="B9" s="376"/>
      <c r="C9" s="398"/>
    </row>
    <row r="10" spans="2:7" ht="31" x14ac:dyDescent="0.35">
      <c r="B10" s="376" t="s">
        <v>195</v>
      </c>
      <c r="C10" s="398" t="s">
        <v>279</v>
      </c>
    </row>
    <row r="11" spans="2:7" ht="15.5" x14ac:dyDescent="0.35">
      <c r="B11" s="374"/>
      <c r="C11" s="399"/>
    </row>
    <row r="12" spans="2:7" ht="31" x14ac:dyDescent="0.35">
      <c r="B12" s="376" t="s">
        <v>196</v>
      </c>
      <c r="C12" s="398" t="s">
        <v>315</v>
      </c>
    </row>
    <row r="13" spans="2:7" ht="15.5" x14ac:dyDescent="0.35">
      <c r="B13" s="374"/>
      <c r="C13" s="399"/>
    </row>
    <row r="14" spans="2:7" ht="15.5" x14ac:dyDescent="0.35">
      <c r="B14" s="376" t="s">
        <v>197</v>
      </c>
      <c r="C14" s="398" t="s">
        <v>314</v>
      </c>
    </row>
    <row r="15" spans="2:7" ht="15.5" x14ac:dyDescent="0.35">
      <c r="B15" s="374"/>
      <c r="C15" s="399"/>
    </row>
    <row r="16" spans="2:7" ht="31" x14ac:dyDescent="0.35">
      <c r="B16" s="376" t="s">
        <v>198</v>
      </c>
      <c r="C16" s="398" t="s">
        <v>281</v>
      </c>
    </row>
    <row r="17" spans="2:3" ht="15.5" x14ac:dyDescent="0.35">
      <c r="B17" s="374"/>
      <c r="C17" s="399"/>
    </row>
    <row r="18" spans="2:3" ht="31" x14ac:dyDescent="0.35">
      <c r="B18" s="376" t="s">
        <v>199</v>
      </c>
      <c r="C18" s="420" t="s">
        <v>254</v>
      </c>
    </row>
    <row r="19" spans="2:3" ht="15.5" x14ac:dyDescent="0.35">
      <c r="B19" s="374"/>
      <c r="C19" s="399"/>
    </row>
    <row r="20" spans="2:3" ht="77.5" x14ac:dyDescent="0.35">
      <c r="B20" s="376" t="s">
        <v>200</v>
      </c>
      <c r="C20" s="398" t="s">
        <v>316</v>
      </c>
    </row>
    <row r="21" spans="2:3" ht="15.5" x14ac:dyDescent="0.35">
      <c r="B21" s="374"/>
      <c r="C21" s="399"/>
    </row>
    <row r="22" spans="2:3" ht="15.5" x14ac:dyDescent="0.35">
      <c r="B22" s="376" t="s">
        <v>201</v>
      </c>
      <c r="C22" s="421" t="s">
        <v>317</v>
      </c>
    </row>
    <row r="23" spans="2:3" ht="15.5" x14ac:dyDescent="0.35">
      <c r="B23" s="374"/>
      <c r="C23" s="399"/>
    </row>
    <row r="24" spans="2:3" ht="31" x14ac:dyDescent="0.35">
      <c r="B24" s="376" t="s">
        <v>202</v>
      </c>
      <c r="C24" s="398" t="s">
        <v>331</v>
      </c>
    </row>
    <row r="25" spans="2:3" ht="15.5" x14ac:dyDescent="0.35">
      <c r="B25" s="374"/>
      <c r="C25" s="399"/>
    </row>
    <row r="26" spans="2:3" ht="31" x14ac:dyDescent="0.35">
      <c r="B26" s="376" t="s">
        <v>203</v>
      </c>
      <c r="C26" s="398" t="s">
        <v>332</v>
      </c>
    </row>
    <row r="27" spans="2:3" ht="15.5" x14ac:dyDescent="0.35">
      <c r="B27" s="374"/>
      <c r="C27" s="399"/>
    </row>
    <row r="28" spans="2:3" ht="15.5" x14ac:dyDescent="0.35">
      <c r="B28" s="376"/>
      <c r="C28" s="398"/>
    </row>
    <row r="30" spans="2:3" ht="15.5" x14ac:dyDescent="0.35">
      <c r="C30" s="39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Q59"/>
  <sheetViews>
    <sheetView showGridLines="0" topLeftCell="A6" workbookViewId="0">
      <selection activeCell="O16" sqref="O16"/>
    </sheetView>
  </sheetViews>
  <sheetFormatPr defaultColWidth="8.84375" defaultRowHeight="14.5" x14ac:dyDescent="0.35"/>
  <cols>
    <col min="1" max="1" width="3.61328125" style="5" customWidth="1"/>
    <col min="2" max="2" width="1.765625" style="5" customWidth="1"/>
    <col min="3" max="4" width="9.765625" style="5" customWidth="1"/>
    <col min="5" max="7" width="9.765625" style="109" customWidth="1"/>
    <col min="8" max="8" width="9.765625" style="5" customWidth="1"/>
    <col min="9" max="9" width="1.765625" style="5" customWidth="1"/>
    <col min="10" max="10" width="3.61328125" style="5" customWidth="1"/>
    <col min="11" max="16384" width="8.84375" style="5"/>
  </cols>
  <sheetData>
    <row r="1" spans="2:17" customFormat="1" ht="15.5" x14ac:dyDescent="0.35"/>
    <row r="2" spans="2:17" x14ac:dyDescent="0.35">
      <c r="B2" s="6"/>
      <c r="C2" s="7"/>
      <c r="D2" s="7"/>
      <c r="E2" s="103"/>
      <c r="F2" s="103"/>
      <c r="G2" s="103"/>
      <c r="H2" s="7"/>
      <c r="I2" s="8"/>
    </row>
    <row r="3" spans="2:17" ht="18.5" x14ac:dyDescent="0.45">
      <c r="B3" s="9"/>
      <c r="C3" s="469" t="s">
        <v>168</v>
      </c>
      <c r="D3" s="469"/>
      <c r="E3" s="469"/>
      <c r="F3" s="469"/>
      <c r="G3" s="469"/>
      <c r="H3" s="469"/>
      <c r="I3" s="470"/>
    </row>
    <row r="4" spans="2:17" ht="18.5" x14ac:dyDescent="0.45">
      <c r="B4" s="9"/>
      <c r="C4" s="466" t="s">
        <v>67</v>
      </c>
      <c r="D4" s="466"/>
      <c r="E4" s="466"/>
      <c r="F4" s="466"/>
      <c r="G4" s="466"/>
      <c r="H4" s="466"/>
      <c r="I4" s="467"/>
    </row>
    <row r="5" spans="2:17" ht="15.5" x14ac:dyDescent="0.35">
      <c r="B5" s="9"/>
      <c r="C5" s="454" t="str">
        <f>SAO!A2</f>
        <v>EAST CLARK COUNTY WATER DISTRICT</v>
      </c>
      <c r="D5" s="454"/>
      <c r="E5" s="454"/>
      <c r="F5" s="454"/>
      <c r="G5" s="454"/>
      <c r="H5" s="454"/>
      <c r="I5" s="468"/>
    </row>
    <row r="6" spans="2:17" x14ac:dyDescent="0.35">
      <c r="B6" s="11"/>
      <c r="C6" s="464"/>
      <c r="D6" s="464"/>
      <c r="E6" s="464"/>
      <c r="F6" s="464"/>
      <c r="G6" s="464"/>
      <c r="H6" s="464"/>
      <c r="I6" s="465"/>
    </row>
    <row r="7" spans="2:17" ht="6" customHeight="1" x14ac:dyDescent="0.35">
      <c r="B7" s="9"/>
      <c r="C7" s="4"/>
      <c r="D7" s="10"/>
      <c r="E7" s="105"/>
      <c r="F7" s="110"/>
      <c r="G7" s="110"/>
      <c r="H7" s="30"/>
      <c r="I7" s="31"/>
      <c r="J7" s="29"/>
      <c r="K7" s="29"/>
    </row>
    <row r="8" spans="2:17" ht="16" x14ac:dyDescent="0.5">
      <c r="B8" s="9"/>
      <c r="C8" s="14" t="s">
        <v>12</v>
      </c>
      <c r="D8" s="28" t="s">
        <v>62</v>
      </c>
      <c r="E8" s="106" t="s">
        <v>21</v>
      </c>
      <c r="F8" s="111" t="s">
        <v>10</v>
      </c>
      <c r="G8" s="111"/>
      <c r="H8" s="14"/>
      <c r="I8" s="28"/>
      <c r="L8" s="28" t="s">
        <v>62</v>
      </c>
      <c r="M8" s="14" t="s">
        <v>12</v>
      </c>
      <c r="N8" s="106" t="s">
        <v>21</v>
      </c>
      <c r="O8" s="111" t="s">
        <v>10</v>
      </c>
      <c r="P8" s="111"/>
      <c r="Q8" s="14"/>
    </row>
    <row r="9" spans="2:17" ht="16" x14ac:dyDescent="0.5">
      <c r="B9" s="9"/>
      <c r="C9" s="14" t="s">
        <v>78</v>
      </c>
      <c r="D9" s="28" t="s">
        <v>66</v>
      </c>
      <c r="E9" s="106" t="s">
        <v>64</v>
      </c>
      <c r="F9" s="111" t="s">
        <v>64</v>
      </c>
      <c r="G9" s="111" t="s">
        <v>22</v>
      </c>
      <c r="H9" s="14" t="s">
        <v>65</v>
      </c>
      <c r="I9" s="28"/>
      <c r="L9" s="28" t="s">
        <v>66</v>
      </c>
      <c r="M9" s="14" t="s">
        <v>328</v>
      </c>
      <c r="N9" s="106" t="s">
        <v>64</v>
      </c>
      <c r="O9" s="111" t="s">
        <v>64</v>
      </c>
      <c r="P9" s="111" t="s">
        <v>22</v>
      </c>
      <c r="Q9" s="14" t="s">
        <v>65</v>
      </c>
    </row>
    <row r="10" spans="2:17" x14ac:dyDescent="0.35">
      <c r="B10" s="9"/>
      <c r="C10" s="15">
        <v>0</v>
      </c>
      <c r="D10" s="32" t="s">
        <v>181</v>
      </c>
      <c r="E10" s="107">
        <f>Rates!F9</f>
        <v>28.08</v>
      </c>
      <c r="F10" s="107">
        <f>Rates!H9</f>
        <v>33.590000000000003</v>
      </c>
      <c r="G10" s="113">
        <f>F10-E10</f>
        <v>5.5100000000000051</v>
      </c>
      <c r="H10" s="63">
        <f>G10/E10</f>
        <v>0.19622507122507141</v>
      </c>
      <c r="I10" s="34"/>
      <c r="L10" s="32" t="s">
        <v>181</v>
      </c>
      <c r="M10" s="5">
        <f>C12</f>
        <v>4000</v>
      </c>
      <c r="N10" s="350">
        <f>E12</f>
        <v>51.36</v>
      </c>
      <c r="O10" s="350">
        <f>F12</f>
        <v>61.430000000000007</v>
      </c>
      <c r="P10" s="426">
        <f t="shared" ref="P10:P15" si="0">O10-N10</f>
        <v>10.070000000000007</v>
      </c>
      <c r="Q10" s="416">
        <f t="shared" ref="Q10:Q15" si="1">P10/N10</f>
        <v>0.19606697819314656</v>
      </c>
    </row>
    <row r="11" spans="2:17" x14ac:dyDescent="0.35">
      <c r="B11" s="9"/>
      <c r="C11" s="4">
        <v>2000</v>
      </c>
      <c r="D11" s="32" t="s">
        <v>181</v>
      </c>
      <c r="E11" s="107">
        <f>Rates!F9</f>
        <v>28.08</v>
      </c>
      <c r="F11" s="107">
        <f>Rates!H9</f>
        <v>33.590000000000003</v>
      </c>
      <c r="G11" s="112">
        <f t="shared" ref="G11:G18" si="2">F11-E11</f>
        <v>5.5100000000000051</v>
      </c>
      <c r="H11" s="63">
        <f t="shared" ref="H11:H18" si="3">G11/E11</f>
        <v>0.19622507122507141</v>
      </c>
      <c r="I11" s="34"/>
      <c r="L11" s="32" t="s">
        <v>23</v>
      </c>
      <c r="M11" s="5">
        <v>15000</v>
      </c>
      <c r="N11" s="340">
        <f>E16</f>
        <v>172.82999999999998</v>
      </c>
      <c r="O11" s="340">
        <f>F16</f>
        <v>206.74</v>
      </c>
      <c r="P11" s="426">
        <f t="shared" si="0"/>
        <v>33.910000000000025</v>
      </c>
      <c r="Q11" s="416">
        <f t="shared" si="1"/>
        <v>0.19620436266851837</v>
      </c>
    </row>
    <row r="12" spans="2:17" x14ac:dyDescent="0.35">
      <c r="B12" s="9"/>
      <c r="C12" s="401">
        <v>4000</v>
      </c>
      <c r="D12" s="402" t="s">
        <v>181</v>
      </c>
      <c r="E12" s="403">
        <f>Rates!F9+2000*Rates!F10</f>
        <v>51.36</v>
      </c>
      <c r="F12" s="403">
        <f>Rates!H9+2000*Rates!H10</f>
        <v>61.430000000000007</v>
      </c>
      <c r="G12" s="404">
        <f t="shared" ref="G12:G17" si="4">F12-E12</f>
        <v>10.070000000000007</v>
      </c>
      <c r="H12" s="405">
        <f t="shared" ref="H12:H17" si="5">G12/E12</f>
        <v>0.19606697819314656</v>
      </c>
      <c r="I12" s="406"/>
      <c r="L12" s="33" t="s">
        <v>225</v>
      </c>
      <c r="M12" s="5">
        <v>30000</v>
      </c>
      <c r="N12" s="340">
        <f>E19</f>
        <v>327.76</v>
      </c>
      <c r="O12" s="340">
        <f>F19</f>
        <v>392.14</v>
      </c>
      <c r="P12" s="426">
        <f t="shared" si="0"/>
        <v>64.38</v>
      </c>
      <c r="Q12" s="416">
        <f t="shared" si="1"/>
        <v>0.19642421283866243</v>
      </c>
    </row>
    <row r="13" spans="2:17" x14ac:dyDescent="0.35">
      <c r="B13" s="9"/>
      <c r="C13" s="4">
        <v>6000</v>
      </c>
      <c r="D13" s="425" t="s">
        <v>181</v>
      </c>
      <c r="E13" s="107">
        <f>Rates!F9+(4000*Rates!F10)</f>
        <v>74.639999999999986</v>
      </c>
      <c r="F13" s="107">
        <f>Rates!H9+(4000*Rates!H10)</f>
        <v>89.27000000000001</v>
      </c>
      <c r="G13" s="112">
        <f t="shared" si="4"/>
        <v>14.630000000000024</v>
      </c>
      <c r="H13" s="63">
        <f t="shared" si="5"/>
        <v>0.19600750267952877</v>
      </c>
      <c r="I13" s="34"/>
      <c r="L13" s="33" t="s">
        <v>24</v>
      </c>
      <c r="M13" s="5">
        <v>20000</v>
      </c>
      <c r="N13" s="340">
        <f>Rates!F26</f>
        <v>224.5</v>
      </c>
      <c r="O13" s="340">
        <f>Rates!H26</f>
        <v>268.57</v>
      </c>
      <c r="P13" s="426">
        <f t="shared" si="0"/>
        <v>44.069999999999993</v>
      </c>
      <c r="Q13" s="416">
        <f t="shared" si="1"/>
        <v>0.19630289532293985</v>
      </c>
    </row>
    <row r="14" spans="2:17" x14ac:dyDescent="0.35">
      <c r="B14" s="9"/>
      <c r="C14" s="4">
        <v>8000</v>
      </c>
      <c r="D14" s="425" t="s">
        <v>181</v>
      </c>
      <c r="E14" s="107">
        <f>Rates!F9+(6000*Rates!F10)</f>
        <v>97.919999999999987</v>
      </c>
      <c r="F14" s="107">
        <f>Rates!H9+(6000*Rates!H10)</f>
        <v>117.11</v>
      </c>
      <c r="G14" s="112">
        <f t="shared" si="4"/>
        <v>19.190000000000012</v>
      </c>
      <c r="H14" s="63">
        <f t="shared" si="5"/>
        <v>0.19597630718954262</v>
      </c>
      <c r="I14" s="34"/>
      <c r="L14" s="33" t="s">
        <v>182</v>
      </c>
      <c r="M14" s="5">
        <v>30000</v>
      </c>
      <c r="N14" s="340">
        <f>Rates!F31</f>
        <v>327.83</v>
      </c>
      <c r="O14" s="340">
        <f>Rates!H31</f>
        <v>392.18</v>
      </c>
      <c r="P14" s="426">
        <f t="shared" si="0"/>
        <v>64.350000000000023</v>
      </c>
      <c r="Q14" s="416">
        <f t="shared" si="1"/>
        <v>0.19629076045511401</v>
      </c>
    </row>
    <row r="15" spans="2:17" x14ac:dyDescent="0.35">
      <c r="B15" s="9"/>
      <c r="C15" s="4">
        <v>10000</v>
      </c>
      <c r="D15" s="425" t="s">
        <v>181</v>
      </c>
      <c r="E15" s="107">
        <f>Rates!F9+(8000*Rates!F10)</f>
        <v>121.19999999999999</v>
      </c>
      <c r="F15" s="107">
        <f>Rates!H9+(8000*Rates!H10)</f>
        <v>144.94999999999999</v>
      </c>
      <c r="G15" s="112">
        <f t="shared" si="4"/>
        <v>23.75</v>
      </c>
      <c r="H15" s="63">
        <f t="shared" si="5"/>
        <v>0.19595709570957098</v>
      </c>
      <c r="I15" s="34"/>
      <c r="L15" s="33" t="s">
        <v>183</v>
      </c>
      <c r="M15" s="5">
        <v>50000</v>
      </c>
      <c r="N15" s="340">
        <f>Rates!F36</f>
        <v>534.5</v>
      </c>
      <c r="O15" s="340">
        <f>Rates!H36</f>
        <v>639.41999999999996</v>
      </c>
      <c r="P15" s="426">
        <f t="shared" si="0"/>
        <v>104.91999999999996</v>
      </c>
      <c r="Q15" s="416">
        <f t="shared" si="1"/>
        <v>0.19629560336763321</v>
      </c>
    </row>
    <row r="16" spans="2:17" x14ac:dyDescent="0.35">
      <c r="B16" s="9"/>
      <c r="C16" s="4">
        <v>15000</v>
      </c>
      <c r="D16" s="32" t="s">
        <v>23</v>
      </c>
      <c r="E16" s="107">
        <f>Rates!F15+(5000*Rates!F16)+(5000*Rates!F17)</f>
        <v>172.82999999999998</v>
      </c>
      <c r="F16" s="107">
        <f>Rates!H15+(5000*Rates!H16)+(5000*Rates!H17)</f>
        <v>206.74</v>
      </c>
      <c r="G16" s="112">
        <f t="shared" si="4"/>
        <v>33.910000000000025</v>
      </c>
      <c r="H16" s="63">
        <f t="shared" si="5"/>
        <v>0.19620436266851837</v>
      </c>
      <c r="I16" s="34"/>
    </row>
    <row r="17" spans="2:15" x14ac:dyDescent="0.35">
      <c r="B17" s="9"/>
      <c r="C17" s="4">
        <v>20000</v>
      </c>
      <c r="D17" s="32" t="s">
        <v>23</v>
      </c>
      <c r="E17" s="107">
        <f>Rates!F15+(5000*Rates!F16)+(10000*Rates!F17)</f>
        <v>224.48000000000002</v>
      </c>
      <c r="F17" s="107">
        <f>Rates!H15+(5000*Rates!H16)+(10000*Rates!H17)</f>
        <v>268.53999999999996</v>
      </c>
      <c r="G17" s="112">
        <f t="shared" si="4"/>
        <v>44.059999999999945</v>
      </c>
      <c r="H17" s="63">
        <f t="shared" si="5"/>
        <v>0.19627583749109026</v>
      </c>
      <c r="I17" s="34"/>
    </row>
    <row r="18" spans="2:15" x14ac:dyDescent="0.35">
      <c r="B18" s="9"/>
      <c r="C18" s="4">
        <v>25000</v>
      </c>
      <c r="D18" s="33" t="s">
        <v>23</v>
      </c>
      <c r="E18" s="107">
        <f>Rates!F15+(5000*Rates!F16)+(15000*Rates!F17)</f>
        <v>276.13</v>
      </c>
      <c r="F18" s="107">
        <f>Rates!H15+(5000*Rates!H16)+(15000*Rates!H17)</f>
        <v>330.34000000000003</v>
      </c>
      <c r="G18" s="112">
        <f t="shared" si="2"/>
        <v>54.210000000000036</v>
      </c>
      <c r="H18" s="63">
        <f t="shared" si="3"/>
        <v>0.19632057364284952</v>
      </c>
      <c r="I18" s="34"/>
    </row>
    <row r="19" spans="2:15" x14ac:dyDescent="0.35">
      <c r="B19" s="9"/>
      <c r="C19" s="4">
        <v>30000</v>
      </c>
      <c r="D19" s="33" t="s">
        <v>225</v>
      </c>
      <c r="E19" s="107">
        <f>Rates!F21+(20000*Rates!F22)</f>
        <v>327.76</v>
      </c>
      <c r="F19" s="107">
        <f>Rates!H21+(20000*Rates!H22)</f>
        <v>392.14</v>
      </c>
      <c r="G19" s="112">
        <f t="shared" ref="G19:G22" si="6">F19-E19</f>
        <v>64.38</v>
      </c>
      <c r="H19" s="63">
        <f t="shared" ref="H19:H22" si="7">G19/E19</f>
        <v>0.19642421283866243</v>
      </c>
      <c r="I19" s="34"/>
      <c r="O19" s="4"/>
    </row>
    <row r="20" spans="2:15" x14ac:dyDescent="0.35">
      <c r="B20" s="9"/>
      <c r="C20" s="4">
        <v>40000</v>
      </c>
      <c r="D20" s="33" t="s">
        <v>225</v>
      </c>
      <c r="E20" s="107">
        <f>Rates!F21+(30000*Rates!F22)</f>
        <v>431.06000000000006</v>
      </c>
      <c r="F20" s="107">
        <f>Rates!H21+(30000*Rates!H22)</f>
        <v>515.74</v>
      </c>
      <c r="G20" s="112">
        <f t="shared" si="6"/>
        <v>84.67999999999995</v>
      </c>
      <c r="H20" s="63">
        <f t="shared" si="7"/>
        <v>0.19644597039855227</v>
      </c>
      <c r="I20" s="34"/>
    </row>
    <row r="21" spans="2:15" x14ac:dyDescent="0.35">
      <c r="B21" s="9"/>
      <c r="C21" s="4">
        <v>50000</v>
      </c>
      <c r="D21" s="33" t="s">
        <v>24</v>
      </c>
      <c r="E21" s="107">
        <f>Rates!F26+(30000*Rates!F27)</f>
        <v>534.40000000000009</v>
      </c>
      <c r="F21" s="107">
        <f>Rates!H26+(30000*Rates!H27)</f>
        <v>639.37</v>
      </c>
      <c r="G21" s="112">
        <f t="shared" si="6"/>
        <v>104.96999999999991</v>
      </c>
      <c r="H21" s="63">
        <f>G21/E21</f>
        <v>0.19642589820359263</v>
      </c>
      <c r="I21" s="34"/>
    </row>
    <row r="22" spans="2:15" x14ac:dyDescent="0.35">
      <c r="B22" s="9"/>
      <c r="C22" s="4">
        <v>75000</v>
      </c>
      <c r="D22" s="33" t="s">
        <v>24</v>
      </c>
      <c r="E22" s="107">
        <f>Rates!F26+(30000*Rates!F27+(25000*Rates!F28))</f>
        <v>760.15000000000009</v>
      </c>
      <c r="F22" s="107">
        <f>Rates!H26+(30000*Rates!H27+(25000*Rates!H28))</f>
        <v>909.36999999999989</v>
      </c>
      <c r="G22" s="112">
        <f t="shared" si="6"/>
        <v>149.2199999999998</v>
      </c>
      <c r="H22" s="63">
        <f t="shared" si="7"/>
        <v>0.19630336117871444</v>
      </c>
      <c r="I22" s="34"/>
    </row>
    <row r="23" spans="2:15" x14ac:dyDescent="0.35">
      <c r="B23" s="9"/>
      <c r="C23" s="4">
        <v>100000</v>
      </c>
      <c r="D23" s="33" t="s">
        <v>182</v>
      </c>
      <c r="E23" s="107">
        <f>Rates!F31+(20000*Rates!F32)+(50000*Rates!F28)</f>
        <v>985.93000000000006</v>
      </c>
      <c r="F23" s="107">
        <f>Rates!H31+(20000*Rates!H32)+(50000*Rates!H28)</f>
        <v>1179.3800000000001</v>
      </c>
      <c r="G23" s="112">
        <f t="shared" ref="G23:G24" si="8">F23-E23</f>
        <v>193.45000000000005</v>
      </c>
      <c r="H23" s="63">
        <f t="shared" ref="H23:H24" si="9">G23/E23</f>
        <v>0.19621068432850206</v>
      </c>
      <c r="I23" s="34"/>
    </row>
    <row r="24" spans="2:15" x14ac:dyDescent="0.35">
      <c r="B24" s="9"/>
      <c r="C24" s="4">
        <v>200000</v>
      </c>
      <c r="D24" s="33" t="s">
        <v>183</v>
      </c>
      <c r="E24" s="107">
        <f>Rates!F36+(150000*Rates!F37)</f>
        <v>1889</v>
      </c>
      <c r="F24" s="107">
        <f>Rates!H36+(150000*Rates!H37)</f>
        <v>2259.42</v>
      </c>
      <c r="G24" s="112">
        <f t="shared" si="8"/>
        <v>370.42000000000007</v>
      </c>
      <c r="H24" s="63">
        <f t="shared" si="9"/>
        <v>0.19609317098994181</v>
      </c>
      <c r="I24" s="34"/>
    </row>
    <row r="25" spans="2:15" x14ac:dyDescent="0.35">
      <c r="B25" s="9"/>
      <c r="C25" s="4"/>
      <c r="D25" s="33"/>
      <c r="E25" s="107"/>
      <c r="F25" s="107"/>
      <c r="G25" s="112"/>
      <c r="H25" s="63"/>
      <c r="I25" s="34"/>
    </row>
    <row r="26" spans="2:15" ht="6" customHeight="1" x14ac:dyDescent="0.35">
      <c r="B26" s="11"/>
      <c r="C26" s="3"/>
      <c r="D26" s="2"/>
      <c r="E26" s="108"/>
      <c r="F26" s="104"/>
      <c r="G26" s="104"/>
      <c r="H26" s="3"/>
      <c r="I26" s="12"/>
    </row>
    <row r="28" spans="2:15" x14ac:dyDescent="0.35">
      <c r="D28" s="43" t="s">
        <v>79</v>
      </c>
    </row>
    <row r="29" spans="2:15" hidden="1" x14ac:dyDescent="0.35"/>
    <row r="30" spans="2:15" hidden="1" x14ac:dyDescent="0.35"/>
    <row r="31" spans="2:15" hidden="1" x14ac:dyDescent="0.35"/>
    <row r="33" spans="2:17" x14ac:dyDescent="0.35">
      <c r="B33" s="6"/>
      <c r="C33" s="7"/>
      <c r="D33" s="7"/>
      <c r="E33" s="103"/>
      <c r="F33" s="103"/>
      <c r="G33" s="103"/>
      <c r="H33" s="7"/>
      <c r="I33" s="8"/>
    </row>
    <row r="34" spans="2:17" ht="18.5" x14ac:dyDescent="0.45">
      <c r="B34" s="9"/>
      <c r="C34" s="469" t="s">
        <v>168</v>
      </c>
      <c r="D34" s="469"/>
      <c r="E34" s="469"/>
      <c r="F34" s="469"/>
      <c r="G34" s="469"/>
      <c r="H34" s="469"/>
      <c r="I34" s="470"/>
    </row>
    <row r="35" spans="2:17" ht="18.5" x14ac:dyDescent="0.45">
      <c r="B35" s="9"/>
      <c r="C35" s="466" t="s">
        <v>67</v>
      </c>
      <c r="D35" s="466"/>
      <c r="E35" s="466"/>
      <c r="F35" s="466"/>
      <c r="G35" s="466"/>
      <c r="H35" s="466"/>
      <c r="I35" s="467"/>
    </row>
    <row r="36" spans="2:17" ht="15.5" x14ac:dyDescent="0.35">
      <c r="B36" s="9"/>
      <c r="C36" s="454" t="str">
        <f>C5</f>
        <v>EAST CLARK COUNTY WATER DISTRICT</v>
      </c>
      <c r="D36" s="454"/>
      <c r="E36" s="454"/>
      <c r="F36" s="454"/>
      <c r="G36" s="454"/>
      <c r="H36" s="454"/>
      <c r="I36" s="468"/>
    </row>
    <row r="37" spans="2:17" x14ac:dyDescent="0.35">
      <c r="B37" s="11"/>
      <c r="C37" s="464" t="s">
        <v>325</v>
      </c>
      <c r="D37" s="464"/>
      <c r="E37" s="464"/>
      <c r="F37" s="464"/>
      <c r="G37" s="464"/>
      <c r="H37" s="464"/>
      <c r="I37" s="465"/>
    </row>
    <row r="38" spans="2:17" ht="15.5" x14ac:dyDescent="0.35">
      <c r="B38" s="9"/>
      <c r="C38" s="4"/>
      <c r="D38" s="10"/>
      <c r="E38" s="105"/>
      <c r="F38" s="110"/>
      <c r="G38" s="110"/>
      <c r="H38" s="30"/>
      <c r="I38" s="31"/>
    </row>
    <row r="39" spans="2:17" ht="16" x14ac:dyDescent="0.5">
      <c r="B39" s="9"/>
      <c r="C39" s="14" t="s">
        <v>12</v>
      </c>
      <c r="D39" s="28" t="s">
        <v>62</v>
      </c>
      <c r="E39" s="106" t="s">
        <v>21</v>
      </c>
      <c r="F39" s="111" t="s">
        <v>10</v>
      </c>
      <c r="G39" s="111"/>
      <c r="H39" s="14"/>
      <c r="I39" s="28"/>
      <c r="L39" s="28" t="s">
        <v>62</v>
      </c>
      <c r="M39" s="14" t="s">
        <v>12</v>
      </c>
      <c r="N39" s="106" t="s">
        <v>21</v>
      </c>
      <c r="O39" s="111" t="s">
        <v>10</v>
      </c>
      <c r="P39" s="111"/>
      <c r="Q39" s="14"/>
    </row>
    <row r="40" spans="2:17" ht="16" x14ac:dyDescent="0.5">
      <c r="B40" s="9"/>
      <c r="C40" s="14" t="s">
        <v>78</v>
      </c>
      <c r="D40" s="28" t="s">
        <v>66</v>
      </c>
      <c r="E40" s="106" t="s">
        <v>64</v>
      </c>
      <c r="F40" s="111" t="s">
        <v>64</v>
      </c>
      <c r="G40" s="111" t="s">
        <v>22</v>
      </c>
      <c r="H40" s="14" t="s">
        <v>65</v>
      </c>
      <c r="I40" s="28"/>
      <c r="K40" s="220"/>
      <c r="L40" s="28" t="s">
        <v>66</v>
      </c>
      <c r="M40" s="14" t="s">
        <v>328</v>
      </c>
      <c r="N40" s="106" t="s">
        <v>64</v>
      </c>
      <c r="O40" s="111" t="s">
        <v>64</v>
      </c>
      <c r="P40" s="111" t="s">
        <v>22</v>
      </c>
      <c r="Q40" s="14" t="s">
        <v>65</v>
      </c>
    </row>
    <row r="41" spans="2:17" x14ac:dyDescent="0.35">
      <c r="B41" s="9"/>
      <c r="C41" s="15">
        <v>0</v>
      </c>
      <c r="D41" s="32" t="s">
        <v>181</v>
      </c>
      <c r="E41" s="107">
        <f>Rates!F9</f>
        <v>28.08</v>
      </c>
      <c r="F41" s="107">
        <f>Rates!H52</f>
        <v>0</v>
      </c>
      <c r="G41" s="113">
        <f>F41-E41</f>
        <v>-28.08</v>
      </c>
      <c r="H41" s="63">
        <f>G41/E41</f>
        <v>-1</v>
      </c>
      <c r="I41" s="34"/>
      <c r="L41" s="32" t="s">
        <v>181</v>
      </c>
      <c r="M41" s="5">
        <f>C43</f>
        <v>4000</v>
      </c>
      <c r="N41" s="350">
        <f>E43</f>
        <v>51.36</v>
      </c>
      <c r="O41" s="350">
        <f>F43</f>
        <v>0</v>
      </c>
      <c r="P41" s="426">
        <f t="shared" ref="P41" si="10">O41-N41</f>
        <v>-51.36</v>
      </c>
      <c r="Q41" s="416">
        <f t="shared" ref="Q41" si="11">P41/N41</f>
        <v>-1</v>
      </c>
    </row>
    <row r="42" spans="2:17" x14ac:dyDescent="0.35">
      <c r="B42" s="9"/>
      <c r="C42" s="4">
        <v>2000</v>
      </c>
      <c r="D42" s="32" t="s">
        <v>181</v>
      </c>
      <c r="E42" s="107">
        <f>Rates!F9</f>
        <v>28.08</v>
      </c>
      <c r="F42" s="107">
        <f>Rates!H52</f>
        <v>0</v>
      </c>
      <c r="G42" s="112">
        <f t="shared" ref="G42:G55" si="12">F42-E42</f>
        <v>-28.08</v>
      </c>
      <c r="H42" s="63">
        <f t="shared" ref="H42:H51" si="13">G42/E42</f>
        <v>-1</v>
      </c>
      <c r="I42" s="34"/>
      <c r="L42" s="32" t="s">
        <v>23</v>
      </c>
      <c r="M42" s="5">
        <v>15000</v>
      </c>
      <c r="N42" s="340">
        <f>E47</f>
        <v>172.82999999999998</v>
      </c>
      <c r="O42" s="340">
        <f>F47</f>
        <v>0</v>
      </c>
      <c r="P42" s="426">
        <f t="shared" ref="P42:P46" si="14">O42-N42</f>
        <v>-172.82999999999998</v>
      </c>
      <c r="Q42" s="416">
        <f t="shared" ref="Q42:Q46" si="15">P42/N42</f>
        <v>-1</v>
      </c>
    </row>
    <row r="43" spans="2:17" x14ac:dyDescent="0.35">
      <c r="B43" s="9"/>
      <c r="C43" s="401">
        <v>4000</v>
      </c>
      <c r="D43" s="402" t="s">
        <v>181</v>
      </c>
      <c r="E43" s="403">
        <f>Rates!F9+2000*Rates!F10</f>
        <v>51.36</v>
      </c>
      <c r="F43" s="403">
        <f>Rates!H52+2000*Rates!H53</f>
        <v>0</v>
      </c>
      <c r="G43" s="404">
        <f t="shared" si="12"/>
        <v>-51.36</v>
      </c>
      <c r="H43" s="405">
        <f t="shared" si="13"/>
        <v>-1</v>
      </c>
      <c r="I43" s="406"/>
      <c r="L43" s="33" t="s">
        <v>225</v>
      </c>
      <c r="M43" s="5">
        <v>30000</v>
      </c>
      <c r="N43" s="340">
        <f>E50</f>
        <v>327.76</v>
      </c>
      <c r="O43" s="340">
        <f>F50</f>
        <v>0</v>
      </c>
      <c r="P43" s="426">
        <f t="shared" si="14"/>
        <v>-327.76</v>
      </c>
      <c r="Q43" s="416">
        <f t="shared" si="15"/>
        <v>-1</v>
      </c>
    </row>
    <row r="44" spans="2:17" x14ac:dyDescent="0.35">
      <c r="B44" s="9"/>
      <c r="C44" s="4">
        <v>6000</v>
      </c>
      <c r="D44" s="425" t="s">
        <v>181</v>
      </c>
      <c r="E44" s="107">
        <f>Rates!F9+(4000*Rates!F10)</f>
        <v>74.639999999999986</v>
      </c>
      <c r="F44" s="107">
        <f>Rates!H52+(4000*Rates!H53)</f>
        <v>0</v>
      </c>
      <c r="G44" s="112">
        <f t="shared" si="12"/>
        <v>-74.639999999999986</v>
      </c>
      <c r="H44" s="63">
        <f t="shared" si="13"/>
        <v>-1</v>
      </c>
      <c r="I44" s="34"/>
      <c r="L44" s="33" t="s">
        <v>24</v>
      </c>
      <c r="M44" s="5">
        <v>20000</v>
      </c>
      <c r="N44" s="340">
        <f>Rates!F69</f>
        <v>0</v>
      </c>
      <c r="O44" s="340">
        <f>Rates!H69</f>
        <v>0</v>
      </c>
      <c r="P44" s="426">
        <f t="shared" si="14"/>
        <v>0</v>
      </c>
      <c r="Q44" s="416" t="e">
        <f t="shared" si="15"/>
        <v>#DIV/0!</v>
      </c>
    </row>
    <row r="45" spans="2:17" x14ac:dyDescent="0.35">
      <c r="B45" s="9"/>
      <c r="C45" s="4">
        <v>8000</v>
      </c>
      <c r="D45" s="425" t="s">
        <v>181</v>
      </c>
      <c r="E45" s="107">
        <f>Rates!F9+(6000*Rates!F10)</f>
        <v>97.919999999999987</v>
      </c>
      <c r="F45" s="107">
        <f>Rates!H52+(6000*Rates!H53)</f>
        <v>0</v>
      </c>
      <c r="G45" s="112">
        <f t="shared" si="12"/>
        <v>-97.919999999999987</v>
      </c>
      <c r="H45" s="63">
        <f t="shared" si="13"/>
        <v>-1</v>
      </c>
      <c r="I45" s="34"/>
      <c r="L45" s="33" t="s">
        <v>182</v>
      </c>
      <c r="M45" s="5">
        <v>30000</v>
      </c>
      <c r="N45" s="340">
        <f>Rates!F74</f>
        <v>0</v>
      </c>
      <c r="O45" s="340">
        <f>Rates!H74</f>
        <v>0</v>
      </c>
      <c r="P45" s="426">
        <f t="shared" si="14"/>
        <v>0</v>
      </c>
      <c r="Q45" s="416" t="e">
        <f t="shared" si="15"/>
        <v>#DIV/0!</v>
      </c>
    </row>
    <row r="46" spans="2:17" x14ac:dyDescent="0.35">
      <c r="B46" s="9"/>
      <c r="C46" s="4">
        <v>10000</v>
      </c>
      <c r="D46" s="425" t="s">
        <v>181</v>
      </c>
      <c r="E46" s="107">
        <f>Rates!F9+(8000*Rates!F10)</f>
        <v>121.19999999999999</v>
      </c>
      <c r="F46" s="107">
        <f>Rates!H52+(8000*Rates!H53)</f>
        <v>0</v>
      </c>
      <c r="G46" s="112">
        <f t="shared" si="12"/>
        <v>-121.19999999999999</v>
      </c>
      <c r="H46" s="63">
        <f t="shared" si="13"/>
        <v>-1</v>
      </c>
      <c r="I46" s="34"/>
      <c r="L46" s="33" t="s">
        <v>183</v>
      </c>
      <c r="M46" s="5">
        <v>50000</v>
      </c>
      <c r="N46" s="340">
        <f>Rates!F79</f>
        <v>0</v>
      </c>
      <c r="O46" s="340">
        <f>Rates!H79</f>
        <v>0</v>
      </c>
      <c r="P46" s="426">
        <f t="shared" si="14"/>
        <v>0</v>
      </c>
      <c r="Q46" s="416" t="e">
        <f t="shared" si="15"/>
        <v>#DIV/0!</v>
      </c>
    </row>
    <row r="47" spans="2:17" x14ac:dyDescent="0.35">
      <c r="B47" s="9"/>
      <c r="C47" s="4">
        <v>15000</v>
      </c>
      <c r="D47" s="32" t="s">
        <v>23</v>
      </c>
      <c r="E47" s="107">
        <f>Rates!F15+(5000*Rates!F16)+(5000*Rates!F17)</f>
        <v>172.82999999999998</v>
      </c>
      <c r="F47" s="107">
        <f>Rates!H58+(5000*Rates!H59)+(5000*Rates!H60)</f>
        <v>0</v>
      </c>
      <c r="G47" s="112">
        <f t="shared" si="12"/>
        <v>-172.82999999999998</v>
      </c>
      <c r="H47" s="63">
        <f t="shared" si="13"/>
        <v>-1</v>
      </c>
      <c r="I47" s="34"/>
    </row>
    <row r="48" spans="2:17" x14ac:dyDescent="0.35">
      <c r="B48" s="9"/>
      <c r="C48" s="4">
        <v>20000</v>
      </c>
      <c r="D48" s="32" t="s">
        <v>23</v>
      </c>
      <c r="E48" s="107">
        <f>Rates!F15+(5000*Rates!F16)+(10000*Rates!F17)</f>
        <v>224.48000000000002</v>
      </c>
      <c r="F48" s="107">
        <f>Rates!H58+(5000*Rates!H59)+(10000*Rates!H60)</f>
        <v>0</v>
      </c>
      <c r="G48" s="112">
        <f t="shared" si="12"/>
        <v>-224.48000000000002</v>
      </c>
      <c r="H48" s="63">
        <f t="shared" si="13"/>
        <v>-1</v>
      </c>
      <c r="I48" s="34"/>
    </row>
    <row r="49" spans="2:9" x14ac:dyDescent="0.35">
      <c r="B49" s="9"/>
      <c r="C49" s="4">
        <v>25000</v>
      </c>
      <c r="D49" s="33" t="s">
        <v>23</v>
      </c>
      <c r="E49" s="107">
        <f>Rates!F15+(5000*Rates!F16)+(15000*Rates!F17)</f>
        <v>276.13</v>
      </c>
      <c r="F49" s="107">
        <f>Rates!H58+(5000*Rates!H59)+(15000*Rates!H60)</f>
        <v>0</v>
      </c>
      <c r="G49" s="112">
        <f t="shared" si="12"/>
        <v>-276.13</v>
      </c>
      <c r="H49" s="63">
        <f t="shared" si="13"/>
        <v>-1</v>
      </c>
      <c r="I49" s="34"/>
    </row>
    <row r="50" spans="2:9" x14ac:dyDescent="0.35">
      <c r="B50" s="9"/>
      <c r="C50" s="4">
        <v>30000</v>
      </c>
      <c r="D50" s="33" t="s">
        <v>225</v>
      </c>
      <c r="E50" s="107">
        <f>Rates!F21+(20000*Rates!F22)</f>
        <v>327.76</v>
      </c>
      <c r="F50" s="107">
        <f>Rates!H64+(20000*Rates!H65)</f>
        <v>0</v>
      </c>
      <c r="G50" s="112">
        <f t="shared" si="12"/>
        <v>-327.76</v>
      </c>
      <c r="H50" s="63">
        <f t="shared" si="13"/>
        <v>-1</v>
      </c>
      <c r="I50" s="34"/>
    </row>
    <row r="51" spans="2:9" x14ac:dyDescent="0.35">
      <c r="B51" s="9"/>
      <c r="C51" s="4">
        <v>40000</v>
      </c>
      <c r="D51" s="33" t="s">
        <v>225</v>
      </c>
      <c r="E51" s="107">
        <f>Rates!F21+(30000*Rates!F22)</f>
        <v>431.06000000000006</v>
      </c>
      <c r="F51" s="107">
        <f>Rates!H64+(30000*Rates!H65)</f>
        <v>0</v>
      </c>
      <c r="G51" s="112">
        <f t="shared" si="12"/>
        <v>-431.06000000000006</v>
      </c>
      <c r="H51" s="63">
        <f t="shared" si="13"/>
        <v>-1</v>
      </c>
      <c r="I51" s="34"/>
    </row>
    <row r="52" spans="2:9" x14ac:dyDescent="0.35">
      <c r="B52" s="9"/>
      <c r="C52" s="4">
        <v>50000</v>
      </c>
      <c r="D52" s="33" t="s">
        <v>24</v>
      </c>
      <c r="E52" s="107">
        <f>Rates!F26+(30000*Rates!F27)</f>
        <v>534.40000000000009</v>
      </c>
      <c r="F52" s="107">
        <f>Rates!H69+(30000*Rates!H70)</f>
        <v>0</v>
      </c>
      <c r="G52" s="112">
        <f t="shared" si="12"/>
        <v>-534.40000000000009</v>
      </c>
      <c r="H52" s="63">
        <f>G52/E52</f>
        <v>-1</v>
      </c>
      <c r="I52" s="34"/>
    </row>
    <row r="53" spans="2:9" x14ac:dyDescent="0.35">
      <c r="B53" s="9"/>
      <c r="C53" s="4">
        <v>75000</v>
      </c>
      <c r="D53" s="33" t="s">
        <v>24</v>
      </c>
      <c r="E53" s="107">
        <f>Rates!F26+(30000*Rates!F27+(25000*Rates!F28))</f>
        <v>760.15000000000009</v>
      </c>
      <c r="F53" s="107">
        <f>Rates!H69+(30000*Rates!H70+(25000*Rates!H71))</f>
        <v>0</v>
      </c>
      <c r="G53" s="112">
        <f t="shared" si="12"/>
        <v>-760.15000000000009</v>
      </c>
      <c r="H53" s="63">
        <f t="shared" ref="H53:H55" si="16">G53/E53</f>
        <v>-1</v>
      </c>
      <c r="I53" s="34"/>
    </row>
    <row r="54" spans="2:9" x14ac:dyDescent="0.35">
      <c r="B54" s="9"/>
      <c r="C54" s="4">
        <v>100000</v>
      </c>
      <c r="D54" s="33" t="s">
        <v>182</v>
      </c>
      <c r="E54" s="107">
        <f>Rates!F31+(20000*Rates!F32)+(50000*Rates!F33)</f>
        <v>985.93000000000006</v>
      </c>
      <c r="F54" s="107">
        <f>Rates!H74+(20000*Rates!H75)+(50000*Rates!H76)</f>
        <v>0</v>
      </c>
      <c r="G54" s="112">
        <f t="shared" si="12"/>
        <v>-985.93000000000006</v>
      </c>
      <c r="H54" s="63">
        <f t="shared" si="16"/>
        <v>-1</v>
      </c>
      <c r="I54" s="34"/>
    </row>
    <row r="55" spans="2:9" x14ac:dyDescent="0.35">
      <c r="B55" s="9"/>
      <c r="C55" s="4">
        <v>200000</v>
      </c>
      <c r="D55" s="33" t="s">
        <v>183</v>
      </c>
      <c r="E55" s="423">
        <f>Rates!F36+(150000*Rates!F37)</f>
        <v>1889</v>
      </c>
      <c r="F55" s="107">
        <f>Rates!H79+(150000*Rates!H80)</f>
        <v>0</v>
      </c>
      <c r="G55" s="112">
        <f t="shared" si="12"/>
        <v>-1889</v>
      </c>
      <c r="H55" s="63">
        <f t="shared" si="16"/>
        <v>-1</v>
      </c>
      <c r="I55" s="34"/>
    </row>
    <row r="56" spans="2:9" x14ac:dyDescent="0.35">
      <c r="B56" s="9"/>
      <c r="C56" s="4"/>
      <c r="D56" s="33"/>
      <c r="E56" s="107"/>
      <c r="F56" s="107"/>
      <c r="G56" s="112"/>
      <c r="H56" s="63"/>
      <c r="I56" s="34"/>
    </row>
    <row r="57" spans="2:9" ht="15.5" x14ac:dyDescent="0.35">
      <c r="B57" s="11"/>
      <c r="C57" s="3"/>
      <c r="D57" s="2"/>
      <c r="E57" s="108"/>
      <c r="F57" s="104"/>
      <c r="G57" s="104"/>
      <c r="H57" s="3"/>
      <c r="I57" s="12"/>
    </row>
    <row r="59" spans="2:9" x14ac:dyDescent="0.35">
      <c r="D59" s="43" t="s">
        <v>79</v>
      </c>
    </row>
  </sheetData>
  <mergeCells count="8">
    <mergeCell ref="C37:I37"/>
    <mergeCell ref="C4:I4"/>
    <mergeCell ref="C5:I5"/>
    <mergeCell ref="C3:I3"/>
    <mergeCell ref="C34:I34"/>
    <mergeCell ref="C35:I35"/>
    <mergeCell ref="C36:I36"/>
    <mergeCell ref="C6:I6"/>
  </mergeCells>
  <printOptions horizontalCentered="1"/>
  <pageMargins left="0.7" right="0.7" top="1.1000000000000001"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9B43C-08DA-4F35-AF2D-4D6BA18A1447}">
  <sheetPr>
    <tabColor rgb="FF92D050"/>
    <pageSetUpPr fitToPage="1"/>
  </sheetPr>
  <dimension ref="A1:R398"/>
  <sheetViews>
    <sheetView showGridLines="0" zoomScaleNormal="100" workbookViewId="0">
      <selection sqref="A1:N117"/>
    </sheetView>
  </sheetViews>
  <sheetFormatPr defaultColWidth="8.84375" defaultRowHeight="15.5" x14ac:dyDescent="0.35"/>
  <cols>
    <col min="1" max="1" width="7.765625" customWidth="1"/>
    <col min="2" max="2" width="11.07421875" style="95" customWidth="1"/>
    <col min="3" max="4" width="10.53515625" customWidth="1"/>
    <col min="5" max="6" width="12.61328125" customWidth="1"/>
    <col min="7" max="7" width="12.61328125" style="102" customWidth="1"/>
    <col min="8" max="8" width="12.61328125" customWidth="1"/>
    <col min="9" max="9" width="12.61328125" style="219" customWidth="1"/>
    <col min="10" max="10" width="12.61328125" style="218" customWidth="1"/>
    <col min="11" max="13" width="12.61328125" customWidth="1"/>
    <col min="14" max="14" width="11.23046875"/>
    <col min="15" max="15" width="8.765625" customWidth="1"/>
    <col min="16" max="16" width="18.921875" bestFit="1" customWidth="1"/>
  </cols>
  <sheetData>
    <row r="1" spans="1:18" ht="21" x14ac:dyDescent="0.5">
      <c r="A1" s="475" t="s">
        <v>244</v>
      </c>
      <c r="B1" s="475"/>
      <c r="C1" s="475"/>
      <c r="D1" s="475"/>
      <c r="E1" s="475"/>
      <c r="F1" s="475"/>
      <c r="G1" s="475"/>
      <c r="H1" s="475"/>
      <c r="I1" s="15"/>
      <c r="J1" s="217"/>
      <c r="K1" s="1"/>
      <c r="L1" s="1"/>
      <c r="M1" s="1"/>
      <c r="N1" s="1"/>
      <c r="O1" s="1"/>
      <c r="P1" s="1"/>
      <c r="Q1" s="1"/>
      <c r="R1" s="1"/>
    </row>
    <row r="2" spans="1:18" ht="18.5" x14ac:dyDescent="0.35">
      <c r="A2" s="476" t="str">
        <f>SAO!A2</f>
        <v>EAST CLARK COUNTY WATER DISTRICT</v>
      </c>
      <c r="B2" s="476"/>
      <c r="C2" s="476"/>
      <c r="D2" s="476"/>
      <c r="E2" s="476"/>
      <c r="F2" s="476"/>
      <c r="G2" s="476"/>
      <c r="H2" s="476"/>
      <c r="I2" s="15"/>
      <c r="J2" s="217"/>
      <c r="K2" s="1"/>
      <c r="L2" s="1"/>
      <c r="M2" s="1"/>
      <c r="N2" s="1"/>
      <c r="O2" s="1"/>
      <c r="P2" s="1" t="s">
        <v>312</v>
      </c>
      <c r="Q2" s="1"/>
      <c r="R2" s="1" t="s">
        <v>308</v>
      </c>
    </row>
    <row r="3" spans="1:18" ht="18.5" x14ac:dyDescent="0.35">
      <c r="A3" s="29"/>
      <c r="B3" s="92"/>
      <c r="C3" s="29"/>
      <c r="D3" s="29"/>
      <c r="E3" s="29"/>
      <c r="F3" s="29"/>
      <c r="G3" s="97"/>
      <c r="H3" s="29"/>
      <c r="I3" s="15"/>
      <c r="J3" s="217"/>
      <c r="K3" s="1"/>
      <c r="L3" s="1"/>
      <c r="M3" s="1"/>
      <c r="N3" s="1"/>
      <c r="O3" s="1"/>
      <c r="P3" s="1" t="s">
        <v>261</v>
      </c>
      <c r="Q3" s="393"/>
      <c r="R3" s="395">
        <v>29667.4</v>
      </c>
    </row>
    <row r="4" spans="1:18" x14ac:dyDescent="0.35">
      <c r="A4" s="85"/>
      <c r="B4" s="93"/>
      <c r="C4" s="86"/>
      <c r="D4" s="86"/>
      <c r="E4" s="86"/>
      <c r="F4" s="86"/>
      <c r="G4" s="98"/>
      <c r="H4" s="86"/>
      <c r="I4" s="15"/>
      <c r="J4" s="217"/>
      <c r="K4" s="1"/>
      <c r="L4" s="1"/>
      <c r="M4" s="1"/>
      <c r="N4" s="1"/>
      <c r="O4" s="1"/>
      <c r="P4" s="1" t="s">
        <v>262</v>
      </c>
      <c r="Q4" s="1"/>
      <c r="R4" s="395">
        <v>1860</v>
      </c>
    </row>
    <row r="5" spans="1:18" x14ac:dyDescent="0.35">
      <c r="A5" s="1"/>
      <c r="B5" s="477" t="s">
        <v>46</v>
      </c>
      <c r="C5" s="477"/>
      <c r="D5" s="477"/>
      <c r="E5" s="477"/>
      <c r="F5" s="477"/>
      <c r="G5" s="477"/>
      <c r="H5" s="1"/>
      <c r="I5" s="15"/>
      <c r="J5" s="217"/>
      <c r="K5" s="1"/>
      <c r="L5" s="1"/>
      <c r="M5" s="1"/>
      <c r="N5" s="1"/>
      <c r="O5" s="1"/>
      <c r="P5" s="1" t="s">
        <v>263</v>
      </c>
      <c r="Q5" s="1"/>
      <c r="R5" s="395">
        <v>900</v>
      </c>
    </row>
    <row r="6" spans="1:18" s="1" customFormat="1" ht="16" x14ac:dyDescent="0.5">
      <c r="B6" s="38" t="s">
        <v>109</v>
      </c>
      <c r="C6" s="377"/>
      <c r="D6" s="378" t="s">
        <v>48</v>
      </c>
      <c r="E6" s="378" t="s">
        <v>49</v>
      </c>
      <c r="F6" s="379"/>
      <c r="G6" s="380" t="s">
        <v>52</v>
      </c>
      <c r="I6" s="15"/>
      <c r="J6" s="217"/>
      <c r="P6" s="1" t="s">
        <v>313</v>
      </c>
      <c r="R6" s="395">
        <v>340</v>
      </c>
    </row>
    <row r="7" spans="1:18" s="1" customFormat="1" ht="14.5" x14ac:dyDescent="0.35">
      <c r="B7" s="4" t="s">
        <v>191</v>
      </c>
      <c r="D7" s="122">
        <f>C25+C44+C60+C75+C90+C104</f>
        <v>33004</v>
      </c>
      <c r="E7" s="122">
        <f>D25+D44+D60+D75+D90+D104</f>
        <v>127156200</v>
      </c>
      <c r="F7" s="82"/>
      <c r="G7" s="21">
        <f>G34+G52+G67+G82+G97+G110</f>
        <v>1754836</v>
      </c>
      <c r="I7" s="15"/>
      <c r="J7" s="217"/>
      <c r="K7" s="4"/>
      <c r="P7" s="1" t="s">
        <v>264</v>
      </c>
      <c r="R7" s="395">
        <v>186</v>
      </c>
    </row>
    <row r="8" spans="1:18" s="1" customFormat="1" ht="14.5" x14ac:dyDescent="0.35">
      <c r="B8" s="4" t="s">
        <v>114</v>
      </c>
      <c r="D8" s="122"/>
      <c r="E8" s="122"/>
      <c r="F8" s="82"/>
      <c r="G8" s="415">
        <v>-2659</v>
      </c>
      <c r="I8" s="15"/>
      <c r="J8" s="217" t="s">
        <v>211</v>
      </c>
      <c r="K8" s="4"/>
      <c r="P8" s="1" t="s">
        <v>270</v>
      </c>
      <c r="Q8" s="13"/>
      <c r="R8" s="395">
        <v>7398.45</v>
      </c>
    </row>
    <row r="9" spans="1:18" s="1" customFormat="1" ht="16" x14ac:dyDescent="0.5">
      <c r="B9" s="4" t="s">
        <v>191</v>
      </c>
      <c r="C9" s="87"/>
      <c r="D9" s="96"/>
      <c r="E9" s="38"/>
      <c r="F9" s="38"/>
      <c r="G9" s="21">
        <f>G7+G8</f>
        <v>1752177</v>
      </c>
      <c r="I9" s="15"/>
      <c r="K9" s="84"/>
      <c r="L9" s="88"/>
      <c r="P9" s="1" t="s">
        <v>265</v>
      </c>
      <c r="R9" s="395">
        <v>2490</v>
      </c>
    </row>
    <row r="10" spans="1:18" s="1" customFormat="1" ht="16" x14ac:dyDescent="0.5">
      <c r="B10" s="4" t="s">
        <v>323</v>
      </c>
      <c r="C10" s="87"/>
      <c r="D10" s="35"/>
      <c r="E10" s="82"/>
      <c r="F10" s="82"/>
      <c r="G10" s="415">
        <f>SAO!D6+SAO!D7+SAO!E6</f>
        <v>1754289.15</v>
      </c>
      <c r="I10" s="390"/>
      <c r="J10" s="217"/>
      <c r="K10" s="84"/>
      <c r="L10" s="88"/>
      <c r="P10" s="316" t="s">
        <v>266</v>
      </c>
      <c r="Q10" s="394"/>
      <c r="R10" s="396">
        <v>170</v>
      </c>
    </row>
    <row r="11" spans="1:18" s="1" customFormat="1" ht="16" x14ac:dyDescent="0.5">
      <c r="B11" s="4" t="s">
        <v>63</v>
      </c>
      <c r="C11" s="87"/>
      <c r="D11" s="35"/>
      <c r="E11" s="84"/>
      <c r="F11" s="84"/>
      <c r="G11" s="310">
        <f>G9-G10</f>
        <v>-2112.1499999999069</v>
      </c>
      <c r="H11" s="1" t="s">
        <v>305</v>
      </c>
      <c r="I11" s="15"/>
      <c r="J11" s="217"/>
      <c r="K11" s="84"/>
      <c r="L11" s="88"/>
      <c r="P11" s="1" t="s">
        <v>11</v>
      </c>
      <c r="Q11" s="393"/>
      <c r="R11" s="395">
        <f>SUM(R3:R10)</f>
        <v>43011.85</v>
      </c>
    </row>
    <row r="12" spans="1:18" s="1" customFormat="1" ht="16" x14ac:dyDescent="0.5">
      <c r="B12" s="4" t="s">
        <v>224</v>
      </c>
      <c r="C12" s="87"/>
      <c r="D12" s="35"/>
      <c r="E12" s="82">
        <f>D116</f>
        <v>274860</v>
      </c>
      <c r="F12" s="82"/>
      <c r="G12" s="21">
        <f>G116</f>
        <v>2485</v>
      </c>
      <c r="I12" s="15"/>
      <c r="J12" s="222"/>
      <c r="K12" s="84"/>
      <c r="L12" s="88"/>
      <c r="P12" s="1" t="s">
        <v>271</v>
      </c>
      <c r="R12" s="397">
        <v>2656.5</v>
      </c>
    </row>
    <row r="13" spans="1:18" s="1" customFormat="1" ht="16" x14ac:dyDescent="0.5">
      <c r="B13" s="4" t="s">
        <v>321</v>
      </c>
      <c r="C13" s="87"/>
      <c r="D13" s="35"/>
      <c r="E13" s="82"/>
      <c r="F13" s="82"/>
      <c r="G13" s="315">
        <f>SAO!D9</f>
        <v>2656</v>
      </c>
      <c r="I13" s="15"/>
      <c r="J13" s="222"/>
      <c r="K13" s="84"/>
      <c r="L13" s="88"/>
      <c r="R13" s="395">
        <f>SUM(R11:R12)</f>
        <v>45668.35</v>
      </c>
    </row>
    <row r="14" spans="1:18" s="1" customFormat="1" ht="16" x14ac:dyDescent="0.5">
      <c r="B14" s="4" t="s">
        <v>63</v>
      </c>
      <c r="C14" s="87"/>
      <c r="D14" s="4"/>
      <c r="E14" s="82"/>
      <c r="F14" s="82"/>
      <c r="G14" s="311">
        <f>G12-G13</f>
        <v>-171</v>
      </c>
      <c r="H14" s="1" t="s">
        <v>306</v>
      </c>
      <c r="I14" s="15"/>
      <c r="J14" s="222"/>
      <c r="K14" s="84"/>
      <c r="L14" s="88"/>
    </row>
    <row r="15" spans="1:18" s="1" customFormat="1" ht="16" x14ac:dyDescent="0.5">
      <c r="B15" s="4"/>
      <c r="C15" s="87"/>
      <c r="D15" s="4"/>
      <c r="E15" s="4"/>
      <c r="F15" s="82"/>
      <c r="G15" s="311"/>
      <c r="I15" s="15"/>
      <c r="J15" s="222"/>
      <c r="K15" s="84"/>
      <c r="L15" s="88"/>
    </row>
    <row r="16" spans="1:18" s="1" customFormat="1" ht="16" x14ac:dyDescent="0.5">
      <c r="B16" s="4"/>
      <c r="C16" s="87"/>
      <c r="D16" s="35"/>
      <c r="E16" s="82"/>
      <c r="F16" s="82"/>
      <c r="G16" s="63"/>
      <c r="I16" s="15"/>
      <c r="J16" s="222"/>
      <c r="K16" s="84"/>
      <c r="L16" s="88"/>
    </row>
    <row r="17" spans="1:14" s="1" customFormat="1" ht="16.5" thickBot="1" x14ac:dyDescent="0.55000000000000004">
      <c r="B17" s="4"/>
      <c r="C17" s="87"/>
      <c r="D17" s="35"/>
      <c r="E17" s="82"/>
      <c r="F17" s="82"/>
      <c r="G17" s="42"/>
      <c r="I17" s="15"/>
      <c r="J17" s="222"/>
      <c r="K17" s="84"/>
      <c r="L17" s="88"/>
    </row>
    <row r="18" spans="1:14" s="1" customFormat="1" ht="16" x14ac:dyDescent="0.5">
      <c r="A18" s="262" t="s">
        <v>189</v>
      </c>
      <c r="B18" s="263"/>
      <c r="C18" s="264"/>
      <c r="D18" s="471" t="s">
        <v>184</v>
      </c>
      <c r="E18" s="471"/>
      <c r="F18" s="265"/>
      <c r="G18" s="282"/>
      <c r="H18" s="285"/>
      <c r="I18" s="289"/>
      <c r="J18" s="294"/>
      <c r="K18" s="297"/>
      <c r="L18" s="300"/>
      <c r="M18" s="285"/>
      <c r="N18" s="283"/>
    </row>
    <row r="19" spans="1:14" s="1" customFormat="1" ht="14.5" x14ac:dyDescent="0.35">
      <c r="A19" s="267"/>
      <c r="B19" s="4"/>
      <c r="C19" s="87"/>
      <c r="D19" s="256"/>
      <c r="E19" s="89" t="s">
        <v>177</v>
      </c>
      <c r="F19" s="89" t="s">
        <v>178</v>
      </c>
      <c r="G19" s="89" t="s">
        <v>178</v>
      </c>
      <c r="H19" s="89" t="s">
        <v>242</v>
      </c>
      <c r="I19" s="89"/>
      <c r="J19" s="89"/>
      <c r="K19" s="89"/>
      <c r="L19" s="89"/>
      <c r="M19" s="228"/>
      <c r="N19" s="268"/>
    </row>
    <row r="20" spans="1:14" s="1" customFormat="1" ht="14.5" x14ac:dyDescent="0.35">
      <c r="A20" s="240"/>
      <c r="B20" s="94" t="s">
        <v>47</v>
      </c>
      <c r="C20" s="81" t="s">
        <v>48</v>
      </c>
      <c r="D20" s="81" t="s">
        <v>49</v>
      </c>
      <c r="E20" s="257">
        <f>B21</f>
        <v>2000</v>
      </c>
      <c r="F20" s="257">
        <f>B22</f>
        <v>8000</v>
      </c>
      <c r="G20" s="257">
        <f>B23</f>
        <v>40000</v>
      </c>
      <c r="H20" s="257">
        <f>B24</f>
        <v>50000</v>
      </c>
      <c r="I20" s="257"/>
      <c r="J20" s="257"/>
      <c r="K20" s="257" t="s">
        <v>11</v>
      </c>
      <c r="L20" s="257"/>
      <c r="M20" s="258"/>
      <c r="N20" s="269"/>
    </row>
    <row r="21" spans="1:14" s="1" customFormat="1" ht="14.4" customHeight="1" x14ac:dyDescent="0.35">
      <c r="A21" s="270" t="s">
        <v>177</v>
      </c>
      <c r="B21" s="4">
        <f>Rates!D9</f>
        <v>2000</v>
      </c>
      <c r="C21" s="355">
        <v>10595</v>
      </c>
      <c r="D21" s="323">
        <v>10222900</v>
      </c>
      <c r="E21" s="258">
        <f>D21</f>
        <v>10222900</v>
      </c>
      <c r="F21" s="258"/>
      <c r="G21" s="258"/>
      <c r="H21" s="258"/>
      <c r="I21" s="258"/>
      <c r="J21" s="258"/>
      <c r="K21" s="258">
        <f>SUM(E21:J21)</f>
        <v>10222900</v>
      </c>
      <c r="L21" s="258"/>
      <c r="M21" s="258"/>
      <c r="N21" s="271"/>
    </row>
    <row r="22" spans="1:14" s="1" customFormat="1" ht="14.4" customHeight="1" x14ac:dyDescent="0.35">
      <c r="A22" s="270" t="s">
        <v>178</v>
      </c>
      <c r="B22" s="4">
        <f>Rates!D10</f>
        <v>8000</v>
      </c>
      <c r="C22" s="355">
        <v>20533</v>
      </c>
      <c r="D22" s="323">
        <v>86047900</v>
      </c>
      <c r="E22" s="258">
        <f>C22*E20</f>
        <v>41066000</v>
      </c>
      <c r="F22" s="258">
        <f>D22-E22</f>
        <v>44981900</v>
      </c>
      <c r="G22" s="258"/>
      <c r="H22" s="258"/>
      <c r="I22" s="258"/>
      <c r="J22" s="258"/>
      <c r="K22" s="258">
        <f t="shared" ref="K22:K24" si="0">SUM(E22:J22)</f>
        <v>86047900</v>
      </c>
      <c r="L22" s="258"/>
      <c r="M22" s="258"/>
      <c r="N22" s="271"/>
    </row>
    <row r="23" spans="1:14" s="1" customFormat="1" ht="14.4" customHeight="1" x14ac:dyDescent="0.35">
      <c r="A23" s="270" t="s">
        <v>178</v>
      </c>
      <c r="B23" s="4">
        <f>Rates!D11</f>
        <v>40000</v>
      </c>
      <c r="C23" s="355">
        <v>1512</v>
      </c>
      <c r="D23" s="323">
        <v>24602200</v>
      </c>
      <c r="E23" s="258">
        <f>C23*E20</f>
        <v>3024000</v>
      </c>
      <c r="F23" s="258">
        <f>C23*F20</f>
        <v>12096000</v>
      </c>
      <c r="G23" s="258">
        <f>D23-E23-F23</f>
        <v>9482200</v>
      </c>
      <c r="H23" s="258"/>
      <c r="I23" s="258"/>
      <c r="J23" s="258"/>
      <c r="K23" s="258">
        <f t="shared" si="0"/>
        <v>24602200</v>
      </c>
      <c r="L23" s="258"/>
      <c r="M23" s="258"/>
      <c r="N23" s="271"/>
    </row>
    <row r="24" spans="1:14" s="1" customFormat="1" ht="14.4" customHeight="1" x14ac:dyDescent="0.5">
      <c r="A24" s="276" t="s">
        <v>179</v>
      </c>
      <c r="B24" s="4">
        <f>Rates!D12</f>
        <v>50000</v>
      </c>
      <c r="C24" s="329">
        <v>42</v>
      </c>
      <c r="D24" s="324">
        <v>3256000</v>
      </c>
      <c r="E24" s="38">
        <f>C24*E20</f>
        <v>84000</v>
      </c>
      <c r="F24" s="38">
        <f>C24*F20</f>
        <v>336000</v>
      </c>
      <c r="G24" s="38">
        <f>C24*G20</f>
        <v>1680000</v>
      </c>
      <c r="H24" s="38">
        <f>D24-E24-F24-G24</f>
        <v>1156000</v>
      </c>
      <c r="I24" s="38"/>
      <c r="J24" s="14"/>
      <c r="K24" s="332">
        <f t="shared" si="0"/>
        <v>3256000</v>
      </c>
      <c r="L24" s="259"/>
      <c r="M24" s="38"/>
      <c r="N24" s="272"/>
    </row>
    <row r="25" spans="1:14" s="1" customFormat="1" ht="14.4" customHeight="1" x14ac:dyDescent="0.35">
      <c r="A25" s="270"/>
      <c r="B25" s="4"/>
      <c r="C25" s="20">
        <f t="shared" ref="C25:K25" si="1">SUM(C21:C24)</f>
        <v>32682</v>
      </c>
      <c r="D25" s="4">
        <f t="shared" si="1"/>
        <v>124129000</v>
      </c>
      <c r="E25" s="4">
        <f t="shared" si="1"/>
        <v>54396900</v>
      </c>
      <c r="F25" s="4">
        <f t="shared" si="1"/>
        <v>57413900</v>
      </c>
      <c r="G25" s="4">
        <f t="shared" si="1"/>
        <v>11162200</v>
      </c>
      <c r="H25" s="4">
        <f t="shared" si="1"/>
        <v>1156000</v>
      </c>
      <c r="I25" s="4">
        <f t="shared" si="1"/>
        <v>0</v>
      </c>
      <c r="J25" s="4">
        <f t="shared" si="1"/>
        <v>0</v>
      </c>
      <c r="K25" s="4">
        <f t="shared" si="1"/>
        <v>124129000</v>
      </c>
      <c r="L25" s="4"/>
      <c r="M25" s="4"/>
      <c r="N25" s="271"/>
    </row>
    <row r="26" spans="1:14" s="1" customFormat="1" ht="14.4" customHeight="1" x14ac:dyDescent="0.5">
      <c r="A26" s="240"/>
      <c r="B26" s="4"/>
      <c r="C26" s="87"/>
      <c r="D26" s="35"/>
      <c r="E26" s="82"/>
      <c r="F26" s="82"/>
      <c r="G26" s="42"/>
      <c r="I26" s="15"/>
      <c r="J26" s="222"/>
      <c r="K26" s="84"/>
      <c r="L26" s="88"/>
      <c r="N26" s="268"/>
    </row>
    <row r="27" spans="1:14" s="1" customFormat="1" ht="14.4" customHeight="1" x14ac:dyDescent="0.35">
      <c r="A27" s="267" t="s">
        <v>188</v>
      </c>
      <c r="D27" s="473" t="s">
        <v>184</v>
      </c>
      <c r="E27" s="473"/>
      <c r="F27" s="114"/>
      <c r="G27" s="114"/>
      <c r="I27" s="15"/>
      <c r="J27" s="217"/>
      <c r="K27" s="4"/>
      <c r="M27" s="4"/>
      <c r="N27" s="303"/>
    </row>
    <row r="28" spans="1:14" s="1" customFormat="1" ht="14.4" customHeight="1" x14ac:dyDescent="0.35">
      <c r="A28" s="267"/>
      <c r="D28" s="256"/>
      <c r="E28" s="256"/>
      <c r="F28" s="114"/>
      <c r="G28" s="114"/>
      <c r="I28" s="15"/>
      <c r="J28" s="217"/>
      <c r="K28" s="4"/>
      <c r="M28" s="4"/>
      <c r="N28" s="303"/>
    </row>
    <row r="29" spans="1:14" s="1" customFormat="1" ht="14.4" customHeight="1" x14ac:dyDescent="0.35">
      <c r="A29" s="240"/>
      <c r="B29" s="94" t="s">
        <v>47</v>
      </c>
      <c r="C29" s="81" t="s">
        <v>48</v>
      </c>
      <c r="D29" s="81" t="s">
        <v>49</v>
      </c>
      <c r="E29" s="472" t="s">
        <v>51</v>
      </c>
      <c r="F29" s="472"/>
      <c r="G29" s="99" t="s">
        <v>52</v>
      </c>
      <c r="H29" s="18"/>
      <c r="I29" s="15"/>
      <c r="J29" s="217"/>
      <c r="N29" s="268"/>
    </row>
    <row r="30" spans="1:14" s="1" customFormat="1" ht="14.4" customHeight="1" x14ac:dyDescent="0.35">
      <c r="A30" s="270" t="s">
        <v>177</v>
      </c>
      <c r="B30" s="4">
        <f>Rates!D9</f>
        <v>2000</v>
      </c>
      <c r="C30" s="20">
        <f>C25</f>
        <v>32682</v>
      </c>
      <c r="D30" s="20">
        <f>E25</f>
        <v>54396900</v>
      </c>
      <c r="E30" s="229">
        <f>Rates!F9</f>
        <v>28.08</v>
      </c>
      <c r="F30" s="44" t="s">
        <v>104</v>
      </c>
      <c r="G30" s="100">
        <f>ROUND(C30*E30,0)</f>
        <v>917711</v>
      </c>
      <c r="H30" s="20"/>
      <c r="I30" s="390"/>
      <c r="J30" s="217"/>
      <c r="N30" s="268"/>
    </row>
    <row r="31" spans="1:14" s="1" customFormat="1" ht="14.4" customHeight="1" x14ac:dyDescent="0.35">
      <c r="A31" s="270" t="s">
        <v>178</v>
      </c>
      <c r="B31" s="4">
        <f>Rates!D10</f>
        <v>8000</v>
      </c>
      <c r="C31" s="20"/>
      <c r="D31" s="20">
        <f>F25</f>
        <v>57413900</v>
      </c>
      <c r="E31" s="230">
        <f>Rates!F10</f>
        <v>1.1639999999999999E-2</v>
      </c>
      <c r="F31" s="44" t="s">
        <v>175</v>
      </c>
      <c r="G31" s="100">
        <f>ROUND(D31*E31,0)</f>
        <v>668298</v>
      </c>
      <c r="H31" s="20"/>
      <c r="I31" s="390"/>
      <c r="J31" s="217"/>
      <c r="N31" s="268"/>
    </row>
    <row r="32" spans="1:14" s="1" customFormat="1" ht="14.4" customHeight="1" x14ac:dyDescent="0.35">
      <c r="A32" s="270" t="s">
        <v>178</v>
      </c>
      <c r="B32" s="4">
        <f>Rates!D11</f>
        <v>40000</v>
      </c>
      <c r="C32" s="20"/>
      <c r="D32" s="20">
        <f>G25</f>
        <v>11162200</v>
      </c>
      <c r="E32" s="230">
        <f>Rates!F11</f>
        <v>1.0330000000000001E-2</v>
      </c>
      <c r="F32" s="44" t="s">
        <v>175</v>
      </c>
      <c r="G32" s="100">
        <f t="shared" ref="G32:G33" si="2">ROUND(D32*E32,0)</f>
        <v>115306</v>
      </c>
      <c r="H32" s="20"/>
      <c r="I32" s="390"/>
      <c r="J32" s="217"/>
      <c r="N32" s="268"/>
    </row>
    <row r="33" spans="1:14" s="1" customFormat="1" ht="14.4" customHeight="1" x14ac:dyDescent="0.5">
      <c r="A33" s="276" t="s">
        <v>179</v>
      </c>
      <c r="B33" s="4">
        <f>Rates!D12</f>
        <v>50000</v>
      </c>
      <c r="C33" s="83"/>
      <c r="D33" s="83">
        <f>H25</f>
        <v>1156000</v>
      </c>
      <c r="E33" s="230">
        <f>Rates!F12</f>
        <v>9.0299999999999998E-3</v>
      </c>
      <c r="F33" s="44" t="s">
        <v>175</v>
      </c>
      <c r="G33" s="101">
        <f t="shared" si="2"/>
        <v>10439</v>
      </c>
      <c r="H33" s="83"/>
      <c r="I33" s="390"/>
      <c r="J33" s="217"/>
      <c r="N33" s="268"/>
    </row>
    <row r="34" spans="1:14" s="1" customFormat="1" ht="14.4" customHeight="1" thickBot="1" x14ac:dyDescent="0.4">
      <c r="A34" s="301"/>
      <c r="B34" s="278"/>
      <c r="C34" s="302"/>
      <c r="D34" s="304">
        <f>SUM(D30:D33)</f>
        <v>124129000</v>
      </c>
      <c r="E34" s="302"/>
      <c r="F34" s="302"/>
      <c r="G34" s="299">
        <f>SUM(G30:G33)</f>
        <v>1711754</v>
      </c>
      <c r="H34" s="302"/>
      <c r="I34" s="292"/>
      <c r="J34" s="296"/>
      <c r="K34" s="280"/>
      <c r="L34" s="280"/>
      <c r="M34" s="280"/>
      <c r="N34" s="284"/>
    </row>
    <row r="35" spans="1:14" s="1" customFormat="1" ht="14.5" x14ac:dyDescent="0.35">
      <c r="A35" s="89"/>
      <c r="B35" s="4"/>
      <c r="C35" s="20"/>
      <c r="D35" s="252"/>
      <c r="E35" s="20"/>
      <c r="F35" s="20"/>
      <c r="G35" s="100"/>
      <c r="H35" s="20"/>
      <c r="I35" s="15"/>
      <c r="J35" s="217"/>
    </row>
    <row r="36" spans="1:14" s="1" customFormat="1" ht="14.4" customHeight="1" thickBot="1" x14ac:dyDescent="0.4">
      <c r="A36" s="89"/>
      <c r="B36" s="4"/>
      <c r="C36" s="20"/>
      <c r="D36" s="4"/>
      <c r="E36" s="20"/>
      <c r="F36" s="20"/>
      <c r="G36" s="100"/>
      <c r="I36" s="15"/>
      <c r="J36" s="217"/>
    </row>
    <row r="37" spans="1:14" s="1" customFormat="1" ht="14.4" customHeight="1" x14ac:dyDescent="0.5">
      <c r="A37" s="262" t="s">
        <v>189</v>
      </c>
      <c r="B37" s="263"/>
      <c r="C37" s="264"/>
      <c r="D37" s="471" t="s">
        <v>110</v>
      </c>
      <c r="E37" s="471"/>
      <c r="F37" s="265"/>
      <c r="G37" s="282"/>
      <c r="H37" s="285"/>
      <c r="I37" s="289"/>
      <c r="J37" s="294"/>
      <c r="K37" s="297"/>
      <c r="L37" s="298"/>
    </row>
    <row r="38" spans="1:14" s="1" customFormat="1" ht="14.4" customHeight="1" x14ac:dyDescent="0.35">
      <c r="A38" s="267"/>
      <c r="B38" s="4"/>
      <c r="C38" s="87"/>
      <c r="D38" s="256"/>
      <c r="E38" s="89" t="s">
        <v>177</v>
      </c>
      <c r="F38" s="89" t="s">
        <v>178</v>
      </c>
      <c r="G38" s="89" t="s">
        <v>178</v>
      </c>
      <c r="H38" s="89" t="s">
        <v>179</v>
      </c>
      <c r="I38" s="89"/>
      <c r="J38" s="89"/>
      <c r="K38" s="89"/>
      <c r="L38" s="268"/>
    </row>
    <row r="39" spans="1:14" s="1" customFormat="1" ht="14.4" customHeight="1" x14ac:dyDescent="0.35">
      <c r="A39" s="240"/>
      <c r="B39" s="385" t="s">
        <v>47</v>
      </c>
      <c r="C39" s="386" t="s">
        <v>48</v>
      </c>
      <c r="D39" s="386" t="s">
        <v>49</v>
      </c>
      <c r="E39" s="387">
        <f>B40</f>
        <v>5000</v>
      </c>
      <c r="F39" s="387">
        <f>B41</f>
        <v>5000</v>
      </c>
      <c r="G39" s="387">
        <f>B42</f>
        <v>40000</v>
      </c>
      <c r="H39" s="387">
        <f>B43</f>
        <v>50000</v>
      </c>
      <c r="I39" s="387" t="s">
        <v>11</v>
      </c>
      <c r="J39" s="257"/>
      <c r="K39" s="257"/>
      <c r="L39" s="269"/>
    </row>
    <row r="40" spans="1:14" s="1" customFormat="1" ht="14.4" customHeight="1" x14ac:dyDescent="0.35">
      <c r="A40" s="270" t="s">
        <v>177</v>
      </c>
      <c r="B40" s="4">
        <f>Rates!D15</f>
        <v>5000</v>
      </c>
      <c r="C40" s="355">
        <v>149</v>
      </c>
      <c r="D40" s="323">
        <v>214700</v>
      </c>
      <c r="E40" s="258">
        <f>D40</f>
        <v>214700</v>
      </c>
      <c r="F40" s="258"/>
      <c r="G40" s="258"/>
      <c r="H40" s="258"/>
      <c r="I40" s="258">
        <f>SUM(E40:H40)</f>
        <v>214700</v>
      </c>
      <c r="J40" s="258"/>
      <c r="K40" s="258"/>
      <c r="L40" s="271"/>
    </row>
    <row r="41" spans="1:14" s="1" customFormat="1" ht="14.4" customHeight="1" x14ac:dyDescent="0.35">
      <c r="A41" s="270" t="s">
        <v>178</v>
      </c>
      <c r="B41" s="4">
        <f>Rates!D16</f>
        <v>5000</v>
      </c>
      <c r="C41" s="355">
        <v>56</v>
      </c>
      <c r="D41" s="323">
        <v>417400</v>
      </c>
      <c r="E41" s="258">
        <f>C41*E39</f>
        <v>280000</v>
      </c>
      <c r="F41" s="258">
        <f>D41-E41</f>
        <v>137400</v>
      </c>
      <c r="G41" s="258"/>
      <c r="H41" s="258"/>
      <c r="I41" s="258">
        <f t="shared" ref="I41:I43" si="3">SUM(E41:H41)</f>
        <v>417400</v>
      </c>
      <c r="J41" s="258"/>
      <c r="K41" s="258"/>
      <c r="L41" s="271"/>
    </row>
    <row r="42" spans="1:14" s="1" customFormat="1" ht="14.4" customHeight="1" x14ac:dyDescent="0.35">
      <c r="A42" s="270" t="s">
        <v>178</v>
      </c>
      <c r="B42" s="4">
        <f>Rates!D17</f>
        <v>40000</v>
      </c>
      <c r="C42" s="355">
        <v>80</v>
      </c>
      <c r="D42" s="323">
        <v>1355600</v>
      </c>
      <c r="E42" s="258">
        <f>C42*E39</f>
        <v>400000</v>
      </c>
      <c r="F42" s="258">
        <f>C42*F39</f>
        <v>400000</v>
      </c>
      <c r="G42" s="258">
        <f>D42-E42-F42</f>
        <v>555600</v>
      </c>
      <c r="H42" s="258"/>
      <c r="I42" s="258">
        <f t="shared" si="3"/>
        <v>1355600</v>
      </c>
      <c r="J42" s="258"/>
      <c r="K42" s="258"/>
      <c r="L42" s="271"/>
    </row>
    <row r="43" spans="1:14" s="1" customFormat="1" ht="14.4" customHeight="1" x14ac:dyDescent="0.5">
      <c r="A43" s="270" t="s">
        <v>179</v>
      </c>
      <c r="B43" s="4">
        <f>Rates!D18</f>
        <v>50000</v>
      </c>
      <c r="C43" s="329">
        <v>11</v>
      </c>
      <c r="D43" s="324">
        <v>811700</v>
      </c>
      <c r="E43" s="260">
        <f>C43*E39</f>
        <v>55000</v>
      </c>
      <c r="F43" s="260">
        <f>C43*F39</f>
        <v>55000</v>
      </c>
      <c r="G43" s="260">
        <f>C43*G39</f>
        <v>440000</v>
      </c>
      <c r="H43" s="260">
        <f>D43-E43-F43-G43</f>
        <v>261700</v>
      </c>
      <c r="I43" s="260">
        <f t="shared" si="3"/>
        <v>811700</v>
      </c>
      <c r="J43" s="260"/>
      <c r="K43" s="260"/>
      <c r="L43" s="272"/>
    </row>
    <row r="44" spans="1:14" s="1" customFormat="1" ht="14.4" customHeight="1" x14ac:dyDescent="0.35">
      <c r="A44" s="270"/>
      <c r="B44" s="4"/>
      <c r="C44" s="20">
        <f>SUM(C40:C43)</f>
        <v>296</v>
      </c>
      <c r="D44" s="4">
        <f>SUM(D40:D43)</f>
        <v>2799400</v>
      </c>
      <c r="E44" s="4">
        <f>SUM(E40:E43)</f>
        <v>949700</v>
      </c>
      <c r="F44" s="4">
        <f>SUM(F40:F43)</f>
        <v>592400</v>
      </c>
      <c r="G44" s="4">
        <f>SUM(G40:G43)</f>
        <v>995600</v>
      </c>
      <c r="H44" s="4">
        <f t="shared" ref="H44:I44" si="4">SUM(H40:H43)</f>
        <v>261700</v>
      </c>
      <c r="I44" s="4">
        <f t="shared" si="4"/>
        <v>2799400</v>
      </c>
      <c r="J44" s="4"/>
      <c r="K44" s="4"/>
      <c r="L44" s="271"/>
    </row>
    <row r="45" spans="1:14" s="1" customFormat="1" ht="14.4" customHeight="1" x14ac:dyDescent="0.35">
      <c r="A45" s="270"/>
      <c r="B45" s="4"/>
      <c r="C45" s="20"/>
      <c r="D45" s="4"/>
      <c r="E45" s="4"/>
      <c r="F45" s="4"/>
      <c r="G45" s="4"/>
      <c r="H45" s="4"/>
      <c r="I45" s="4"/>
      <c r="J45" s="4"/>
      <c r="K45" s="4"/>
      <c r="L45" s="271"/>
      <c r="M45" s="4"/>
    </row>
    <row r="46" spans="1:14" s="1" customFormat="1" ht="14.4" customHeight="1" x14ac:dyDescent="0.35">
      <c r="A46" s="267" t="s">
        <v>188</v>
      </c>
      <c r="C46" s="114"/>
      <c r="D46" s="473" t="s">
        <v>110</v>
      </c>
      <c r="E46" s="473"/>
      <c r="F46" s="114"/>
      <c r="G46" s="114"/>
      <c r="I46" s="15"/>
      <c r="J46" s="217"/>
      <c r="L46" s="268"/>
    </row>
    <row r="47" spans="1:14" s="1" customFormat="1" ht="14.4" customHeight="1" x14ac:dyDescent="0.35">
      <c r="A47" s="240"/>
      <c r="B47" s="94" t="s">
        <v>47</v>
      </c>
      <c r="C47" s="81" t="s">
        <v>48</v>
      </c>
      <c r="D47" s="81" t="s">
        <v>49</v>
      </c>
      <c r="E47" s="472" t="s">
        <v>51</v>
      </c>
      <c r="F47" s="472"/>
      <c r="G47" s="99" t="s">
        <v>52</v>
      </c>
      <c r="I47" s="15"/>
      <c r="J47" s="217"/>
      <c r="L47" s="268"/>
    </row>
    <row r="48" spans="1:14" s="1" customFormat="1" ht="14.4" customHeight="1" x14ac:dyDescent="0.35">
      <c r="A48" s="270" t="s">
        <v>177</v>
      </c>
      <c r="B48" s="4">
        <f>Rates!D15</f>
        <v>5000</v>
      </c>
      <c r="C48" s="82">
        <f>C44</f>
        <v>296</v>
      </c>
      <c r="D48" s="82">
        <f>E44</f>
        <v>949700</v>
      </c>
      <c r="E48" s="229">
        <f>Rates!F15</f>
        <v>62.98</v>
      </c>
      <c r="F48" s="44" t="s">
        <v>104</v>
      </c>
      <c r="G48" s="100">
        <f>ROUND(C48*E48,0)</f>
        <v>18642</v>
      </c>
      <c r="I48" s="390"/>
      <c r="J48" s="217"/>
      <c r="L48" s="268"/>
    </row>
    <row r="49" spans="1:12" s="1" customFormat="1" ht="14.4" customHeight="1" x14ac:dyDescent="0.35">
      <c r="A49" s="270" t="s">
        <v>178</v>
      </c>
      <c r="B49" s="4">
        <f>Rates!D16</f>
        <v>5000</v>
      </c>
      <c r="D49" s="82">
        <f>F44</f>
        <v>592400</v>
      </c>
      <c r="E49" s="230">
        <f>Rates!F16</f>
        <v>1.1639999999999999E-2</v>
      </c>
      <c r="F49" s="44" t="s">
        <v>175</v>
      </c>
      <c r="G49" s="100">
        <f t="shared" ref="G49:G51" si="5">ROUND(D49*E49,0)</f>
        <v>6896</v>
      </c>
      <c r="I49" s="390"/>
      <c r="J49" s="217"/>
      <c r="L49" s="268"/>
    </row>
    <row r="50" spans="1:12" s="1" customFormat="1" ht="14.4" customHeight="1" x14ac:dyDescent="0.35">
      <c r="A50" s="270" t="s">
        <v>178</v>
      </c>
      <c r="B50" s="4">
        <f>Rates!D17</f>
        <v>40000</v>
      </c>
      <c r="D50" s="82">
        <f>G44</f>
        <v>995600</v>
      </c>
      <c r="E50" s="230">
        <f>Rates!F17</f>
        <v>1.0330000000000001E-2</v>
      </c>
      <c r="F50" s="44" t="s">
        <v>175</v>
      </c>
      <c r="G50" s="100">
        <f t="shared" si="5"/>
        <v>10285</v>
      </c>
      <c r="I50" s="390"/>
      <c r="J50" s="217"/>
      <c r="L50" s="268"/>
    </row>
    <row r="51" spans="1:12" s="1" customFormat="1" ht="14.4" customHeight="1" x14ac:dyDescent="0.5">
      <c r="A51" s="276" t="s">
        <v>179</v>
      </c>
      <c r="B51" s="4">
        <f>Rates!D18</f>
        <v>50000</v>
      </c>
      <c r="C51" s="75"/>
      <c r="D51" s="261">
        <f>H44</f>
        <v>261700</v>
      </c>
      <c r="E51" s="230">
        <f>Rates!F18</f>
        <v>9.0299999999999998E-3</v>
      </c>
      <c r="F51" s="44" t="s">
        <v>175</v>
      </c>
      <c r="G51" s="101">
        <f t="shared" si="5"/>
        <v>2363</v>
      </c>
      <c r="I51" s="390"/>
      <c r="J51" s="217"/>
      <c r="L51" s="268"/>
    </row>
    <row r="52" spans="1:12" s="1" customFormat="1" ht="14.4" customHeight="1" thickBot="1" x14ac:dyDescent="0.4">
      <c r="A52" s="277"/>
      <c r="B52" s="278"/>
      <c r="C52" s="292"/>
      <c r="D52" s="278">
        <f>SUM(D48:D51)</f>
        <v>2799400</v>
      </c>
      <c r="E52" s="280"/>
      <c r="F52" s="280"/>
      <c r="G52" s="299">
        <f>SUM(G48:G51)</f>
        <v>38186</v>
      </c>
      <c r="H52" s="280"/>
      <c r="I52" s="391"/>
      <c r="J52" s="296"/>
      <c r="K52" s="280"/>
      <c r="L52" s="284"/>
    </row>
    <row r="53" spans="1:12" s="1" customFormat="1" ht="14.4" customHeight="1" thickBot="1" x14ac:dyDescent="0.4">
      <c r="B53" s="4"/>
      <c r="C53" s="15"/>
      <c r="D53" s="4"/>
      <c r="G53" s="100"/>
      <c r="I53" s="15"/>
      <c r="J53" s="217"/>
    </row>
    <row r="54" spans="1:12" s="1" customFormat="1" ht="14.4" customHeight="1" x14ac:dyDescent="0.5">
      <c r="A54" s="262" t="s">
        <v>189</v>
      </c>
      <c r="B54" s="263"/>
      <c r="C54" s="264"/>
      <c r="D54" s="471" t="s">
        <v>111</v>
      </c>
      <c r="E54" s="471"/>
      <c r="F54" s="265"/>
      <c r="G54" s="282"/>
      <c r="H54" s="285"/>
      <c r="I54" s="289"/>
      <c r="J54" s="294"/>
      <c r="K54" s="295"/>
      <c r="L54" s="88"/>
    </row>
    <row r="55" spans="1:12" s="1" customFormat="1" ht="14.4" customHeight="1" x14ac:dyDescent="0.35">
      <c r="A55" s="267"/>
      <c r="B55" s="4"/>
      <c r="C55" s="87"/>
      <c r="D55" s="256"/>
      <c r="E55" s="89" t="s">
        <v>177</v>
      </c>
      <c r="F55" s="89" t="s">
        <v>178</v>
      </c>
      <c r="G55" s="89" t="s">
        <v>179</v>
      </c>
      <c r="H55" s="89"/>
      <c r="I55" s="89"/>
      <c r="J55" s="89"/>
      <c r="K55" s="268"/>
    </row>
    <row r="56" spans="1:12" s="1" customFormat="1" ht="14.4" customHeight="1" x14ac:dyDescent="0.35">
      <c r="A56" s="240"/>
      <c r="B56" s="385" t="s">
        <v>47</v>
      </c>
      <c r="C56" s="386" t="s">
        <v>48</v>
      </c>
      <c r="D56" s="386" t="s">
        <v>49</v>
      </c>
      <c r="E56" s="387">
        <f>B57</f>
        <v>10000</v>
      </c>
      <c r="F56" s="387">
        <f>B58</f>
        <v>40000</v>
      </c>
      <c r="G56" s="387">
        <f>B59</f>
        <v>50000</v>
      </c>
      <c r="H56" s="387" t="s">
        <v>11</v>
      </c>
      <c r="I56" s="257"/>
      <c r="J56" s="257"/>
      <c r="K56" s="269"/>
    </row>
    <row r="57" spans="1:12" s="1" customFormat="1" ht="14.4" customHeight="1" x14ac:dyDescent="0.35">
      <c r="A57" s="270" t="s">
        <v>177</v>
      </c>
      <c r="B57" s="4">
        <f>Rates!D21</f>
        <v>10000</v>
      </c>
      <c r="C57" s="355">
        <v>11</v>
      </c>
      <c r="D57" s="323">
        <v>79500</v>
      </c>
      <c r="E57" s="258">
        <f>D57</f>
        <v>79500</v>
      </c>
      <c r="F57" s="258"/>
      <c r="G57" s="258"/>
      <c r="H57" s="258">
        <f>SUM(E57:G57)</f>
        <v>79500</v>
      </c>
      <c r="I57" s="258"/>
      <c r="J57" s="258"/>
      <c r="K57" s="271"/>
    </row>
    <row r="58" spans="1:12" s="1" customFormat="1" ht="14.4" customHeight="1" x14ac:dyDescent="0.35">
      <c r="A58" s="270" t="s">
        <v>178</v>
      </c>
      <c r="B58" s="4">
        <f>Rates!D22</f>
        <v>40000</v>
      </c>
      <c r="C58" s="355">
        <v>1</v>
      </c>
      <c r="D58" s="323">
        <v>23600</v>
      </c>
      <c r="E58" s="258">
        <v>23600</v>
      </c>
      <c r="F58" s="258">
        <f>D58-E58</f>
        <v>0</v>
      </c>
      <c r="G58" s="258"/>
      <c r="H58" s="258">
        <f t="shared" ref="H58:H59" si="6">SUM(E58:G58)</f>
        <v>23600</v>
      </c>
      <c r="I58" s="258"/>
      <c r="J58" s="258"/>
      <c r="K58" s="271"/>
    </row>
    <row r="59" spans="1:12" s="1" customFormat="1" ht="14.4" customHeight="1" x14ac:dyDescent="0.5">
      <c r="A59" s="270" t="s">
        <v>179</v>
      </c>
      <c r="B59" s="4">
        <f>Rates!D23</f>
        <v>50000</v>
      </c>
      <c r="C59" s="83"/>
      <c r="D59" s="38"/>
      <c r="E59" s="260">
        <f>C59*E56</f>
        <v>0</v>
      </c>
      <c r="F59" s="260">
        <f>C59*F56</f>
        <v>0</v>
      </c>
      <c r="G59" s="260">
        <f>D59-E59-F59</f>
        <v>0</v>
      </c>
      <c r="H59" s="260">
        <f t="shared" si="6"/>
        <v>0</v>
      </c>
      <c r="I59" s="260"/>
      <c r="J59" s="260"/>
      <c r="K59" s="272"/>
    </row>
    <row r="60" spans="1:12" s="1" customFormat="1" ht="14.4" customHeight="1" x14ac:dyDescent="0.35">
      <c r="A60" s="270"/>
      <c r="B60" s="4"/>
      <c r="C60" s="20">
        <f>SUM(C57:C59)</f>
        <v>12</v>
      </c>
      <c r="D60" s="20">
        <f>SUM(D57:D59)</f>
        <v>103100</v>
      </c>
      <c r="E60" s="4">
        <f>SUM(E57:E59)</f>
        <v>103100</v>
      </c>
      <c r="F60" s="4">
        <f>SUM(F57:F59)</f>
        <v>0</v>
      </c>
      <c r="G60" s="4">
        <f t="shared" ref="G60:H60" si="7">SUM(G57:G59)</f>
        <v>0</v>
      </c>
      <c r="H60" s="4">
        <f t="shared" si="7"/>
        <v>103100</v>
      </c>
      <c r="I60" s="4"/>
      <c r="J60" s="4"/>
      <c r="K60" s="271"/>
    </row>
    <row r="61" spans="1:12" s="1" customFormat="1" ht="14.4" customHeight="1" x14ac:dyDescent="0.35">
      <c r="A61" s="240"/>
      <c r="B61" s="4"/>
      <c r="G61" s="42"/>
      <c r="I61" s="15"/>
      <c r="J61" s="217"/>
      <c r="K61" s="268"/>
    </row>
    <row r="62" spans="1:12" s="1" customFormat="1" ht="14.4" customHeight="1" x14ac:dyDescent="0.35">
      <c r="A62" s="267" t="s">
        <v>188</v>
      </c>
      <c r="B62" s="4"/>
      <c r="C62" s="87"/>
      <c r="D62" s="473" t="s">
        <v>111</v>
      </c>
      <c r="E62" s="473"/>
      <c r="F62" s="114"/>
      <c r="G62" s="114"/>
      <c r="I62" s="15"/>
      <c r="J62" s="217"/>
      <c r="K62" s="268"/>
    </row>
    <row r="63" spans="1:12" s="1" customFormat="1" ht="14.4" customHeight="1" x14ac:dyDescent="0.35">
      <c r="A63" s="240"/>
      <c r="B63" s="94" t="s">
        <v>47</v>
      </c>
      <c r="C63" s="81" t="s">
        <v>48</v>
      </c>
      <c r="D63" s="81" t="s">
        <v>49</v>
      </c>
      <c r="E63" s="472" t="s">
        <v>51</v>
      </c>
      <c r="F63" s="472"/>
      <c r="G63" s="99" t="s">
        <v>52</v>
      </c>
      <c r="I63" s="15"/>
      <c r="J63" s="217"/>
      <c r="K63" s="268"/>
    </row>
    <row r="64" spans="1:12" s="1" customFormat="1" ht="14.4" customHeight="1" x14ac:dyDescent="0.35">
      <c r="A64" s="270" t="s">
        <v>177</v>
      </c>
      <c r="B64" s="4">
        <f>Rates!D21</f>
        <v>10000</v>
      </c>
      <c r="C64" s="82">
        <f>C60</f>
        <v>12</v>
      </c>
      <c r="D64" s="82">
        <f>E60</f>
        <v>103100</v>
      </c>
      <c r="E64" s="74">
        <f>Rates!F21</f>
        <v>121.16</v>
      </c>
      <c r="F64" s="44" t="s">
        <v>104</v>
      </c>
      <c r="G64" s="100">
        <f>ROUND(C64*E64,0)</f>
        <v>1454</v>
      </c>
      <c r="I64" s="390"/>
      <c r="J64" s="217"/>
      <c r="K64" s="268"/>
    </row>
    <row r="65" spans="1:11" s="1" customFormat="1" ht="14.4" customHeight="1" x14ac:dyDescent="0.35">
      <c r="A65" s="270" t="s">
        <v>178</v>
      </c>
      <c r="B65" s="4">
        <f>Rates!D22</f>
        <v>40000</v>
      </c>
      <c r="D65" s="82">
        <f>F60</f>
        <v>0</v>
      </c>
      <c r="E65" s="250">
        <f>Rates!F22</f>
        <v>1.0330000000000001E-2</v>
      </c>
      <c r="F65" s="44" t="s">
        <v>175</v>
      </c>
      <c r="G65" s="100">
        <f t="shared" ref="G65:G66" si="8">ROUND(D65*E65,0)</f>
        <v>0</v>
      </c>
      <c r="I65" s="390"/>
      <c r="J65" s="217"/>
      <c r="K65" s="268"/>
    </row>
    <row r="66" spans="1:11" s="1" customFormat="1" ht="14.4" customHeight="1" x14ac:dyDescent="0.5">
      <c r="A66" s="276" t="s">
        <v>179</v>
      </c>
      <c r="B66" s="4">
        <f>Rates!D23</f>
        <v>50000</v>
      </c>
      <c r="C66" s="75"/>
      <c r="D66" s="261">
        <f>G60</f>
        <v>0</v>
      </c>
      <c r="E66" s="250">
        <f>Rates!F23</f>
        <v>9.0299999999999998E-3</v>
      </c>
      <c r="F66" s="44" t="s">
        <v>175</v>
      </c>
      <c r="G66" s="101">
        <f t="shared" si="8"/>
        <v>0</v>
      </c>
      <c r="I66" s="390"/>
      <c r="J66" s="217"/>
      <c r="K66" s="268"/>
    </row>
    <row r="67" spans="1:11" s="1" customFormat="1" ht="14.4" customHeight="1" thickBot="1" x14ac:dyDescent="0.4">
      <c r="A67" s="277"/>
      <c r="B67" s="278"/>
      <c r="C67" s="279"/>
      <c r="D67" s="278">
        <f>SUM(D64:D66)</f>
        <v>103100</v>
      </c>
      <c r="E67" s="280"/>
      <c r="F67" s="280"/>
      <c r="G67" s="279">
        <f>SUM(G64:G66)</f>
        <v>1454</v>
      </c>
      <c r="H67" s="280"/>
      <c r="I67" s="292"/>
      <c r="J67" s="296"/>
      <c r="K67" s="284"/>
    </row>
    <row r="68" spans="1:11" s="1" customFormat="1" ht="14.4" customHeight="1" thickBot="1" x14ac:dyDescent="0.4">
      <c r="B68" s="4"/>
      <c r="C68" s="204"/>
      <c r="D68" s="4"/>
      <c r="G68" s="204"/>
      <c r="I68" s="15"/>
      <c r="J68" s="217"/>
    </row>
    <row r="69" spans="1:11" s="1" customFormat="1" ht="14.4" customHeight="1" x14ac:dyDescent="0.5">
      <c r="A69" s="262" t="s">
        <v>189</v>
      </c>
      <c r="B69" s="263"/>
      <c r="C69" s="264"/>
      <c r="D69" s="471" t="s">
        <v>112</v>
      </c>
      <c r="E69" s="471"/>
      <c r="F69" s="265"/>
      <c r="G69" s="282"/>
      <c r="H69" s="285"/>
      <c r="I69" s="289"/>
      <c r="J69" s="290"/>
      <c r="K69" s="84"/>
    </row>
    <row r="70" spans="1:11" s="1" customFormat="1" ht="14.4" customHeight="1" x14ac:dyDescent="0.35">
      <c r="A70" s="267"/>
      <c r="B70" s="4"/>
      <c r="C70" s="87"/>
      <c r="D70" s="256"/>
      <c r="E70" s="89" t="s">
        <v>177</v>
      </c>
      <c r="F70" s="89" t="s">
        <v>178</v>
      </c>
      <c r="G70" s="89" t="s">
        <v>179</v>
      </c>
      <c r="H70" s="89"/>
      <c r="I70" s="89"/>
      <c r="J70" s="268"/>
    </row>
    <row r="71" spans="1:11" s="1" customFormat="1" ht="14.4" customHeight="1" x14ac:dyDescent="0.35">
      <c r="A71" s="240"/>
      <c r="B71" s="385" t="s">
        <v>47</v>
      </c>
      <c r="C71" s="386" t="s">
        <v>48</v>
      </c>
      <c r="D71" s="386" t="s">
        <v>49</v>
      </c>
      <c r="E71" s="387">
        <f>B72</f>
        <v>20000</v>
      </c>
      <c r="F71" s="387">
        <f>B73</f>
        <v>30000</v>
      </c>
      <c r="G71" s="387">
        <f>B74</f>
        <v>50000</v>
      </c>
      <c r="H71" s="387" t="s">
        <v>11</v>
      </c>
      <c r="I71" s="257"/>
      <c r="J71" s="269"/>
    </row>
    <row r="72" spans="1:11" s="1" customFormat="1" ht="14.4" customHeight="1" x14ac:dyDescent="0.35">
      <c r="A72" s="270" t="s">
        <v>177</v>
      </c>
      <c r="B72" s="4">
        <f>Rates!D26</f>
        <v>20000</v>
      </c>
      <c r="C72" s="355">
        <v>13</v>
      </c>
      <c r="D72" s="323">
        <v>75800</v>
      </c>
      <c r="E72" s="258">
        <f>D72</f>
        <v>75800</v>
      </c>
      <c r="F72" s="258"/>
      <c r="G72" s="258"/>
      <c r="H72" s="258">
        <f>SUM(E72:G72)</f>
        <v>75800</v>
      </c>
      <c r="I72" s="258"/>
      <c r="J72" s="271"/>
    </row>
    <row r="73" spans="1:11" s="1" customFormat="1" ht="14.4" customHeight="1" x14ac:dyDescent="0.35">
      <c r="A73" s="270" t="s">
        <v>178</v>
      </c>
      <c r="B73" s="4">
        <v>30000</v>
      </c>
      <c r="C73" s="355">
        <v>1</v>
      </c>
      <c r="D73" s="323">
        <f>39400+9500</f>
        <v>48900</v>
      </c>
      <c r="E73" s="258">
        <f>C73*E71</f>
        <v>20000</v>
      </c>
      <c r="F73" s="258">
        <f>D73-E73</f>
        <v>28900</v>
      </c>
      <c r="G73" s="258"/>
      <c r="H73" s="258">
        <f t="shared" ref="H73:H74" si="9">SUM(E73:G73)</f>
        <v>48900</v>
      </c>
      <c r="I73" s="258"/>
      <c r="J73" s="271"/>
    </row>
    <row r="74" spans="1:11" s="1" customFormat="1" ht="14.4" customHeight="1" x14ac:dyDescent="0.5">
      <c r="A74" s="270" t="s">
        <v>179</v>
      </c>
      <c r="B74" s="4">
        <f>Rates!D28</f>
        <v>50000</v>
      </c>
      <c r="C74" s="83">
        <v>0</v>
      </c>
      <c r="D74" s="324"/>
      <c r="E74" s="260">
        <f>C74*E71</f>
        <v>0</v>
      </c>
      <c r="F74" s="260">
        <f>D74-E74</f>
        <v>0</v>
      </c>
      <c r="G74" s="260">
        <f>D74-E74-F74</f>
        <v>0</v>
      </c>
      <c r="H74" s="260">
        <f t="shared" si="9"/>
        <v>0</v>
      </c>
      <c r="I74" s="260"/>
      <c r="J74" s="272"/>
    </row>
    <row r="75" spans="1:11" s="1" customFormat="1" ht="14.4" customHeight="1" x14ac:dyDescent="0.35">
      <c r="A75" s="270"/>
      <c r="B75" s="4"/>
      <c r="C75" s="20">
        <f>SUM(C72:C74)</f>
        <v>14</v>
      </c>
      <c r="D75" s="4">
        <f>SUM(D72:D74)</f>
        <v>124700</v>
      </c>
      <c r="E75" s="4">
        <f>SUM(E72:E74)</f>
        <v>95800</v>
      </c>
      <c r="F75" s="4">
        <f t="shared" ref="F75:H75" si="10">SUM(F72:F74)</f>
        <v>28900</v>
      </c>
      <c r="G75" s="4">
        <f t="shared" si="10"/>
        <v>0</v>
      </c>
      <c r="H75" s="4">
        <f t="shared" si="10"/>
        <v>124700</v>
      </c>
      <c r="I75" s="4"/>
      <c r="J75" s="271"/>
    </row>
    <row r="76" spans="1:11" s="1" customFormat="1" ht="14.4" customHeight="1" x14ac:dyDescent="0.35">
      <c r="A76" s="240"/>
      <c r="B76" s="4"/>
      <c r="G76" s="42"/>
      <c r="I76" s="15"/>
      <c r="J76" s="291"/>
    </row>
    <row r="77" spans="1:11" s="1" customFormat="1" ht="14.4" customHeight="1" x14ac:dyDescent="0.35">
      <c r="A77" s="267" t="s">
        <v>188</v>
      </c>
      <c r="B77" s="114"/>
      <c r="C77" s="114"/>
      <c r="D77" s="473" t="s">
        <v>112</v>
      </c>
      <c r="E77" s="473"/>
      <c r="F77" s="114"/>
      <c r="G77" s="114"/>
      <c r="I77" s="15"/>
      <c r="J77" s="291"/>
    </row>
    <row r="78" spans="1:11" s="1" customFormat="1" ht="14.4" customHeight="1" x14ac:dyDescent="0.35">
      <c r="A78" s="240"/>
      <c r="B78" s="385" t="s">
        <v>47</v>
      </c>
      <c r="C78" s="386" t="s">
        <v>48</v>
      </c>
      <c r="D78" s="386" t="s">
        <v>49</v>
      </c>
      <c r="E78" s="474" t="s">
        <v>51</v>
      </c>
      <c r="F78" s="474"/>
      <c r="G78" s="388" t="s">
        <v>52</v>
      </c>
      <c r="I78" s="15"/>
      <c r="J78" s="291"/>
    </row>
    <row r="79" spans="1:11" s="1" customFormat="1" ht="14.4" customHeight="1" x14ac:dyDescent="0.35">
      <c r="A79" s="270" t="s">
        <v>177</v>
      </c>
      <c r="B79" s="4">
        <f>Rates!D26</f>
        <v>20000</v>
      </c>
      <c r="C79" s="82">
        <f>C75</f>
        <v>14</v>
      </c>
      <c r="D79" s="82">
        <f>E75</f>
        <v>95800</v>
      </c>
      <c r="E79" s="74">
        <f>Rates!F26</f>
        <v>224.5</v>
      </c>
      <c r="F79" s="44" t="s">
        <v>104</v>
      </c>
      <c r="G79" s="100">
        <f>ROUND(C79*E79,0)</f>
        <v>3143</v>
      </c>
      <c r="I79" s="15"/>
      <c r="J79" s="291"/>
    </row>
    <row r="80" spans="1:11" s="1" customFormat="1" ht="14.4" customHeight="1" x14ac:dyDescent="0.35">
      <c r="A80" s="270" t="s">
        <v>178</v>
      </c>
      <c r="B80" s="4">
        <f>Rates!D27</f>
        <v>30000</v>
      </c>
      <c r="C80" s="82"/>
      <c r="D80" s="82">
        <f>F75</f>
        <v>28900</v>
      </c>
      <c r="E80" s="251">
        <f>Rates!F27</f>
        <v>1.0330000000000001E-2</v>
      </c>
      <c r="F80" s="44" t="s">
        <v>175</v>
      </c>
      <c r="G80" s="100">
        <f t="shared" ref="G80:G81" si="11">ROUND(D80*E80,0)</f>
        <v>299</v>
      </c>
      <c r="I80" s="15"/>
      <c r="J80" s="291"/>
    </row>
    <row r="81" spans="1:10" s="1" customFormat="1" ht="14.4" customHeight="1" x14ac:dyDescent="0.5">
      <c r="A81" s="276" t="s">
        <v>179</v>
      </c>
      <c r="B81" s="4">
        <f>Rates!D28</f>
        <v>50000</v>
      </c>
      <c r="C81" s="75"/>
      <c r="D81" s="261">
        <f>G75</f>
        <v>0</v>
      </c>
      <c r="E81" s="250">
        <f>Rates!F28</f>
        <v>9.0299999999999998E-3</v>
      </c>
      <c r="F81" s="44" t="s">
        <v>175</v>
      </c>
      <c r="G81" s="101">
        <f t="shared" si="11"/>
        <v>0</v>
      </c>
      <c r="I81" s="15"/>
      <c r="J81" s="291"/>
    </row>
    <row r="82" spans="1:10" s="1" customFormat="1" ht="14.4" customHeight="1" thickBot="1" x14ac:dyDescent="0.4">
      <c r="A82" s="277"/>
      <c r="B82" s="278"/>
      <c r="C82" s="279"/>
      <c r="D82" s="278">
        <f>SUM(D79:D81)</f>
        <v>124700</v>
      </c>
      <c r="E82" s="280"/>
      <c r="F82" s="280"/>
      <c r="G82" s="279">
        <f>SUM(G79:G81)</f>
        <v>3442</v>
      </c>
      <c r="H82" s="280"/>
      <c r="I82" s="292"/>
      <c r="J82" s="293"/>
    </row>
    <row r="83" spans="1:10" s="1" customFormat="1" ht="14.4" customHeight="1" thickBot="1" x14ac:dyDescent="0.4">
      <c r="B83" s="4"/>
      <c r="C83" s="367" t="s">
        <v>250</v>
      </c>
      <c r="D83" s="368"/>
      <c r="E83" s="369"/>
      <c r="F83" s="369"/>
      <c r="G83" s="204"/>
      <c r="I83" s="15"/>
      <c r="J83" s="217"/>
    </row>
    <row r="84" spans="1:10" s="1" customFormat="1" ht="14.4" customHeight="1" x14ac:dyDescent="0.35">
      <c r="A84" s="262" t="s">
        <v>189</v>
      </c>
      <c r="B84" s="263"/>
      <c r="C84" s="264"/>
      <c r="D84" s="471" t="s">
        <v>185</v>
      </c>
      <c r="E84" s="471"/>
      <c r="F84" s="265"/>
      <c r="G84" s="282"/>
      <c r="H84" s="285"/>
      <c r="I84" s="286"/>
      <c r="J84" s="222"/>
    </row>
    <row r="85" spans="1:10" s="1" customFormat="1" ht="14.4" customHeight="1" x14ac:dyDescent="0.35">
      <c r="A85" s="267"/>
      <c r="B85" s="4"/>
      <c r="C85" s="87"/>
      <c r="D85" s="256"/>
      <c r="E85" s="89" t="s">
        <v>177</v>
      </c>
      <c r="F85" s="1" t="s">
        <v>178</v>
      </c>
      <c r="G85" s="89" t="s">
        <v>179</v>
      </c>
      <c r="H85" s="89"/>
      <c r="I85" s="268"/>
    </row>
    <row r="86" spans="1:10" s="1" customFormat="1" ht="14.4" customHeight="1" x14ac:dyDescent="0.35">
      <c r="A86" s="240"/>
      <c r="B86" s="94" t="s">
        <v>47</v>
      </c>
      <c r="C86" s="81" t="s">
        <v>48</v>
      </c>
      <c r="D86" s="81" t="s">
        <v>49</v>
      </c>
      <c r="E86" s="257">
        <f>B87</f>
        <v>30000</v>
      </c>
      <c r="F86" s="82">
        <f>B88</f>
        <v>20000</v>
      </c>
      <c r="G86" s="257">
        <f>B89</f>
        <v>50000</v>
      </c>
      <c r="H86" s="257" t="s">
        <v>11</v>
      </c>
      <c r="I86" s="269"/>
    </row>
    <row r="87" spans="1:10" s="1" customFormat="1" ht="14.4" customHeight="1" x14ac:dyDescent="0.35">
      <c r="A87" s="270" t="s">
        <v>177</v>
      </c>
      <c r="B87" s="4">
        <f>Rates!D31</f>
        <v>30000</v>
      </c>
      <c r="C87" s="20"/>
      <c r="D87" s="4">
        <v>0</v>
      </c>
      <c r="E87" s="258">
        <f>D87</f>
        <v>0</v>
      </c>
      <c r="F87" s="258"/>
      <c r="G87" s="258">
        <f>SUM(E87:F87)</f>
        <v>0</v>
      </c>
      <c r="H87" s="258"/>
      <c r="I87" s="271"/>
    </row>
    <row r="88" spans="1:10" s="1" customFormat="1" ht="14.4" customHeight="1" x14ac:dyDescent="0.35">
      <c r="A88" s="270" t="s">
        <v>178</v>
      </c>
      <c r="B88" s="4">
        <f>Rates!D32</f>
        <v>20000</v>
      </c>
      <c r="C88" s="20"/>
      <c r="D88" s="4"/>
      <c r="E88" s="258">
        <f>B88*C88</f>
        <v>0</v>
      </c>
      <c r="F88" s="258">
        <f>D88-E88</f>
        <v>0</v>
      </c>
      <c r="G88" s="258"/>
      <c r="H88" s="258"/>
      <c r="I88" s="271"/>
    </row>
    <row r="89" spans="1:10" s="1" customFormat="1" ht="14.4" customHeight="1" x14ac:dyDescent="0.5">
      <c r="A89" s="270" t="s">
        <v>179</v>
      </c>
      <c r="B89" s="4">
        <f>Rates!D33</f>
        <v>50000</v>
      </c>
      <c r="C89" s="83"/>
      <c r="D89" s="38">
        <v>0</v>
      </c>
      <c r="E89" s="260">
        <f>C89*E86</f>
        <v>0</v>
      </c>
      <c r="F89" s="260">
        <f>C89*F86</f>
        <v>0</v>
      </c>
      <c r="G89" s="260">
        <f>D89-E89-F89</f>
        <v>0</v>
      </c>
      <c r="H89" s="260"/>
      <c r="I89" s="272"/>
    </row>
    <row r="90" spans="1:10" s="1" customFormat="1" ht="14.4" customHeight="1" x14ac:dyDescent="0.35">
      <c r="A90" s="270"/>
      <c r="B90" s="4"/>
      <c r="C90" s="20">
        <f>SUM(C87:C89)</f>
        <v>0</v>
      </c>
      <c r="D90" s="4">
        <f>SUM(D87:D89)</f>
        <v>0</v>
      </c>
      <c r="E90" s="4">
        <f>SUM(E87:E89)</f>
        <v>0</v>
      </c>
      <c r="F90" s="4">
        <f t="shared" ref="F90:G90" si="12">SUM(F87:F89)</f>
        <v>0</v>
      </c>
      <c r="G90" s="4">
        <f t="shared" si="12"/>
        <v>0</v>
      </c>
      <c r="H90" s="4"/>
      <c r="I90" s="271"/>
    </row>
    <row r="91" spans="1:10" s="1" customFormat="1" ht="14.4" customHeight="1" x14ac:dyDescent="0.35">
      <c r="A91" s="240"/>
      <c r="B91" s="4"/>
      <c r="G91" s="42"/>
      <c r="I91" s="287"/>
      <c r="J91" s="217"/>
    </row>
    <row r="92" spans="1:10" s="1" customFormat="1" ht="14.4" customHeight="1" x14ac:dyDescent="0.35">
      <c r="A92" s="267" t="s">
        <v>188</v>
      </c>
      <c r="C92" s="114"/>
      <c r="D92" s="473" t="s">
        <v>185</v>
      </c>
      <c r="E92" s="473"/>
      <c r="F92" s="114"/>
      <c r="G92" s="114"/>
      <c r="I92" s="287"/>
      <c r="J92" s="217"/>
    </row>
    <row r="93" spans="1:10" s="1" customFormat="1" ht="14.4" customHeight="1" x14ac:dyDescent="0.35">
      <c r="A93" s="240"/>
      <c r="B93" s="94" t="s">
        <v>47</v>
      </c>
      <c r="C93" s="81" t="s">
        <v>48</v>
      </c>
      <c r="D93" s="81" t="s">
        <v>49</v>
      </c>
      <c r="E93" s="472" t="s">
        <v>51</v>
      </c>
      <c r="F93" s="472"/>
      <c r="G93" s="99" t="s">
        <v>52</v>
      </c>
      <c r="I93" s="287"/>
      <c r="J93" s="217"/>
    </row>
    <row r="94" spans="1:10" s="1" customFormat="1" ht="14.4" customHeight="1" x14ac:dyDescent="0.35">
      <c r="A94" s="270" t="s">
        <v>177</v>
      </c>
      <c r="B94" s="4">
        <f>Rates!D31</f>
        <v>30000</v>
      </c>
      <c r="C94" s="82">
        <f>C90</f>
        <v>0</v>
      </c>
      <c r="D94" s="82">
        <f>E90</f>
        <v>0</v>
      </c>
      <c r="E94" s="74">
        <f>Rates!F31</f>
        <v>327.83</v>
      </c>
      <c r="F94" s="44" t="s">
        <v>104</v>
      </c>
      <c r="G94" s="100">
        <f>ROUND(C94*E94,0)</f>
        <v>0</v>
      </c>
      <c r="I94" s="287"/>
      <c r="J94" s="217"/>
    </row>
    <row r="95" spans="1:10" s="1" customFormat="1" ht="14.4" customHeight="1" x14ac:dyDescent="0.35">
      <c r="A95" s="270"/>
      <c r="B95" s="4">
        <f>Rates!D32</f>
        <v>20000</v>
      </c>
      <c r="C95" s="82"/>
      <c r="D95" s="82">
        <f>F90</f>
        <v>0</v>
      </c>
      <c r="E95" s="251">
        <f>Rates!F32</f>
        <v>1.0330000000000001E-2</v>
      </c>
      <c r="F95" s="44" t="s">
        <v>175</v>
      </c>
      <c r="G95" s="100"/>
      <c r="I95" s="287"/>
      <c r="J95" s="217"/>
    </row>
    <row r="96" spans="1:10" s="1" customFormat="1" ht="14.4" customHeight="1" x14ac:dyDescent="0.5">
      <c r="A96" s="276" t="s">
        <v>179</v>
      </c>
      <c r="B96" s="4">
        <f>Rates!D33</f>
        <v>50000</v>
      </c>
      <c r="C96" s="75"/>
      <c r="D96" s="261">
        <f>G90</f>
        <v>0</v>
      </c>
      <c r="E96" s="251">
        <f>Rates!F33</f>
        <v>9.0299999999999998E-3</v>
      </c>
      <c r="F96" s="44" t="s">
        <v>175</v>
      </c>
      <c r="G96" s="101">
        <f t="shared" ref="G96" si="13">ROUND(D96*E96,0)</f>
        <v>0</v>
      </c>
      <c r="I96" s="287"/>
      <c r="J96" s="217"/>
    </row>
    <row r="97" spans="1:10" s="1" customFormat="1" ht="14.4" customHeight="1" thickBot="1" x14ac:dyDescent="0.4">
      <c r="A97" s="277"/>
      <c r="B97" s="278"/>
      <c r="C97" s="279"/>
      <c r="D97" s="278">
        <f>SUM(D94:D96)</f>
        <v>0</v>
      </c>
      <c r="E97" s="280"/>
      <c r="F97" s="280"/>
      <c r="G97" s="279">
        <f>SUM(G94:G96)</f>
        <v>0</v>
      </c>
      <c r="H97" s="280"/>
      <c r="I97" s="288"/>
      <c r="J97" s="217"/>
    </row>
    <row r="98" spans="1:10" s="1" customFormat="1" ht="14.4" customHeight="1" thickBot="1" x14ac:dyDescent="0.4">
      <c r="B98" s="4"/>
      <c r="C98" s="367" t="s">
        <v>251</v>
      </c>
      <c r="D98" s="368"/>
      <c r="E98" s="369"/>
      <c r="F98" s="369"/>
      <c r="G98" s="204"/>
      <c r="I98" s="15"/>
      <c r="J98" s="217"/>
    </row>
    <row r="99" spans="1:10" s="1" customFormat="1" ht="14.4" customHeight="1" x14ac:dyDescent="0.35">
      <c r="A99" s="262" t="s">
        <v>189</v>
      </c>
      <c r="B99" s="263"/>
      <c r="C99" s="264"/>
      <c r="D99" s="471" t="s">
        <v>113</v>
      </c>
      <c r="E99" s="471"/>
      <c r="F99" s="265"/>
      <c r="G99" s="282"/>
      <c r="H99" s="283"/>
      <c r="I99" s="15"/>
      <c r="J99" s="217"/>
    </row>
    <row r="100" spans="1:10" s="1" customFormat="1" ht="14.4" customHeight="1" x14ac:dyDescent="0.35">
      <c r="A100" s="267"/>
      <c r="B100" s="4"/>
      <c r="C100" s="87"/>
      <c r="D100" s="256"/>
      <c r="E100" s="89" t="s">
        <v>177</v>
      </c>
      <c r="F100" s="89" t="s">
        <v>179</v>
      </c>
      <c r="G100" s="89"/>
      <c r="H100" s="268"/>
      <c r="I100" s="217"/>
    </row>
    <row r="101" spans="1:10" s="1" customFormat="1" ht="14.4" customHeight="1" x14ac:dyDescent="0.35">
      <c r="A101" s="240"/>
      <c r="B101" s="94" t="s">
        <v>47</v>
      </c>
      <c r="C101" s="81" t="s">
        <v>48</v>
      </c>
      <c r="D101" s="81" t="s">
        <v>49</v>
      </c>
      <c r="E101" s="257">
        <f>B102</f>
        <v>50000</v>
      </c>
      <c r="F101" s="257">
        <f>B103</f>
        <v>50000</v>
      </c>
      <c r="G101" s="257"/>
      <c r="H101" s="269" t="s">
        <v>11</v>
      </c>
      <c r="I101" s="217"/>
    </row>
    <row r="102" spans="1:10" s="1" customFormat="1" ht="14.4" customHeight="1" x14ac:dyDescent="0.35">
      <c r="A102" s="270" t="s">
        <v>177</v>
      </c>
      <c r="B102" s="4">
        <f>Rates!D36</f>
        <v>50000</v>
      </c>
      <c r="C102" s="20"/>
      <c r="D102" s="4"/>
      <c r="E102" s="258">
        <f>D102</f>
        <v>0</v>
      </c>
      <c r="F102" s="258"/>
      <c r="G102" s="258"/>
      <c r="H102" s="271">
        <f>SUM(E102:G102)</f>
        <v>0</v>
      </c>
      <c r="I102" s="217"/>
    </row>
    <row r="103" spans="1:10" s="1" customFormat="1" ht="14.4" customHeight="1" x14ac:dyDescent="0.5">
      <c r="A103" s="270" t="s">
        <v>178</v>
      </c>
      <c r="B103" s="4">
        <f>Rates!D37</f>
        <v>50000</v>
      </c>
      <c r="C103" s="83"/>
      <c r="D103" s="38"/>
      <c r="E103" s="260">
        <f>C103*E101</f>
        <v>0</v>
      </c>
      <c r="F103" s="260">
        <f>D103-E103</f>
        <v>0</v>
      </c>
      <c r="G103" s="260"/>
      <c r="H103" s="272">
        <f>SUM(E103:G103)</f>
        <v>0</v>
      </c>
      <c r="I103" s="217"/>
    </row>
    <row r="104" spans="1:10" s="1" customFormat="1" ht="14.4" customHeight="1" x14ac:dyDescent="0.35">
      <c r="A104" s="270"/>
      <c r="B104" s="4"/>
      <c r="C104" s="20">
        <f>SUM(C102:C103)</f>
        <v>0</v>
      </c>
      <c r="D104" s="20">
        <f>SUM(D102:D103)</f>
        <v>0</v>
      </c>
      <c r="E104" s="4">
        <f>SUM(E102:E103)</f>
        <v>0</v>
      </c>
      <c r="F104" s="4">
        <f>SUM(F102:F103)</f>
        <v>0</v>
      </c>
      <c r="G104" s="4"/>
      <c r="H104" s="271">
        <f>SUM(H102:H103)</f>
        <v>0</v>
      </c>
      <c r="I104" s="217"/>
    </row>
    <row r="105" spans="1:10" s="1" customFormat="1" ht="14.4" customHeight="1" x14ac:dyDescent="0.35">
      <c r="A105" s="240"/>
      <c r="B105" s="4"/>
      <c r="G105" s="42"/>
      <c r="H105" s="268"/>
      <c r="I105" s="15"/>
      <c r="J105" s="217"/>
    </row>
    <row r="106" spans="1:10" s="1" customFormat="1" ht="14.4" customHeight="1" x14ac:dyDescent="0.35">
      <c r="A106" s="267" t="s">
        <v>188</v>
      </c>
      <c r="B106" s="114"/>
      <c r="C106" s="114"/>
      <c r="D106" s="473" t="s">
        <v>113</v>
      </c>
      <c r="E106" s="473"/>
      <c r="F106" s="114"/>
      <c r="G106" s="114"/>
      <c r="H106" s="268"/>
      <c r="I106" s="15"/>
      <c r="J106" s="217"/>
    </row>
    <row r="107" spans="1:10" s="1" customFormat="1" ht="14.4" customHeight="1" x14ac:dyDescent="0.35">
      <c r="A107" s="240"/>
      <c r="B107" s="94" t="s">
        <v>47</v>
      </c>
      <c r="C107" s="81" t="s">
        <v>48</v>
      </c>
      <c r="D107" s="81" t="s">
        <v>49</v>
      </c>
      <c r="E107" s="472" t="s">
        <v>51</v>
      </c>
      <c r="F107" s="472"/>
      <c r="G107" s="99" t="s">
        <v>52</v>
      </c>
      <c r="H107" s="268"/>
      <c r="I107" s="15"/>
      <c r="J107" s="217"/>
    </row>
    <row r="108" spans="1:10" s="1" customFormat="1" ht="14.4" customHeight="1" x14ac:dyDescent="0.35">
      <c r="A108" s="270" t="s">
        <v>177</v>
      </c>
      <c r="B108" s="4">
        <f>Rates!D36</f>
        <v>50000</v>
      </c>
      <c r="C108" s="82">
        <f>C104</f>
        <v>0</v>
      </c>
      <c r="D108" s="82">
        <f>E104</f>
        <v>0</v>
      </c>
      <c r="E108" s="74">
        <f>Rates!F36</f>
        <v>534.5</v>
      </c>
      <c r="F108" s="44" t="s">
        <v>104</v>
      </c>
      <c r="G108" s="203">
        <f>ROUND(C108*E108,0)</f>
        <v>0</v>
      </c>
      <c r="H108" s="268"/>
      <c r="I108" s="15"/>
      <c r="J108" s="217"/>
    </row>
    <row r="109" spans="1:10" s="1" customFormat="1" ht="14.4" customHeight="1" x14ac:dyDescent="0.5">
      <c r="A109" s="276" t="s">
        <v>179</v>
      </c>
      <c r="B109" s="4">
        <f>Rates!D37</f>
        <v>50000</v>
      </c>
      <c r="C109" s="75"/>
      <c r="D109" s="261">
        <f>F104</f>
        <v>0</v>
      </c>
      <c r="E109" s="251">
        <f>Rates!F37</f>
        <v>9.0299999999999998E-3</v>
      </c>
      <c r="F109" s="44" t="s">
        <v>175</v>
      </c>
      <c r="G109" s="309">
        <f t="shared" ref="G109" si="14">ROUND(D109*E109,0)</f>
        <v>0</v>
      </c>
      <c r="H109" s="268"/>
      <c r="I109" s="15"/>
      <c r="J109" s="217"/>
    </row>
    <row r="110" spans="1:10" s="1" customFormat="1" ht="14.4" customHeight="1" thickBot="1" x14ac:dyDescent="0.4">
      <c r="A110" s="277"/>
      <c r="B110" s="278"/>
      <c r="C110" s="279"/>
      <c r="D110" s="278">
        <f>SUM(D108:D109)</f>
        <v>0</v>
      </c>
      <c r="E110" s="280"/>
      <c r="F110" s="280"/>
      <c r="G110" s="279">
        <f>SUM(G108:G109)</f>
        <v>0</v>
      </c>
      <c r="H110" s="284"/>
      <c r="I110" s="15"/>
      <c r="J110" s="217"/>
    </row>
    <row r="111" spans="1:10" s="1" customFormat="1" ht="14.4" customHeight="1" x14ac:dyDescent="0.35">
      <c r="B111" s="4"/>
      <c r="C111" s="204"/>
      <c r="D111" s="4"/>
      <c r="G111" s="204"/>
      <c r="I111" s="15"/>
      <c r="J111" s="217"/>
    </row>
    <row r="112" spans="1:10" s="1" customFormat="1" ht="14.4" customHeight="1" thickBot="1" x14ac:dyDescent="0.4">
      <c r="B112" s="4"/>
      <c r="G112" s="42"/>
      <c r="I112" s="15"/>
      <c r="J112" s="217"/>
    </row>
    <row r="113" spans="1:10" s="1" customFormat="1" ht="14.4" customHeight="1" x14ac:dyDescent="0.35">
      <c r="A113" s="262"/>
      <c r="B113" s="263"/>
      <c r="C113" s="264"/>
      <c r="D113" s="471" t="s">
        <v>243</v>
      </c>
      <c r="E113" s="471"/>
      <c r="F113" s="265"/>
      <c r="G113" s="282"/>
      <c r="H113" s="283"/>
      <c r="I113" s="15"/>
      <c r="J113" s="217"/>
    </row>
    <row r="114" spans="1:10" s="1" customFormat="1" ht="14.4" customHeight="1" x14ac:dyDescent="0.35">
      <c r="A114" s="240"/>
      <c r="B114" s="94"/>
      <c r="C114" s="81"/>
      <c r="D114" s="81"/>
      <c r="E114" s="257"/>
      <c r="F114" s="257"/>
      <c r="G114" s="257"/>
      <c r="H114" s="269"/>
      <c r="I114" s="217"/>
      <c r="J114" s="217"/>
    </row>
    <row r="115" spans="1:10" s="1" customFormat="1" ht="14.4" customHeight="1" x14ac:dyDescent="0.35">
      <c r="A115" s="240"/>
      <c r="B115" s="94"/>
      <c r="C115" s="81"/>
      <c r="D115" s="81" t="s">
        <v>49</v>
      </c>
      <c r="E115" s="472" t="s">
        <v>51</v>
      </c>
      <c r="F115" s="472"/>
      <c r="G115" s="99" t="s">
        <v>52</v>
      </c>
      <c r="H115" s="268"/>
      <c r="I115" s="15"/>
      <c r="J115" s="217"/>
    </row>
    <row r="116" spans="1:10" s="1" customFormat="1" ht="14.4" customHeight="1" x14ac:dyDescent="0.35">
      <c r="A116" s="227"/>
      <c r="B116" s="4"/>
      <c r="C116" s="82"/>
      <c r="D116" s="82">
        <f>91732+183128</f>
        <v>274860</v>
      </c>
      <c r="E116" s="251">
        <f>Rates!F41</f>
        <v>9.0399999999999994E-3</v>
      </c>
      <c r="F116" s="44" t="s">
        <v>175</v>
      </c>
      <c r="G116" s="203">
        <f>ROUND(D116*E116,0)</f>
        <v>2485</v>
      </c>
      <c r="H116" s="268"/>
      <c r="I116" s="15"/>
      <c r="J116" s="217"/>
    </row>
    <row r="117" spans="1:10" s="1" customFormat="1" ht="14.4" customHeight="1" thickBot="1" x14ac:dyDescent="0.4">
      <c r="A117" s="277"/>
      <c r="B117" s="278"/>
      <c r="C117" s="278"/>
      <c r="D117" s="278"/>
      <c r="E117" s="280"/>
      <c r="F117" s="280"/>
      <c r="G117" s="279"/>
      <c r="H117" s="284"/>
      <c r="I117" s="15"/>
      <c r="J117" s="217"/>
    </row>
    <row r="118" spans="1:10" s="1" customFormat="1" ht="14.4" customHeight="1" x14ac:dyDescent="0.35">
      <c r="B118" s="4"/>
      <c r="C118" s="204"/>
      <c r="D118" s="4"/>
      <c r="G118" s="204"/>
      <c r="I118" s="15"/>
      <c r="J118" s="217"/>
    </row>
    <row r="119" spans="1:10" s="1" customFormat="1" ht="14.4" customHeight="1" x14ac:dyDescent="0.35">
      <c r="B119" s="4"/>
      <c r="D119" s="82"/>
      <c r="G119" s="42"/>
      <c r="I119" s="15"/>
      <c r="J119" s="217"/>
    </row>
    <row r="120" spans="1:10" s="1" customFormat="1" ht="14.4" customHeight="1" x14ac:dyDescent="0.35">
      <c r="B120" s="4"/>
      <c r="G120" s="42"/>
      <c r="I120" s="15"/>
      <c r="J120" s="217"/>
    </row>
    <row r="121" spans="1:10" s="1" customFormat="1" ht="14.4" customHeight="1" x14ac:dyDescent="0.35">
      <c r="B121" s="4"/>
      <c r="G121" s="42"/>
      <c r="I121" s="15"/>
      <c r="J121" s="217"/>
    </row>
    <row r="122" spans="1:10" s="1" customFormat="1" ht="14.4" customHeight="1" x14ac:dyDescent="0.35">
      <c r="B122" s="4"/>
      <c r="G122" s="42"/>
      <c r="I122" s="15"/>
      <c r="J122" s="217"/>
    </row>
    <row r="123" spans="1:10" s="1" customFormat="1" ht="14.4" customHeight="1" x14ac:dyDescent="0.35">
      <c r="B123" s="4"/>
      <c r="G123" s="42"/>
      <c r="I123" s="15"/>
      <c r="J123" s="217"/>
    </row>
    <row r="124" spans="1:10" s="1" customFormat="1" ht="14.4" customHeight="1" x14ac:dyDescent="0.35">
      <c r="B124" s="4"/>
      <c r="G124" s="42"/>
      <c r="I124" s="15"/>
      <c r="J124" s="217"/>
    </row>
    <row r="125" spans="1:10" s="1" customFormat="1" ht="14.4" customHeight="1" x14ac:dyDescent="0.35">
      <c r="B125" s="4"/>
      <c r="G125" s="42"/>
      <c r="I125" s="15"/>
      <c r="J125" s="217"/>
    </row>
    <row r="126" spans="1:10" s="1" customFormat="1" ht="14.4" customHeight="1" x14ac:dyDescent="0.35">
      <c r="B126" s="4"/>
      <c r="G126" s="42"/>
      <c r="I126" s="15"/>
      <c r="J126" s="217"/>
    </row>
    <row r="127" spans="1:10" s="1" customFormat="1" ht="14.4" customHeight="1" x14ac:dyDescent="0.35">
      <c r="B127" s="4"/>
      <c r="G127" s="42"/>
      <c r="I127" s="15"/>
      <c r="J127" s="217"/>
    </row>
    <row r="128" spans="1:10" s="1" customFormat="1" ht="14.4" customHeight="1" x14ac:dyDescent="0.35">
      <c r="B128" s="4"/>
      <c r="G128" s="42"/>
      <c r="I128" s="15"/>
      <c r="J128" s="217"/>
    </row>
    <row r="129" spans="2:10" s="1" customFormat="1" ht="14.4" customHeight="1" x14ac:dyDescent="0.35">
      <c r="B129" s="4"/>
      <c r="G129" s="42"/>
      <c r="I129" s="15"/>
      <c r="J129" s="217"/>
    </row>
    <row r="130" spans="2:10" s="1" customFormat="1" ht="14.4" customHeight="1" x14ac:dyDescent="0.35">
      <c r="B130" s="4"/>
      <c r="G130" s="42"/>
      <c r="I130" s="15"/>
      <c r="J130" s="217"/>
    </row>
    <row r="131" spans="2:10" s="1" customFormat="1" ht="14.4" customHeight="1" x14ac:dyDescent="0.35">
      <c r="B131" s="4"/>
      <c r="G131" s="42"/>
      <c r="I131" s="15"/>
      <c r="J131" s="217"/>
    </row>
    <row r="132" spans="2:10" s="1" customFormat="1" ht="14.4" customHeight="1" x14ac:dyDescent="0.35">
      <c r="B132" s="4"/>
      <c r="G132" s="42"/>
      <c r="I132" s="15"/>
      <c r="J132" s="217"/>
    </row>
    <row r="133" spans="2:10" s="1" customFormat="1" ht="14.4" customHeight="1" x14ac:dyDescent="0.35">
      <c r="B133" s="4"/>
      <c r="G133" s="42"/>
      <c r="I133" s="15"/>
      <c r="J133" s="217"/>
    </row>
    <row r="134" spans="2:10" s="1" customFormat="1" ht="14.4" customHeight="1" x14ac:dyDescent="0.35">
      <c r="B134" s="4"/>
      <c r="G134" s="42"/>
      <c r="I134" s="15"/>
      <c r="J134" s="217"/>
    </row>
    <row r="135" spans="2:10" s="1" customFormat="1" ht="14.4" customHeight="1" x14ac:dyDescent="0.35">
      <c r="B135" s="4"/>
      <c r="G135" s="42"/>
      <c r="I135" s="15"/>
      <c r="J135" s="217"/>
    </row>
    <row r="136" spans="2:10" s="1" customFormat="1" ht="14.4" customHeight="1" x14ac:dyDescent="0.35">
      <c r="B136" s="4"/>
      <c r="G136" s="42"/>
      <c r="I136" s="15"/>
      <c r="J136" s="217"/>
    </row>
    <row r="137" spans="2:10" s="1" customFormat="1" ht="14.4" customHeight="1" x14ac:dyDescent="0.35">
      <c r="B137" s="4"/>
      <c r="G137" s="42"/>
      <c r="I137" s="15"/>
      <c r="J137" s="217"/>
    </row>
    <row r="138" spans="2:10" s="1" customFormat="1" ht="14.4" customHeight="1" x14ac:dyDescent="0.35">
      <c r="B138" s="4"/>
      <c r="G138" s="42"/>
      <c r="I138" s="15"/>
      <c r="J138" s="217"/>
    </row>
    <row r="139" spans="2:10" s="1" customFormat="1" ht="14.4" customHeight="1" x14ac:dyDescent="0.35">
      <c r="B139" s="4"/>
      <c r="G139" s="42"/>
      <c r="I139" s="15"/>
      <c r="J139" s="217"/>
    </row>
    <row r="140" spans="2:10" s="1" customFormat="1" ht="14.4" customHeight="1" x14ac:dyDescent="0.35">
      <c r="B140" s="4"/>
      <c r="G140" s="42"/>
      <c r="I140" s="15"/>
      <c r="J140" s="217"/>
    </row>
    <row r="141" spans="2:10" s="1" customFormat="1" ht="14.4" customHeight="1" x14ac:dyDescent="0.35">
      <c r="B141" s="4"/>
      <c r="G141" s="42"/>
      <c r="I141" s="15"/>
      <c r="J141" s="217"/>
    </row>
    <row r="142" spans="2:10" s="1" customFormat="1" ht="14.4" customHeight="1" x14ac:dyDescent="0.35">
      <c r="B142" s="4"/>
      <c r="G142" s="42"/>
      <c r="I142" s="15"/>
      <c r="J142" s="217"/>
    </row>
    <row r="143" spans="2:10" s="1" customFormat="1" ht="14.4" customHeight="1" x14ac:dyDescent="0.35">
      <c r="B143" s="4"/>
      <c r="G143" s="42"/>
      <c r="I143" s="15"/>
      <c r="J143" s="217"/>
    </row>
    <row r="144" spans="2:10" s="1" customFormat="1" ht="14.4" customHeight="1" x14ac:dyDescent="0.35">
      <c r="B144" s="4"/>
      <c r="G144" s="42"/>
      <c r="I144" s="15"/>
      <c r="J144" s="217"/>
    </row>
    <row r="145" spans="2:10" s="1" customFormat="1" ht="14.4" customHeight="1" x14ac:dyDescent="0.35">
      <c r="B145" s="4"/>
      <c r="G145" s="42"/>
      <c r="I145" s="15"/>
      <c r="J145" s="217"/>
    </row>
    <row r="146" spans="2:10" s="1" customFormat="1" ht="14.4" customHeight="1" x14ac:dyDescent="0.35">
      <c r="B146" s="4"/>
      <c r="G146" s="42"/>
      <c r="I146" s="15"/>
      <c r="J146" s="217"/>
    </row>
    <row r="147" spans="2:10" s="1" customFormat="1" ht="14.4" customHeight="1" x14ac:dyDescent="0.35">
      <c r="B147" s="4"/>
      <c r="G147" s="42"/>
      <c r="I147" s="15"/>
      <c r="J147" s="217"/>
    </row>
    <row r="148" spans="2:10" s="1" customFormat="1" ht="14.4" customHeight="1" x14ac:dyDescent="0.35">
      <c r="B148" s="4"/>
      <c r="G148" s="42"/>
      <c r="I148" s="15"/>
      <c r="J148" s="217"/>
    </row>
    <row r="149" spans="2:10" s="1" customFormat="1" ht="14.4" customHeight="1" x14ac:dyDescent="0.35">
      <c r="B149" s="4"/>
      <c r="G149" s="42"/>
      <c r="I149" s="15"/>
      <c r="J149" s="217"/>
    </row>
    <row r="150" spans="2:10" s="1" customFormat="1" ht="14.4" customHeight="1" x14ac:dyDescent="0.35">
      <c r="B150" s="4"/>
      <c r="G150" s="42"/>
      <c r="I150" s="15"/>
      <c r="J150" s="217"/>
    </row>
    <row r="151" spans="2:10" s="1" customFormat="1" ht="14.4" customHeight="1" x14ac:dyDescent="0.35">
      <c r="B151" s="4"/>
      <c r="G151" s="42"/>
      <c r="I151" s="15"/>
      <c r="J151" s="217"/>
    </row>
    <row r="152" spans="2:10" s="1" customFormat="1" ht="14.4" customHeight="1" x14ac:dyDescent="0.35">
      <c r="B152" s="4"/>
      <c r="G152" s="42"/>
      <c r="I152" s="15"/>
      <c r="J152" s="217"/>
    </row>
    <row r="153" spans="2:10" s="1" customFormat="1" ht="14.4" customHeight="1" x14ac:dyDescent="0.35">
      <c r="B153" s="4"/>
      <c r="G153" s="42"/>
      <c r="I153" s="15"/>
      <c r="J153" s="217"/>
    </row>
    <row r="154" spans="2:10" s="1" customFormat="1" ht="14.4" customHeight="1" x14ac:dyDescent="0.35">
      <c r="B154" s="4"/>
      <c r="G154" s="42"/>
      <c r="I154" s="15"/>
      <c r="J154" s="217"/>
    </row>
    <row r="155" spans="2:10" s="1" customFormat="1" ht="14.4" customHeight="1" x14ac:dyDescent="0.35">
      <c r="B155" s="4"/>
      <c r="G155" s="42"/>
      <c r="I155" s="15"/>
      <c r="J155" s="217"/>
    </row>
    <row r="156" spans="2:10" s="1" customFormat="1" ht="14.4" customHeight="1" x14ac:dyDescent="0.35">
      <c r="B156" s="4"/>
      <c r="G156" s="42"/>
      <c r="I156" s="15"/>
      <c r="J156" s="217"/>
    </row>
    <row r="157" spans="2:10" s="1" customFormat="1" ht="14.4" customHeight="1" x14ac:dyDescent="0.35">
      <c r="B157" s="4"/>
      <c r="G157" s="42"/>
      <c r="I157" s="15"/>
      <c r="J157" s="217"/>
    </row>
    <row r="158" spans="2:10" s="1" customFormat="1" ht="14.4" customHeight="1" x14ac:dyDescent="0.35">
      <c r="B158" s="4"/>
      <c r="G158" s="42"/>
      <c r="I158" s="15"/>
      <c r="J158" s="217"/>
    </row>
    <row r="159" spans="2:10" s="1" customFormat="1" ht="14.4" customHeight="1" x14ac:dyDescent="0.35">
      <c r="B159" s="4"/>
      <c r="G159" s="42"/>
      <c r="I159" s="15"/>
      <c r="J159" s="217"/>
    </row>
    <row r="160" spans="2:10" s="1" customFormat="1" ht="14.4" customHeight="1" x14ac:dyDescent="0.35">
      <c r="B160" s="4"/>
      <c r="G160" s="42"/>
      <c r="I160" s="15"/>
      <c r="J160" s="217"/>
    </row>
    <row r="161" spans="2:10" s="1" customFormat="1" ht="14.4" customHeight="1" x14ac:dyDescent="0.35">
      <c r="B161" s="4"/>
      <c r="G161" s="42"/>
      <c r="I161" s="15"/>
      <c r="J161" s="217"/>
    </row>
    <row r="162" spans="2:10" s="1" customFormat="1" ht="14.4" customHeight="1" x14ac:dyDescent="0.35">
      <c r="B162" s="4"/>
      <c r="G162" s="42"/>
      <c r="I162" s="15"/>
      <c r="J162" s="217"/>
    </row>
    <row r="163" spans="2:10" s="1" customFormat="1" ht="14.4" customHeight="1" x14ac:dyDescent="0.35">
      <c r="B163" s="4"/>
      <c r="G163" s="42"/>
      <c r="I163" s="15"/>
      <c r="J163" s="217"/>
    </row>
    <row r="164" spans="2:10" s="1" customFormat="1" ht="14.4" customHeight="1" x14ac:dyDescent="0.35">
      <c r="B164" s="4"/>
      <c r="G164" s="42"/>
      <c r="I164" s="15"/>
      <c r="J164" s="217"/>
    </row>
    <row r="165" spans="2:10" s="1" customFormat="1" ht="14.4" customHeight="1" x14ac:dyDescent="0.35">
      <c r="B165" s="4"/>
      <c r="G165" s="42"/>
      <c r="I165" s="15"/>
      <c r="J165" s="217"/>
    </row>
    <row r="166" spans="2:10" s="1" customFormat="1" ht="14.4" customHeight="1" x14ac:dyDescent="0.35">
      <c r="B166" s="4"/>
      <c r="G166" s="42"/>
      <c r="I166" s="15"/>
      <c r="J166" s="217"/>
    </row>
    <row r="167" spans="2:10" s="1" customFormat="1" ht="14.4" customHeight="1" x14ac:dyDescent="0.35">
      <c r="B167" s="4"/>
      <c r="G167" s="42"/>
      <c r="I167" s="15"/>
      <c r="J167" s="217"/>
    </row>
    <row r="168" spans="2:10" s="1" customFormat="1" ht="14.4" customHeight="1" x14ac:dyDescent="0.35">
      <c r="B168" s="4"/>
      <c r="G168" s="42"/>
      <c r="I168" s="15"/>
      <c r="J168" s="217"/>
    </row>
    <row r="169" spans="2:10" s="1" customFormat="1" ht="14.4" customHeight="1" x14ac:dyDescent="0.35">
      <c r="B169" s="4"/>
      <c r="G169" s="42"/>
      <c r="I169" s="15"/>
      <c r="J169" s="217"/>
    </row>
    <row r="170" spans="2:10" s="1" customFormat="1" ht="14.4" customHeight="1" x14ac:dyDescent="0.35">
      <c r="B170" s="4"/>
      <c r="G170" s="42"/>
      <c r="I170" s="15"/>
      <c r="J170" s="217"/>
    </row>
    <row r="171" spans="2:10" s="1" customFormat="1" ht="14.4" customHeight="1" x14ac:dyDescent="0.35">
      <c r="B171" s="4"/>
      <c r="G171" s="42"/>
      <c r="I171" s="15"/>
      <c r="J171" s="217"/>
    </row>
    <row r="172" spans="2:10" s="1" customFormat="1" ht="14.4" customHeight="1" x14ac:dyDescent="0.35">
      <c r="B172" s="4"/>
      <c r="G172" s="42"/>
      <c r="I172" s="15"/>
      <c r="J172" s="217"/>
    </row>
    <row r="173" spans="2:10" s="1" customFormat="1" ht="14.4" customHeight="1" x14ac:dyDescent="0.35">
      <c r="B173" s="4"/>
      <c r="G173" s="42"/>
      <c r="I173" s="15"/>
      <c r="J173" s="217"/>
    </row>
    <row r="174" spans="2:10" s="1" customFormat="1" ht="14.4" customHeight="1" x14ac:dyDescent="0.35">
      <c r="B174" s="4"/>
      <c r="G174" s="42"/>
      <c r="I174" s="15"/>
      <c r="J174" s="217"/>
    </row>
    <row r="175" spans="2:10" s="1" customFormat="1" ht="14.4" customHeight="1" x14ac:dyDescent="0.35">
      <c r="B175" s="4"/>
      <c r="G175" s="42"/>
      <c r="I175" s="15"/>
      <c r="J175" s="217"/>
    </row>
    <row r="176" spans="2:10" s="1" customFormat="1" ht="14.4" customHeight="1" x14ac:dyDescent="0.35">
      <c r="B176" s="4"/>
      <c r="G176" s="42"/>
      <c r="I176" s="15"/>
      <c r="J176" s="217"/>
    </row>
    <row r="177" spans="2:10" s="1" customFormat="1" ht="14.4" customHeight="1" x14ac:dyDescent="0.35">
      <c r="B177" s="4"/>
      <c r="G177" s="42"/>
      <c r="I177" s="15"/>
      <c r="J177" s="217"/>
    </row>
    <row r="178" spans="2:10" s="1" customFormat="1" ht="14.4" customHeight="1" x14ac:dyDescent="0.35">
      <c r="B178" s="4"/>
      <c r="G178" s="42"/>
      <c r="I178" s="15"/>
      <c r="J178" s="217"/>
    </row>
    <row r="179" spans="2:10" s="1" customFormat="1" ht="14.4" customHeight="1" x14ac:dyDescent="0.35">
      <c r="B179" s="4"/>
      <c r="G179" s="42"/>
      <c r="I179" s="15"/>
      <c r="J179" s="217"/>
    </row>
    <row r="180" spans="2:10" s="1" customFormat="1" ht="14.4" customHeight="1" x14ac:dyDescent="0.35">
      <c r="B180" s="4"/>
      <c r="G180" s="42"/>
      <c r="I180" s="15"/>
      <c r="J180" s="217"/>
    </row>
    <row r="181" spans="2:10" s="1" customFormat="1" ht="14.4" customHeight="1" x14ac:dyDescent="0.35">
      <c r="B181" s="4"/>
      <c r="G181" s="42"/>
      <c r="I181" s="15"/>
      <c r="J181" s="217"/>
    </row>
    <row r="182" spans="2:10" s="1" customFormat="1" ht="14.4" customHeight="1" x14ac:dyDescent="0.35">
      <c r="B182" s="4"/>
      <c r="G182" s="42"/>
      <c r="I182" s="15"/>
      <c r="J182" s="217"/>
    </row>
    <row r="183" spans="2:10" s="1" customFormat="1" ht="14.4" customHeight="1" x14ac:dyDescent="0.35">
      <c r="B183" s="4"/>
      <c r="G183" s="42"/>
      <c r="I183" s="15"/>
      <c r="J183" s="217"/>
    </row>
    <row r="184" spans="2:10" s="1" customFormat="1" ht="14.4" customHeight="1" x14ac:dyDescent="0.35">
      <c r="B184" s="4"/>
      <c r="G184" s="42"/>
      <c r="I184" s="15"/>
      <c r="J184" s="217"/>
    </row>
    <row r="185" spans="2:10" s="1" customFormat="1" ht="14.4" customHeight="1" x14ac:dyDescent="0.35">
      <c r="B185" s="4"/>
      <c r="G185" s="42"/>
      <c r="I185" s="15"/>
      <c r="J185" s="217"/>
    </row>
    <row r="186" spans="2:10" s="1" customFormat="1" ht="14.4" customHeight="1" x14ac:dyDescent="0.35">
      <c r="B186" s="4"/>
      <c r="G186" s="42"/>
      <c r="I186" s="15"/>
      <c r="J186" s="217"/>
    </row>
    <row r="187" spans="2:10" s="1" customFormat="1" ht="14.4" customHeight="1" x14ac:dyDescent="0.35">
      <c r="B187" s="4"/>
      <c r="G187" s="42"/>
      <c r="I187" s="15"/>
      <c r="J187" s="217"/>
    </row>
    <row r="188" spans="2:10" s="1" customFormat="1" ht="14.4" customHeight="1" x14ac:dyDescent="0.35">
      <c r="B188" s="4"/>
      <c r="G188" s="42"/>
      <c r="I188" s="15"/>
      <c r="J188" s="217"/>
    </row>
    <row r="189" spans="2:10" s="1" customFormat="1" ht="14.4" customHeight="1" x14ac:dyDescent="0.35">
      <c r="B189" s="4"/>
      <c r="G189" s="42"/>
      <c r="I189" s="15"/>
      <c r="J189" s="217"/>
    </row>
    <row r="190" spans="2:10" s="1" customFormat="1" ht="14.4" customHeight="1" x14ac:dyDescent="0.35">
      <c r="B190" s="4"/>
      <c r="G190" s="42"/>
      <c r="I190" s="15"/>
      <c r="J190" s="217"/>
    </row>
    <row r="191" spans="2:10" s="1" customFormat="1" ht="14.4" customHeight="1" x14ac:dyDescent="0.35">
      <c r="B191" s="4"/>
      <c r="G191" s="42"/>
      <c r="I191" s="15"/>
      <c r="J191" s="217"/>
    </row>
    <row r="192" spans="2:10" s="1" customFormat="1" ht="14.4" customHeight="1" x14ac:dyDescent="0.35">
      <c r="B192" s="4"/>
      <c r="G192" s="42"/>
      <c r="I192" s="15"/>
      <c r="J192" s="217"/>
    </row>
    <row r="193" spans="2:10" s="1" customFormat="1" ht="14.4" customHeight="1" x14ac:dyDescent="0.35">
      <c r="B193" s="4"/>
      <c r="G193" s="42"/>
      <c r="I193" s="15"/>
      <c r="J193" s="217"/>
    </row>
    <row r="194" spans="2:10" s="1" customFormat="1" ht="14.4" customHeight="1" x14ac:dyDescent="0.35">
      <c r="B194" s="4"/>
      <c r="G194" s="42"/>
      <c r="I194" s="15"/>
      <c r="J194" s="217"/>
    </row>
    <row r="195" spans="2:10" s="1" customFormat="1" ht="14.4" customHeight="1" x14ac:dyDescent="0.35">
      <c r="B195" s="4"/>
      <c r="G195" s="42"/>
      <c r="I195" s="15"/>
      <c r="J195" s="217"/>
    </row>
    <row r="196" spans="2:10" s="1" customFormat="1" ht="14.4" customHeight="1" x14ac:dyDescent="0.35">
      <c r="B196" s="4"/>
      <c r="G196" s="42"/>
      <c r="I196" s="15"/>
      <c r="J196" s="217"/>
    </row>
    <row r="197" spans="2:10" s="1" customFormat="1" ht="14.4" customHeight="1" x14ac:dyDescent="0.35">
      <c r="B197" s="4"/>
      <c r="G197" s="42"/>
      <c r="I197" s="15"/>
      <c r="J197" s="217"/>
    </row>
    <row r="198" spans="2:10" s="1" customFormat="1" ht="14.4" customHeight="1" x14ac:dyDescent="0.35">
      <c r="B198" s="4"/>
      <c r="G198" s="42"/>
      <c r="I198" s="15"/>
      <c r="J198" s="217"/>
    </row>
    <row r="199" spans="2:10" s="1" customFormat="1" ht="14.4" customHeight="1" x14ac:dyDescent="0.35">
      <c r="B199" s="4"/>
      <c r="G199" s="42"/>
      <c r="I199" s="15"/>
      <c r="J199" s="217"/>
    </row>
    <row r="200" spans="2:10" s="1" customFormat="1" ht="14.4" customHeight="1" x14ac:dyDescent="0.35">
      <c r="B200" s="4"/>
      <c r="G200" s="42"/>
      <c r="I200" s="15"/>
      <c r="J200" s="217"/>
    </row>
    <row r="201" spans="2:10" s="1" customFormat="1" ht="14.4" customHeight="1" x14ac:dyDescent="0.35">
      <c r="B201" s="4"/>
      <c r="G201" s="42"/>
      <c r="I201" s="15"/>
      <c r="J201" s="217"/>
    </row>
    <row r="202" spans="2:10" s="1" customFormat="1" ht="14.4" customHeight="1" x14ac:dyDescent="0.35">
      <c r="B202" s="4"/>
      <c r="G202" s="42"/>
      <c r="I202" s="15"/>
      <c r="J202" s="217"/>
    </row>
    <row r="203" spans="2:10" s="1" customFormat="1" ht="14.4" customHeight="1" x14ac:dyDescent="0.35">
      <c r="B203" s="4"/>
      <c r="G203" s="42"/>
      <c r="I203" s="15"/>
      <c r="J203" s="217"/>
    </row>
    <row r="204" spans="2:10" s="1" customFormat="1" ht="14.4" customHeight="1" x14ac:dyDescent="0.35">
      <c r="B204" s="4"/>
      <c r="G204" s="42"/>
      <c r="I204" s="15"/>
      <c r="J204" s="217"/>
    </row>
    <row r="205" spans="2:10" s="1" customFormat="1" ht="14.4" customHeight="1" x14ac:dyDescent="0.35">
      <c r="B205" s="4"/>
      <c r="G205" s="42"/>
      <c r="I205" s="15"/>
      <c r="J205" s="217"/>
    </row>
    <row r="206" spans="2:10" s="1" customFormat="1" ht="14.4" customHeight="1" x14ac:dyDescent="0.35">
      <c r="B206" s="4"/>
      <c r="G206" s="42"/>
      <c r="I206" s="15"/>
      <c r="J206" s="217"/>
    </row>
    <row r="207" spans="2:10" s="1" customFormat="1" ht="14.4" customHeight="1" x14ac:dyDescent="0.35">
      <c r="B207" s="4"/>
      <c r="G207" s="42"/>
      <c r="I207" s="15"/>
      <c r="J207" s="217"/>
    </row>
    <row r="208" spans="2:10" s="1" customFormat="1" ht="14.5" x14ac:dyDescent="0.35">
      <c r="B208" s="4"/>
      <c r="G208" s="42"/>
      <c r="I208" s="15"/>
      <c r="J208" s="217"/>
    </row>
    <row r="209" spans="2:10" s="1" customFormat="1" ht="14.5" x14ac:dyDescent="0.35">
      <c r="B209" s="4"/>
      <c r="G209" s="42"/>
      <c r="I209" s="15"/>
      <c r="J209" s="217"/>
    </row>
    <row r="210" spans="2:10" s="1" customFormat="1" ht="14.5" x14ac:dyDescent="0.35">
      <c r="B210" s="4"/>
      <c r="G210" s="42"/>
      <c r="I210" s="15"/>
      <c r="J210" s="217"/>
    </row>
    <row r="211" spans="2:10" s="1" customFormat="1" ht="14.5" x14ac:dyDescent="0.35">
      <c r="B211" s="4"/>
      <c r="G211" s="42"/>
      <c r="I211" s="15"/>
      <c r="J211" s="217"/>
    </row>
    <row r="212" spans="2:10" s="1" customFormat="1" ht="14.5" x14ac:dyDescent="0.35">
      <c r="B212" s="4"/>
      <c r="G212" s="42"/>
      <c r="I212" s="15"/>
      <c r="J212" s="217"/>
    </row>
    <row r="213" spans="2:10" s="1" customFormat="1" ht="14.5" x14ac:dyDescent="0.35">
      <c r="B213" s="4"/>
      <c r="G213" s="42"/>
      <c r="I213" s="15"/>
      <c r="J213" s="217"/>
    </row>
    <row r="214" spans="2:10" s="1" customFormat="1" ht="14.5" x14ac:dyDescent="0.35">
      <c r="B214" s="4"/>
      <c r="G214" s="42"/>
      <c r="I214" s="15"/>
      <c r="J214" s="217"/>
    </row>
    <row r="215" spans="2:10" s="1" customFormat="1" ht="14.5" x14ac:dyDescent="0.35">
      <c r="B215" s="4"/>
      <c r="G215" s="42"/>
      <c r="I215" s="15"/>
      <c r="J215" s="217"/>
    </row>
    <row r="216" spans="2:10" s="1" customFormat="1" ht="14.5" x14ac:dyDescent="0.35">
      <c r="B216" s="4"/>
      <c r="G216" s="42"/>
      <c r="I216" s="15"/>
      <c r="J216" s="217"/>
    </row>
    <row r="217" spans="2:10" s="1" customFormat="1" ht="14.5" x14ac:dyDescent="0.35">
      <c r="B217" s="4"/>
      <c r="G217" s="42"/>
      <c r="I217" s="15"/>
      <c r="J217" s="217"/>
    </row>
    <row r="218" spans="2:10" s="1" customFormat="1" ht="14.5" x14ac:dyDescent="0.35">
      <c r="B218" s="4"/>
      <c r="G218" s="42"/>
      <c r="I218" s="15"/>
      <c r="J218" s="217"/>
    </row>
    <row r="219" spans="2:10" s="1" customFormat="1" ht="14.5" x14ac:dyDescent="0.35">
      <c r="B219" s="4"/>
      <c r="G219" s="42"/>
      <c r="I219" s="15"/>
      <c r="J219" s="217"/>
    </row>
    <row r="220" spans="2:10" s="1" customFormat="1" ht="14.5" x14ac:dyDescent="0.35">
      <c r="B220" s="4"/>
      <c r="G220" s="42"/>
      <c r="I220" s="15"/>
      <c r="J220" s="217"/>
    </row>
    <row r="221" spans="2:10" s="1" customFormat="1" ht="14.5" x14ac:dyDescent="0.35">
      <c r="B221" s="4"/>
      <c r="G221" s="42"/>
      <c r="I221" s="15"/>
      <c r="J221" s="217"/>
    </row>
    <row r="222" spans="2:10" s="1" customFormat="1" ht="14.5" x14ac:dyDescent="0.35">
      <c r="B222" s="4"/>
      <c r="G222" s="42"/>
      <c r="I222" s="15"/>
      <c r="J222" s="217"/>
    </row>
    <row r="223" spans="2:10" s="1" customFormat="1" ht="14.5" x14ac:dyDescent="0.35">
      <c r="B223" s="4"/>
      <c r="G223" s="42"/>
      <c r="I223" s="15"/>
      <c r="J223" s="217"/>
    </row>
    <row r="224" spans="2:10" s="1" customFormat="1" ht="14.5" x14ac:dyDescent="0.35">
      <c r="B224" s="4"/>
      <c r="G224" s="42"/>
      <c r="I224" s="15"/>
      <c r="J224" s="217"/>
    </row>
    <row r="225" spans="2:10" s="1" customFormat="1" ht="14.5" x14ac:dyDescent="0.35">
      <c r="B225" s="4"/>
      <c r="G225" s="42"/>
      <c r="I225" s="15"/>
      <c r="J225" s="217"/>
    </row>
    <row r="226" spans="2:10" s="1" customFormat="1" ht="14.5" x14ac:dyDescent="0.35">
      <c r="B226" s="4"/>
      <c r="G226" s="42"/>
      <c r="I226" s="15"/>
      <c r="J226" s="217"/>
    </row>
    <row r="227" spans="2:10" s="1" customFormat="1" ht="14.5" x14ac:dyDescent="0.35">
      <c r="B227" s="4"/>
      <c r="G227" s="42"/>
      <c r="I227" s="15"/>
      <c r="J227" s="217"/>
    </row>
    <row r="228" spans="2:10" s="1" customFormat="1" ht="14.5" x14ac:dyDescent="0.35">
      <c r="B228" s="4"/>
      <c r="G228" s="42"/>
      <c r="I228" s="15"/>
      <c r="J228" s="217"/>
    </row>
    <row r="229" spans="2:10" s="1" customFormat="1" ht="14.5" x14ac:dyDescent="0.35">
      <c r="B229" s="4"/>
      <c r="G229" s="42"/>
      <c r="I229" s="15"/>
      <c r="J229" s="217"/>
    </row>
    <row r="230" spans="2:10" s="1" customFormat="1" ht="14.5" x14ac:dyDescent="0.35">
      <c r="B230" s="4"/>
      <c r="G230" s="42"/>
      <c r="I230" s="15"/>
      <c r="J230" s="217"/>
    </row>
    <row r="231" spans="2:10" s="1" customFormat="1" ht="14.5" x14ac:dyDescent="0.35">
      <c r="B231" s="4"/>
      <c r="G231" s="42"/>
      <c r="I231" s="15"/>
      <c r="J231" s="217"/>
    </row>
    <row r="232" spans="2:10" s="1" customFormat="1" ht="14.5" x14ac:dyDescent="0.35">
      <c r="B232" s="4"/>
      <c r="G232" s="42"/>
      <c r="I232" s="15"/>
      <c r="J232" s="217"/>
    </row>
    <row r="233" spans="2:10" s="1" customFormat="1" ht="14.5" x14ac:dyDescent="0.35">
      <c r="B233" s="4"/>
      <c r="G233" s="42"/>
      <c r="I233" s="15"/>
      <c r="J233" s="217"/>
    </row>
    <row r="234" spans="2:10" s="1" customFormat="1" ht="14.5" x14ac:dyDescent="0.35">
      <c r="B234" s="4"/>
      <c r="G234" s="42"/>
      <c r="I234" s="15"/>
      <c r="J234" s="217"/>
    </row>
    <row r="235" spans="2:10" s="1" customFormat="1" ht="14.5" x14ac:dyDescent="0.35">
      <c r="B235" s="4"/>
      <c r="G235" s="42"/>
      <c r="I235" s="15"/>
      <c r="J235" s="217"/>
    </row>
    <row r="236" spans="2:10" s="1" customFormat="1" ht="14.5" x14ac:dyDescent="0.35">
      <c r="B236" s="4"/>
      <c r="G236" s="42"/>
      <c r="I236" s="15"/>
      <c r="J236" s="217"/>
    </row>
    <row r="237" spans="2:10" s="1" customFormat="1" ht="14.5" x14ac:dyDescent="0.35">
      <c r="B237" s="4"/>
      <c r="G237" s="42"/>
      <c r="I237" s="15"/>
      <c r="J237" s="217"/>
    </row>
    <row r="238" spans="2:10" s="1" customFormat="1" ht="14.5" x14ac:dyDescent="0.35">
      <c r="B238" s="4"/>
      <c r="G238" s="42"/>
      <c r="I238" s="15"/>
      <c r="J238" s="217"/>
    </row>
    <row r="239" spans="2:10" s="1" customFormat="1" ht="14.5" x14ac:dyDescent="0.35">
      <c r="B239" s="4"/>
      <c r="G239" s="42"/>
      <c r="I239" s="15"/>
      <c r="J239" s="217"/>
    </row>
    <row r="240" spans="2:10" s="1" customFormat="1" ht="14.5" x14ac:dyDescent="0.35">
      <c r="B240" s="4"/>
      <c r="G240" s="42"/>
      <c r="I240" s="15"/>
      <c r="J240" s="217"/>
    </row>
    <row r="241" spans="2:10" s="1" customFormat="1" ht="14.5" x14ac:dyDescent="0.35">
      <c r="B241" s="4"/>
      <c r="G241" s="42"/>
      <c r="I241" s="15"/>
      <c r="J241" s="217"/>
    </row>
    <row r="242" spans="2:10" s="1" customFormat="1" ht="14.5" x14ac:dyDescent="0.35">
      <c r="B242" s="4"/>
      <c r="G242" s="42"/>
      <c r="I242" s="15"/>
      <c r="J242" s="217"/>
    </row>
    <row r="243" spans="2:10" s="1" customFormat="1" ht="14.5" x14ac:dyDescent="0.35">
      <c r="B243" s="4"/>
      <c r="G243" s="42"/>
      <c r="I243" s="15"/>
      <c r="J243" s="217"/>
    </row>
    <row r="244" spans="2:10" s="1" customFormat="1" ht="14.5" x14ac:dyDescent="0.35">
      <c r="B244" s="4"/>
      <c r="G244" s="42"/>
      <c r="I244" s="15"/>
      <c r="J244" s="217"/>
    </row>
    <row r="245" spans="2:10" s="1" customFormat="1" ht="14.5" x14ac:dyDescent="0.35">
      <c r="B245" s="4"/>
      <c r="G245" s="42"/>
      <c r="I245" s="15"/>
      <c r="J245" s="217"/>
    </row>
    <row r="246" spans="2:10" s="1" customFormat="1" ht="14.5" x14ac:dyDescent="0.35">
      <c r="B246" s="4"/>
      <c r="G246" s="42"/>
      <c r="I246" s="15"/>
      <c r="J246" s="217"/>
    </row>
    <row r="247" spans="2:10" s="1" customFormat="1" ht="14.5" x14ac:dyDescent="0.35">
      <c r="B247" s="4"/>
      <c r="G247" s="42"/>
      <c r="I247" s="15"/>
      <c r="J247" s="217"/>
    </row>
    <row r="248" spans="2:10" s="1" customFormat="1" ht="14.5" x14ac:dyDescent="0.35">
      <c r="B248" s="4"/>
      <c r="G248" s="42"/>
      <c r="I248" s="15"/>
      <c r="J248" s="217"/>
    </row>
    <row r="249" spans="2:10" s="1" customFormat="1" ht="14.5" x14ac:dyDescent="0.35">
      <c r="B249" s="4"/>
      <c r="G249" s="42"/>
      <c r="I249" s="15"/>
      <c r="J249" s="217"/>
    </row>
    <row r="250" spans="2:10" s="1" customFormat="1" ht="14.5" x14ac:dyDescent="0.35">
      <c r="B250" s="4"/>
      <c r="G250" s="42"/>
      <c r="I250" s="15"/>
      <c r="J250" s="217"/>
    </row>
    <row r="251" spans="2:10" s="1" customFormat="1" ht="14.5" x14ac:dyDescent="0.35">
      <c r="B251" s="4"/>
      <c r="G251" s="42"/>
      <c r="I251" s="15"/>
      <c r="J251" s="217"/>
    </row>
    <row r="252" spans="2:10" s="1" customFormat="1" ht="14.5" x14ac:dyDescent="0.35">
      <c r="B252" s="4"/>
      <c r="G252" s="42"/>
      <c r="I252" s="15"/>
      <c r="J252" s="217"/>
    </row>
    <row r="253" spans="2:10" s="1" customFormat="1" ht="14.5" x14ac:dyDescent="0.35">
      <c r="B253" s="4"/>
      <c r="G253" s="42"/>
      <c r="I253" s="15"/>
      <c r="J253" s="217"/>
    </row>
    <row r="254" spans="2:10" s="1" customFormat="1" ht="14.5" x14ac:dyDescent="0.35">
      <c r="B254" s="4"/>
      <c r="G254" s="42"/>
      <c r="I254" s="15"/>
      <c r="J254" s="217"/>
    </row>
    <row r="255" spans="2:10" s="1" customFormat="1" ht="14.5" x14ac:dyDescent="0.35">
      <c r="B255" s="4"/>
      <c r="G255" s="42"/>
      <c r="I255" s="15"/>
      <c r="J255" s="217"/>
    </row>
    <row r="256" spans="2:10" s="1" customFormat="1" ht="14.5" x14ac:dyDescent="0.35">
      <c r="B256" s="4"/>
      <c r="G256" s="42"/>
      <c r="I256" s="15"/>
      <c r="J256" s="217"/>
    </row>
    <row r="257" spans="2:10" s="1" customFormat="1" ht="14.5" x14ac:dyDescent="0.35">
      <c r="B257" s="4"/>
      <c r="G257" s="42"/>
      <c r="I257" s="15"/>
      <c r="J257" s="217"/>
    </row>
    <row r="258" spans="2:10" s="1" customFormat="1" ht="14.5" x14ac:dyDescent="0.35">
      <c r="B258" s="4"/>
      <c r="G258" s="42"/>
      <c r="I258" s="15"/>
      <c r="J258" s="217"/>
    </row>
    <row r="259" spans="2:10" s="1" customFormat="1" ht="14.5" x14ac:dyDescent="0.35">
      <c r="B259" s="4"/>
      <c r="G259" s="42"/>
      <c r="I259" s="15"/>
      <c r="J259" s="217"/>
    </row>
    <row r="260" spans="2:10" s="1" customFormat="1" ht="14.5" x14ac:dyDescent="0.35">
      <c r="B260" s="4"/>
      <c r="G260" s="42"/>
      <c r="I260" s="15"/>
      <c r="J260" s="217"/>
    </row>
    <row r="261" spans="2:10" s="1" customFormat="1" ht="14.5" x14ac:dyDescent="0.35">
      <c r="B261" s="4"/>
      <c r="G261" s="42"/>
      <c r="I261" s="15"/>
      <c r="J261" s="217"/>
    </row>
    <row r="262" spans="2:10" s="1" customFormat="1" ht="14.5" x14ac:dyDescent="0.35">
      <c r="B262" s="4"/>
      <c r="G262" s="42"/>
      <c r="I262" s="15"/>
      <c r="J262" s="217"/>
    </row>
    <row r="263" spans="2:10" s="1" customFormat="1" ht="14.5" x14ac:dyDescent="0.35">
      <c r="B263" s="4"/>
      <c r="G263" s="42"/>
      <c r="I263" s="15"/>
      <c r="J263" s="217"/>
    </row>
    <row r="264" spans="2:10" s="1" customFormat="1" ht="14.5" x14ac:dyDescent="0.35">
      <c r="B264" s="4"/>
      <c r="G264" s="42"/>
      <c r="I264" s="15"/>
      <c r="J264" s="217"/>
    </row>
    <row r="265" spans="2:10" s="1" customFormat="1" ht="14.5" x14ac:dyDescent="0.35">
      <c r="B265" s="4"/>
      <c r="G265" s="42"/>
      <c r="I265" s="15"/>
      <c r="J265" s="217"/>
    </row>
    <row r="266" spans="2:10" s="1" customFormat="1" ht="14.5" x14ac:dyDescent="0.35">
      <c r="B266" s="4"/>
      <c r="G266" s="42"/>
      <c r="I266" s="15"/>
      <c r="J266" s="217"/>
    </row>
    <row r="267" spans="2:10" s="1" customFormat="1" ht="14.5" x14ac:dyDescent="0.35">
      <c r="B267" s="4"/>
      <c r="G267" s="42"/>
      <c r="I267" s="15"/>
      <c r="J267" s="217"/>
    </row>
    <row r="268" spans="2:10" s="1" customFormat="1" ht="14.5" x14ac:dyDescent="0.35">
      <c r="B268" s="4"/>
      <c r="G268" s="42"/>
      <c r="I268" s="15"/>
      <c r="J268" s="217"/>
    </row>
    <row r="269" spans="2:10" s="1" customFormat="1" ht="14.5" x14ac:dyDescent="0.35">
      <c r="B269" s="4"/>
      <c r="G269" s="42"/>
      <c r="I269" s="15"/>
      <c r="J269" s="217"/>
    </row>
    <row r="270" spans="2:10" s="1" customFormat="1" ht="14.5" x14ac:dyDescent="0.35">
      <c r="B270" s="4"/>
      <c r="G270" s="42"/>
      <c r="I270" s="15"/>
      <c r="J270" s="217"/>
    </row>
    <row r="271" spans="2:10" s="1" customFormat="1" ht="14.5" x14ac:dyDescent="0.35">
      <c r="B271" s="4"/>
      <c r="G271" s="42"/>
      <c r="I271" s="15"/>
      <c r="J271" s="217"/>
    </row>
    <row r="272" spans="2:10" s="1" customFormat="1" ht="14.5" x14ac:dyDescent="0.35">
      <c r="B272" s="4"/>
      <c r="G272" s="42"/>
      <c r="I272" s="15"/>
      <c r="J272" s="217"/>
    </row>
    <row r="273" spans="2:10" s="1" customFormat="1" ht="14.5" x14ac:dyDescent="0.35">
      <c r="B273" s="4"/>
      <c r="G273" s="42"/>
      <c r="I273" s="15"/>
      <c r="J273" s="217"/>
    </row>
    <row r="274" spans="2:10" s="1" customFormat="1" ht="14.5" x14ac:dyDescent="0.35">
      <c r="B274" s="4"/>
      <c r="G274" s="42"/>
      <c r="I274" s="15"/>
      <c r="J274" s="217"/>
    </row>
    <row r="275" spans="2:10" s="1" customFormat="1" ht="14.5" x14ac:dyDescent="0.35">
      <c r="B275" s="4"/>
      <c r="G275" s="42"/>
      <c r="I275" s="15"/>
      <c r="J275" s="217"/>
    </row>
    <row r="276" spans="2:10" s="1" customFormat="1" ht="14.5" x14ac:dyDescent="0.35">
      <c r="B276" s="4"/>
      <c r="G276" s="42"/>
      <c r="I276" s="15"/>
      <c r="J276" s="217"/>
    </row>
    <row r="277" spans="2:10" s="1" customFormat="1" ht="14.5" x14ac:dyDescent="0.35">
      <c r="B277" s="4"/>
      <c r="G277" s="42"/>
      <c r="I277" s="15"/>
      <c r="J277" s="217"/>
    </row>
    <row r="278" spans="2:10" s="1" customFormat="1" ht="14.5" x14ac:dyDescent="0.35">
      <c r="B278" s="4"/>
      <c r="G278" s="42"/>
      <c r="I278" s="15"/>
      <c r="J278" s="217"/>
    </row>
    <row r="279" spans="2:10" s="1" customFormat="1" ht="14.5" x14ac:dyDescent="0.35">
      <c r="B279" s="4"/>
      <c r="G279" s="42"/>
      <c r="I279" s="15"/>
      <c r="J279" s="217"/>
    </row>
    <row r="280" spans="2:10" s="1" customFormat="1" ht="14.5" x14ac:dyDescent="0.35">
      <c r="B280" s="4"/>
      <c r="G280" s="42"/>
      <c r="I280" s="15"/>
      <c r="J280" s="217"/>
    </row>
    <row r="281" spans="2:10" s="1" customFormat="1" ht="14.5" x14ac:dyDescent="0.35">
      <c r="B281" s="4"/>
      <c r="G281" s="42"/>
      <c r="I281" s="15"/>
      <c r="J281" s="217"/>
    </row>
    <row r="282" spans="2:10" s="1" customFormat="1" ht="14.5" x14ac:dyDescent="0.35">
      <c r="B282" s="4"/>
      <c r="G282" s="42"/>
      <c r="I282" s="15"/>
      <c r="J282" s="217"/>
    </row>
    <row r="283" spans="2:10" s="1" customFormat="1" ht="14.5" x14ac:dyDescent="0.35">
      <c r="B283" s="4"/>
      <c r="G283" s="42"/>
      <c r="I283" s="15"/>
      <c r="J283" s="217"/>
    </row>
    <row r="284" spans="2:10" s="1" customFormat="1" ht="14.5" x14ac:dyDescent="0.35">
      <c r="B284" s="4"/>
      <c r="G284" s="42"/>
      <c r="I284" s="15"/>
      <c r="J284" s="217"/>
    </row>
    <row r="285" spans="2:10" s="1" customFormat="1" ht="14.5" x14ac:dyDescent="0.35">
      <c r="B285" s="4"/>
      <c r="G285" s="42"/>
      <c r="I285" s="15"/>
      <c r="J285" s="217"/>
    </row>
    <row r="286" spans="2:10" s="1" customFormat="1" ht="14.5" x14ac:dyDescent="0.35">
      <c r="B286" s="4"/>
      <c r="G286" s="42"/>
      <c r="I286" s="15"/>
      <c r="J286" s="217"/>
    </row>
    <row r="287" spans="2:10" s="1" customFormat="1" ht="14.5" x14ac:dyDescent="0.35">
      <c r="B287" s="4"/>
      <c r="G287" s="42"/>
      <c r="I287" s="15"/>
      <c r="J287" s="217"/>
    </row>
    <row r="288" spans="2:10" s="1" customFormat="1" ht="14.5" x14ac:dyDescent="0.35">
      <c r="B288" s="4"/>
      <c r="G288" s="42"/>
      <c r="I288" s="15"/>
      <c r="J288" s="217"/>
    </row>
    <row r="289" spans="2:10" s="1" customFormat="1" ht="14.5" x14ac:dyDescent="0.35">
      <c r="B289" s="4"/>
      <c r="G289" s="42"/>
      <c r="I289" s="15"/>
      <c r="J289" s="217"/>
    </row>
    <row r="290" spans="2:10" s="1" customFormat="1" ht="14.5" x14ac:dyDescent="0.35">
      <c r="B290" s="4"/>
      <c r="G290" s="42"/>
      <c r="I290" s="15"/>
      <c r="J290" s="217"/>
    </row>
    <row r="291" spans="2:10" s="1" customFormat="1" ht="14.5" x14ac:dyDescent="0.35">
      <c r="B291" s="4"/>
      <c r="G291" s="42"/>
      <c r="I291" s="15"/>
      <c r="J291" s="217"/>
    </row>
    <row r="292" spans="2:10" s="1" customFormat="1" ht="14.5" x14ac:dyDescent="0.35">
      <c r="B292" s="4"/>
      <c r="G292" s="42"/>
      <c r="I292" s="15"/>
      <c r="J292" s="217"/>
    </row>
    <row r="293" spans="2:10" s="1" customFormat="1" ht="14.5" x14ac:dyDescent="0.35">
      <c r="B293" s="4"/>
      <c r="G293" s="42"/>
      <c r="I293" s="15"/>
      <c r="J293" s="217"/>
    </row>
    <row r="294" spans="2:10" s="1" customFormat="1" ht="14.5" x14ac:dyDescent="0.35">
      <c r="B294" s="4"/>
      <c r="G294" s="42"/>
      <c r="I294" s="15"/>
      <c r="J294" s="217"/>
    </row>
    <row r="295" spans="2:10" s="1" customFormat="1" ht="14.5" x14ac:dyDescent="0.35">
      <c r="B295" s="4"/>
      <c r="G295" s="42"/>
      <c r="I295" s="15"/>
      <c r="J295" s="217"/>
    </row>
    <row r="296" spans="2:10" s="1" customFormat="1" ht="14.5" x14ac:dyDescent="0.35">
      <c r="B296" s="4"/>
      <c r="G296" s="42"/>
      <c r="I296" s="15"/>
      <c r="J296" s="217"/>
    </row>
    <row r="297" spans="2:10" s="1" customFormat="1" ht="14.5" x14ac:dyDescent="0.35">
      <c r="B297" s="4"/>
      <c r="G297" s="42"/>
      <c r="I297" s="15"/>
      <c r="J297" s="217"/>
    </row>
    <row r="298" spans="2:10" s="1" customFormat="1" ht="14.5" x14ac:dyDescent="0.35">
      <c r="B298" s="4"/>
      <c r="G298" s="42"/>
      <c r="I298" s="15"/>
      <c r="J298" s="217"/>
    </row>
    <row r="299" spans="2:10" s="1" customFormat="1" ht="14.5" x14ac:dyDescent="0.35">
      <c r="B299" s="4"/>
      <c r="G299" s="42"/>
      <c r="I299" s="15"/>
      <c r="J299" s="217"/>
    </row>
    <row r="300" spans="2:10" s="1" customFormat="1" ht="14.5" x14ac:dyDescent="0.35">
      <c r="B300" s="4"/>
      <c r="G300" s="42"/>
      <c r="I300" s="15"/>
      <c r="J300" s="217"/>
    </row>
    <row r="301" spans="2:10" s="1" customFormat="1" ht="14.5" x14ac:dyDescent="0.35">
      <c r="B301" s="4"/>
      <c r="G301" s="42"/>
      <c r="I301" s="15"/>
      <c r="J301" s="217"/>
    </row>
    <row r="302" spans="2:10" s="1" customFormat="1" ht="14.5" x14ac:dyDescent="0.35">
      <c r="B302" s="4"/>
      <c r="G302" s="42"/>
      <c r="I302" s="15"/>
      <c r="J302" s="217"/>
    </row>
    <row r="303" spans="2:10" s="1" customFormat="1" ht="14.5" x14ac:dyDescent="0.35">
      <c r="B303" s="4"/>
      <c r="G303" s="42"/>
      <c r="I303" s="15"/>
      <c r="J303" s="217"/>
    </row>
    <row r="304" spans="2:10" s="1" customFormat="1" ht="14.5" x14ac:dyDescent="0.35">
      <c r="B304" s="4"/>
      <c r="G304" s="42"/>
      <c r="I304" s="15"/>
      <c r="J304" s="217"/>
    </row>
    <row r="305" spans="2:10" s="1" customFormat="1" ht="14.5" x14ac:dyDescent="0.35">
      <c r="B305" s="4"/>
      <c r="G305" s="42"/>
      <c r="I305" s="15"/>
      <c r="J305" s="217"/>
    </row>
    <row r="306" spans="2:10" s="1" customFormat="1" ht="14.5" x14ac:dyDescent="0.35">
      <c r="B306" s="4"/>
      <c r="G306" s="42"/>
      <c r="I306" s="15"/>
      <c r="J306" s="217"/>
    </row>
    <row r="307" spans="2:10" s="1" customFormat="1" ht="14.5" x14ac:dyDescent="0.35">
      <c r="B307" s="4"/>
      <c r="G307" s="42"/>
      <c r="I307" s="15"/>
      <c r="J307" s="217"/>
    </row>
    <row r="308" spans="2:10" s="1" customFormat="1" ht="14.5" x14ac:dyDescent="0.35">
      <c r="B308" s="4"/>
      <c r="G308" s="42"/>
      <c r="I308" s="15"/>
      <c r="J308" s="217"/>
    </row>
    <row r="309" spans="2:10" s="1" customFormat="1" ht="14.5" x14ac:dyDescent="0.35">
      <c r="B309" s="4"/>
      <c r="G309" s="42"/>
      <c r="I309" s="15"/>
      <c r="J309" s="217"/>
    </row>
    <row r="310" spans="2:10" s="1" customFormat="1" ht="14.5" x14ac:dyDescent="0.35">
      <c r="B310" s="4"/>
      <c r="G310" s="42"/>
      <c r="I310" s="15"/>
      <c r="J310" s="217"/>
    </row>
    <row r="311" spans="2:10" s="1" customFormat="1" ht="14.5" x14ac:dyDescent="0.35">
      <c r="B311" s="4"/>
      <c r="G311" s="42"/>
      <c r="I311" s="15"/>
      <c r="J311" s="217"/>
    </row>
    <row r="312" spans="2:10" s="1" customFormat="1" ht="14.5" x14ac:dyDescent="0.35">
      <c r="B312" s="4"/>
      <c r="G312" s="42"/>
      <c r="I312" s="15"/>
      <c r="J312" s="217"/>
    </row>
    <row r="313" spans="2:10" s="1" customFormat="1" ht="14.5" x14ac:dyDescent="0.35">
      <c r="B313" s="4"/>
      <c r="G313" s="42"/>
      <c r="I313" s="15"/>
      <c r="J313" s="217"/>
    </row>
    <row r="314" spans="2:10" s="1" customFormat="1" ht="14.5" x14ac:dyDescent="0.35">
      <c r="B314" s="4"/>
      <c r="G314" s="42"/>
      <c r="I314" s="15"/>
      <c r="J314" s="217"/>
    </row>
    <row r="315" spans="2:10" s="1" customFormat="1" ht="14.5" x14ac:dyDescent="0.35">
      <c r="B315" s="4"/>
      <c r="G315" s="42"/>
      <c r="I315" s="15"/>
      <c r="J315" s="217"/>
    </row>
    <row r="316" spans="2:10" s="1" customFormat="1" ht="14.5" x14ac:dyDescent="0.35">
      <c r="B316" s="4"/>
      <c r="G316" s="42"/>
      <c r="I316" s="15"/>
      <c r="J316" s="217"/>
    </row>
    <row r="317" spans="2:10" s="1" customFormat="1" ht="14.5" x14ac:dyDescent="0.35">
      <c r="B317" s="4"/>
      <c r="G317" s="42"/>
      <c r="I317" s="15"/>
      <c r="J317" s="217"/>
    </row>
    <row r="318" spans="2:10" s="1" customFormat="1" ht="14.5" x14ac:dyDescent="0.35">
      <c r="B318" s="4"/>
      <c r="G318" s="42"/>
      <c r="I318" s="15"/>
      <c r="J318" s="217"/>
    </row>
    <row r="319" spans="2:10" s="1" customFormat="1" ht="14.5" x14ac:dyDescent="0.35">
      <c r="B319" s="4"/>
      <c r="G319" s="42"/>
      <c r="I319" s="15"/>
      <c r="J319" s="217"/>
    </row>
    <row r="320" spans="2:10" s="1" customFormat="1" ht="14.5" x14ac:dyDescent="0.35">
      <c r="B320" s="4"/>
      <c r="G320" s="42"/>
      <c r="I320" s="15"/>
      <c r="J320" s="217"/>
    </row>
    <row r="321" spans="2:10" s="1" customFormat="1" ht="14.5" x14ac:dyDescent="0.35">
      <c r="B321" s="4"/>
      <c r="G321" s="42"/>
      <c r="I321" s="15"/>
      <c r="J321" s="217"/>
    </row>
    <row r="322" spans="2:10" s="1" customFormat="1" ht="14.5" x14ac:dyDescent="0.35">
      <c r="B322" s="4"/>
      <c r="G322" s="42"/>
      <c r="I322" s="15"/>
      <c r="J322" s="217"/>
    </row>
    <row r="323" spans="2:10" s="1" customFormat="1" ht="14.5" x14ac:dyDescent="0.35">
      <c r="B323" s="4"/>
      <c r="G323" s="42"/>
      <c r="I323" s="15"/>
      <c r="J323" s="217"/>
    </row>
    <row r="324" spans="2:10" s="1" customFormat="1" ht="14.5" x14ac:dyDescent="0.35">
      <c r="B324" s="4"/>
      <c r="G324" s="42"/>
      <c r="I324" s="15"/>
      <c r="J324" s="217"/>
    </row>
    <row r="325" spans="2:10" s="1" customFormat="1" ht="14.5" x14ac:dyDescent="0.35">
      <c r="B325" s="4"/>
      <c r="G325" s="42"/>
      <c r="I325" s="15"/>
      <c r="J325" s="217"/>
    </row>
    <row r="326" spans="2:10" s="1" customFormat="1" ht="14.5" x14ac:dyDescent="0.35">
      <c r="B326" s="4"/>
      <c r="G326" s="42"/>
      <c r="I326" s="15"/>
      <c r="J326" s="217"/>
    </row>
    <row r="327" spans="2:10" s="1" customFormat="1" ht="14.5" x14ac:dyDescent="0.35">
      <c r="B327" s="4"/>
      <c r="G327" s="42"/>
      <c r="I327" s="15"/>
      <c r="J327" s="217"/>
    </row>
    <row r="328" spans="2:10" s="1" customFormat="1" ht="14.5" x14ac:dyDescent="0.35">
      <c r="B328" s="4"/>
      <c r="G328" s="42"/>
      <c r="I328" s="15"/>
      <c r="J328" s="217"/>
    </row>
    <row r="329" spans="2:10" s="1" customFormat="1" ht="14.5" x14ac:dyDescent="0.35">
      <c r="B329" s="4"/>
      <c r="G329" s="42"/>
      <c r="I329" s="15"/>
      <c r="J329" s="217"/>
    </row>
    <row r="330" spans="2:10" s="1" customFormat="1" ht="14.5" x14ac:dyDescent="0.35">
      <c r="B330" s="4"/>
      <c r="G330" s="42"/>
      <c r="I330" s="15"/>
      <c r="J330" s="217"/>
    </row>
    <row r="331" spans="2:10" s="1" customFormat="1" ht="14.5" x14ac:dyDescent="0.35">
      <c r="B331" s="4"/>
      <c r="G331" s="42"/>
      <c r="I331" s="15"/>
      <c r="J331" s="217"/>
    </row>
    <row r="332" spans="2:10" s="1" customFormat="1" ht="14.5" x14ac:dyDescent="0.35">
      <c r="B332" s="4"/>
      <c r="G332" s="42"/>
      <c r="I332" s="15"/>
      <c r="J332" s="217"/>
    </row>
    <row r="333" spans="2:10" s="1" customFormat="1" ht="14.5" x14ac:dyDescent="0.35">
      <c r="B333" s="4"/>
      <c r="G333" s="42"/>
      <c r="I333" s="15"/>
      <c r="J333" s="217"/>
    </row>
    <row r="334" spans="2:10" s="1" customFormat="1" ht="14.5" x14ac:dyDescent="0.35">
      <c r="B334" s="4"/>
      <c r="G334" s="42"/>
      <c r="I334" s="15"/>
      <c r="J334" s="217"/>
    </row>
    <row r="335" spans="2:10" s="1" customFormat="1" ht="14.5" x14ac:dyDescent="0.35">
      <c r="B335" s="4"/>
      <c r="G335" s="42"/>
      <c r="I335" s="15"/>
      <c r="J335" s="217"/>
    </row>
    <row r="336" spans="2:10" s="1" customFormat="1" ht="14.5" x14ac:dyDescent="0.35">
      <c r="B336" s="4"/>
      <c r="G336" s="42"/>
      <c r="I336" s="15"/>
      <c r="J336" s="217"/>
    </row>
    <row r="337" spans="2:10" s="1" customFormat="1" ht="14.5" x14ac:dyDescent="0.35">
      <c r="B337" s="4"/>
      <c r="G337" s="42"/>
      <c r="I337" s="15"/>
      <c r="J337" s="217"/>
    </row>
    <row r="338" spans="2:10" s="1" customFormat="1" ht="14.5" x14ac:dyDescent="0.35">
      <c r="B338" s="4"/>
      <c r="G338" s="42"/>
      <c r="I338" s="15"/>
      <c r="J338" s="217"/>
    </row>
    <row r="339" spans="2:10" s="1" customFormat="1" ht="14.5" x14ac:dyDescent="0.35">
      <c r="B339" s="4"/>
      <c r="G339" s="42"/>
      <c r="I339" s="15"/>
      <c r="J339" s="217"/>
    </row>
    <row r="340" spans="2:10" s="1" customFormat="1" ht="14.5" x14ac:dyDescent="0.35">
      <c r="B340" s="4"/>
      <c r="G340" s="42"/>
      <c r="I340" s="15"/>
      <c r="J340" s="217"/>
    </row>
    <row r="341" spans="2:10" s="1" customFormat="1" ht="14.5" x14ac:dyDescent="0.35">
      <c r="B341" s="4"/>
      <c r="G341" s="42"/>
      <c r="I341" s="15"/>
      <c r="J341" s="217"/>
    </row>
    <row r="342" spans="2:10" s="1" customFormat="1" ht="14.5" x14ac:dyDescent="0.35">
      <c r="B342" s="4"/>
      <c r="G342" s="42"/>
      <c r="I342" s="15"/>
      <c r="J342" s="217"/>
    </row>
    <row r="343" spans="2:10" s="1" customFormat="1" ht="14.5" x14ac:dyDescent="0.35">
      <c r="B343" s="4"/>
      <c r="G343" s="42"/>
      <c r="I343" s="15"/>
      <c r="J343" s="217"/>
    </row>
    <row r="344" spans="2:10" s="1" customFormat="1" ht="14.5" x14ac:dyDescent="0.35">
      <c r="B344" s="4"/>
      <c r="G344" s="42"/>
      <c r="I344" s="15"/>
      <c r="J344" s="217"/>
    </row>
    <row r="345" spans="2:10" s="1" customFormat="1" ht="14.5" x14ac:dyDescent="0.35">
      <c r="B345" s="4"/>
      <c r="G345" s="42"/>
      <c r="I345" s="15"/>
      <c r="J345" s="217"/>
    </row>
    <row r="346" spans="2:10" s="1" customFormat="1" ht="14.5" x14ac:dyDescent="0.35">
      <c r="B346" s="4"/>
      <c r="G346" s="42"/>
      <c r="I346" s="15"/>
      <c r="J346" s="217"/>
    </row>
    <row r="347" spans="2:10" s="1" customFormat="1" ht="14.5" x14ac:dyDescent="0.35">
      <c r="B347" s="4"/>
      <c r="G347" s="42"/>
      <c r="I347" s="15"/>
      <c r="J347" s="217"/>
    </row>
    <row r="348" spans="2:10" s="1" customFormat="1" ht="14.5" x14ac:dyDescent="0.35">
      <c r="B348" s="4"/>
      <c r="G348" s="42"/>
      <c r="I348" s="15"/>
      <c r="J348" s="217"/>
    </row>
    <row r="349" spans="2:10" s="1" customFormat="1" ht="14.5" x14ac:dyDescent="0.35">
      <c r="B349" s="4"/>
      <c r="G349" s="42"/>
      <c r="I349" s="15"/>
      <c r="J349" s="217"/>
    </row>
    <row r="350" spans="2:10" s="1" customFormat="1" ht="14.5" x14ac:dyDescent="0.35">
      <c r="B350" s="4"/>
      <c r="G350" s="42"/>
      <c r="I350" s="15"/>
      <c r="J350" s="217"/>
    </row>
    <row r="351" spans="2:10" s="1" customFormat="1" ht="14.5" x14ac:dyDescent="0.35">
      <c r="B351" s="4"/>
      <c r="G351" s="42"/>
      <c r="I351" s="15"/>
      <c r="J351" s="217"/>
    </row>
    <row r="352" spans="2:10" s="1" customFormat="1" ht="14.5" x14ac:dyDescent="0.35">
      <c r="B352" s="4"/>
      <c r="G352" s="42"/>
      <c r="I352" s="15"/>
      <c r="J352" s="217"/>
    </row>
    <row r="353" spans="2:10" s="1" customFormat="1" ht="14.5" x14ac:dyDescent="0.35">
      <c r="B353" s="4"/>
      <c r="G353" s="42"/>
      <c r="I353" s="15"/>
      <c r="J353" s="217"/>
    </row>
    <row r="354" spans="2:10" s="1" customFormat="1" ht="14.5" x14ac:dyDescent="0.35">
      <c r="B354" s="4"/>
      <c r="G354" s="42"/>
      <c r="I354" s="15"/>
      <c r="J354" s="217"/>
    </row>
    <row r="355" spans="2:10" s="1" customFormat="1" ht="14.5" x14ac:dyDescent="0.35">
      <c r="B355" s="4"/>
      <c r="G355" s="42"/>
      <c r="I355" s="15"/>
      <c r="J355" s="217"/>
    </row>
    <row r="356" spans="2:10" s="1" customFormat="1" ht="14.5" x14ac:dyDescent="0.35">
      <c r="B356" s="4"/>
      <c r="G356" s="42"/>
      <c r="I356" s="15"/>
      <c r="J356" s="217"/>
    </row>
    <row r="357" spans="2:10" s="1" customFormat="1" ht="14.5" x14ac:dyDescent="0.35">
      <c r="B357" s="4"/>
      <c r="G357" s="42"/>
      <c r="I357" s="15"/>
      <c r="J357" s="217"/>
    </row>
    <row r="358" spans="2:10" s="1" customFormat="1" ht="14.5" x14ac:dyDescent="0.35">
      <c r="B358" s="4"/>
      <c r="G358" s="42"/>
      <c r="I358" s="15"/>
      <c r="J358" s="217"/>
    </row>
    <row r="359" spans="2:10" s="1" customFormat="1" ht="14.5" x14ac:dyDescent="0.35">
      <c r="B359" s="4"/>
      <c r="G359" s="42"/>
      <c r="I359" s="15"/>
      <c r="J359" s="217"/>
    </row>
    <row r="360" spans="2:10" s="1" customFormat="1" ht="14.5" x14ac:dyDescent="0.35">
      <c r="B360" s="4"/>
      <c r="G360" s="42"/>
      <c r="I360" s="15"/>
      <c r="J360" s="217"/>
    </row>
    <row r="361" spans="2:10" s="1" customFormat="1" ht="14.5" x14ac:dyDescent="0.35">
      <c r="B361" s="4"/>
      <c r="G361" s="42"/>
      <c r="I361" s="15"/>
      <c r="J361" s="217"/>
    </row>
    <row r="362" spans="2:10" s="1" customFormat="1" ht="14.5" x14ac:dyDescent="0.35">
      <c r="B362" s="4"/>
      <c r="G362" s="42"/>
      <c r="I362" s="15"/>
      <c r="J362" s="217"/>
    </row>
    <row r="363" spans="2:10" s="1" customFormat="1" ht="14.5" x14ac:dyDescent="0.35">
      <c r="B363" s="4"/>
      <c r="G363" s="42"/>
      <c r="I363" s="15"/>
      <c r="J363" s="217"/>
    </row>
    <row r="364" spans="2:10" s="1" customFormat="1" ht="14.5" x14ac:dyDescent="0.35">
      <c r="B364" s="4"/>
      <c r="G364" s="42"/>
      <c r="I364" s="15"/>
      <c r="J364" s="217"/>
    </row>
    <row r="365" spans="2:10" s="1" customFormat="1" ht="14.5" x14ac:dyDescent="0.35">
      <c r="B365" s="4"/>
      <c r="G365" s="42"/>
      <c r="I365" s="15"/>
      <c r="J365" s="217"/>
    </row>
    <row r="366" spans="2:10" s="1" customFormat="1" ht="14.5" x14ac:dyDescent="0.35">
      <c r="B366" s="4"/>
      <c r="G366" s="42"/>
      <c r="I366" s="15"/>
      <c r="J366" s="217"/>
    </row>
    <row r="367" spans="2:10" s="1" customFormat="1" ht="14.5" x14ac:dyDescent="0.35">
      <c r="B367" s="4"/>
      <c r="G367" s="42"/>
      <c r="I367" s="15"/>
      <c r="J367" s="217"/>
    </row>
    <row r="368" spans="2:10" s="1" customFormat="1" ht="14.5" x14ac:dyDescent="0.35">
      <c r="B368" s="4"/>
      <c r="G368" s="42"/>
      <c r="I368" s="15"/>
      <c r="J368" s="217"/>
    </row>
    <row r="369" spans="2:10" s="1" customFormat="1" ht="14.5" x14ac:dyDescent="0.35">
      <c r="B369" s="4"/>
      <c r="G369" s="42"/>
      <c r="I369" s="15"/>
      <c r="J369" s="217"/>
    </row>
    <row r="370" spans="2:10" s="1" customFormat="1" ht="14.5" x14ac:dyDescent="0.35">
      <c r="B370" s="4"/>
      <c r="G370" s="42"/>
      <c r="I370" s="15"/>
      <c r="J370" s="217"/>
    </row>
    <row r="371" spans="2:10" s="1" customFormat="1" ht="14.5" x14ac:dyDescent="0.35">
      <c r="B371" s="4"/>
      <c r="G371" s="42"/>
      <c r="I371" s="15"/>
      <c r="J371" s="217"/>
    </row>
    <row r="372" spans="2:10" s="1" customFormat="1" ht="14.5" x14ac:dyDescent="0.35">
      <c r="B372" s="4"/>
      <c r="G372" s="42"/>
      <c r="I372" s="15"/>
      <c r="J372" s="217"/>
    </row>
    <row r="373" spans="2:10" s="1" customFormat="1" ht="14.5" x14ac:dyDescent="0.35">
      <c r="B373" s="4"/>
      <c r="G373" s="42"/>
      <c r="I373" s="15"/>
      <c r="J373" s="217"/>
    </row>
    <row r="374" spans="2:10" s="1" customFormat="1" ht="14.5" x14ac:dyDescent="0.35">
      <c r="B374" s="4"/>
      <c r="G374" s="42"/>
      <c r="I374" s="15"/>
      <c r="J374" s="217"/>
    </row>
    <row r="375" spans="2:10" s="1" customFormat="1" ht="14.5" x14ac:dyDescent="0.35">
      <c r="B375" s="4"/>
      <c r="G375" s="42"/>
      <c r="I375" s="15"/>
      <c r="J375" s="217"/>
    </row>
    <row r="376" spans="2:10" s="1" customFormat="1" ht="14.5" x14ac:dyDescent="0.35">
      <c r="B376" s="4"/>
      <c r="G376" s="42"/>
      <c r="I376" s="15"/>
      <c r="J376" s="217"/>
    </row>
    <row r="377" spans="2:10" s="1" customFormat="1" ht="14.5" x14ac:dyDescent="0.35">
      <c r="B377" s="4"/>
      <c r="G377" s="42"/>
      <c r="I377" s="15"/>
      <c r="J377" s="217"/>
    </row>
    <row r="378" spans="2:10" s="1" customFormat="1" ht="14.5" x14ac:dyDescent="0.35">
      <c r="B378" s="4"/>
      <c r="G378" s="42"/>
      <c r="I378" s="15"/>
      <c r="J378" s="217"/>
    </row>
    <row r="379" spans="2:10" s="1" customFormat="1" ht="14.5" x14ac:dyDescent="0.35">
      <c r="B379" s="4"/>
      <c r="G379" s="42"/>
      <c r="I379" s="15"/>
      <c r="J379" s="217"/>
    </row>
    <row r="380" spans="2:10" s="1" customFormat="1" ht="14.5" x14ac:dyDescent="0.35">
      <c r="B380" s="4"/>
      <c r="G380" s="42"/>
      <c r="I380" s="15"/>
      <c r="J380" s="217"/>
    </row>
    <row r="381" spans="2:10" s="1" customFormat="1" ht="14.5" x14ac:dyDescent="0.35">
      <c r="B381" s="4"/>
      <c r="G381" s="42"/>
      <c r="I381" s="15"/>
      <c r="J381" s="217"/>
    </row>
    <row r="382" spans="2:10" s="1" customFormat="1" ht="14.5" x14ac:dyDescent="0.35">
      <c r="B382" s="4"/>
      <c r="G382" s="42"/>
      <c r="I382" s="15"/>
      <c r="J382" s="217"/>
    </row>
    <row r="383" spans="2:10" s="1" customFormat="1" ht="14.5" x14ac:dyDescent="0.35">
      <c r="B383" s="4"/>
      <c r="G383" s="42"/>
      <c r="I383" s="15"/>
      <c r="J383" s="217"/>
    </row>
    <row r="384" spans="2:10" s="1" customFormat="1" ht="14.5" x14ac:dyDescent="0.35">
      <c r="B384" s="4"/>
      <c r="G384" s="42"/>
      <c r="I384" s="15"/>
      <c r="J384" s="217"/>
    </row>
    <row r="385" spans="1:14" s="1" customFormat="1" ht="14.5" x14ac:dyDescent="0.35">
      <c r="B385" s="4"/>
      <c r="G385" s="42"/>
      <c r="I385" s="15"/>
      <c r="J385" s="217"/>
    </row>
    <row r="386" spans="1:14" x14ac:dyDescent="0.35">
      <c r="A386" s="1"/>
      <c r="B386" s="4"/>
      <c r="C386" s="1"/>
      <c r="D386" s="1"/>
      <c r="E386" s="1"/>
      <c r="F386" s="1"/>
      <c r="G386" s="42"/>
      <c r="H386" s="1"/>
      <c r="I386" s="15"/>
      <c r="J386" s="217"/>
      <c r="K386" s="1"/>
      <c r="L386" s="1"/>
      <c r="M386" s="1"/>
      <c r="N386" s="1"/>
    </row>
    <row r="387" spans="1:14" x14ac:dyDescent="0.35">
      <c r="A387" s="1"/>
      <c r="B387" s="4"/>
      <c r="C387" s="1"/>
      <c r="D387" s="1"/>
      <c r="E387" s="1"/>
      <c r="F387" s="1"/>
      <c r="G387" s="42"/>
      <c r="H387" s="1"/>
      <c r="I387" s="15"/>
      <c r="J387" s="217"/>
      <c r="K387" s="1"/>
      <c r="L387" s="1"/>
      <c r="M387" s="1"/>
      <c r="N387" s="1"/>
    </row>
    <row r="388" spans="1:14" x14ac:dyDescent="0.35">
      <c r="A388" s="1"/>
      <c r="B388" s="4"/>
      <c r="C388" s="1"/>
      <c r="D388" s="1"/>
      <c r="E388" s="1"/>
      <c r="F388" s="1"/>
      <c r="G388" s="42"/>
      <c r="H388" s="1"/>
      <c r="I388" s="15"/>
      <c r="J388" s="217"/>
      <c r="K388" s="1"/>
      <c r="L388" s="1"/>
      <c r="M388" s="1"/>
      <c r="N388" s="1"/>
    </row>
    <row r="389" spans="1:14" x14ac:dyDescent="0.35">
      <c r="A389" s="1"/>
      <c r="B389" s="4"/>
      <c r="C389" s="1"/>
      <c r="D389" s="1"/>
      <c r="E389" s="1"/>
      <c r="F389" s="1"/>
      <c r="G389" s="42"/>
      <c r="H389" s="1"/>
      <c r="I389" s="15"/>
      <c r="J389" s="217"/>
      <c r="K389" s="1"/>
      <c r="L389" s="1"/>
      <c r="M389" s="1"/>
      <c r="N389" s="1"/>
    </row>
    <row r="390" spans="1:14" x14ac:dyDescent="0.35">
      <c r="A390" s="1"/>
      <c r="B390" s="4"/>
      <c r="C390" s="1"/>
      <c r="D390" s="1"/>
      <c r="E390" s="1"/>
      <c r="F390" s="1"/>
      <c r="G390" s="42"/>
      <c r="H390" s="1"/>
      <c r="I390" s="15"/>
      <c r="J390" s="217"/>
      <c r="K390" s="1"/>
      <c r="L390" s="1"/>
      <c r="M390" s="1"/>
      <c r="N390" s="1"/>
    </row>
    <row r="391" spans="1:14" x14ac:dyDescent="0.35">
      <c r="A391" s="1"/>
      <c r="B391" s="4"/>
      <c r="C391" s="1"/>
      <c r="D391" s="1"/>
      <c r="E391" s="1"/>
      <c r="F391" s="1"/>
      <c r="G391" s="42"/>
      <c r="H391" s="1"/>
      <c r="I391" s="15"/>
      <c r="J391" s="217"/>
      <c r="K391" s="1"/>
      <c r="L391" s="1"/>
      <c r="M391" s="1"/>
      <c r="N391" s="1"/>
    </row>
    <row r="392" spans="1:14" x14ac:dyDescent="0.35">
      <c r="A392" s="1"/>
      <c r="B392" s="4"/>
      <c r="C392" s="1"/>
      <c r="D392" s="1"/>
      <c r="E392" s="1"/>
      <c r="F392" s="1"/>
      <c r="G392" s="42"/>
      <c r="H392" s="1"/>
      <c r="I392" s="15"/>
      <c r="J392" s="217"/>
      <c r="K392" s="1"/>
      <c r="L392" s="1"/>
      <c r="M392" s="1"/>
      <c r="N392" s="1"/>
    </row>
    <row r="393" spans="1:14" x14ac:dyDescent="0.35">
      <c r="A393" s="1"/>
      <c r="B393" s="4"/>
      <c r="C393" s="1"/>
      <c r="D393" s="1"/>
      <c r="E393" s="1"/>
      <c r="F393" s="1"/>
      <c r="G393" s="42"/>
      <c r="H393" s="1"/>
      <c r="I393" s="15"/>
      <c r="J393" s="217"/>
      <c r="K393" s="1"/>
      <c r="L393" s="1"/>
      <c r="M393" s="1"/>
      <c r="N393" s="1"/>
    </row>
    <row r="394" spans="1:14" x14ac:dyDescent="0.35">
      <c r="A394" s="1"/>
      <c r="B394" s="4"/>
      <c r="C394" s="1"/>
      <c r="D394" s="1"/>
      <c r="E394" s="1"/>
      <c r="F394" s="1"/>
      <c r="G394" s="42"/>
      <c r="H394" s="1"/>
      <c r="I394" s="15"/>
      <c r="J394" s="217"/>
      <c r="K394" s="1"/>
      <c r="L394" s="1"/>
      <c r="M394" s="1"/>
      <c r="N394" s="1"/>
    </row>
    <row r="395" spans="1:14" x14ac:dyDescent="0.35">
      <c r="A395" s="1"/>
      <c r="B395" s="4"/>
      <c r="C395" s="1"/>
      <c r="D395" s="1"/>
      <c r="E395" s="1"/>
      <c r="F395" s="1"/>
      <c r="G395" s="42"/>
      <c r="H395" s="1"/>
      <c r="I395" s="15"/>
      <c r="J395" s="217"/>
      <c r="K395" s="1"/>
      <c r="L395" s="1"/>
      <c r="M395" s="1"/>
      <c r="N395" s="1"/>
    </row>
    <row r="396" spans="1:14" x14ac:dyDescent="0.35">
      <c r="A396" s="1"/>
      <c r="B396" s="4"/>
      <c r="C396" s="1"/>
      <c r="D396" s="1"/>
      <c r="E396" s="1"/>
      <c r="F396" s="1"/>
      <c r="G396" s="42"/>
      <c r="H396" s="1"/>
      <c r="I396" s="15"/>
      <c r="J396" s="217"/>
      <c r="K396" s="1"/>
      <c r="L396" s="1"/>
      <c r="M396" s="1"/>
      <c r="N396" s="1"/>
    </row>
    <row r="397" spans="1:14" x14ac:dyDescent="0.35">
      <c r="A397" s="1"/>
      <c r="B397" s="4"/>
      <c r="C397" s="1"/>
      <c r="D397" s="1"/>
      <c r="E397" s="1"/>
      <c r="F397" s="1"/>
      <c r="G397" s="42"/>
      <c r="H397" s="1"/>
      <c r="I397" s="15"/>
      <c r="J397" s="217"/>
      <c r="K397" s="1"/>
      <c r="L397" s="1"/>
      <c r="M397" s="1"/>
      <c r="N397" s="1"/>
    </row>
    <row r="398" spans="1:14" x14ac:dyDescent="0.35">
      <c r="A398" s="1"/>
      <c r="B398" s="4"/>
      <c r="C398" s="1"/>
      <c r="D398" s="1"/>
      <c r="E398" s="1"/>
      <c r="F398" s="1"/>
      <c r="G398" s="42"/>
      <c r="H398" s="1"/>
      <c r="I398" s="15"/>
      <c r="J398" s="217"/>
      <c r="K398" s="1"/>
      <c r="L398" s="1"/>
      <c r="M398" s="1"/>
      <c r="N398" s="1"/>
    </row>
  </sheetData>
  <mergeCells count="23">
    <mergeCell ref="D46:E46"/>
    <mergeCell ref="A1:H1"/>
    <mergeCell ref="A2:H2"/>
    <mergeCell ref="B5:G5"/>
    <mergeCell ref="E29:F29"/>
    <mergeCell ref="D27:E27"/>
    <mergeCell ref="D18:E18"/>
    <mergeCell ref="D37:E37"/>
    <mergeCell ref="D54:E54"/>
    <mergeCell ref="E47:F47"/>
    <mergeCell ref="D113:E113"/>
    <mergeCell ref="E115:F115"/>
    <mergeCell ref="D84:E84"/>
    <mergeCell ref="D92:E92"/>
    <mergeCell ref="D106:E106"/>
    <mergeCell ref="D99:E99"/>
    <mergeCell ref="E78:F78"/>
    <mergeCell ref="E93:F93"/>
    <mergeCell ref="E107:F107"/>
    <mergeCell ref="D62:E62"/>
    <mergeCell ref="D69:E69"/>
    <mergeCell ref="D77:E77"/>
    <mergeCell ref="E63:F63"/>
  </mergeCells>
  <pageMargins left="0.7" right="0.7" top="0.75" bottom="0.75" header="0.3" footer="0.3"/>
  <pageSetup scale="63" fitToHeight="8" orientation="landscape" horizontalDpi="4294967293" verticalDpi="0" r:id="rId1"/>
  <rowBreaks count="3" manualBreakCount="3">
    <brk id="34" max="13" man="1"/>
    <brk id="52" max="13" man="1"/>
    <brk id="97"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R491"/>
  <sheetViews>
    <sheetView showGridLines="0" zoomScaleNormal="100" workbookViewId="0">
      <selection sqref="A1:M117"/>
    </sheetView>
  </sheetViews>
  <sheetFormatPr defaultColWidth="8.84375" defaultRowHeight="15.5" x14ac:dyDescent="0.35"/>
  <cols>
    <col min="1" max="1" width="7.765625" customWidth="1"/>
    <col min="2" max="2" width="8" style="95" customWidth="1"/>
    <col min="3" max="4" width="10.53515625" customWidth="1"/>
    <col min="5" max="6" width="12.61328125" customWidth="1"/>
    <col min="7" max="7" width="12.61328125" style="102" customWidth="1"/>
    <col min="8" max="8" width="12.61328125" customWidth="1"/>
    <col min="9" max="9" width="12.61328125" style="219" customWidth="1"/>
    <col min="10" max="10" width="12.61328125" style="218" customWidth="1"/>
    <col min="11" max="14" width="12.61328125" customWidth="1"/>
    <col min="15" max="16" width="8.765625" customWidth="1"/>
  </cols>
  <sheetData>
    <row r="1" spans="1:18" ht="21" x14ac:dyDescent="0.5">
      <c r="A1" s="475" t="s">
        <v>255</v>
      </c>
      <c r="B1" s="475"/>
      <c r="C1" s="475"/>
      <c r="D1" s="475"/>
      <c r="E1" s="475"/>
      <c r="F1" s="475"/>
      <c r="G1" s="475"/>
      <c r="H1" s="475"/>
      <c r="I1" s="15"/>
      <c r="J1" s="217"/>
      <c r="K1" s="1"/>
      <c r="L1" s="1"/>
      <c r="M1" s="1"/>
      <c r="N1" s="1"/>
      <c r="O1" s="1"/>
      <c r="P1" s="1"/>
      <c r="Q1" s="1"/>
      <c r="R1" s="1"/>
    </row>
    <row r="2" spans="1:18" ht="18.5" x14ac:dyDescent="0.35">
      <c r="A2" s="476" t="str">
        <f>SAO!A2</f>
        <v>EAST CLARK COUNTY WATER DISTRICT</v>
      </c>
      <c r="B2" s="476"/>
      <c r="C2" s="476"/>
      <c r="D2" s="476"/>
      <c r="E2" s="476"/>
      <c r="F2" s="476"/>
      <c r="G2" s="476"/>
      <c r="H2" s="476"/>
      <c r="I2" s="15"/>
      <c r="J2" s="217"/>
      <c r="K2" s="1"/>
      <c r="L2" s="1"/>
      <c r="M2" s="1"/>
      <c r="N2" s="1"/>
      <c r="O2" s="1"/>
      <c r="P2" s="1"/>
      <c r="Q2" s="1"/>
      <c r="R2" s="1"/>
    </row>
    <row r="3" spans="1:18" ht="18.5" x14ac:dyDescent="0.35">
      <c r="A3" s="29"/>
      <c r="B3" s="92"/>
      <c r="C3" s="29"/>
      <c r="D3" s="29"/>
      <c r="E3" s="29"/>
      <c r="F3" s="29"/>
      <c r="G3" s="97"/>
      <c r="H3" s="29"/>
      <c r="I3" s="15"/>
      <c r="J3" s="217"/>
      <c r="K3" s="1"/>
      <c r="L3" s="1"/>
      <c r="M3" s="1"/>
      <c r="N3" s="1"/>
      <c r="O3" s="1"/>
      <c r="P3" s="1"/>
      <c r="Q3" s="1"/>
      <c r="R3" s="1"/>
    </row>
    <row r="4" spans="1:18" x14ac:dyDescent="0.35">
      <c r="A4" s="85"/>
      <c r="B4" s="93"/>
      <c r="C4" s="86"/>
      <c r="D4" s="86"/>
      <c r="E4" s="86"/>
      <c r="F4" s="86"/>
      <c r="G4" s="98"/>
      <c r="H4" s="86"/>
      <c r="I4" s="15"/>
      <c r="J4" s="217"/>
      <c r="K4" s="1"/>
      <c r="L4" s="1"/>
      <c r="M4" s="1"/>
      <c r="N4" s="1"/>
      <c r="O4" s="1"/>
      <c r="P4" s="1"/>
      <c r="Q4" s="1"/>
      <c r="R4" s="1"/>
    </row>
    <row r="5" spans="1:18" x14ac:dyDescent="0.35">
      <c r="A5" s="1"/>
      <c r="B5" s="477" t="s">
        <v>46</v>
      </c>
      <c r="C5" s="477"/>
      <c r="D5" s="477"/>
      <c r="E5" s="477"/>
      <c r="F5" s="477"/>
      <c r="G5" s="477"/>
      <c r="H5" s="1"/>
      <c r="I5" s="15"/>
      <c r="J5" s="217"/>
      <c r="K5" s="1"/>
      <c r="L5" s="1"/>
      <c r="M5" s="1"/>
      <c r="N5" s="1"/>
      <c r="O5" s="1"/>
      <c r="P5" s="1"/>
      <c r="Q5" s="1"/>
      <c r="R5" s="1"/>
    </row>
    <row r="6" spans="1:18" s="1" customFormat="1" ht="16" x14ac:dyDescent="0.5">
      <c r="B6" s="38" t="s">
        <v>109</v>
      </c>
      <c r="C6" s="377"/>
      <c r="D6" s="378" t="s">
        <v>48</v>
      </c>
      <c r="E6" s="378" t="s">
        <v>49</v>
      </c>
      <c r="F6" s="379"/>
      <c r="G6" s="380" t="s">
        <v>52</v>
      </c>
      <c r="I6" s="15"/>
      <c r="J6" s="217"/>
    </row>
    <row r="7" spans="1:18" s="1" customFormat="1" ht="14.5" x14ac:dyDescent="0.35">
      <c r="B7" s="4" t="s">
        <v>191</v>
      </c>
      <c r="D7" s="122">
        <f>C25+C44+C60+C75+C90+C104</f>
        <v>33004</v>
      </c>
      <c r="E7" s="122">
        <f>D25+D44+D60+D75+D90+D104</f>
        <v>127156200</v>
      </c>
      <c r="F7" s="82"/>
      <c r="G7" s="21">
        <f>G34+G52+G67+G82+G97+G110</f>
        <v>2098974</v>
      </c>
      <c r="I7" s="15"/>
      <c r="J7" s="217"/>
      <c r="K7" s="4"/>
    </row>
    <row r="8" spans="1:18" s="1" customFormat="1" ht="14.5" x14ac:dyDescent="0.35">
      <c r="B8" s="4" t="s">
        <v>224</v>
      </c>
      <c r="D8" s="122"/>
      <c r="E8" s="122">
        <f>D116</f>
        <v>274860</v>
      </c>
      <c r="F8" s="82"/>
      <c r="G8" s="21">
        <f>G116</f>
        <v>2971</v>
      </c>
      <c r="I8" s="15"/>
      <c r="J8" s="217"/>
      <c r="K8" s="4"/>
    </row>
    <row r="9" spans="1:18" s="1" customFormat="1" ht="16" x14ac:dyDescent="0.5">
      <c r="B9" s="4" t="s">
        <v>114</v>
      </c>
      <c r="C9" s="87"/>
      <c r="D9" s="96"/>
      <c r="E9" s="38"/>
      <c r="F9" s="38"/>
      <c r="G9" s="310">
        <v>-2659</v>
      </c>
      <c r="I9" s="15"/>
      <c r="J9" s="217" t="s">
        <v>211</v>
      </c>
      <c r="K9" s="84"/>
      <c r="L9" s="88"/>
    </row>
    <row r="10" spans="1:18" s="1" customFormat="1" ht="16" x14ac:dyDescent="0.5">
      <c r="B10" s="4" t="s">
        <v>115</v>
      </c>
      <c r="C10" s="87"/>
      <c r="D10" s="35"/>
      <c r="E10" s="82"/>
      <c r="F10" s="82"/>
      <c r="G10" s="21">
        <f>SUM(G7:G9)</f>
        <v>2099286</v>
      </c>
      <c r="I10" s="416"/>
      <c r="J10" s="217"/>
      <c r="K10" s="84"/>
      <c r="L10" s="88"/>
    </row>
    <row r="11" spans="1:18" s="1" customFormat="1" ht="16" x14ac:dyDescent="0.5">
      <c r="B11" s="4" t="str">
        <f>SAO!A59</f>
        <v>Revenue Required From Sales of Water</v>
      </c>
      <c r="C11" s="87"/>
      <c r="D11" s="35"/>
      <c r="E11" s="84"/>
      <c r="F11" s="84"/>
      <c r="G11" s="310">
        <f>SAO!G59</f>
        <v>2099065.0449120672</v>
      </c>
      <c r="I11" s="15"/>
      <c r="J11" s="217"/>
      <c r="K11" s="84"/>
      <c r="L11" s="88"/>
    </row>
    <row r="12" spans="1:18" s="1" customFormat="1" ht="16" x14ac:dyDescent="0.5">
      <c r="B12" s="323" t="s">
        <v>63</v>
      </c>
      <c r="C12" s="87"/>
      <c r="D12" s="412"/>
      <c r="E12" s="82"/>
      <c r="F12" s="82"/>
      <c r="G12" s="21">
        <f>G10-G11</f>
        <v>220.95508793275803</v>
      </c>
      <c r="I12" s="15"/>
      <c r="J12" s="222"/>
      <c r="K12" s="84"/>
      <c r="L12" s="88"/>
    </row>
    <row r="13" spans="1:18" s="1" customFormat="1" ht="16" x14ac:dyDescent="0.5">
      <c r="B13" s="323"/>
      <c r="C13" s="87"/>
      <c r="D13" s="412"/>
      <c r="E13" s="82"/>
      <c r="F13" s="82"/>
      <c r="G13" s="416"/>
      <c r="I13" s="15"/>
      <c r="J13" s="222"/>
      <c r="K13" s="84"/>
      <c r="L13" s="88"/>
    </row>
    <row r="14" spans="1:18" s="1" customFormat="1" ht="16" x14ac:dyDescent="0.5">
      <c r="B14" s="4"/>
      <c r="C14" s="87"/>
      <c r="D14" s="4"/>
      <c r="E14" s="82"/>
      <c r="F14" s="82"/>
      <c r="G14" s="63"/>
      <c r="I14" s="15"/>
      <c r="J14" s="222"/>
      <c r="K14" s="84"/>
      <c r="L14" s="88"/>
    </row>
    <row r="15" spans="1:18" s="1" customFormat="1" ht="16" x14ac:dyDescent="0.5">
      <c r="B15" s="4"/>
      <c r="C15" s="87"/>
      <c r="D15" s="4"/>
      <c r="E15" s="4"/>
      <c r="F15" s="82"/>
      <c r="G15" s="311"/>
      <c r="I15" s="15"/>
      <c r="J15" s="222"/>
      <c r="K15" s="84"/>
      <c r="L15" s="88"/>
    </row>
    <row r="16" spans="1:18" s="1" customFormat="1" ht="16" x14ac:dyDescent="0.5">
      <c r="B16" s="4"/>
      <c r="C16" s="87"/>
      <c r="D16" s="35"/>
      <c r="E16" s="82"/>
      <c r="F16" s="82"/>
      <c r="G16" s="63"/>
      <c r="I16" s="15"/>
      <c r="J16" s="222"/>
      <c r="K16" s="84"/>
      <c r="L16" s="88"/>
    </row>
    <row r="17" spans="1:14" s="1" customFormat="1" ht="16.5" thickBot="1" x14ac:dyDescent="0.55000000000000004">
      <c r="B17" s="4"/>
      <c r="C17" s="87"/>
      <c r="D17" s="35"/>
      <c r="E17" s="82"/>
      <c r="F17" s="82"/>
      <c r="G17" s="42"/>
      <c r="I17" s="15"/>
      <c r="J17" s="222"/>
      <c r="K17" s="84"/>
      <c r="L17" s="88"/>
    </row>
    <row r="18" spans="1:14" s="1" customFormat="1" ht="16" x14ac:dyDescent="0.5">
      <c r="A18" s="262" t="s">
        <v>189</v>
      </c>
      <c r="B18" s="263"/>
      <c r="C18" s="264"/>
      <c r="D18" s="471" t="s">
        <v>184</v>
      </c>
      <c r="E18" s="471"/>
      <c r="F18" s="265"/>
      <c r="G18" s="282"/>
      <c r="H18" s="285"/>
      <c r="I18" s="289"/>
      <c r="J18" s="294"/>
      <c r="K18" s="297"/>
      <c r="L18" s="300"/>
      <c r="M18" s="285"/>
      <c r="N18" s="283"/>
    </row>
    <row r="19" spans="1:14" s="1" customFormat="1" ht="14.5" x14ac:dyDescent="0.35">
      <c r="A19" s="267"/>
      <c r="B19" s="4"/>
      <c r="C19" s="87"/>
      <c r="D19" s="256"/>
      <c r="E19" s="89" t="s">
        <v>177</v>
      </c>
      <c r="F19" s="89" t="s">
        <v>178</v>
      </c>
      <c r="G19" s="89" t="s">
        <v>178</v>
      </c>
      <c r="H19" s="89" t="s">
        <v>242</v>
      </c>
      <c r="I19" s="89"/>
      <c r="J19" s="89"/>
      <c r="K19" s="89"/>
      <c r="L19" s="89"/>
      <c r="M19" s="228"/>
      <c r="N19" s="268"/>
    </row>
    <row r="20" spans="1:14" s="1" customFormat="1" ht="14.4" customHeight="1" x14ac:dyDescent="0.35">
      <c r="A20" s="240"/>
      <c r="B20" s="385" t="s">
        <v>47</v>
      </c>
      <c r="C20" s="386" t="s">
        <v>48</v>
      </c>
      <c r="D20" s="386" t="s">
        <v>49</v>
      </c>
      <c r="E20" s="387">
        <f>B21</f>
        <v>2000</v>
      </c>
      <c r="F20" s="387">
        <f>B22</f>
        <v>8000</v>
      </c>
      <c r="G20" s="387">
        <f>B23</f>
        <v>40000</v>
      </c>
      <c r="H20" s="387">
        <f>B24</f>
        <v>50000</v>
      </c>
      <c r="I20" s="257"/>
      <c r="J20" s="257"/>
      <c r="K20" s="257" t="s">
        <v>11</v>
      </c>
      <c r="L20" s="257"/>
      <c r="M20" s="258"/>
      <c r="N20" s="269"/>
    </row>
    <row r="21" spans="1:14" s="1" customFormat="1" ht="14.4" customHeight="1" x14ac:dyDescent="0.35">
      <c r="A21" s="270" t="s">
        <v>177</v>
      </c>
      <c r="B21" s="4">
        <f>Rates!D9</f>
        <v>2000</v>
      </c>
      <c r="C21" s="355">
        <f>ExBA!C21</f>
        <v>10595</v>
      </c>
      <c r="D21" s="323">
        <f>ExBA!D21</f>
        <v>10222900</v>
      </c>
      <c r="E21" s="258">
        <f>D21</f>
        <v>10222900</v>
      </c>
      <c r="F21" s="258"/>
      <c r="G21" s="258"/>
      <c r="H21" s="258"/>
      <c r="I21" s="258"/>
      <c r="J21" s="258"/>
      <c r="K21" s="258">
        <f>SUM(E21:J21)</f>
        <v>10222900</v>
      </c>
      <c r="L21" s="258"/>
      <c r="M21" s="258"/>
      <c r="N21" s="271"/>
    </row>
    <row r="22" spans="1:14" s="1" customFormat="1" ht="14.4" customHeight="1" x14ac:dyDescent="0.35">
      <c r="A22" s="270" t="s">
        <v>178</v>
      </c>
      <c r="B22" s="4">
        <f>Rates!D10</f>
        <v>8000</v>
      </c>
      <c r="C22" s="355">
        <f>ExBA!C22</f>
        <v>20533</v>
      </c>
      <c r="D22" s="323">
        <f>ExBA!D22</f>
        <v>86047900</v>
      </c>
      <c r="E22" s="258">
        <f>C22*E20</f>
        <v>41066000</v>
      </c>
      <c r="F22" s="258">
        <f>D22-E22</f>
        <v>44981900</v>
      </c>
      <c r="G22" s="258"/>
      <c r="H22" s="258"/>
      <c r="I22" s="258"/>
      <c r="J22" s="258"/>
      <c r="K22" s="258">
        <f t="shared" ref="K22:K24" si="0">SUM(E22:J22)</f>
        <v>86047900</v>
      </c>
      <c r="L22" s="258"/>
      <c r="M22" s="258"/>
      <c r="N22" s="271"/>
    </row>
    <row r="23" spans="1:14" s="1" customFormat="1" ht="14.4" customHeight="1" x14ac:dyDescent="0.35">
      <c r="A23" s="270" t="s">
        <v>178</v>
      </c>
      <c r="B23" s="4">
        <f>Rates!D11</f>
        <v>40000</v>
      </c>
      <c r="C23" s="355">
        <f>ExBA!C23</f>
        <v>1512</v>
      </c>
      <c r="D23" s="323">
        <f>ExBA!D23</f>
        <v>24602200</v>
      </c>
      <c r="E23" s="258">
        <f>C23*E20</f>
        <v>3024000</v>
      </c>
      <c r="F23" s="258">
        <f>C23*F20</f>
        <v>12096000</v>
      </c>
      <c r="G23" s="258">
        <f>D23-E23-F23</f>
        <v>9482200</v>
      </c>
      <c r="H23" s="258"/>
      <c r="I23" s="258"/>
      <c r="J23" s="258"/>
      <c r="K23" s="258">
        <f t="shared" si="0"/>
        <v>24602200</v>
      </c>
      <c r="L23" s="258"/>
      <c r="M23" s="258"/>
      <c r="N23" s="271"/>
    </row>
    <row r="24" spans="1:14" s="1" customFormat="1" ht="14.4" customHeight="1" x14ac:dyDescent="0.5">
      <c r="A24" s="276" t="s">
        <v>179</v>
      </c>
      <c r="B24" s="4">
        <f>Rates!D12</f>
        <v>50000</v>
      </c>
      <c r="C24" s="329">
        <v>42</v>
      </c>
      <c r="D24" s="323">
        <f>ExBA!D24</f>
        <v>3256000</v>
      </c>
      <c r="E24" s="38">
        <f>C24*E20</f>
        <v>84000</v>
      </c>
      <c r="F24" s="38">
        <f>C24*F20</f>
        <v>336000</v>
      </c>
      <c r="G24" s="38">
        <f>C24*G20</f>
        <v>1680000</v>
      </c>
      <c r="H24" s="38">
        <f>D24-E24-F24-G24</f>
        <v>1156000</v>
      </c>
      <c r="I24" s="38"/>
      <c r="J24" s="14"/>
      <c r="K24" s="332">
        <f t="shared" si="0"/>
        <v>3256000</v>
      </c>
      <c r="L24" s="259"/>
      <c r="M24" s="38"/>
      <c r="N24" s="272"/>
    </row>
    <row r="25" spans="1:14" s="1" customFormat="1" ht="14.4" customHeight="1" x14ac:dyDescent="0.35">
      <c r="A25" s="270"/>
      <c r="B25" s="4"/>
      <c r="C25" s="20">
        <f t="shared" ref="C25:K25" si="1">SUM(C21:C24)</f>
        <v>32682</v>
      </c>
      <c r="D25" s="4">
        <f t="shared" si="1"/>
        <v>124129000</v>
      </c>
      <c r="E25" s="4">
        <f t="shared" si="1"/>
        <v>54396900</v>
      </c>
      <c r="F25" s="4">
        <f t="shared" si="1"/>
        <v>57413900</v>
      </c>
      <c r="G25" s="4">
        <f t="shared" si="1"/>
        <v>11162200</v>
      </c>
      <c r="H25" s="4">
        <f t="shared" si="1"/>
        <v>1156000</v>
      </c>
      <c r="I25" s="4">
        <f t="shared" si="1"/>
        <v>0</v>
      </c>
      <c r="J25" s="4">
        <f t="shared" si="1"/>
        <v>0</v>
      </c>
      <c r="K25" s="4">
        <f t="shared" si="1"/>
        <v>124129000</v>
      </c>
      <c r="L25" s="4"/>
      <c r="M25" s="4"/>
      <c r="N25" s="271"/>
    </row>
    <row r="26" spans="1:14" s="1" customFormat="1" ht="14.4" customHeight="1" x14ac:dyDescent="0.5">
      <c r="A26" s="240"/>
      <c r="B26" s="4"/>
      <c r="C26" s="87"/>
      <c r="D26" s="35"/>
      <c r="E26" s="82"/>
      <c r="F26" s="82"/>
      <c r="G26" s="42"/>
      <c r="I26" s="15"/>
      <c r="J26" s="222"/>
      <c r="K26" s="84"/>
      <c r="L26" s="88"/>
      <c r="N26" s="268"/>
    </row>
    <row r="27" spans="1:14" s="1" customFormat="1" ht="14.4" customHeight="1" x14ac:dyDescent="0.35">
      <c r="A27" s="267" t="s">
        <v>188</v>
      </c>
      <c r="D27" s="473" t="s">
        <v>184</v>
      </c>
      <c r="E27" s="473"/>
      <c r="F27" s="114"/>
      <c r="G27" s="114"/>
      <c r="I27" s="15"/>
      <c r="J27" s="217"/>
      <c r="K27" s="4"/>
      <c r="M27" s="4"/>
      <c r="N27" s="303"/>
    </row>
    <row r="28" spans="1:14" s="1" customFormat="1" ht="14.4" customHeight="1" x14ac:dyDescent="0.35">
      <c r="A28" s="267"/>
      <c r="D28" s="256"/>
      <c r="E28" s="256"/>
      <c r="F28" s="114"/>
      <c r="G28" s="114"/>
      <c r="I28" s="15"/>
      <c r="J28" s="217"/>
      <c r="K28" s="4"/>
      <c r="M28" s="4"/>
      <c r="N28" s="303"/>
    </row>
    <row r="29" spans="1:14" s="1" customFormat="1" ht="14.4" customHeight="1" x14ac:dyDescent="0.35">
      <c r="A29" s="240"/>
      <c r="B29" s="385" t="s">
        <v>47</v>
      </c>
      <c r="C29" s="386" t="s">
        <v>48</v>
      </c>
      <c r="D29" s="386" t="s">
        <v>49</v>
      </c>
      <c r="E29" s="474" t="s">
        <v>51</v>
      </c>
      <c r="F29" s="474"/>
      <c r="G29" s="388" t="s">
        <v>52</v>
      </c>
      <c r="H29" s="19"/>
      <c r="I29" s="389"/>
      <c r="J29" s="217"/>
      <c r="N29" s="268"/>
    </row>
    <row r="30" spans="1:14" s="1" customFormat="1" ht="14.4" customHeight="1" x14ac:dyDescent="0.35">
      <c r="A30" s="270" t="s">
        <v>177</v>
      </c>
      <c r="B30" s="4">
        <f>Rates!D9</f>
        <v>2000</v>
      </c>
      <c r="C30" s="20">
        <f>C25</f>
        <v>32682</v>
      </c>
      <c r="D30" s="20">
        <f>E25</f>
        <v>54396900</v>
      </c>
      <c r="E30" s="229">
        <f>Rates!H9</f>
        <v>33.590000000000003</v>
      </c>
      <c r="F30" s="44" t="s">
        <v>104</v>
      </c>
      <c r="G30" s="100">
        <f>ROUND(C30*E30,0)</f>
        <v>1097788</v>
      </c>
      <c r="H30" s="20"/>
      <c r="I30" s="390"/>
      <c r="J30" s="217"/>
      <c r="N30" s="268"/>
    </row>
    <row r="31" spans="1:14" s="1" customFormat="1" ht="14.4" customHeight="1" x14ac:dyDescent="0.35">
      <c r="A31" s="270" t="s">
        <v>178</v>
      </c>
      <c r="B31" s="4">
        <f>Rates!D10</f>
        <v>8000</v>
      </c>
      <c r="C31" s="20"/>
      <c r="D31" s="20">
        <f>F25</f>
        <v>57413900</v>
      </c>
      <c r="E31" s="230">
        <f>Rates!H10</f>
        <v>1.392E-2</v>
      </c>
      <c r="F31" s="44" t="s">
        <v>175</v>
      </c>
      <c r="G31" s="100">
        <f>ROUND(D31*E31,0)</f>
        <v>799201</v>
      </c>
      <c r="H31" s="20"/>
      <c r="I31" s="390"/>
      <c r="J31" s="217"/>
      <c r="N31" s="268"/>
    </row>
    <row r="32" spans="1:14" s="1" customFormat="1" ht="14.4" customHeight="1" x14ac:dyDescent="0.35">
      <c r="A32" s="270" t="s">
        <v>178</v>
      </c>
      <c r="B32" s="4">
        <f>Rates!D11</f>
        <v>40000</v>
      </c>
      <c r="C32" s="20"/>
      <c r="D32" s="20">
        <f>G25</f>
        <v>11162200</v>
      </c>
      <c r="E32" s="230">
        <f>Rates!H11</f>
        <v>1.2359999999999999E-2</v>
      </c>
      <c r="F32" s="44" t="s">
        <v>175</v>
      </c>
      <c r="G32" s="100">
        <f t="shared" ref="G32:G33" si="2">ROUND(D32*E32,0)</f>
        <v>137965</v>
      </c>
      <c r="H32" s="20"/>
      <c r="I32" s="390"/>
      <c r="J32" s="217"/>
      <c r="N32" s="268"/>
    </row>
    <row r="33" spans="1:14" s="1" customFormat="1" ht="14.4" customHeight="1" x14ac:dyDescent="0.5">
      <c r="A33" s="276" t="s">
        <v>179</v>
      </c>
      <c r="B33" s="4">
        <f>Rates!D12</f>
        <v>50000</v>
      </c>
      <c r="C33" s="83"/>
      <c r="D33" s="83">
        <f>H25</f>
        <v>1156000</v>
      </c>
      <c r="E33" s="230">
        <f>Rates!H12</f>
        <v>1.0800000000000001E-2</v>
      </c>
      <c r="F33" s="44" t="s">
        <v>175</v>
      </c>
      <c r="G33" s="101">
        <f t="shared" si="2"/>
        <v>12485</v>
      </c>
      <c r="H33" s="83"/>
      <c r="I33" s="390"/>
      <c r="J33" s="217"/>
      <c r="N33" s="268"/>
    </row>
    <row r="34" spans="1:14" s="1" customFormat="1" ht="14.4" customHeight="1" thickBot="1" x14ac:dyDescent="0.4">
      <c r="A34" s="301"/>
      <c r="B34" s="278"/>
      <c r="C34" s="302"/>
      <c r="D34" s="304">
        <f>SUM(D30:D33)</f>
        <v>124129000</v>
      </c>
      <c r="E34" s="302"/>
      <c r="F34" s="302"/>
      <c r="G34" s="299">
        <f>SUM(G30:G33)</f>
        <v>2047439</v>
      </c>
      <c r="H34" s="302"/>
      <c r="I34" s="292"/>
      <c r="J34" s="296"/>
      <c r="K34" s="280"/>
      <c r="L34" s="280"/>
      <c r="M34" s="280"/>
      <c r="N34" s="284"/>
    </row>
    <row r="35" spans="1:14" s="1" customFormat="1" ht="14.4" customHeight="1" x14ac:dyDescent="0.35">
      <c r="A35" s="89"/>
      <c r="B35" s="4"/>
      <c r="C35" s="20"/>
      <c r="D35" s="252"/>
      <c r="E35" s="20"/>
      <c r="F35" s="20"/>
      <c r="G35" s="100"/>
      <c r="H35" s="20"/>
      <c r="I35" s="15"/>
      <c r="J35" s="217"/>
    </row>
    <row r="36" spans="1:14" s="1" customFormat="1" ht="14.4" customHeight="1" thickBot="1" x14ac:dyDescent="0.4">
      <c r="A36" s="89"/>
      <c r="B36" s="4"/>
      <c r="C36" s="20"/>
      <c r="D36" s="4"/>
      <c r="E36" s="20"/>
      <c r="F36" s="20"/>
      <c r="G36" s="100"/>
      <c r="I36" s="15"/>
      <c r="J36" s="217"/>
    </row>
    <row r="37" spans="1:14" s="1" customFormat="1" ht="14.4" customHeight="1" x14ac:dyDescent="0.5">
      <c r="A37" s="262" t="s">
        <v>189</v>
      </c>
      <c r="B37" s="263"/>
      <c r="C37" s="264"/>
      <c r="D37" s="471" t="s">
        <v>110</v>
      </c>
      <c r="E37" s="471"/>
      <c r="F37" s="265"/>
      <c r="G37" s="282"/>
      <c r="H37" s="285"/>
      <c r="I37" s="289"/>
      <c r="J37" s="294"/>
      <c r="K37" s="297"/>
      <c r="L37" s="298"/>
    </row>
    <row r="38" spans="1:14" s="1" customFormat="1" ht="14.4" customHeight="1" x14ac:dyDescent="0.35">
      <c r="A38" s="267"/>
      <c r="B38" s="4"/>
      <c r="C38" s="87"/>
      <c r="D38" s="256"/>
      <c r="E38" s="89" t="s">
        <v>177</v>
      </c>
      <c r="F38" s="89" t="s">
        <v>178</v>
      </c>
      <c r="G38" s="89" t="s">
        <v>178</v>
      </c>
      <c r="H38" s="89" t="s">
        <v>179</v>
      </c>
      <c r="I38" s="89"/>
      <c r="J38" s="89"/>
      <c r="K38" s="89"/>
      <c r="L38" s="268"/>
    </row>
    <row r="39" spans="1:14" s="1" customFormat="1" ht="14.4" customHeight="1" x14ac:dyDescent="0.35">
      <c r="A39" s="240"/>
      <c r="B39" s="385" t="s">
        <v>47</v>
      </c>
      <c r="C39" s="386" t="s">
        <v>48</v>
      </c>
      <c r="D39" s="386" t="s">
        <v>49</v>
      </c>
      <c r="E39" s="387">
        <f>B40</f>
        <v>5000</v>
      </c>
      <c r="F39" s="387">
        <f>B41</f>
        <v>5000</v>
      </c>
      <c r="G39" s="387">
        <f>B42</f>
        <v>40000</v>
      </c>
      <c r="H39" s="387">
        <f>B43</f>
        <v>50000</v>
      </c>
      <c r="I39" s="387" t="s">
        <v>11</v>
      </c>
      <c r="J39" s="257"/>
      <c r="K39" s="257"/>
      <c r="L39" s="269"/>
    </row>
    <row r="40" spans="1:14" s="1" customFormat="1" ht="14.4" customHeight="1" x14ac:dyDescent="0.35">
      <c r="A40" s="270" t="s">
        <v>177</v>
      </c>
      <c r="B40" s="4">
        <f>Rates!D15</f>
        <v>5000</v>
      </c>
      <c r="C40" s="355">
        <f>ExBA!C40</f>
        <v>149</v>
      </c>
      <c r="D40" s="323">
        <f>ExBA!D40</f>
        <v>214700</v>
      </c>
      <c r="E40" s="258">
        <f>D40</f>
        <v>214700</v>
      </c>
      <c r="F40" s="258"/>
      <c r="G40" s="258"/>
      <c r="H40" s="258"/>
      <c r="I40" s="258">
        <f>SUM(E40:H40)</f>
        <v>214700</v>
      </c>
      <c r="J40" s="258"/>
      <c r="K40" s="258"/>
      <c r="L40" s="271"/>
    </row>
    <row r="41" spans="1:14" s="1" customFormat="1" ht="14.4" customHeight="1" x14ac:dyDescent="0.35">
      <c r="A41" s="270" t="s">
        <v>178</v>
      </c>
      <c r="B41" s="4">
        <f>Rates!D16</f>
        <v>5000</v>
      </c>
      <c r="C41" s="355">
        <f>ExBA!C41</f>
        <v>56</v>
      </c>
      <c r="D41" s="323">
        <f>ExBA!D41</f>
        <v>417400</v>
      </c>
      <c r="E41" s="258">
        <f>C41*E39</f>
        <v>280000</v>
      </c>
      <c r="F41" s="258">
        <f>D41-E41</f>
        <v>137400</v>
      </c>
      <c r="G41" s="258"/>
      <c r="H41" s="258"/>
      <c r="I41" s="258">
        <f t="shared" ref="I41:I43" si="3">SUM(E41:H41)</f>
        <v>417400</v>
      </c>
      <c r="J41" s="258"/>
      <c r="K41" s="258"/>
      <c r="L41" s="271"/>
    </row>
    <row r="42" spans="1:14" s="1" customFormat="1" ht="14.4" customHeight="1" x14ac:dyDescent="0.35">
      <c r="A42" s="270" t="s">
        <v>178</v>
      </c>
      <c r="B42" s="4">
        <f>Rates!D17</f>
        <v>40000</v>
      </c>
      <c r="C42" s="355">
        <f>ExBA!C42</f>
        <v>80</v>
      </c>
      <c r="D42" s="323">
        <f>ExBA!D42</f>
        <v>1355600</v>
      </c>
      <c r="E42" s="258">
        <f>C42*E39</f>
        <v>400000</v>
      </c>
      <c r="F42" s="258">
        <f>C42*F39</f>
        <v>400000</v>
      </c>
      <c r="G42" s="258">
        <f>D42-E42-F42</f>
        <v>555600</v>
      </c>
      <c r="H42" s="258"/>
      <c r="I42" s="258">
        <f t="shared" si="3"/>
        <v>1355600</v>
      </c>
      <c r="J42" s="258"/>
      <c r="K42" s="258"/>
      <c r="L42" s="271"/>
    </row>
    <row r="43" spans="1:14" s="1" customFormat="1" ht="14.4" customHeight="1" x14ac:dyDescent="0.5">
      <c r="A43" s="270" t="s">
        <v>179</v>
      </c>
      <c r="B43" s="4">
        <f>Rates!D18</f>
        <v>50000</v>
      </c>
      <c r="C43" s="329">
        <f>ExBA!C43</f>
        <v>11</v>
      </c>
      <c r="D43" s="324">
        <f>ExBA!D43</f>
        <v>811700</v>
      </c>
      <c r="E43" s="260">
        <f>C43*E39</f>
        <v>55000</v>
      </c>
      <c r="F43" s="260">
        <f>C43*F39</f>
        <v>55000</v>
      </c>
      <c r="G43" s="260">
        <f>C43*G39</f>
        <v>440000</v>
      </c>
      <c r="H43" s="260">
        <f>D43-E43-F43-G43</f>
        <v>261700</v>
      </c>
      <c r="I43" s="260">
        <f t="shared" si="3"/>
        <v>811700</v>
      </c>
      <c r="J43" s="260"/>
      <c r="K43" s="260"/>
      <c r="L43" s="272"/>
    </row>
    <row r="44" spans="1:14" s="1" customFormat="1" ht="14.5" x14ac:dyDescent="0.35">
      <c r="A44" s="270"/>
      <c r="B44" s="4"/>
      <c r="C44" s="20">
        <f>SUM(C40:C43)</f>
        <v>296</v>
      </c>
      <c r="D44" s="4">
        <f>SUM(D40:D43)</f>
        <v>2799400</v>
      </c>
      <c r="E44" s="4">
        <f>SUM(E40:E43)</f>
        <v>949700</v>
      </c>
      <c r="F44" s="4">
        <f>SUM(F40:F43)</f>
        <v>592400</v>
      </c>
      <c r="G44" s="4">
        <f>SUM(G40:G43)</f>
        <v>995600</v>
      </c>
      <c r="H44" s="4">
        <f t="shared" ref="H44:I44" si="4">SUM(H40:H43)</f>
        <v>261700</v>
      </c>
      <c r="I44" s="4">
        <f t="shared" si="4"/>
        <v>2799400</v>
      </c>
      <c r="J44" s="4"/>
      <c r="K44" s="4"/>
      <c r="L44" s="271"/>
    </row>
    <row r="45" spans="1:14" s="1" customFormat="1" ht="14.4" customHeight="1" x14ac:dyDescent="0.35">
      <c r="A45" s="270"/>
      <c r="B45" s="4"/>
      <c r="C45" s="20"/>
      <c r="D45" s="4"/>
      <c r="E45" s="4"/>
      <c r="F45" s="4"/>
      <c r="G45" s="4"/>
      <c r="H45" s="4"/>
      <c r="I45" s="4"/>
      <c r="J45" s="4"/>
      <c r="K45" s="4"/>
      <c r="L45" s="271"/>
      <c r="M45" s="4"/>
    </row>
    <row r="46" spans="1:14" s="1" customFormat="1" ht="14.4" customHeight="1" x14ac:dyDescent="0.35">
      <c r="A46" s="267" t="s">
        <v>188</v>
      </c>
      <c r="C46" s="114"/>
      <c r="D46" s="473" t="s">
        <v>110</v>
      </c>
      <c r="E46" s="473"/>
      <c r="F46" s="114"/>
      <c r="G46" s="114"/>
      <c r="I46" s="15"/>
      <c r="J46" s="217"/>
      <c r="L46" s="268"/>
    </row>
    <row r="47" spans="1:14" s="1" customFormat="1" ht="14.4" customHeight="1" x14ac:dyDescent="0.35">
      <c r="A47" s="240"/>
      <c r="B47" s="94" t="s">
        <v>47</v>
      </c>
      <c r="C47" s="81" t="s">
        <v>48</v>
      </c>
      <c r="D47" s="81" t="s">
        <v>49</v>
      </c>
      <c r="E47" s="472" t="s">
        <v>51</v>
      </c>
      <c r="F47" s="472"/>
      <c r="G47" s="99" t="s">
        <v>52</v>
      </c>
      <c r="I47" s="15"/>
      <c r="J47" s="217"/>
      <c r="L47" s="268"/>
    </row>
    <row r="48" spans="1:14" s="1" customFormat="1" ht="14.4" customHeight="1" x14ac:dyDescent="0.35">
      <c r="A48" s="270" t="s">
        <v>177</v>
      </c>
      <c r="B48" s="4">
        <f>Rates!D15</f>
        <v>5000</v>
      </c>
      <c r="C48" s="82">
        <f>C44</f>
        <v>296</v>
      </c>
      <c r="D48" s="82">
        <f>E44</f>
        <v>949700</v>
      </c>
      <c r="E48" s="229">
        <f>Rates!H15</f>
        <v>75.34</v>
      </c>
      <c r="F48" s="44" t="s">
        <v>104</v>
      </c>
      <c r="G48" s="100">
        <f>ROUND(C48*E48,0)</f>
        <v>22301</v>
      </c>
      <c r="I48" s="390"/>
      <c r="J48" s="217"/>
      <c r="L48" s="268"/>
    </row>
    <row r="49" spans="1:12" s="1" customFormat="1" ht="14.4" customHeight="1" x14ac:dyDescent="0.35">
      <c r="A49" s="270" t="s">
        <v>178</v>
      </c>
      <c r="B49" s="4">
        <f>Rates!D16</f>
        <v>5000</v>
      </c>
      <c r="D49" s="82">
        <f>F44</f>
        <v>592400</v>
      </c>
      <c r="E49" s="230">
        <f>Rates!H16</f>
        <v>1.392E-2</v>
      </c>
      <c r="F49" s="44" t="s">
        <v>175</v>
      </c>
      <c r="G49" s="100">
        <f t="shared" ref="G49:G51" si="5">ROUND(D49*E49,0)</f>
        <v>8246</v>
      </c>
      <c r="I49" s="390"/>
      <c r="J49" s="217"/>
      <c r="L49" s="268"/>
    </row>
    <row r="50" spans="1:12" s="1" customFormat="1" ht="14.4" customHeight="1" x14ac:dyDescent="0.35">
      <c r="A50" s="270" t="s">
        <v>178</v>
      </c>
      <c r="B50" s="4">
        <f>Rates!D17</f>
        <v>40000</v>
      </c>
      <c r="D50" s="82">
        <f>G44</f>
        <v>995600</v>
      </c>
      <c r="E50" s="230">
        <f>Rates!H17</f>
        <v>1.2359999999999999E-2</v>
      </c>
      <c r="F50" s="44" t="s">
        <v>175</v>
      </c>
      <c r="G50" s="100">
        <f t="shared" si="5"/>
        <v>12306</v>
      </c>
      <c r="I50" s="390"/>
      <c r="J50" s="217"/>
      <c r="L50" s="268"/>
    </row>
    <row r="51" spans="1:12" s="1" customFormat="1" ht="14.4" customHeight="1" x14ac:dyDescent="0.5">
      <c r="A51" s="276" t="s">
        <v>179</v>
      </c>
      <c r="B51" s="4">
        <f>Rates!D18</f>
        <v>50000</v>
      </c>
      <c r="C51" s="75"/>
      <c r="D51" s="261">
        <f>H44</f>
        <v>261700</v>
      </c>
      <c r="E51" s="230">
        <f>Rates!H18</f>
        <v>1.0800000000000001E-2</v>
      </c>
      <c r="F51" s="44" t="s">
        <v>175</v>
      </c>
      <c r="G51" s="101">
        <f t="shared" si="5"/>
        <v>2826</v>
      </c>
      <c r="I51" s="390"/>
      <c r="J51" s="217"/>
      <c r="L51" s="268"/>
    </row>
    <row r="52" spans="1:12" s="1" customFormat="1" ht="14.4" customHeight="1" thickBot="1" x14ac:dyDescent="0.4">
      <c r="A52" s="277"/>
      <c r="B52" s="278"/>
      <c r="C52" s="292"/>
      <c r="D52" s="278">
        <f>SUM(D48:D51)</f>
        <v>2799400</v>
      </c>
      <c r="E52" s="280"/>
      <c r="F52" s="280"/>
      <c r="G52" s="299">
        <f>SUM(G48:G51)</f>
        <v>45679</v>
      </c>
      <c r="H52" s="280"/>
      <c r="I52" s="292"/>
      <c r="J52" s="296"/>
      <c r="K52" s="280"/>
      <c r="L52" s="284"/>
    </row>
    <row r="53" spans="1:12" s="1" customFormat="1" ht="14.4" customHeight="1" thickBot="1" x14ac:dyDescent="0.4">
      <c r="B53" s="4"/>
      <c r="C53" s="15"/>
      <c r="D53" s="4"/>
      <c r="G53" s="100"/>
      <c r="I53" s="15"/>
      <c r="J53" s="217"/>
    </row>
    <row r="54" spans="1:12" s="1" customFormat="1" ht="14.4" customHeight="1" x14ac:dyDescent="0.5">
      <c r="A54" s="262" t="s">
        <v>189</v>
      </c>
      <c r="B54" s="263"/>
      <c r="C54" s="264"/>
      <c r="D54" s="471" t="s">
        <v>111</v>
      </c>
      <c r="E54" s="471"/>
      <c r="F54" s="265"/>
      <c r="G54" s="282"/>
      <c r="H54" s="285"/>
      <c r="I54" s="289"/>
      <c r="J54" s="294"/>
      <c r="K54" s="295"/>
      <c r="L54" s="88"/>
    </row>
    <row r="55" spans="1:12" s="1" customFormat="1" ht="14.4" customHeight="1" x14ac:dyDescent="0.35">
      <c r="A55" s="267"/>
      <c r="B55" s="4"/>
      <c r="C55" s="87"/>
      <c r="D55" s="256"/>
      <c r="E55" s="89" t="s">
        <v>177</v>
      </c>
      <c r="F55" s="89" t="s">
        <v>178</v>
      </c>
      <c r="G55" s="89" t="s">
        <v>179</v>
      </c>
      <c r="H55" s="89"/>
      <c r="I55" s="89"/>
      <c r="J55" s="89"/>
      <c r="K55" s="268"/>
    </row>
    <row r="56" spans="1:12" s="1" customFormat="1" ht="14.4" customHeight="1" x14ac:dyDescent="0.35">
      <c r="A56" s="240"/>
      <c r="B56" s="385" t="s">
        <v>47</v>
      </c>
      <c r="C56" s="386" t="s">
        <v>48</v>
      </c>
      <c r="D56" s="386" t="s">
        <v>49</v>
      </c>
      <c r="E56" s="387">
        <f>B57</f>
        <v>10000</v>
      </c>
      <c r="F56" s="387">
        <f>B58</f>
        <v>40000</v>
      </c>
      <c r="G56" s="387">
        <f>B59</f>
        <v>50000</v>
      </c>
      <c r="H56" s="387" t="s">
        <v>11</v>
      </c>
      <c r="I56" s="257"/>
      <c r="J56" s="257"/>
      <c r="K56" s="269"/>
    </row>
    <row r="57" spans="1:12" s="1" customFormat="1" ht="14.4" customHeight="1" x14ac:dyDescent="0.35">
      <c r="A57" s="270" t="s">
        <v>177</v>
      </c>
      <c r="B57" s="4">
        <f>Rates!D21</f>
        <v>10000</v>
      </c>
      <c r="C57" s="355">
        <f>ExBA!C57</f>
        <v>11</v>
      </c>
      <c r="D57" s="355">
        <f>ExBA!D57</f>
        <v>79500</v>
      </c>
      <c r="E57" s="258">
        <f>D57</f>
        <v>79500</v>
      </c>
      <c r="F57" s="258"/>
      <c r="G57" s="258"/>
      <c r="H57" s="258">
        <f>SUM(E57:G57)</f>
        <v>79500</v>
      </c>
      <c r="I57" s="258"/>
      <c r="J57" s="258"/>
      <c r="K57" s="271"/>
    </row>
    <row r="58" spans="1:12" s="1" customFormat="1" ht="14.4" customHeight="1" x14ac:dyDescent="0.35">
      <c r="A58" s="270" t="s">
        <v>178</v>
      </c>
      <c r="B58" s="4">
        <f>Rates!D22</f>
        <v>40000</v>
      </c>
      <c r="C58" s="355">
        <f>ExBA!C58</f>
        <v>1</v>
      </c>
      <c r="D58" s="355">
        <f>ExBA!D58</f>
        <v>23600</v>
      </c>
      <c r="E58" s="258">
        <v>23600</v>
      </c>
      <c r="F58" s="258">
        <f>D58-E58</f>
        <v>0</v>
      </c>
      <c r="G58" s="258"/>
      <c r="H58" s="258">
        <f t="shared" ref="H58:H59" si="6">SUM(E58:G58)</f>
        <v>23600</v>
      </c>
      <c r="I58" s="258"/>
      <c r="J58" s="258"/>
      <c r="K58" s="271"/>
    </row>
    <row r="59" spans="1:12" s="1" customFormat="1" ht="14.4" customHeight="1" x14ac:dyDescent="0.5">
      <c r="A59" s="270" t="s">
        <v>179</v>
      </c>
      <c r="B59" s="4">
        <f>Rates!D23</f>
        <v>50000</v>
      </c>
      <c r="C59" s="83"/>
      <c r="D59" s="38"/>
      <c r="E59" s="260">
        <f>C59*E56</f>
        <v>0</v>
      </c>
      <c r="F59" s="260">
        <f>C59*F56</f>
        <v>0</v>
      </c>
      <c r="G59" s="260">
        <f>D59-E59-F59</f>
        <v>0</v>
      </c>
      <c r="H59" s="260">
        <f t="shared" si="6"/>
        <v>0</v>
      </c>
      <c r="I59" s="260"/>
      <c r="J59" s="260"/>
      <c r="K59" s="272"/>
    </row>
    <row r="60" spans="1:12" s="1" customFormat="1" ht="14.4" customHeight="1" x14ac:dyDescent="0.35">
      <c r="A60" s="270"/>
      <c r="B60" s="4"/>
      <c r="C60" s="20">
        <f>SUM(C57:C59)</f>
        <v>12</v>
      </c>
      <c r="D60" s="20">
        <f>SUM(D57:D59)</f>
        <v>103100</v>
      </c>
      <c r="E60" s="4">
        <f>SUM(E57:E59)</f>
        <v>103100</v>
      </c>
      <c r="F60" s="4">
        <f>SUM(F57:F59)</f>
        <v>0</v>
      </c>
      <c r="G60" s="4">
        <f t="shared" ref="G60:H60" si="7">SUM(G57:G59)</f>
        <v>0</v>
      </c>
      <c r="H60" s="4">
        <f t="shared" si="7"/>
        <v>103100</v>
      </c>
      <c r="I60" s="4"/>
      <c r="J60" s="4"/>
      <c r="K60" s="271"/>
    </row>
    <row r="61" spans="1:12" s="1" customFormat="1" ht="14.4" customHeight="1" x14ac:dyDescent="0.35">
      <c r="A61" s="240"/>
      <c r="B61" s="4"/>
      <c r="G61" s="42"/>
      <c r="I61" s="15"/>
      <c r="J61" s="217"/>
      <c r="K61" s="268"/>
    </row>
    <row r="62" spans="1:12" s="1" customFormat="1" ht="14.4" customHeight="1" x14ac:dyDescent="0.35">
      <c r="A62" s="267" t="s">
        <v>188</v>
      </c>
      <c r="B62" s="4"/>
      <c r="C62" s="87"/>
      <c r="D62" s="473" t="s">
        <v>111</v>
      </c>
      <c r="E62" s="473"/>
      <c r="F62" s="114"/>
      <c r="G62" s="114"/>
      <c r="I62" s="15"/>
      <c r="J62" s="217"/>
      <c r="K62" s="268"/>
    </row>
    <row r="63" spans="1:12" s="1" customFormat="1" ht="14.4" customHeight="1" x14ac:dyDescent="0.35">
      <c r="A63" s="240"/>
      <c r="B63" s="94" t="s">
        <v>47</v>
      </c>
      <c r="C63" s="81" t="s">
        <v>48</v>
      </c>
      <c r="D63" s="81" t="s">
        <v>49</v>
      </c>
      <c r="E63" s="472" t="s">
        <v>51</v>
      </c>
      <c r="F63" s="472"/>
      <c r="G63" s="99" t="s">
        <v>52</v>
      </c>
      <c r="I63" s="15"/>
      <c r="J63" s="217"/>
      <c r="K63" s="268"/>
    </row>
    <row r="64" spans="1:12" s="1" customFormat="1" ht="14.4" customHeight="1" x14ac:dyDescent="0.35">
      <c r="A64" s="270" t="s">
        <v>177</v>
      </c>
      <c r="B64" s="4">
        <f>Rates!D21</f>
        <v>10000</v>
      </c>
      <c r="C64" s="82">
        <f>C60</f>
        <v>12</v>
      </c>
      <c r="D64" s="82">
        <f>E60</f>
        <v>103100</v>
      </c>
      <c r="E64" s="74">
        <f>Rates!H21</f>
        <v>144.94</v>
      </c>
      <c r="F64" s="44" t="s">
        <v>104</v>
      </c>
      <c r="G64" s="100">
        <f>ROUND(C64*E64,0)</f>
        <v>1739</v>
      </c>
      <c r="I64" s="390"/>
      <c r="J64" s="217"/>
      <c r="K64" s="268"/>
    </row>
    <row r="65" spans="1:11" s="1" customFormat="1" ht="14.4" customHeight="1" x14ac:dyDescent="0.35">
      <c r="A65" s="270" t="s">
        <v>178</v>
      </c>
      <c r="B65" s="4">
        <f>Rates!D22</f>
        <v>40000</v>
      </c>
      <c r="D65" s="82">
        <f>F60</f>
        <v>0</v>
      </c>
      <c r="E65" s="251">
        <f>Rates!H22</f>
        <v>1.2359999999999999E-2</v>
      </c>
      <c r="F65" s="44" t="s">
        <v>175</v>
      </c>
      <c r="G65" s="100">
        <f t="shared" ref="G65:G66" si="8">ROUND(D65*E65,0)</f>
        <v>0</v>
      </c>
      <c r="I65" s="390"/>
      <c r="J65" s="217"/>
      <c r="K65" s="268"/>
    </row>
    <row r="66" spans="1:11" s="1" customFormat="1" ht="14.4" customHeight="1" x14ac:dyDescent="0.5">
      <c r="A66" s="276" t="s">
        <v>179</v>
      </c>
      <c r="B66" s="4">
        <f>Rates!D23</f>
        <v>50000</v>
      </c>
      <c r="C66" s="75"/>
      <c r="D66" s="261">
        <f>G60</f>
        <v>0</v>
      </c>
      <c r="E66" s="251">
        <f>Rates!H23</f>
        <v>1.0800000000000001E-2</v>
      </c>
      <c r="F66" s="44" t="s">
        <v>175</v>
      </c>
      <c r="G66" s="101">
        <f t="shared" si="8"/>
        <v>0</v>
      </c>
      <c r="I66" s="390"/>
      <c r="J66" s="217"/>
      <c r="K66" s="268"/>
    </row>
    <row r="67" spans="1:11" s="1" customFormat="1" ht="14.4" customHeight="1" thickBot="1" x14ac:dyDescent="0.4">
      <c r="A67" s="277"/>
      <c r="B67" s="278"/>
      <c r="C67" s="279"/>
      <c r="D67" s="278">
        <f>SUM(D64:D66)</f>
        <v>103100</v>
      </c>
      <c r="E67" s="280"/>
      <c r="F67" s="280"/>
      <c r="G67" s="279">
        <f>SUM(G64:G66)</f>
        <v>1739</v>
      </c>
      <c r="H67" s="280"/>
      <c r="I67" s="292"/>
      <c r="J67" s="296"/>
      <c r="K67" s="284"/>
    </row>
    <row r="68" spans="1:11" s="1" customFormat="1" ht="14.4" customHeight="1" thickBot="1" x14ac:dyDescent="0.4">
      <c r="B68" s="4"/>
      <c r="C68" s="204"/>
      <c r="D68" s="4"/>
      <c r="G68" s="204"/>
      <c r="I68" s="15"/>
      <c r="J68" s="217"/>
    </row>
    <row r="69" spans="1:11" s="1" customFormat="1" ht="14.4" customHeight="1" x14ac:dyDescent="0.5">
      <c r="A69" s="262" t="s">
        <v>189</v>
      </c>
      <c r="B69" s="263"/>
      <c r="C69" s="264"/>
      <c r="D69" s="471" t="s">
        <v>112</v>
      </c>
      <c r="E69" s="471"/>
      <c r="F69" s="265"/>
      <c r="G69" s="282"/>
      <c r="H69" s="285"/>
      <c r="I69" s="289"/>
      <c r="J69" s="290"/>
      <c r="K69" s="84"/>
    </row>
    <row r="70" spans="1:11" s="1" customFormat="1" ht="14.4" customHeight="1" x14ac:dyDescent="0.35">
      <c r="A70" s="267"/>
      <c r="B70" s="4"/>
      <c r="C70" s="87"/>
      <c r="D70" s="256"/>
      <c r="E70" s="89" t="s">
        <v>177</v>
      </c>
      <c r="F70" s="89" t="s">
        <v>178</v>
      </c>
      <c r="G70" s="89" t="s">
        <v>179</v>
      </c>
      <c r="H70" s="89"/>
      <c r="I70" s="89"/>
      <c r="J70" s="268"/>
    </row>
    <row r="71" spans="1:11" s="1" customFormat="1" ht="14.4" customHeight="1" x14ac:dyDescent="0.35">
      <c r="A71" s="240"/>
      <c r="B71" s="385" t="s">
        <v>47</v>
      </c>
      <c r="C71" s="386" t="s">
        <v>48</v>
      </c>
      <c r="D71" s="386" t="s">
        <v>49</v>
      </c>
      <c r="E71" s="387">
        <f>B72</f>
        <v>20000</v>
      </c>
      <c r="F71" s="387">
        <f>B73</f>
        <v>30000</v>
      </c>
      <c r="G71" s="387">
        <f>B74</f>
        <v>50000</v>
      </c>
      <c r="H71" s="387" t="s">
        <v>11</v>
      </c>
      <c r="I71" s="257"/>
      <c r="J71" s="269"/>
    </row>
    <row r="72" spans="1:11" s="1" customFormat="1" ht="14.4" customHeight="1" x14ac:dyDescent="0.35">
      <c r="A72" s="270" t="s">
        <v>177</v>
      </c>
      <c r="B72" s="4">
        <f>Rates!D26</f>
        <v>20000</v>
      </c>
      <c r="C72" s="355">
        <f>ExBA!C72</f>
        <v>13</v>
      </c>
      <c r="D72" s="355">
        <f>ExBA!D72</f>
        <v>75800</v>
      </c>
      <c r="E72" s="258">
        <f>D72</f>
        <v>75800</v>
      </c>
      <c r="F72" s="258"/>
      <c r="G72" s="258"/>
      <c r="H72" s="258">
        <f>SUM(E72:G72)</f>
        <v>75800</v>
      </c>
      <c r="I72" s="258"/>
      <c r="J72" s="271"/>
    </row>
    <row r="73" spans="1:11" s="1" customFormat="1" ht="14.4" customHeight="1" x14ac:dyDescent="0.35">
      <c r="A73" s="270" t="s">
        <v>178</v>
      </c>
      <c r="B73" s="4">
        <v>30000</v>
      </c>
      <c r="C73" s="355">
        <f>ExBA!C73</f>
        <v>1</v>
      </c>
      <c r="D73" s="355">
        <f>ExBA!D73</f>
        <v>48900</v>
      </c>
      <c r="E73" s="258">
        <f>C73*E71</f>
        <v>20000</v>
      </c>
      <c r="F73" s="258">
        <f>D73-E73</f>
        <v>28900</v>
      </c>
      <c r="G73" s="258"/>
      <c r="H73" s="258">
        <f t="shared" ref="H73:H74" si="9">SUM(E73:G73)</f>
        <v>48900</v>
      </c>
      <c r="I73" s="258"/>
      <c r="J73" s="271"/>
    </row>
    <row r="74" spans="1:11" s="1" customFormat="1" ht="14.4" customHeight="1" x14ac:dyDescent="0.5">
      <c r="A74" s="270" t="s">
        <v>179</v>
      </c>
      <c r="B74" s="4">
        <f>Rates!D28</f>
        <v>50000</v>
      </c>
      <c r="C74" s="83"/>
      <c r="D74" s="324"/>
      <c r="E74" s="260">
        <f>C74*E71</f>
        <v>0</v>
      </c>
      <c r="F74" s="260">
        <f>D74-E74</f>
        <v>0</v>
      </c>
      <c r="G74" s="260">
        <f>D74-E74-F74</f>
        <v>0</v>
      </c>
      <c r="H74" s="260">
        <f t="shared" si="9"/>
        <v>0</v>
      </c>
      <c r="I74" s="260"/>
      <c r="J74" s="272"/>
    </row>
    <row r="75" spans="1:11" s="1" customFormat="1" ht="14.4" customHeight="1" x14ac:dyDescent="0.35">
      <c r="A75" s="270"/>
      <c r="B75" s="4"/>
      <c r="C75" s="20">
        <f>SUM(C72:C74)</f>
        <v>14</v>
      </c>
      <c r="D75" s="4">
        <f>SUM(D72:D74)</f>
        <v>124700</v>
      </c>
      <c r="E75" s="4">
        <f>SUM(E72:E74)</f>
        <v>95800</v>
      </c>
      <c r="F75" s="4">
        <f t="shared" ref="F75:H75" si="10">SUM(F72:F74)</f>
        <v>28900</v>
      </c>
      <c r="G75" s="4">
        <f t="shared" si="10"/>
        <v>0</v>
      </c>
      <c r="H75" s="4">
        <f t="shared" si="10"/>
        <v>124700</v>
      </c>
      <c r="I75" s="4"/>
      <c r="J75" s="271"/>
    </row>
    <row r="76" spans="1:11" s="1" customFormat="1" ht="14.4" customHeight="1" x14ac:dyDescent="0.35">
      <c r="A76" s="240"/>
      <c r="B76" s="4"/>
      <c r="G76" s="42"/>
      <c r="I76" s="15"/>
      <c r="J76" s="291"/>
    </row>
    <row r="77" spans="1:11" s="1" customFormat="1" ht="14.4" customHeight="1" x14ac:dyDescent="0.35">
      <c r="A77" s="267" t="s">
        <v>188</v>
      </c>
      <c r="B77" s="114"/>
      <c r="C77" s="114"/>
      <c r="D77" s="473" t="s">
        <v>112</v>
      </c>
      <c r="E77" s="473"/>
      <c r="F77" s="114"/>
      <c r="G77" s="114"/>
      <c r="I77" s="15"/>
      <c r="J77" s="291"/>
    </row>
    <row r="78" spans="1:11" s="1" customFormat="1" ht="14.4" customHeight="1" x14ac:dyDescent="0.35">
      <c r="A78" s="240"/>
      <c r="B78" s="94" t="s">
        <v>47</v>
      </c>
      <c r="C78" s="81" t="s">
        <v>48</v>
      </c>
      <c r="D78" s="81" t="s">
        <v>49</v>
      </c>
      <c r="E78" s="472" t="s">
        <v>51</v>
      </c>
      <c r="F78" s="472"/>
      <c r="G78" s="99" t="s">
        <v>52</v>
      </c>
      <c r="I78" s="15"/>
      <c r="J78" s="291"/>
    </row>
    <row r="79" spans="1:11" s="1" customFormat="1" ht="14.4" customHeight="1" x14ac:dyDescent="0.35">
      <c r="A79" s="270" t="s">
        <v>177</v>
      </c>
      <c r="B79" s="4">
        <f>Rates!D26</f>
        <v>20000</v>
      </c>
      <c r="C79" s="82">
        <f>C75</f>
        <v>14</v>
      </c>
      <c r="D79" s="82">
        <f>E75</f>
        <v>95800</v>
      </c>
      <c r="E79" s="74">
        <f>Rates!H26</f>
        <v>268.57</v>
      </c>
      <c r="F79" s="44" t="s">
        <v>104</v>
      </c>
      <c r="G79" s="100">
        <f>ROUND(C79*E79,0)</f>
        <v>3760</v>
      </c>
      <c r="I79" s="15"/>
      <c r="J79" s="291"/>
    </row>
    <row r="80" spans="1:11" s="1" customFormat="1" ht="14.4" customHeight="1" x14ac:dyDescent="0.35">
      <c r="A80" s="270" t="s">
        <v>178</v>
      </c>
      <c r="B80" s="4">
        <f>Rates!D27</f>
        <v>30000</v>
      </c>
      <c r="C80" s="82"/>
      <c r="D80" s="82">
        <f>F75</f>
        <v>28900</v>
      </c>
      <c r="E80" s="251">
        <f>Rates!H27</f>
        <v>1.2359999999999999E-2</v>
      </c>
      <c r="F80" s="44" t="s">
        <v>175</v>
      </c>
      <c r="G80" s="100">
        <f t="shared" ref="G80:G81" si="11">ROUND(D80*E80,0)</f>
        <v>357</v>
      </c>
      <c r="I80" s="15"/>
      <c r="J80" s="291"/>
    </row>
    <row r="81" spans="1:10" s="1" customFormat="1" ht="14.4" customHeight="1" x14ac:dyDescent="0.5">
      <c r="A81" s="276" t="s">
        <v>179</v>
      </c>
      <c r="B81" s="4">
        <f>Rates!D28</f>
        <v>50000</v>
      </c>
      <c r="C81" s="75"/>
      <c r="D81" s="261">
        <f>G75</f>
        <v>0</v>
      </c>
      <c r="E81" s="392">
        <f>Rates!H28</f>
        <v>1.0800000000000001E-2</v>
      </c>
      <c r="F81" s="44" t="s">
        <v>175</v>
      </c>
      <c r="G81" s="101">
        <f t="shared" si="11"/>
        <v>0</v>
      </c>
      <c r="I81" s="15"/>
      <c r="J81" s="291"/>
    </row>
    <row r="82" spans="1:10" s="1" customFormat="1" ht="14.4" customHeight="1" thickBot="1" x14ac:dyDescent="0.4">
      <c r="A82" s="277"/>
      <c r="B82" s="278"/>
      <c r="C82" s="279"/>
      <c r="D82" s="278">
        <f>SUM(D79:D81)</f>
        <v>124700</v>
      </c>
      <c r="E82" s="280"/>
      <c r="F82" s="280"/>
      <c r="G82" s="279">
        <f>SUM(G79:G81)</f>
        <v>4117</v>
      </c>
      <c r="H82" s="280"/>
      <c r="I82" s="292"/>
      <c r="J82" s="293"/>
    </row>
    <row r="83" spans="1:10" s="1" customFormat="1" ht="14.4" customHeight="1" thickBot="1" x14ac:dyDescent="0.4">
      <c r="B83" s="4"/>
      <c r="C83" s="367" t="s">
        <v>250</v>
      </c>
      <c r="D83" s="368"/>
      <c r="E83" s="369"/>
      <c r="F83" s="369"/>
      <c r="G83" s="204"/>
      <c r="I83" s="15"/>
      <c r="J83" s="217"/>
    </row>
    <row r="84" spans="1:10" s="1" customFormat="1" ht="14.4" customHeight="1" x14ac:dyDescent="0.35">
      <c r="A84" s="262" t="s">
        <v>189</v>
      </c>
      <c r="B84" s="263"/>
      <c r="C84" s="264"/>
      <c r="D84" s="471" t="s">
        <v>185</v>
      </c>
      <c r="E84" s="471"/>
      <c r="F84" s="265"/>
      <c r="G84" s="282"/>
      <c r="H84" s="285"/>
      <c r="I84" s="286"/>
      <c r="J84" s="222"/>
    </row>
    <row r="85" spans="1:10" s="1" customFormat="1" ht="14.4" customHeight="1" x14ac:dyDescent="0.35">
      <c r="A85" s="267"/>
      <c r="B85" s="4"/>
      <c r="C85" s="87"/>
      <c r="D85" s="256"/>
      <c r="E85" s="89" t="s">
        <v>177</v>
      </c>
      <c r="F85" s="1" t="s">
        <v>178</v>
      </c>
      <c r="G85" s="89" t="s">
        <v>179</v>
      </c>
      <c r="H85" s="89"/>
      <c r="I85" s="268"/>
    </row>
    <row r="86" spans="1:10" s="1" customFormat="1" ht="14.4" customHeight="1" x14ac:dyDescent="0.35">
      <c r="A86" s="240"/>
      <c r="B86" s="94" t="s">
        <v>47</v>
      </c>
      <c r="C86" s="81" t="s">
        <v>48</v>
      </c>
      <c r="D86" s="81" t="s">
        <v>49</v>
      </c>
      <c r="E86" s="257">
        <f>B87</f>
        <v>30000</v>
      </c>
      <c r="F86" s="82">
        <f>B88</f>
        <v>20000</v>
      </c>
      <c r="G86" s="257">
        <f>B89</f>
        <v>50000</v>
      </c>
      <c r="H86" s="257" t="s">
        <v>11</v>
      </c>
      <c r="I86" s="269"/>
    </row>
    <row r="87" spans="1:10" s="1" customFormat="1" ht="14.4" customHeight="1" x14ac:dyDescent="0.35">
      <c r="A87" s="270" t="s">
        <v>177</v>
      </c>
      <c r="B87" s="4">
        <f>Rates!D31</f>
        <v>30000</v>
      </c>
      <c r="C87" s="20"/>
      <c r="D87" s="4">
        <v>0</v>
      </c>
      <c r="E87" s="258">
        <f>D87</f>
        <v>0</v>
      </c>
      <c r="F87" s="258"/>
      <c r="G87" s="258">
        <f>SUM(E87:F87)</f>
        <v>0</v>
      </c>
      <c r="H87" s="258"/>
      <c r="I87" s="271"/>
    </row>
    <row r="88" spans="1:10" s="1" customFormat="1" ht="14.4" customHeight="1" x14ac:dyDescent="0.35">
      <c r="A88" s="270" t="s">
        <v>178</v>
      </c>
      <c r="B88" s="4">
        <f>Rates!D32</f>
        <v>20000</v>
      </c>
      <c r="C88" s="20"/>
      <c r="D88" s="4"/>
      <c r="E88" s="258">
        <f>B88*C88</f>
        <v>0</v>
      </c>
      <c r="F88" s="258">
        <f>D88-E88</f>
        <v>0</v>
      </c>
      <c r="G88" s="258"/>
      <c r="H88" s="258"/>
      <c r="I88" s="271"/>
    </row>
    <row r="89" spans="1:10" s="1" customFormat="1" ht="14.4" customHeight="1" x14ac:dyDescent="0.5">
      <c r="A89" s="270" t="s">
        <v>179</v>
      </c>
      <c r="B89" s="4">
        <f>Rates!D33</f>
        <v>50000</v>
      </c>
      <c r="C89" s="83"/>
      <c r="D89" s="38">
        <v>0</v>
      </c>
      <c r="E89" s="260">
        <f>C89*E86</f>
        <v>0</v>
      </c>
      <c r="F89" s="260">
        <f>C89*F86</f>
        <v>0</v>
      </c>
      <c r="G89" s="260">
        <f>D89-E89-F89</f>
        <v>0</v>
      </c>
      <c r="H89" s="260"/>
      <c r="I89" s="272"/>
    </row>
    <row r="90" spans="1:10" s="1" customFormat="1" ht="14.4" customHeight="1" x14ac:dyDescent="0.35">
      <c r="A90" s="270"/>
      <c r="B90" s="4"/>
      <c r="C90" s="20">
        <f>SUM(C87:C89)</f>
        <v>0</v>
      </c>
      <c r="D90" s="4">
        <f>SUM(D87:D89)</f>
        <v>0</v>
      </c>
      <c r="E90" s="4">
        <f>SUM(E87:E89)</f>
        <v>0</v>
      </c>
      <c r="F90" s="4">
        <f t="shared" ref="F90:G90" si="12">SUM(F87:F89)</f>
        <v>0</v>
      </c>
      <c r="G90" s="4">
        <f t="shared" si="12"/>
        <v>0</v>
      </c>
      <c r="H90" s="4"/>
      <c r="I90" s="271"/>
    </row>
    <row r="91" spans="1:10" s="1" customFormat="1" ht="14.4" customHeight="1" x14ac:dyDescent="0.35">
      <c r="A91" s="240"/>
      <c r="B91" s="4"/>
      <c r="G91" s="42"/>
      <c r="I91" s="287"/>
      <c r="J91" s="217"/>
    </row>
    <row r="92" spans="1:10" s="1" customFormat="1" ht="14.4" customHeight="1" x14ac:dyDescent="0.35">
      <c r="A92" s="267" t="s">
        <v>188</v>
      </c>
      <c r="C92" s="114"/>
      <c r="D92" s="473" t="s">
        <v>185</v>
      </c>
      <c r="E92" s="473"/>
      <c r="F92" s="114"/>
      <c r="G92" s="114"/>
      <c r="I92" s="287"/>
      <c r="J92" s="217"/>
    </row>
    <row r="93" spans="1:10" s="1" customFormat="1" ht="14.4" customHeight="1" x14ac:dyDescent="0.35">
      <c r="A93" s="240"/>
      <c r="B93" s="94" t="s">
        <v>47</v>
      </c>
      <c r="C93" s="81" t="s">
        <v>48</v>
      </c>
      <c r="D93" s="81" t="s">
        <v>49</v>
      </c>
      <c r="E93" s="472" t="s">
        <v>51</v>
      </c>
      <c r="F93" s="472"/>
      <c r="G93" s="99" t="s">
        <v>52</v>
      </c>
      <c r="I93" s="287"/>
      <c r="J93" s="217"/>
    </row>
    <row r="94" spans="1:10" s="1" customFormat="1" ht="14.4" customHeight="1" x14ac:dyDescent="0.35">
      <c r="A94" s="270" t="s">
        <v>177</v>
      </c>
      <c r="B94" s="4">
        <f>Rates!D31</f>
        <v>30000</v>
      </c>
      <c r="C94" s="82">
        <f>C90</f>
        <v>0</v>
      </c>
      <c r="D94" s="82">
        <f>E90</f>
        <v>0</v>
      </c>
      <c r="E94" s="74">
        <f>Rates!H31</f>
        <v>392.18</v>
      </c>
      <c r="F94" s="44" t="s">
        <v>104</v>
      </c>
      <c r="G94" s="100">
        <f>ROUND(C94*E94,0)</f>
        <v>0</v>
      </c>
      <c r="I94" s="287"/>
      <c r="J94" s="217"/>
    </row>
    <row r="95" spans="1:10" s="1" customFormat="1" ht="14.4" customHeight="1" x14ac:dyDescent="0.35">
      <c r="A95" s="270"/>
      <c r="B95" s="4">
        <f>Rates!D32</f>
        <v>20000</v>
      </c>
      <c r="C95" s="82"/>
      <c r="D95" s="82">
        <f>F90</f>
        <v>0</v>
      </c>
      <c r="E95" s="251">
        <f>Rates!H32</f>
        <v>1.2359999999999999E-2</v>
      </c>
      <c r="F95" s="44" t="s">
        <v>175</v>
      </c>
      <c r="G95" s="100"/>
      <c r="I95" s="287"/>
      <c r="J95" s="217"/>
    </row>
    <row r="96" spans="1:10" s="1" customFormat="1" ht="14.4" customHeight="1" x14ac:dyDescent="0.5">
      <c r="A96" s="276" t="s">
        <v>179</v>
      </c>
      <c r="B96" s="4">
        <f>Rates!D33</f>
        <v>50000</v>
      </c>
      <c r="C96" s="75"/>
      <c r="D96" s="261">
        <f>G90</f>
        <v>0</v>
      </c>
      <c r="E96" s="251">
        <f>Rates!H33</f>
        <v>1.0800000000000001E-2</v>
      </c>
      <c r="F96" s="44" t="s">
        <v>175</v>
      </c>
      <c r="G96" s="101">
        <f t="shared" ref="G96" si="13">ROUND(D96*E96,0)</f>
        <v>0</v>
      </c>
      <c r="I96" s="287"/>
      <c r="J96" s="217"/>
    </row>
    <row r="97" spans="1:10" s="1" customFormat="1" ht="14.4" customHeight="1" thickBot="1" x14ac:dyDescent="0.4">
      <c r="A97" s="277"/>
      <c r="B97" s="278"/>
      <c r="C97" s="279"/>
      <c r="D97" s="278">
        <f>SUM(D94:D96)</f>
        <v>0</v>
      </c>
      <c r="E97" s="280"/>
      <c r="F97" s="280"/>
      <c r="G97" s="279">
        <f>SUM(G94:G96)</f>
        <v>0</v>
      </c>
      <c r="H97" s="280"/>
      <c r="I97" s="288"/>
      <c r="J97" s="217"/>
    </row>
    <row r="98" spans="1:10" s="1" customFormat="1" ht="14.4" customHeight="1" thickBot="1" x14ac:dyDescent="0.4">
      <c r="B98" s="4"/>
      <c r="C98" s="367" t="s">
        <v>251</v>
      </c>
      <c r="D98" s="368"/>
      <c r="E98" s="369"/>
      <c r="F98" s="369"/>
      <c r="G98" s="204"/>
      <c r="I98" s="15"/>
      <c r="J98" s="217"/>
    </row>
    <row r="99" spans="1:10" s="1" customFormat="1" ht="14.4" customHeight="1" x14ac:dyDescent="0.35">
      <c r="A99" s="262" t="s">
        <v>189</v>
      </c>
      <c r="B99" s="263"/>
      <c r="C99" s="264"/>
      <c r="D99" s="471" t="s">
        <v>113</v>
      </c>
      <c r="E99" s="471"/>
      <c r="F99" s="265"/>
      <c r="G99" s="282"/>
      <c r="H99" s="283"/>
      <c r="I99" s="15"/>
      <c r="J99" s="217"/>
    </row>
    <row r="100" spans="1:10" s="1" customFormat="1" ht="14.4" customHeight="1" x14ac:dyDescent="0.35">
      <c r="A100" s="267"/>
      <c r="B100" s="4"/>
      <c r="C100" s="87"/>
      <c r="D100" s="256"/>
      <c r="E100" s="89" t="s">
        <v>177</v>
      </c>
      <c r="F100" s="89" t="s">
        <v>179</v>
      </c>
      <c r="G100" s="89"/>
      <c r="H100" s="268"/>
      <c r="I100" s="217"/>
    </row>
    <row r="101" spans="1:10" s="1" customFormat="1" ht="14.4" customHeight="1" x14ac:dyDescent="0.35">
      <c r="A101" s="240"/>
      <c r="B101" s="94" t="s">
        <v>47</v>
      </c>
      <c r="C101" s="81" t="s">
        <v>48</v>
      </c>
      <c r="D101" s="81" t="s">
        <v>49</v>
      </c>
      <c r="E101" s="257">
        <f>B102</f>
        <v>50000</v>
      </c>
      <c r="F101" s="257">
        <f>B103</f>
        <v>50000</v>
      </c>
      <c r="G101" s="257"/>
      <c r="H101" s="269" t="s">
        <v>11</v>
      </c>
      <c r="I101" s="217"/>
    </row>
    <row r="102" spans="1:10" s="1" customFormat="1" ht="14.4" customHeight="1" x14ac:dyDescent="0.35">
      <c r="A102" s="270" t="s">
        <v>177</v>
      </c>
      <c r="B102" s="4">
        <f>Rates!D36</f>
        <v>50000</v>
      </c>
      <c r="C102" s="20"/>
      <c r="D102" s="4"/>
      <c r="E102" s="258">
        <f>D102</f>
        <v>0</v>
      </c>
      <c r="F102" s="258"/>
      <c r="G102" s="258"/>
      <c r="H102" s="271">
        <f>SUM(E102:G102)</f>
        <v>0</v>
      </c>
      <c r="I102" s="217"/>
    </row>
    <row r="103" spans="1:10" s="1" customFormat="1" ht="14.4" customHeight="1" x14ac:dyDescent="0.5">
      <c r="A103" s="270" t="s">
        <v>178</v>
      </c>
      <c r="B103" s="4">
        <f>Rates!D37</f>
        <v>50000</v>
      </c>
      <c r="C103" s="83"/>
      <c r="D103" s="38"/>
      <c r="E103" s="260">
        <f>C103*E101</f>
        <v>0</v>
      </c>
      <c r="F103" s="260">
        <f>D103-E103</f>
        <v>0</v>
      </c>
      <c r="G103" s="260"/>
      <c r="H103" s="272">
        <f>SUM(E103:G103)</f>
        <v>0</v>
      </c>
      <c r="I103" s="217"/>
    </row>
    <row r="104" spans="1:10" s="1" customFormat="1" ht="14.4" customHeight="1" x14ac:dyDescent="0.35">
      <c r="A104" s="270"/>
      <c r="B104" s="4"/>
      <c r="C104" s="20">
        <f>SUM(C102:C103)</f>
        <v>0</v>
      </c>
      <c r="D104" s="20">
        <f>SUM(D102:D103)</f>
        <v>0</v>
      </c>
      <c r="E104" s="4">
        <f>SUM(E102:E103)</f>
        <v>0</v>
      </c>
      <c r="F104" s="4">
        <f>SUM(F102:F103)</f>
        <v>0</v>
      </c>
      <c r="G104" s="4"/>
      <c r="H104" s="271">
        <f>SUM(H102:H103)</f>
        <v>0</v>
      </c>
      <c r="I104" s="217"/>
    </row>
    <row r="105" spans="1:10" s="1" customFormat="1" ht="14.4" customHeight="1" x14ac:dyDescent="0.35">
      <c r="A105" s="240"/>
      <c r="B105" s="4"/>
      <c r="G105" s="42"/>
      <c r="H105" s="268"/>
      <c r="I105" s="15"/>
      <c r="J105" s="217"/>
    </row>
    <row r="106" spans="1:10" s="1" customFormat="1" ht="14.4" customHeight="1" x14ac:dyDescent="0.35">
      <c r="A106" s="267" t="s">
        <v>188</v>
      </c>
      <c r="B106" s="114"/>
      <c r="C106" s="114"/>
      <c r="D106" s="473" t="s">
        <v>113</v>
      </c>
      <c r="E106" s="473"/>
      <c r="F106" s="114"/>
      <c r="G106" s="114"/>
      <c r="H106" s="268"/>
      <c r="I106" s="15"/>
      <c r="J106" s="217"/>
    </row>
    <row r="107" spans="1:10" s="1" customFormat="1" ht="14.4" customHeight="1" x14ac:dyDescent="0.35">
      <c r="A107" s="240"/>
      <c r="B107" s="94" t="s">
        <v>47</v>
      </c>
      <c r="C107" s="81" t="s">
        <v>48</v>
      </c>
      <c r="D107" s="81" t="s">
        <v>49</v>
      </c>
      <c r="E107" s="472" t="s">
        <v>51</v>
      </c>
      <c r="F107" s="472"/>
      <c r="G107" s="99" t="s">
        <v>52</v>
      </c>
      <c r="H107" s="268"/>
      <c r="I107" s="15"/>
      <c r="J107" s="217"/>
    </row>
    <row r="108" spans="1:10" s="1" customFormat="1" ht="14.4" customHeight="1" x14ac:dyDescent="0.35">
      <c r="A108" s="270" t="s">
        <v>177</v>
      </c>
      <c r="B108" s="4">
        <f>Rates!D36</f>
        <v>50000</v>
      </c>
      <c r="C108" s="82">
        <f>C104</f>
        <v>0</v>
      </c>
      <c r="D108" s="82">
        <f>E104</f>
        <v>0</v>
      </c>
      <c r="E108" s="74">
        <f>Rates!H36</f>
        <v>639.41999999999996</v>
      </c>
      <c r="F108" s="44" t="s">
        <v>104</v>
      </c>
      <c r="G108" s="203">
        <f>ROUND(C108*E108,0)</f>
        <v>0</v>
      </c>
      <c r="H108" s="268"/>
      <c r="I108" s="15"/>
      <c r="J108" s="217"/>
    </row>
    <row r="109" spans="1:10" s="1" customFormat="1" ht="14.4" customHeight="1" x14ac:dyDescent="0.5">
      <c r="A109" s="276" t="s">
        <v>179</v>
      </c>
      <c r="B109" s="4">
        <f>Rates!D37</f>
        <v>50000</v>
      </c>
      <c r="C109" s="75"/>
      <c r="D109" s="261">
        <f>F104</f>
        <v>0</v>
      </c>
      <c r="E109" s="251">
        <f>Rates!H37</f>
        <v>1.0800000000000001E-2</v>
      </c>
      <c r="F109" s="44" t="s">
        <v>175</v>
      </c>
      <c r="G109" s="309">
        <f t="shared" ref="G109" si="14">ROUND(D109*E109,0)</f>
        <v>0</v>
      </c>
      <c r="H109" s="268"/>
      <c r="I109" s="15"/>
      <c r="J109" s="217"/>
    </row>
    <row r="110" spans="1:10" s="1" customFormat="1" ht="14.4" customHeight="1" thickBot="1" x14ac:dyDescent="0.4">
      <c r="A110" s="277"/>
      <c r="B110" s="278"/>
      <c r="C110" s="279"/>
      <c r="D110" s="278">
        <f>SUM(D108:D109)</f>
        <v>0</v>
      </c>
      <c r="E110" s="280"/>
      <c r="F110" s="280"/>
      <c r="G110" s="279">
        <f>SUM(G108:G109)</f>
        <v>0</v>
      </c>
      <c r="H110" s="284"/>
      <c r="I110" s="15"/>
      <c r="J110" s="217"/>
    </row>
    <row r="111" spans="1:10" s="1" customFormat="1" ht="14.4" customHeight="1" x14ac:dyDescent="0.35">
      <c r="B111" s="4"/>
      <c r="C111" s="204"/>
      <c r="D111" s="4"/>
      <c r="G111" s="204"/>
      <c r="I111" s="15"/>
      <c r="J111" s="217"/>
    </row>
    <row r="112" spans="1:10" s="1" customFormat="1" ht="14.4" customHeight="1" thickBot="1" x14ac:dyDescent="0.4">
      <c r="B112" s="4"/>
      <c r="G112" s="42"/>
      <c r="I112" s="15"/>
      <c r="J112" s="217"/>
    </row>
    <row r="113" spans="1:10" s="1" customFormat="1" ht="14.4" customHeight="1" x14ac:dyDescent="0.35">
      <c r="A113" s="262"/>
      <c r="B113" s="263"/>
      <c r="C113" s="264"/>
      <c r="D113" s="471" t="s">
        <v>243</v>
      </c>
      <c r="E113" s="471"/>
      <c r="F113" s="265"/>
      <c r="G113" s="282"/>
      <c r="H113" s="283"/>
      <c r="I113" s="15"/>
      <c r="J113" s="217"/>
    </row>
    <row r="114" spans="1:10" s="1" customFormat="1" ht="14.4" customHeight="1" x14ac:dyDescent="0.35">
      <c r="A114" s="240"/>
      <c r="B114" s="94"/>
      <c r="C114" s="81"/>
      <c r="D114" s="81"/>
      <c r="E114" s="257"/>
      <c r="F114" s="257"/>
      <c r="G114" s="257"/>
      <c r="H114" s="269"/>
      <c r="I114" s="217"/>
      <c r="J114" s="217"/>
    </row>
    <row r="115" spans="1:10" s="1" customFormat="1" ht="14.4" customHeight="1" x14ac:dyDescent="0.35">
      <c r="A115" s="240"/>
      <c r="B115" s="94"/>
      <c r="C115" s="81"/>
      <c r="D115" s="81" t="s">
        <v>49</v>
      </c>
      <c r="E115" s="472" t="s">
        <v>51</v>
      </c>
      <c r="F115" s="472"/>
      <c r="G115" s="99" t="s">
        <v>52</v>
      </c>
      <c r="H115" s="268"/>
      <c r="I115" s="15"/>
      <c r="J115" s="217"/>
    </row>
    <row r="116" spans="1:10" s="1" customFormat="1" ht="14.4" customHeight="1" x14ac:dyDescent="0.35">
      <c r="A116" s="227"/>
      <c r="B116" s="4"/>
      <c r="C116" s="82"/>
      <c r="D116" s="82">
        <f>91732+183128</f>
        <v>274860</v>
      </c>
      <c r="E116" s="251">
        <f>Rates!H41</f>
        <v>1.081E-2</v>
      </c>
      <c r="F116" s="44" t="s">
        <v>175</v>
      </c>
      <c r="G116" s="203">
        <f>ROUND(D116*E116,0)</f>
        <v>2971</v>
      </c>
      <c r="H116" s="268"/>
      <c r="I116" s="15"/>
      <c r="J116" s="217"/>
    </row>
    <row r="117" spans="1:10" s="1" customFormat="1" ht="14.4" customHeight="1" thickBot="1" x14ac:dyDescent="0.4">
      <c r="A117" s="277"/>
      <c r="B117" s="278"/>
      <c r="C117" s="278"/>
      <c r="D117" s="278"/>
      <c r="E117" s="280"/>
      <c r="F117" s="280"/>
      <c r="G117" s="279"/>
      <c r="H117" s="284"/>
      <c r="I117" s="15"/>
      <c r="J117" s="217"/>
    </row>
    <row r="118" spans="1:10" s="1" customFormat="1" ht="14.4" customHeight="1" x14ac:dyDescent="0.35">
      <c r="A118" s="270"/>
      <c r="B118" s="4"/>
      <c r="C118" s="20"/>
      <c r="D118" s="20"/>
      <c r="E118" s="258"/>
      <c r="F118" s="258"/>
      <c r="G118" s="258"/>
      <c r="H118" s="258"/>
      <c r="I118" s="258"/>
      <c r="J118" s="271"/>
    </row>
    <row r="119" spans="1:10" s="1" customFormat="1" ht="14.4" customHeight="1" x14ac:dyDescent="0.35">
      <c r="A119" s="270"/>
      <c r="B119" s="4"/>
      <c r="C119" s="20"/>
      <c r="D119" s="20"/>
      <c r="E119" s="258"/>
      <c r="F119" s="258"/>
      <c r="G119" s="258"/>
      <c r="H119" s="258"/>
      <c r="I119" s="258"/>
      <c r="J119" s="271"/>
    </row>
    <row r="120" spans="1:10" s="1" customFormat="1" ht="14.4" customHeight="1" x14ac:dyDescent="0.35">
      <c r="A120" s="270"/>
      <c r="B120" s="4"/>
      <c r="C120" s="20"/>
      <c r="D120" s="20"/>
      <c r="E120" s="258"/>
      <c r="F120" s="258"/>
      <c r="G120" s="258"/>
      <c r="H120" s="258"/>
      <c r="I120" s="258"/>
      <c r="J120" s="271"/>
    </row>
    <row r="121" spans="1:10" s="1" customFormat="1" ht="14.4" customHeight="1" x14ac:dyDescent="0.5">
      <c r="A121" s="270"/>
      <c r="B121" s="4"/>
      <c r="C121" s="83"/>
      <c r="D121" s="83"/>
      <c r="E121" s="260"/>
      <c r="F121" s="260"/>
      <c r="G121" s="260"/>
      <c r="H121" s="260"/>
      <c r="I121" s="260"/>
      <c r="J121" s="272"/>
    </row>
    <row r="122" spans="1:10" s="1" customFormat="1" ht="14.4" customHeight="1" x14ac:dyDescent="0.35">
      <c r="A122" s="270"/>
      <c r="B122" s="4"/>
      <c r="C122" s="20"/>
      <c r="D122" s="4"/>
      <c r="E122" s="4"/>
      <c r="F122" s="4"/>
      <c r="G122" s="4"/>
      <c r="H122" s="4"/>
      <c r="I122" s="4"/>
      <c r="J122" s="271"/>
    </row>
    <row r="123" spans="1:10" s="1" customFormat="1" ht="14.4" customHeight="1" x14ac:dyDescent="0.35">
      <c r="A123" s="240"/>
      <c r="B123" s="4"/>
      <c r="G123" s="42"/>
      <c r="I123" s="15"/>
      <c r="J123" s="291"/>
    </row>
    <row r="124" spans="1:10" s="1" customFormat="1" ht="14.4" customHeight="1" x14ac:dyDescent="0.35">
      <c r="A124" s="267"/>
      <c r="B124" s="114"/>
      <c r="C124" s="114"/>
      <c r="D124" s="473"/>
      <c r="E124" s="473"/>
      <c r="F124" s="114"/>
      <c r="G124" s="114"/>
      <c r="I124" s="15"/>
      <c r="J124" s="291"/>
    </row>
    <row r="125" spans="1:10" s="1" customFormat="1" ht="14.4" customHeight="1" x14ac:dyDescent="0.35">
      <c r="A125" s="240"/>
      <c r="B125" s="94"/>
      <c r="C125" s="81"/>
      <c r="D125" s="81"/>
      <c r="E125" s="472"/>
      <c r="F125" s="472"/>
      <c r="G125" s="99"/>
      <c r="I125" s="15"/>
      <c r="J125" s="291"/>
    </row>
    <row r="126" spans="1:10" s="1" customFormat="1" ht="14.4" customHeight="1" x14ac:dyDescent="0.35">
      <c r="A126" s="270"/>
      <c r="B126" s="4"/>
      <c r="C126" s="82"/>
      <c r="D126" s="82"/>
      <c r="E126" s="74"/>
      <c r="F126" s="44"/>
      <c r="G126" s="100"/>
      <c r="I126" s="15"/>
      <c r="J126" s="291"/>
    </row>
    <row r="127" spans="1:10" s="1" customFormat="1" ht="14.4" customHeight="1" x14ac:dyDescent="0.35">
      <c r="A127" s="270"/>
      <c r="B127" s="4"/>
      <c r="D127" s="82"/>
      <c r="E127" s="250"/>
      <c r="F127" s="44"/>
      <c r="G127" s="100"/>
      <c r="I127" s="15"/>
      <c r="J127" s="291"/>
    </row>
    <row r="128" spans="1:10" s="1" customFormat="1" ht="14.4" customHeight="1" x14ac:dyDescent="0.35">
      <c r="A128" s="270"/>
      <c r="B128" s="4"/>
      <c r="D128" s="82"/>
      <c r="E128" s="250"/>
      <c r="F128" s="44"/>
      <c r="G128" s="100"/>
      <c r="I128" s="15"/>
      <c r="J128" s="291"/>
    </row>
    <row r="129" spans="1:10" s="1" customFormat="1" ht="14.4" customHeight="1" x14ac:dyDescent="0.35">
      <c r="A129" s="270"/>
      <c r="B129" s="4"/>
      <c r="D129" s="82"/>
      <c r="E129" s="250"/>
      <c r="F129" s="44"/>
      <c r="G129" s="100"/>
      <c r="I129" s="15"/>
      <c r="J129" s="291"/>
    </row>
    <row r="130" spans="1:10" s="1" customFormat="1" ht="14.4" customHeight="1" x14ac:dyDescent="0.5">
      <c r="A130" s="276"/>
      <c r="B130" s="4"/>
      <c r="C130" s="75"/>
      <c r="D130" s="261"/>
      <c r="E130" s="250"/>
      <c r="F130" s="44"/>
      <c r="G130" s="101"/>
      <c r="I130" s="15"/>
      <c r="J130" s="291"/>
    </row>
    <row r="131" spans="1:10" s="1" customFormat="1" ht="14.4" customHeight="1" thickBot="1" x14ac:dyDescent="0.4">
      <c r="A131" s="277"/>
      <c r="B131" s="278"/>
      <c r="C131" s="279"/>
      <c r="D131" s="278"/>
      <c r="E131" s="280"/>
      <c r="F131" s="280"/>
      <c r="G131" s="279"/>
      <c r="H131" s="280"/>
      <c r="I131" s="292"/>
      <c r="J131" s="293"/>
    </row>
    <row r="132" spans="1:10" s="1" customFormat="1" ht="14.4" customHeight="1" thickBot="1" x14ac:dyDescent="0.4">
      <c r="B132" s="4"/>
      <c r="C132" s="204"/>
      <c r="D132" s="4"/>
      <c r="G132" s="204"/>
      <c r="I132" s="15"/>
      <c r="J132" s="217"/>
    </row>
    <row r="133" spans="1:10" s="1" customFormat="1" ht="14.4" customHeight="1" x14ac:dyDescent="0.35">
      <c r="A133" s="262"/>
      <c r="B133" s="263"/>
      <c r="C133" s="264"/>
      <c r="D133" s="471"/>
      <c r="E133" s="471"/>
      <c r="F133" s="265"/>
      <c r="G133" s="282"/>
      <c r="H133" s="285"/>
      <c r="I133" s="289"/>
      <c r="J133" s="290"/>
    </row>
    <row r="134" spans="1:10" s="1" customFormat="1" ht="14.4" customHeight="1" x14ac:dyDescent="0.35">
      <c r="A134" s="267"/>
      <c r="B134" s="4"/>
      <c r="C134" s="87"/>
      <c r="D134" s="256"/>
      <c r="E134" s="89"/>
      <c r="F134" s="89"/>
      <c r="G134" s="89"/>
      <c r="H134" s="89"/>
      <c r="I134" s="89"/>
      <c r="J134" s="268"/>
    </row>
    <row r="135" spans="1:10" s="1" customFormat="1" ht="14.4" customHeight="1" x14ac:dyDescent="0.35">
      <c r="A135" s="240"/>
      <c r="B135" s="94"/>
      <c r="C135" s="81"/>
      <c r="D135" s="81"/>
      <c r="E135" s="257"/>
      <c r="F135" s="257"/>
      <c r="G135" s="257"/>
      <c r="H135" s="257"/>
      <c r="I135" s="257"/>
      <c r="J135" s="269"/>
    </row>
    <row r="136" spans="1:10" s="1" customFormat="1" ht="14.4" customHeight="1" x14ac:dyDescent="0.35">
      <c r="A136" s="270"/>
      <c r="B136" s="4"/>
      <c r="C136" s="20"/>
      <c r="D136" s="4"/>
      <c r="E136" s="258"/>
      <c r="F136" s="258"/>
      <c r="G136" s="258"/>
      <c r="H136" s="258"/>
      <c r="I136" s="258"/>
      <c r="J136" s="271"/>
    </row>
    <row r="137" spans="1:10" s="1" customFormat="1" ht="14.4" customHeight="1" x14ac:dyDescent="0.35">
      <c r="A137" s="270"/>
      <c r="B137" s="4"/>
      <c r="C137" s="20"/>
      <c r="D137" s="4"/>
      <c r="E137" s="258"/>
      <c r="F137" s="258"/>
      <c r="G137" s="258"/>
      <c r="H137" s="258"/>
      <c r="I137" s="258"/>
      <c r="J137" s="271"/>
    </row>
    <row r="138" spans="1:10" s="1" customFormat="1" ht="14.4" customHeight="1" x14ac:dyDescent="0.35">
      <c r="A138" s="270"/>
      <c r="B138" s="4"/>
      <c r="C138" s="20"/>
      <c r="D138" s="4"/>
      <c r="E138" s="258"/>
      <c r="F138" s="258"/>
      <c r="G138" s="258"/>
      <c r="H138" s="258"/>
      <c r="I138" s="258"/>
      <c r="J138" s="271"/>
    </row>
    <row r="139" spans="1:10" s="1" customFormat="1" ht="14.4" customHeight="1" x14ac:dyDescent="0.35">
      <c r="A139" s="270"/>
      <c r="B139" s="4"/>
      <c r="C139" s="20"/>
      <c r="D139" s="4"/>
      <c r="E139" s="258"/>
      <c r="F139" s="258"/>
      <c r="G139" s="258"/>
      <c r="H139" s="258"/>
      <c r="I139" s="258"/>
      <c r="J139" s="271"/>
    </row>
    <row r="140" spans="1:10" s="1" customFormat="1" ht="14.4" customHeight="1" x14ac:dyDescent="0.5">
      <c r="A140" s="270"/>
      <c r="B140" s="4"/>
      <c r="C140" s="83"/>
      <c r="D140" s="38"/>
      <c r="E140" s="260"/>
      <c r="F140" s="260"/>
      <c r="G140" s="260"/>
      <c r="H140" s="260"/>
      <c r="I140" s="260"/>
      <c r="J140" s="272"/>
    </row>
    <row r="141" spans="1:10" s="1" customFormat="1" ht="14.4" customHeight="1" x14ac:dyDescent="0.35">
      <c r="A141" s="270"/>
      <c r="B141" s="4"/>
      <c r="C141" s="20"/>
      <c r="D141" s="4"/>
      <c r="E141" s="4"/>
      <c r="F141" s="4"/>
      <c r="G141" s="4"/>
      <c r="H141" s="4"/>
      <c r="I141" s="4"/>
      <c r="J141" s="271"/>
    </row>
    <row r="142" spans="1:10" s="1" customFormat="1" ht="14.4" customHeight="1" x14ac:dyDescent="0.35">
      <c r="A142" s="240"/>
      <c r="B142" s="4"/>
      <c r="C142" s="204"/>
      <c r="D142" s="4"/>
      <c r="G142" s="204"/>
      <c r="I142" s="15"/>
      <c r="J142" s="291"/>
    </row>
    <row r="143" spans="1:10" s="1" customFormat="1" ht="14.4" customHeight="1" x14ac:dyDescent="0.35">
      <c r="A143" s="267"/>
      <c r="B143" s="114"/>
      <c r="C143" s="114"/>
      <c r="D143" s="473"/>
      <c r="E143" s="473"/>
      <c r="F143" s="114"/>
      <c r="G143" s="114"/>
      <c r="I143" s="15"/>
      <c r="J143" s="291"/>
    </row>
    <row r="144" spans="1:10" s="1" customFormat="1" ht="14.4" customHeight="1" x14ac:dyDescent="0.35">
      <c r="A144" s="240"/>
      <c r="B144" s="94"/>
      <c r="C144" s="81"/>
      <c r="D144" s="81"/>
      <c r="E144" s="472"/>
      <c r="F144" s="472"/>
      <c r="G144" s="99"/>
      <c r="I144" s="15"/>
      <c r="J144" s="291"/>
    </row>
    <row r="145" spans="1:10" s="1" customFormat="1" ht="14.4" customHeight="1" x14ac:dyDescent="0.35">
      <c r="A145" s="270"/>
      <c r="B145" s="4"/>
      <c r="C145" s="82"/>
      <c r="D145" s="82"/>
      <c r="E145" s="74"/>
      <c r="F145" s="44"/>
      <c r="G145" s="100"/>
      <c r="I145" s="15"/>
      <c r="J145" s="291"/>
    </row>
    <row r="146" spans="1:10" s="1" customFormat="1" ht="14.4" customHeight="1" x14ac:dyDescent="0.35">
      <c r="A146" s="270"/>
      <c r="B146" s="4"/>
      <c r="D146" s="82"/>
      <c r="E146" s="251"/>
      <c r="F146" s="44"/>
      <c r="G146" s="100"/>
      <c r="I146" s="15"/>
      <c r="J146" s="291"/>
    </row>
    <row r="147" spans="1:10" s="1" customFormat="1" ht="14.4" customHeight="1" x14ac:dyDescent="0.35">
      <c r="A147" s="270"/>
      <c r="B147" s="4"/>
      <c r="D147" s="82"/>
      <c r="E147" s="251"/>
      <c r="F147" s="44"/>
      <c r="G147" s="100"/>
      <c r="I147" s="15"/>
      <c r="J147" s="291"/>
    </row>
    <row r="148" spans="1:10" s="1" customFormat="1" ht="14.4" customHeight="1" x14ac:dyDescent="0.35">
      <c r="A148" s="270"/>
      <c r="B148" s="4"/>
      <c r="D148" s="82"/>
      <c r="E148" s="251"/>
      <c r="F148" s="44"/>
      <c r="G148" s="100"/>
      <c r="I148" s="15"/>
      <c r="J148" s="291"/>
    </row>
    <row r="149" spans="1:10" s="1" customFormat="1" ht="14.4" customHeight="1" x14ac:dyDescent="0.5">
      <c r="A149" s="276"/>
      <c r="B149" s="4"/>
      <c r="C149" s="75"/>
      <c r="D149" s="261"/>
      <c r="E149" s="251"/>
      <c r="F149" s="44"/>
      <c r="G149" s="101"/>
      <c r="I149" s="15"/>
      <c r="J149" s="291"/>
    </row>
    <row r="150" spans="1:10" s="1" customFormat="1" ht="14.4" customHeight="1" thickBot="1" x14ac:dyDescent="0.4">
      <c r="A150" s="277"/>
      <c r="B150" s="278"/>
      <c r="C150" s="279"/>
      <c r="D150" s="278"/>
      <c r="E150" s="280"/>
      <c r="F150" s="280"/>
      <c r="G150" s="279"/>
      <c r="H150" s="280"/>
      <c r="I150" s="292"/>
      <c r="J150" s="293"/>
    </row>
    <row r="151" spans="1:10" s="1" customFormat="1" ht="14.4" customHeight="1" thickBot="1" x14ac:dyDescent="0.4">
      <c r="B151" s="4"/>
      <c r="C151" s="204"/>
      <c r="D151" s="4"/>
      <c r="G151" s="204"/>
      <c r="I151" s="15"/>
      <c r="J151" s="217"/>
    </row>
    <row r="152" spans="1:10" s="1" customFormat="1" ht="14.4" customHeight="1" x14ac:dyDescent="0.35">
      <c r="A152" s="262"/>
      <c r="B152" s="263"/>
      <c r="C152" s="264"/>
      <c r="D152" s="471"/>
      <c r="E152" s="471"/>
      <c r="F152" s="265"/>
      <c r="G152" s="282"/>
      <c r="H152" s="285"/>
      <c r="I152" s="286"/>
      <c r="J152" s="222"/>
    </row>
    <row r="153" spans="1:10" s="1" customFormat="1" ht="14.4" customHeight="1" x14ac:dyDescent="0.35">
      <c r="A153" s="267"/>
      <c r="B153" s="4"/>
      <c r="C153" s="87"/>
      <c r="D153" s="256"/>
      <c r="E153" s="89"/>
      <c r="F153" s="89"/>
      <c r="G153" s="89"/>
      <c r="H153" s="89"/>
      <c r="I153" s="268"/>
    </row>
    <row r="154" spans="1:10" s="1" customFormat="1" ht="14.4" customHeight="1" x14ac:dyDescent="0.35">
      <c r="A154" s="240"/>
      <c r="B154" s="94"/>
      <c r="C154" s="81"/>
      <c r="D154" s="81"/>
      <c r="E154" s="257"/>
      <c r="F154" s="257"/>
      <c r="G154" s="257"/>
      <c r="H154" s="257"/>
      <c r="I154" s="269"/>
    </row>
    <row r="155" spans="1:10" s="1" customFormat="1" ht="14.4" customHeight="1" x14ac:dyDescent="0.35">
      <c r="A155" s="270"/>
      <c r="B155" s="4"/>
      <c r="C155" s="20"/>
      <c r="D155" s="20"/>
      <c r="E155" s="258"/>
      <c r="F155" s="258"/>
      <c r="G155" s="258"/>
      <c r="H155" s="258"/>
      <c r="I155" s="271"/>
    </row>
    <row r="156" spans="1:10" s="1" customFormat="1" ht="14.4" customHeight="1" x14ac:dyDescent="0.35">
      <c r="A156" s="270"/>
      <c r="B156" s="4"/>
      <c r="C156" s="20"/>
      <c r="D156" s="20"/>
      <c r="E156" s="258"/>
      <c r="F156" s="258"/>
      <c r="G156" s="258"/>
      <c r="H156" s="258"/>
      <c r="I156" s="271"/>
    </row>
    <row r="157" spans="1:10" s="1" customFormat="1" ht="14.4" customHeight="1" x14ac:dyDescent="0.35">
      <c r="A157" s="270"/>
      <c r="B157" s="4"/>
      <c r="C157" s="20"/>
      <c r="D157" s="20"/>
      <c r="E157" s="258"/>
      <c r="F157" s="258"/>
      <c r="G157" s="258"/>
      <c r="H157" s="258"/>
      <c r="I157" s="271"/>
    </row>
    <row r="158" spans="1:10" s="1" customFormat="1" ht="14.4" customHeight="1" x14ac:dyDescent="0.5">
      <c r="A158" s="270"/>
      <c r="B158" s="4"/>
      <c r="C158" s="83"/>
      <c r="D158" s="83"/>
      <c r="E158" s="260"/>
      <c r="F158" s="260"/>
      <c r="G158" s="260"/>
      <c r="H158" s="260"/>
      <c r="I158" s="272"/>
    </row>
    <row r="159" spans="1:10" s="1" customFormat="1" ht="14.4" customHeight="1" x14ac:dyDescent="0.35">
      <c r="A159" s="270"/>
      <c r="B159" s="4"/>
      <c r="C159" s="20"/>
      <c r="D159" s="4"/>
      <c r="E159" s="4"/>
      <c r="F159" s="4"/>
      <c r="G159" s="4"/>
      <c r="H159" s="4"/>
      <c r="I159" s="271"/>
    </row>
    <row r="160" spans="1:10" s="1" customFormat="1" ht="14.4" customHeight="1" x14ac:dyDescent="0.35">
      <c r="A160" s="240"/>
      <c r="B160" s="4"/>
      <c r="G160" s="42"/>
      <c r="I160" s="287"/>
      <c r="J160" s="217"/>
    </row>
    <row r="161" spans="1:10" s="1" customFormat="1" ht="14.4" customHeight="1" x14ac:dyDescent="0.35">
      <c r="A161" s="267"/>
      <c r="C161" s="114"/>
      <c r="D161" s="473"/>
      <c r="E161" s="473"/>
      <c r="F161" s="114"/>
      <c r="G161" s="114"/>
      <c r="I161" s="287"/>
      <c r="J161" s="217"/>
    </row>
    <row r="162" spans="1:10" s="1" customFormat="1" ht="14.4" customHeight="1" x14ac:dyDescent="0.35">
      <c r="A162" s="240"/>
      <c r="B162" s="94"/>
      <c r="C162" s="81"/>
      <c r="D162" s="81"/>
      <c r="E162" s="472"/>
      <c r="F162" s="472"/>
      <c r="G162" s="99"/>
      <c r="I162" s="287"/>
      <c r="J162" s="217"/>
    </row>
    <row r="163" spans="1:10" s="1" customFormat="1" ht="14.4" customHeight="1" x14ac:dyDescent="0.35">
      <c r="A163" s="270"/>
      <c r="B163" s="4"/>
      <c r="C163" s="82"/>
      <c r="D163" s="82"/>
      <c r="E163" s="74"/>
      <c r="F163" s="44"/>
      <c r="G163" s="100"/>
      <c r="I163" s="287"/>
      <c r="J163" s="217"/>
    </row>
    <row r="164" spans="1:10" s="1" customFormat="1" ht="14.4" customHeight="1" x14ac:dyDescent="0.35">
      <c r="A164" s="270"/>
      <c r="B164" s="4"/>
      <c r="D164" s="82"/>
      <c r="E164" s="251"/>
      <c r="F164" s="44"/>
      <c r="G164" s="100"/>
      <c r="I164" s="287"/>
      <c r="J164" s="217"/>
    </row>
    <row r="165" spans="1:10" s="1" customFormat="1" ht="14.4" customHeight="1" x14ac:dyDescent="0.35">
      <c r="A165" s="270"/>
      <c r="B165" s="4"/>
      <c r="D165" s="82"/>
      <c r="E165" s="251"/>
      <c r="F165" s="44"/>
      <c r="G165" s="100"/>
      <c r="I165" s="287"/>
      <c r="J165" s="217"/>
    </row>
    <row r="166" spans="1:10" s="1" customFormat="1" ht="14.4" customHeight="1" x14ac:dyDescent="0.5">
      <c r="A166" s="276"/>
      <c r="B166" s="4"/>
      <c r="C166" s="75"/>
      <c r="D166" s="84"/>
      <c r="E166" s="251"/>
      <c r="F166" s="44"/>
      <c r="G166" s="101"/>
      <c r="I166" s="287"/>
      <c r="J166" s="217"/>
    </row>
    <row r="167" spans="1:10" s="1" customFormat="1" ht="14.4" customHeight="1" thickBot="1" x14ac:dyDescent="0.4">
      <c r="A167" s="277"/>
      <c r="B167" s="278"/>
      <c r="C167" s="279"/>
      <c r="D167" s="278"/>
      <c r="E167" s="280"/>
      <c r="F167" s="280"/>
      <c r="G167" s="279"/>
      <c r="H167" s="280"/>
      <c r="I167" s="288"/>
      <c r="J167" s="217"/>
    </row>
    <row r="168" spans="1:10" s="1" customFormat="1" ht="14.4" customHeight="1" thickBot="1" x14ac:dyDescent="0.4">
      <c r="B168" s="4"/>
      <c r="C168" s="204"/>
      <c r="D168" s="253"/>
      <c r="G168" s="204"/>
      <c r="I168" s="15"/>
      <c r="J168" s="217"/>
    </row>
    <row r="169" spans="1:10" s="1" customFormat="1" ht="14.4" customHeight="1" x14ac:dyDescent="0.35">
      <c r="A169" s="262"/>
      <c r="B169" s="263"/>
      <c r="C169" s="264"/>
      <c r="D169" s="471"/>
      <c r="E169" s="471"/>
      <c r="F169" s="265"/>
      <c r="G169" s="282"/>
      <c r="H169" s="283"/>
      <c r="I169" s="15"/>
      <c r="J169" s="217"/>
    </row>
    <row r="170" spans="1:10" s="1" customFormat="1" ht="14.4" customHeight="1" x14ac:dyDescent="0.35">
      <c r="A170" s="267"/>
      <c r="B170" s="4"/>
      <c r="C170" s="87"/>
      <c r="D170" s="256"/>
      <c r="E170" s="89"/>
      <c r="F170" s="89"/>
      <c r="G170" s="89"/>
      <c r="H170" s="268"/>
      <c r="I170" s="217"/>
    </row>
    <row r="171" spans="1:10" s="1" customFormat="1" ht="14.4" customHeight="1" x14ac:dyDescent="0.35">
      <c r="A171" s="240"/>
      <c r="B171" s="94"/>
      <c r="C171" s="81"/>
      <c r="D171" s="81"/>
      <c r="E171" s="257"/>
      <c r="F171" s="257"/>
      <c r="G171" s="257"/>
      <c r="H171" s="269"/>
      <c r="I171" s="217"/>
    </row>
    <row r="172" spans="1:10" s="1" customFormat="1" ht="14.4" customHeight="1" x14ac:dyDescent="0.35">
      <c r="A172" s="270"/>
      <c r="B172" s="4"/>
      <c r="C172" s="20"/>
      <c r="D172" s="20"/>
      <c r="E172" s="258"/>
      <c r="F172" s="258"/>
      <c r="G172" s="258"/>
      <c r="H172" s="271"/>
      <c r="I172" s="217"/>
    </row>
    <row r="173" spans="1:10" s="1" customFormat="1" ht="14.4" customHeight="1" x14ac:dyDescent="0.35">
      <c r="A173" s="270"/>
      <c r="B173" s="4"/>
      <c r="C173" s="20"/>
      <c r="D173" s="20"/>
      <c r="E173" s="258"/>
      <c r="F173" s="258"/>
      <c r="G173" s="258"/>
      <c r="H173" s="271"/>
      <c r="I173" s="217"/>
    </row>
    <row r="174" spans="1:10" s="1" customFormat="1" ht="14.4" customHeight="1" x14ac:dyDescent="0.5">
      <c r="A174" s="270"/>
      <c r="B174" s="4"/>
      <c r="C174" s="83"/>
      <c r="D174" s="83"/>
      <c r="E174" s="260"/>
      <c r="F174" s="260"/>
      <c r="G174" s="260"/>
      <c r="H174" s="272"/>
      <c r="I174" s="217"/>
    </row>
    <row r="175" spans="1:10" s="1" customFormat="1" ht="14.4" customHeight="1" x14ac:dyDescent="0.35">
      <c r="A175" s="270"/>
      <c r="B175" s="4"/>
      <c r="C175" s="20"/>
      <c r="D175" s="4"/>
      <c r="E175" s="4"/>
      <c r="F175" s="4"/>
      <c r="G175" s="4"/>
      <c r="H175" s="271"/>
      <c r="I175" s="217"/>
    </row>
    <row r="176" spans="1:10" s="1" customFormat="1" ht="14.4" customHeight="1" x14ac:dyDescent="0.35">
      <c r="A176" s="240"/>
      <c r="B176" s="4"/>
      <c r="G176" s="42"/>
      <c r="H176" s="268"/>
      <c r="I176" s="15"/>
      <c r="J176" s="217"/>
    </row>
    <row r="177" spans="1:10" s="1" customFormat="1" ht="14.4" customHeight="1" x14ac:dyDescent="0.35">
      <c r="A177" s="267"/>
      <c r="B177" s="114"/>
      <c r="C177" s="114"/>
      <c r="D177" s="473"/>
      <c r="E177" s="473"/>
      <c r="F177" s="114"/>
      <c r="G177" s="114"/>
      <c r="H177" s="268"/>
      <c r="I177" s="15"/>
      <c r="J177" s="217"/>
    </row>
    <row r="178" spans="1:10" s="1" customFormat="1" ht="14.4" customHeight="1" x14ac:dyDescent="0.35">
      <c r="A178" s="240"/>
      <c r="B178" s="94"/>
      <c r="C178" s="81"/>
      <c r="D178" s="81"/>
      <c r="E178" s="472"/>
      <c r="F178" s="472"/>
      <c r="G178" s="99"/>
      <c r="H178" s="268"/>
      <c r="I178" s="15"/>
      <c r="J178" s="217"/>
    </row>
    <row r="179" spans="1:10" s="1" customFormat="1" ht="14.4" customHeight="1" x14ac:dyDescent="0.35">
      <c r="A179" s="270"/>
      <c r="B179" s="4"/>
      <c r="C179" s="82"/>
      <c r="D179" s="82"/>
      <c r="E179" s="74"/>
      <c r="F179" s="44"/>
      <c r="G179" s="203"/>
      <c r="H179" s="268"/>
      <c r="I179" s="15"/>
      <c r="J179" s="217"/>
    </row>
    <row r="180" spans="1:10" s="1" customFormat="1" ht="14.4" customHeight="1" x14ac:dyDescent="0.35">
      <c r="A180" s="270"/>
      <c r="B180" s="4"/>
      <c r="D180" s="82"/>
      <c r="E180" s="251"/>
      <c r="F180" s="44"/>
      <c r="G180" s="203"/>
      <c r="H180" s="268"/>
      <c r="I180" s="15"/>
      <c r="J180" s="217"/>
    </row>
    <row r="181" spans="1:10" s="1" customFormat="1" ht="14.4" customHeight="1" x14ac:dyDescent="0.5">
      <c r="A181" s="276"/>
      <c r="B181" s="4"/>
      <c r="C181" s="75"/>
      <c r="D181" s="261"/>
      <c r="E181" s="251"/>
      <c r="F181" s="44"/>
      <c r="G181" s="309"/>
      <c r="H181" s="268"/>
      <c r="I181" s="15"/>
      <c r="J181" s="217"/>
    </row>
    <row r="182" spans="1:10" s="1" customFormat="1" ht="14.4" customHeight="1" thickBot="1" x14ac:dyDescent="0.4">
      <c r="A182" s="277"/>
      <c r="B182" s="278"/>
      <c r="C182" s="279"/>
      <c r="D182" s="278"/>
      <c r="E182" s="280"/>
      <c r="F182" s="280"/>
      <c r="G182" s="279"/>
      <c r="H182" s="284"/>
      <c r="I182" s="15"/>
      <c r="J182" s="217"/>
    </row>
    <row r="183" spans="1:10" s="1" customFormat="1" ht="14.4" customHeight="1" thickBot="1" x14ac:dyDescent="0.4">
      <c r="B183" s="4"/>
      <c r="C183" s="204"/>
      <c r="D183" s="4"/>
      <c r="G183" s="204"/>
      <c r="I183" s="15"/>
      <c r="J183" s="217"/>
    </row>
    <row r="184" spans="1:10" s="1" customFormat="1" ht="14.4" customHeight="1" x14ac:dyDescent="0.35">
      <c r="A184" s="262"/>
      <c r="B184" s="263"/>
      <c r="C184" s="264"/>
      <c r="D184" s="471"/>
      <c r="E184" s="471"/>
      <c r="F184" s="265"/>
      <c r="G184" s="266"/>
      <c r="I184" s="15"/>
      <c r="J184" s="217"/>
    </row>
    <row r="185" spans="1:10" s="1" customFormat="1" ht="14.4" customHeight="1" x14ac:dyDescent="0.35">
      <c r="A185" s="267"/>
      <c r="B185" s="4"/>
      <c r="C185" s="87"/>
      <c r="D185" s="256"/>
      <c r="E185" s="89"/>
      <c r="F185" s="89"/>
      <c r="G185" s="268"/>
      <c r="H185" s="15"/>
      <c r="I185" s="217"/>
    </row>
    <row r="186" spans="1:10" s="1" customFormat="1" ht="14.4" customHeight="1" x14ac:dyDescent="0.35">
      <c r="A186" s="240"/>
      <c r="B186" s="94"/>
      <c r="C186" s="81"/>
      <c r="D186" s="81"/>
      <c r="E186" s="257"/>
      <c r="F186" s="257"/>
      <c r="G186" s="269"/>
      <c r="H186" s="15"/>
      <c r="I186" s="217"/>
    </row>
    <row r="187" spans="1:10" s="1" customFormat="1" ht="14.4" customHeight="1" x14ac:dyDescent="0.35">
      <c r="A187" s="270"/>
      <c r="B187" s="4"/>
      <c r="C187" s="20"/>
      <c r="D187" s="20"/>
      <c r="E187" s="258"/>
      <c r="F187" s="258"/>
      <c r="G187" s="271"/>
      <c r="H187" s="15"/>
      <c r="I187" s="217"/>
    </row>
    <row r="188" spans="1:10" s="1" customFormat="1" ht="14.4" customHeight="1" x14ac:dyDescent="0.5">
      <c r="A188" s="270"/>
      <c r="B188" s="4"/>
      <c r="C188" s="83"/>
      <c r="D188" s="83"/>
      <c r="E188" s="260"/>
      <c r="F188" s="260"/>
      <c r="G188" s="272"/>
      <c r="H188" s="15"/>
      <c r="I188" s="217"/>
    </row>
    <row r="189" spans="1:10" s="1" customFormat="1" ht="14.4" customHeight="1" x14ac:dyDescent="0.35">
      <c r="A189" s="270"/>
      <c r="B189" s="4"/>
      <c r="C189" s="20"/>
      <c r="D189" s="4"/>
      <c r="E189" s="4"/>
      <c r="F189" s="4"/>
      <c r="G189" s="271"/>
      <c r="H189" s="15"/>
      <c r="I189" s="217"/>
    </row>
    <row r="190" spans="1:10" s="1" customFormat="1" ht="14.4" customHeight="1" x14ac:dyDescent="0.35">
      <c r="A190" s="240"/>
      <c r="B190" s="4"/>
      <c r="G190" s="273"/>
      <c r="I190" s="15"/>
      <c r="J190" s="217"/>
    </row>
    <row r="191" spans="1:10" s="1" customFormat="1" ht="14.4" customHeight="1" x14ac:dyDescent="0.35">
      <c r="A191" s="267"/>
      <c r="B191" s="114"/>
      <c r="C191" s="114"/>
      <c r="D191" s="473"/>
      <c r="E191" s="473"/>
      <c r="F191" s="114"/>
      <c r="G191" s="274"/>
      <c r="I191" s="15"/>
      <c r="J191" s="217"/>
    </row>
    <row r="192" spans="1:10" s="1" customFormat="1" ht="14.4" customHeight="1" x14ac:dyDescent="0.35">
      <c r="A192" s="240"/>
      <c r="B192" s="94"/>
      <c r="C192" s="81"/>
      <c r="D192" s="81"/>
      <c r="E192" s="472"/>
      <c r="F192" s="472"/>
      <c r="G192" s="275"/>
      <c r="I192" s="15"/>
      <c r="J192" s="217"/>
    </row>
    <row r="193" spans="1:10" s="1" customFormat="1" ht="14.4" customHeight="1" x14ac:dyDescent="0.35">
      <c r="A193" s="270"/>
      <c r="B193" s="4"/>
      <c r="C193" s="82"/>
      <c r="D193" s="82"/>
      <c r="E193" s="74"/>
      <c r="F193" s="44"/>
      <c r="G193" s="307"/>
      <c r="I193" s="15"/>
      <c r="J193" s="217"/>
    </row>
    <row r="194" spans="1:10" s="1" customFormat="1" ht="14.4" customHeight="1" x14ac:dyDescent="0.5">
      <c r="A194" s="276"/>
      <c r="B194" s="4"/>
      <c r="C194" s="75"/>
      <c r="D194" s="261"/>
      <c r="E194" s="251"/>
      <c r="F194" s="44"/>
      <c r="G194" s="308"/>
      <c r="I194" s="15"/>
      <c r="J194" s="217"/>
    </row>
    <row r="195" spans="1:10" s="1" customFormat="1" ht="14.4" customHeight="1" thickBot="1" x14ac:dyDescent="0.4">
      <c r="A195" s="277"/>
      <c r="B195" s="278"/>
      <c r="C195" s="279"/>
      <c r="D195" s="278"/>
      <c r="E195" s="280"/>
      <c r="F195" s="280"/>
      <c r="G195" s="281"/>
      <c r="I195" s="15"/>
      <c r="J195" s="217"/>
    </row>
    <row r="196" spans="1:10" s="1" customFormat="1" ht="14.4" customHeight="1" thickBot="1" x14ac:dyDescent="0.4">
      <c r="B196" s="4"/>
      <c r="G196" s="42"/>
      <c r="I196" s="15"/>
      <c r="J196" s="217"/>
    </row>
    <row r="197" spans="1:10" s="1" customFormat="1" ht="14.4" customHeight="1" x14ac:dyDescent="0.35">
      <c r="A197" s="262"/>
      <c r="B197" s="263"/>
      <c r="C197" s="264"/>
      <c r="D197" s="471"/>
      <c r="E197" s="471"/>
      <c r="F197" s="265"/>
      <c r="G197" s="282"/>
      <c r="H197" s="283"/>
      <c r="I197" s="15"/>
      <c r="J197" s="217"/>
    </row>
    <row r="198" spans="1:10" s="1" customFormat="1" ht="14.4" customHeight="1" x14ac:dyDescent="0.35">
      <c r="A198" s="267"/>
      <c r="B198" s="4"/>
      <c r="C198" s="87"/>
      <c r="D198" s="256"/>
      <c r="E198" s="89"/>
      <c r="F198" s="89"/>
      <c r="G198" s="89"/>
      <c r="H198" s="268"/>
      <c r="I198" s="217"/>
      <c r="J198" s="217"/>
    </row>
    <row r="199" spans="1:10" s="1" customFormat="1" ht="14.4" customHeight="1" x14ac:dyDescent="0.35">
      <c r="A199" s="240"/>
      <c r="B199" s="94"/>
      <c r="C199" s="81"/>
      <c r="D199" s="81"/>
      <c r="E199" s="257"/>
      <c r="F199" s="257"/>
      <c r="G199" s="257"/>
      <c r="H199" s="269"/>
      <c r="I199" s="217"/>
      <c r="J199" s="217"/>
    </row>
    <row r="200" spans="1:10" s="1" customFormat="1" ht="14.4" customHeight="1" x14ac:dyDescent="0.35">
      <c r="A200" s="270"/>
      <c r="B200" s="4"/>
      <c r="C200" s="20"/>
      <c r="D200" s="20"/>
      <c r="E200" s="258"/>
      <c r="F200" s="258"/>
      <c r="G200" s="258"/>
      <c r="H200" s="271"/>
      <c r="I200" s="217"/>
      <c r="J200" s="217"/>
    </row>
    <row r="201" spans="1:10" s="1" customFormat="1" ht="14.4" customHeight="1" x14ac:dyDescent="0.35">
      <c r="A201" s="270"/>
      <c r="B201" s="4"/>
      <c r="C201" s="20"/>
      <c r="D201" s="20"/>
      <c r="E201" s="258"/>
      <c r="F201" s="258"/>
      <c r="G201" s="258"/>
      <c r="H201" s="271"/>
      <c r="I201" s="217"/>
      <c r="J201" s="217"/>
    </row>
    <row r="202" spans="1:10" s="1" customFormat="1" ht="14.4" customHeight="1" x14ac:dyDescent="0.5">
      <c r="A202" s="270"/>
      <c r="B202" s="4"/>
      <c r="C202" s="83"/>
      <c r="D202" s="83"/>
      <c r="E202" s="260"/>
      <c r="F202" s="260"/>
      <c r="G202" s="260"/>
      <c r="H202" s="272"/>
      <c r="I202" s="217"/>
      <c r="J202" s="217"/>
    </row>
    <row r="203" spans="1:10" s="1" customFormat="1" ht="14.4" customHeight="1" x14ac:dyDescent="0.35">
      <c r="A203" s="270"/>
      <c r="B203" s="4"/>
      <c r="C203" s="20"/>
      <c r="D203" s="4"/>
      <c r="E203" s="4"/>
      <c r="F203" s="4"/>
      <c r="G203" s="4"/>
      <c r="H203" s="271"/>
      <c r="I203" s="217"/>
      <c r="J203" s="217"/>
    </row>
    <row r="204" spans="1:10" s="1" customFormat="1" ht="14.4" customHeight="1" thickBot="1" x14ac:dyDescent="0.4">
      <c r="A204" s="240"/>
      <c r="B204" s="4"/>
      <c r="G204" s="42"/>
      <c r="H204" s="268"/>
      <c r="I204" s="15"/>
      <c r="J204" s="217"/>
    </row>
    <row r="205" spans="1:10" s="1" customFormat="1" ht="14.4" customHeight="1" x14ac:dyDescent="0.35">
      <c r="A205" s="267"/>
      <c r="B205" s="114"/>
      <c r="C205" s="114"/>
      <c r="D205" s="471"/>
      <c r="E205" s="471"/>
      <c r="F205" s="114"/>
      <c r="G205" s="114"/>
      <c r="H205" s="268"/>
      <c r="I205" s="15"/>
      <c r="J205" s="217"/>
    </row>
    <row r="206" spans="1:10" s="1" customFormat="1" ht="14.4" customHeight="1" x14ac:dyDescent="0.35">
      <c r="A206" s="240"/>
      <c r="B206" s="94"/>
      <c r="C206" s="81"/>
      <c r="D206" s="81"/>
      <c r="E206" s="472"/>
      <c r="F206" s="472"/>
      <c r="G206" s="99"/>
      <c r="H206" s="268"/>
      <c r="I206" s="15"/>
      <c r="J206" s="217"/>
    </row>
    <row r="207" spans="1:10" s="1" customFormat="1" ht="14.4" customHeight="1" x14ac:dyDescent="0.35">
      <c r="A207" s="270"/>
      <c r="B207" s="4"/>
      <c r="C207" s="82"/>
      <c r="D207" s="82"/>
      <c r="E207" s="74"/>
      <c r="F207" s="44"/>
      <c r="G207" s="203"/>
      <c r="H207" s="268"/>
      <c r="I207" s="15"/>
      <c r="J207" s="217"/>
    </row>
    <row r="208" spans="1:10" s="1" customFormat="1" ht="14.4" customHeight="1" x14ac:dyDescent="0.35">
      <c r="A208" s="270"/>
      <c r="B208" s="4"/>
      <c r="D208" s="82"/>
      <c r="E208" s="251"/>
      <c r="F208" s="44"/>
      <c r="G208" s="203"/>
      <c r="H208" s="268"/>
      <c r="I208" s="15"/>
      <c r="J208" s="217"/>
    </row>
    <row r="209" spans="1:10" s="1" customFormat="1" ht="14.4" customHeight="1" x14ac:dyDescent="0.5">
      <c r="A209" s="276"/>
      <c r="B209" s="4"/>
      <c r="C209" s="75"/>
      <c r="D209" s="261"/>
      <c r="E209" s="251"/>
      <c r="F209" s="44"/>
      <c r="G209" s="309"/>
      <c r="H209" s="268"/>
      <c r="I209" s="15"/>
      <c r="J209" s="217"/>
    </row>
    <row r="210" spans="1:10" s="1" customFormat="1" ht="14.4" customHeight="1" thickBot="1" x14ac:dyDescent="0.4">
      <c r="A210" s="277"/>
      <c r="B210" s="278"/>
      <c r="C210" s="279"/>
      <c r="D210" s="278"/>
      <c r="E210" s="280"/>
      <c r="F210" s="280"/>
      <c r="G210" s="279"/>
      <c r="H210" s="284"/>
      <c r="I210" s="15"/>
      <c r="J210" s="217"/>
    </row>
    <row r="211" spans="1:10" s="1" customFormat="1" ht="14.4" customHeight="1" x14ac:dyDescent="0.35">
      <c r="B211" s="4"/>
      <c r="C211" s="204"/>
      <c r="D211" s="4"/>
      <c r="G211" s="204"/>
      <c r="I211" s="15"/>
      <c r="J211" s="217"/>
    </row>
    <row r="212" spans="1:10" s="1" customFormat="1" ht="14.4" customHeight="1" x14ac:dyDescent="0.35">
      <c r="B212" s="4"/>
      <c r="G212" s="42"/>
      <c r="I212" s="15"/>
      <c r="J212" s="217"/>
    </row>
    <row r="213" spans="1:10" s="1" customFormat="1" ht="14.4" customHeight="1" x14ac:dyDescent="0.35">
      <c r="B213" s="4"/>
      <c r="G213" s="42"/>
      <c r="I213" s="15"/>
      <c r="J213" s="217"/>
    </row>
    <row r="214" spans="1:10" s="1" customFormat="1" ht="14.4" customHeight="1" x14ac:dyDescent="0.35">
      <c r="B214" s="4"/>
      <c r="G214" s="42"/>
      <c r="I214" s="15"/>
      <c r="J214" s="217"/>
    </row>
    <row r="215" spans="1:10" s="1" customFormat="1" ht="14.4" customHeight="1" x14ac:dyDescent="0.35">
      <c r="B215" s="4"/>
      <c r="D215" s="82"/>
      <c r="G215" s="42"/>
      <c r="I215" s="15"/>
      <c r="J215" s="217"/>
    </row>
    <row r="216" spans="1:10" s="1" customFormat="1" ht="14.4" customHeight="1" x14ac:dyDescent="0.35">
      <c r="B216" s="4"/>
      <c r="G216" s="42"/>
      <c r="I216" s="15"/>
      <c r="J216" s="217"/>
    </row>
    <row r="217" spans="1:10" s="1" customFormat="1" ht="14.4" customHeight="1" x14ac:dyDescent="0.35">
      <c r="B217" s="4"/>
      <c r="G217" s="42"/>
      <c r="I217" s="15"/>
      <c r="J217" s="217"/>
    </row>
    <row r="218" spans="1:10" s="1" customFormat="1" ht="14.4" customHeight="1" x14ac:dyDescent="0.35">
      <c r="B218" s="4"/>
      <c r="G218" s="42"/>
      <c r="I218" s="15"/>
      <c r="J218" s="217"/>
    </row>
    <row r="219" spans="1:10" s="1" customFormat="1" ht="14.4" customHeight="1" x14ac:dyDescent="0.35">
      <c r="B219" s="4"/>
      <c r="G219" s="312"/>
      <c r="I219" s="15"/>
      <c r="J219" s="217"/>
    </row>
    <row r="220" spans="1:10" s="1" customFormat="1" ht="14.4" customHeight="1" x14ac:dyDescent="0.35">
      <c r="B220" s="4"/>
      <c r="G220" s="42"/>
      <c r="I220" s="15"/>
      <c r="J220" s="217"/>
    </row>
    <row r="221" spans="1:10" s="1" customFormat="1" ht="14.4" customHeight="1" x14ac:dyDescent="0.35">
      <c r="B221" s="4"/>
      <c r="G221" s="42"/>
      <c r="I221" s="15"/>
      <c r="J221" s="217"/>
    </row>
    <row r="222" spans="1:10" s="1" customFormat="1" ht="14.4" customHeight="1" x14ac:dyDescent="0.35">
      <c r="B222" s="4"/>
      <c r="G222" s="42"/>
      <c r="I222" s="15"/>
      <c r="J222" s="217"/>
    </row>
    <row r="223" spans="1:10" s="1" customFormat="1" ht="14.4" customHeight="1" x14ac:dyDescent="0.35">
      <c r="B223" s="4"/>
      <c r="G223" s="42"/>
      <c r="I223" s="15"/>
      <c r="J223" s="217"/>
    </row>
    <row r="224" spans="1:10" s="1" customFormat="1" ht="14.4" customHeight="1" x14ac:dyDescent="0.35">
      <c r="B224" s="4"/>
      <c r="G224" s="42"/>
      <c r="I224" s="15"/>
      <c r="J224" s="217"/>
    </row>
    <row r="225" spans="2:10" s="1" customFormat="1" ht="14.4" customHeight="1" x14ac:dyDescent="0.35">
      <c r="B225" s="4"/>
      <c r="G225" s="42"/>
      <c r="I225" s="15"/>
      <c r="J225" s="217"/>
    </row>
    <row r="226" spans="2:10" s="1" customFormat="1" ht="14.4" customHeight="1" x14ac:dyDescent="0.35">
      <c r="B226" s="4"/>
      <c r="G226" s="42"/>
      <c r="I226" s="15"/>
      <c r="J226" s="217"/>
    </row>
    <row r="227" spans="2:10" s="1" customFormat="1" ht="14.4" customHeight="1" x14ac:dyDescent="0.35">
      <c r="B227" s="4"/>
      <c r="G227" s="42"/>
      <c r="I227" s="15"/>
      <c r="J227" s="217"/>
    </row>
    <row r="228" spans="2:10" s="1" customFormat="1" ht="14.4" customHeight="1" x14ac:dyDescent="0.35">
      <c r="B228" s="4"/>
      <c r="G228" s="42"/>
      <c r="I228" s="15"/>
      <c r="J228" s="217"/>
    </row>
    <row r="229" spans="2:10" s="1" customFormat="1" ht="14.4" customHeight="1" x14ac:dyDescent="0.35">
      <c r="B229" s="4"/>
      <c r="G229" s="42"/>
      <c r="I229" s="15"/>
      <c r="J229" s="217"/>
    </row>
    <row r="230" spans="2:10" s="1" customFormat="1" ht="14.4" customHeight="1" x14ac:dyDescent="0.35">
      <c r="B230" s="4"/>
      <c r="G230" s="42"/>
      <c r="I230" s="15"/>
      <c r="J230" s="217"/>
    </row>
    <row r="231" spans="2:10" s="1" customFormat="1" ht="14.4" customHeight="1" x14ac:dyDescent="0.35">
      <c r="B231" s="4"/>
      <c r="G231" s="42"/>
      <c r="I231" s="15"/>
      <c r="J231" s="217"/>
    </row>
    <row r="232" spans="2:10" s="1" customFormat="1" ht="14.4" customHeight="1" x14ac:dyDescent="0.35">
      <c r="B232" s="4"/>
      <c r="G232" s="42"/>
      <c r="I232" s="15"/>
      <c r="J232" s="217"/>
    </row>
    <row r="233" spans="2:10" s="1" customFormat="1" ht="14.4" customHeight="1" x14ac:dyDescent="0.35">
      <c r="B233" s="4"/>
      <c r="G233" s="42"/>
      <c r="I233" s="15"/>
      <c r="J233" s="217"/>
    </row>
    <row r="234" spans="2:10" s="1" customFormat="1" ht="14.4" customHeight="1" x14ac:dyDescent="0.35">
      <c r="B234" s="4"/>
      <c r="G234" s="42"/>
      <c r="I234" s="15"/>
      <c r="J234" s="217"/>
    </row>
    <row r="235" spans="2:10" s="1" customFormat="1" ht="14.4" customHeight="1" x14ac:dyDescent="0.35">
      <c r="B235" s="4"/>
      <c r="G235" s="42"/>
      <c r="I235" s="15"/>
      <c r="J235" s="217"/>
    </row>
    <row r="236" spans="2:10" s="1" customFormat="1" ht="14.4" customHeight="1" x14ac:dyDescent="0.35">
      <c r="B236" s="4"/>
      <c r="G236" s="42"/>
      <c r="I236" s="15"/>
      <c r="J236" s="217"/>
    </row>
    <row r="237" spans="2:10" s="1" customFormat="1" ht="14.4" customHeight="1" x14ac:dyDescent="0.35">
      <c r="B237" s="4"/>
      <c r="G237" s="42"/>
      <c r="I237" s="15"/>
      <c r="J237" s="217"/>
    </row>
    <row r="238" spans="2:10" s="1" customFormat="1" ht="14.4" customHeight="1" x14ac:dyDescent="0.35">
      <c r="B238" s="4"/>
      <c r="G238" s="42"/>
      <c r="I238" s="15"/>
      <c r="J238" s="217"/>
    </row>
    <row r="239" spans="2:10" s="1" customFormat="1" ht="14.4" customHeight="1" x14ac:dyDescent="0.35">
      <c r="B239" s="4"/>
      <c r="G239" s="42"/>
      <c r="I239" s="15"/>
      <c r="J239" s="217"/>
    </row>
    <row r="240" spans="2:10" s="1" customFormat="1" ht="14.4" customHeight="1" x14ac:dyDescent="0.35">
      <c r="B240" s="4"/>
      <c r="G240" s="42"/>
      <c r="I240" s="15"/>
      <c r="J240" s="217"/>
    </row>
    <row r="241" spans="2:10" s="1" customFormat="1" ht="14.4" customHeight="1" x14ac:dyDescent="0.35">
      <c r="B241" s="4"/>
      <c r="G241" s="42"/>
      <c r="I241" s="15"/>
      <c r="J241" s="217"/>
    </row>
    <row r="242" spans="2:10" s="1" customFormat="1" ht="14.4" customHeight="1" x14ac:dyDescent="0.35">
      <c r="B242" s="4"/>
      <c r="G242" s="42"/>
      <c r="I242" s="15"/>
      <c r="J242" s="217"/>
    </row>
    <row r="243" spans="2:10" s="1" customFormat="1" ht="14.4" customHeight="1" x14ac:dyDescent="0.35">
      <c r="B243" s="4"/>
      <c r="G243" s="42"/>
      <c r="I243" s="15"/>
      <c r="J243" s="217"/>
    </row>
    <row r="244" spans="2:10" s="1" customFormat="1" ht="14.4" customHeight="1" x14ac:dyDescent="0.35">
      <c r="B244" s="4"/>
      <c r="G244" s="42"/>
      <c r="I244" s="15"/>
      <c r="J244" s="217"/>
    </row>
    <row r="245" spans="2:10" s="1" customFormat="1" ht="14.4" customHeight="1" x14ac:dyDescent="0.35">
      <c r="B245" s="4"/>
      <c r="G245" s="42"/>
      <c r="I245" s="15"/>
      <c r="J245" s="217"/>
    </row>
    <row r="246" spans="2:10" s="1" customFormat="1" ht="14.4" customHeight="1" x14ac:dyDescent="0.35">
      <c r="B246" s="4"/>
      <c r="G246" s="42"/>
      <c r="I246" s="15"/>
      <c r="J246" s="217"/>
    </row>
    <row r="247" spans="2:10" s="1" customFormat="1" ht="14.4" customHeight="1" x14ac:dyDescent="0.35">
      <c r="B247" s="4"/>
      <c r="G247" s="42"/>
      <c r="I247" s="15"/>
      <c r="J247" s="217"/>
    </row>
    <row r="248" spans="2:10" s="1" customFormat="1" ht="14.4" customHeight="1" x14ac:dyDescent="0.35">
      <c r="B248" s="4"/>
      <c r="G248" s="42"/>
      <c r="I248" s="15"/>
      <c r="J248" s="217"/>
    </row>
    <row r="249" spans="2:10" s="1" customFormat="1" ht="14.4" customHeight="1" x14ac:dyDescent="0.35">
      <c r="B249" s="4"/>
      <c r="G249" s="42"/>
      <c r="I249" s="15"/>
      <c r="J249" s="217"/>
    </row>
    <row r="250" spans="2:10" s="1" customFormat="1" ht="14.4" customHeight="1" x14ac:dyDescent="0.35">
      <c r="B250" s="4"/>
      <c r="G250" s="42"/>
      <c r="I250" s="15"/>
      <c r="J250" s="217"/>
    </row>
    <row r="251" spans="2:10" s="1" customFormat="1" ht="14.4" customHeight="1" x14ac:dyDescent="0.35">
      <c r="B251" s="4"/>
      <c r="G251" s="42"/>
      <c r="I251" s="15"/>
      <c r="J251" s="217"/>
    </row>
    <row r="252" spans="2:10" s="1" customFormat="1" ht="14.4" customHeight="1" x14ac:dyDescent="0.35">
      <c r="B252" s="4"/>
      <c r="G252" s="42"/>
      <c r="I252" s="15"/>
      <c r="J252" s="217"/>
    </row>
    <row r="253" spans="2:10" s="1" customFormat="1" ht="14.4" customHeight="1" x14ac:dyDescent="0.35">
      <c r="B253" s="4"/>
      <c r="G253" s="42"/>
      <c r="I253" s="15"/>
      <c r="J253" s="217"/>
    </row>
    <row r="254" spans="2:10" s="1" customFormat="1" ht="14.4" customHeight="1" x14ac:dyDescent="0.35">
      <c r="B254" s="4"/>
      <c r="G254" s="42"/>
      <c r="I254" s="15"/>
      <c r="J254" s="217"/>
    </row>
    <row r="255" spans="2:10" s="1" customFormat="1" ht="14.4" customHeight="1" x14ac:dyDescent="0.35">
      <c r="B255" s="4"/>
      <c r="G255" s="42"/>
      <c r="I255" s="15"/>
      <c r="J255" s="217"/>
    </row>
    <row r="256" spans="2:10" s="1" customFormat="1" ht="14.4" customHeight="1" x14ac:dyDescent="0.35">
      <c r="B256" s="4"/>
      <c r="G256" s="42"/>
      <c r="I256" s="15"/>
      <c r="J256" s="217"/>
    </row>
    <row r="257" spans="2:10" s="1" customFormat="1" ht="14.4" customHeight="1" x14ac:dyDescent="0.35">
      <c r="B257" s="4"/>
      <c r="G257" s="42"/>
      <c r="I257" s="15"/>
      <c r="J257" s="217"/>
    </row>
    <row r="258" spans="2:10" s="1" customFormat="1" ht="14.4" customHeight="1" x14ac:dyDescent="0.35">
      <c r="B258" s="4"/>
      <c r="G258" s="42"/>
      <c r="I258" s="15"/>
      <c r="J258" s="217"/>
    </row>
    <row r="259" spans="2:10" s="1" customFormat="1" ht="14.4" customHeight="1" x14ac:dyDescent="0.35">
      <c r="B259" s="4"/>
      <c r="G259" s="42"/>
      <c r="I259" s="15"/>
      <c r="J259" s="217"/>
    </row>
    <row r="260" spans="2:10" s="1" customFormat="1" ht="14.4" customHeight="1" x14ac:dyDescent="0.35">
      <c r="B260" s="4"/>
      <c r="G260" s="42"/>
      <c r="I260" s="15"/>
      <c r="J260" s="217"/>
    </row>
    <row r="261" spans="2:10" s="1" customFormat="1" ht="14.4" customHeight="1" x14ac:dyDescent="0.35">
      <c r="B261" s="4"/>
      <c r="G261" s="42"/>
      <c r="I261" s="15"/>
      <c r="J261" s="217"/>
    </row>
    <row r="262" spans="2:10" s="1" customFormat="1" ht="14.4" customHeight="1" x14ac:dyDescent="0.35">
      <c r="B262" s="4"/>
      <c r="G262" s="42"/>
      <c r="I262" s="15"/>
      <c r="J262" s="217"/>
    </row>
    <row r="263" spans="2:10" s="1" customFormat="1" ht="14.4" customHeight="1" x14ac:dyDescent="0.35">
      <c r="B263" s="4"/>
      <c r="G263" s="42"/>
      <c r="I263" s="15"/>
      <c r="J263" s="217"/>
    </row>
    <row r="264" spans="2:10" s="1" customFormat="1" ht="14.4" customHeight="1" x14ac:dyDescent="0.35">
      <c r="B264" s="4"/>
      <c r="G264" s="42"/>
      <c r="I264" s="15"/>
      <c r="J264" s="217"/>
    </row>
    <row r="265" spans="2:10" s="1" customFormat="1" ht="14.4" customHeight="1" x14ac:dyDescent="0.35">
      <c r="B265" s="4"/>
      <c r="G265" s="42"/>
      <c r="I265" s="15"/>
      <c r="J265" s="217"/>
    </row>
    <row r="266" spans="2:10" s="1" customFormat="1" ht="14.4" customHeight="1" x14ac:dyDescent="0.35">
      <c r="B266" s="4"/>
      <c r="G266" s="42"/>
      <c r="I266" s="15"/>
      <c r="J266" s="217"/>
    </row>
    <row r="267" spans="2:10" s="1" customFormat="1" ht="14.4" customHeight="1" x14ac:dyDescent="0.35">
      <c r="B267" s="4"/>
      <c r="G267" s="42"/>
      <c r="I267" s="15"/>
      <c r="J267" s="217"/>
    </row>
    <row r="268" spans="2:10" s="1" customFormat="1" ht="14.4" customHeight="1" x14ac:dyDescent="0.35">
      <c r="B268" s="4"/>
      <c r="G268" s="42"/>
      <c r="I268" s="15"/>
      <c r="J268" s="217"/>
    </row>
    <row r="269" spans="2:10" s="1" customFormat="1" ht="14.4" customHeight="1" x14ac:dyDescent="0.35">
      <c r="B269" s="4"/>
      <c r="G269" s="42"/>
      <c r="I269" s="15"/>
      <c r="J269" s="217"/>
    </row>
    <row r="270" spans="2:10" s="1" customFormat="1" ht="14.4" customHeight="1" x14ac:dyDescent="0.35">
      <c r="B270" s="4"/>
      <c r="G270" s="42"/>
      <c r="I270" s="15"/>
      <c r="J270" s="217"/>
    </row>
    <row r="271" spans="2:10" s="1" customFormat="1" ht="14.4" customHeight="1" x14ac:dyDescent="0.35">
      <c r="B271" s="4"/>
      <c r="G271" s="42"/>
      <c r="I271" s="15"/>
      <c r="J271" s="217"/>
    </row>
    <row r="272" spans="2:10" s="1" customFormat="1" ht="14.4" customHeight="1" x14ac:dyDescent="0.35">
      <c r="B272" s="4"/>
      <c r="G272" s="42"/>
      <c r="I272" s="15"/>
      <c r="J272" s="217"/>
    </row>
    <row r="273" spans="2:10" s="1" customFormat="1" ht="14.4" customHeight="1" x14ac:dyDescent="0.35">
      <c r="B273" s="4"/>
      <c r="G273" s="42"/>
      <c r="I273" s="15"/>
      <c r="J273" s="217"/>
    </row>
    <row r="274" spans="2:10" s="1" customFormat="1" ht="14.4" customHeight="1" x14ac:dyDescent="0.35">
      <c r="B274" s="4"/>
      <c r="G274" s="42"/>
      <c r="I274" s="15"/>
      <c r="J274" s="217"/>
    </row>
    <row r="275" spans="2:10" s="1" customFormat="1" ht="14.4" customHeight="1" x14ac:dyDescent="0.35">
      <c r="B275" s="4"/>
      <c r="G275" s="42"/>
      <c r="I275" s="15"/>
      <c r="J275" s="217"/>
    </row>
    <row r="276" spans="2:10" s="1" customFormat="1" ht="14.4" customHeight="1" x14ac:dyDescent="0.35">
      <c r="B276" s="4"/>
      <c r="G276" s="42"/>
      <c r="I276" s="15"/>
      <c r="J276" s="217"/>
    </row>
    <row r="277" spans="2:10" s="1" customFormat="1" ht="14.4" customHeight="1" x14ac:dyDescent="0.35">
      <c r="B277" s="4"/>
      <c r="G277" s="42"/>
      <c r="I277" s="15"/>
      <c r="J277" s="217"/>
    </row>
    <row r="278" spans="2:10" s="1" customFormat="1" ht="14.4" customHeight="1" x14ac:dyDescent="0.35">
      <c r="B278" s="4"/>
      <c r="G278" s="42"/>
      <c r="I278" s="15"/>
      <c r="J278" s="217"/>
    </row>
    <row r="279" spans="2:10" s="1" customFormat="1" ht="14.4" customHeight="1" x14ac:dyDescent="0.35">
      <c r="B279" s="4"/>
      <c r="G279" s="42"/>
      <c r="I279" s="15"/>
      <c r="J279" s="217"/>
    </row>
    <row r="280" spans="2:10" s="1" customFormat="1" ht="14.4" customHeight="1" x14ac:dyDescent="0.35">
      <c r="B280" s="4"/>
      <c r="G280" s="42"/>
      <c r="I280" s="15"/>
      <c r="J280" s="217"/>
    </row>
    <row r="281" spans="2:10" s="1" customFormat="1" ht="14.4" customHeight="1" x14ac:dyDescent="0.35">
      <c r="B281" s="4"/>
      <c r="G281" s="42"/>
      <c r="I281" s="15"/>
      <c r="J281" s="217"/>
    </row>
    <row r="282" spans="2:10" s="1" customFormat="1" ht="14.4" customHeight="1" x14ac:dyDescent="0.35">
      <c r="B282" s="4"/>
      <c r="G282" s="42"/>
      <c r="I282" s="15"/>
      <c r="J282" s="217"/>
    </row>
    <row r="283" spans="2:10" s="1" customFormat="1" ht="14.4" customHeight="1" x14ac:dyDescent="0.35">
      <c r="B283" s="4"/>
      <c r="G283" s="42"/>
      <c r="I283" s="15"/>
      <c r="J283" s="217"/>
    </row>
    <row r="284" spans="2:10" s="1" customFormat="1" ht="14.4" customHeight="1" x14ac:dyDescent="0.35">
      <c r="B284" s="4"/>
      <c r="G284" s="42"/>
      <c r="I284" s="15"/>
      <c r="J284" s="217"/>
    </row>
    <row r="285" spans="2:10" s="1" customFormat="1" ht="14.4" customHeight="1" x14ac:dyDescent="0.35">
      <c r="B285" s="4"/>
      <c r="G285" s="42"/>
      <c r="I285" s="15"/>
      <c r="J285" s="217"/>
    </row>
    <row r="286" spans="2:10" s="1" customFormat="1" ht="14.4" customHeight="1" x14ac:dyDescent="0.35">
      <c r="B286" s="4"/>
      <c r="G286" s="42"/>
      <c r="I286" s="15"/>
      <c r="J286" s="217"/>
    </row>
    <row r="287" spans="2:10" s="1" customFormat="1" ht="14.4" customHeight="1" x14ac:dyDescent="0.35">
      <c r="B287" s="4"/>
      <c r="G287" s="42"/>
      <c r="I287" s="15"/>
      <c r="J287" s="217"/>
    </row>
    <row r="288" spans="2:10" s="1" customFormat="1" ht="14.4" customHeight="1" x14ac:dyDescent="0.35">
      <c r="B288" s="4"/>
      <c r="G288" s="42"/>
      <c r="I288" s="15"/>
      <c r="J288" s="217"/>
    </row>
    <row r="289" spans="2:10" s="1" customFormat="1" ht="14.4" customHeight="1" x14ac:dyDescent="0.35">
      <c r="B289" s="4"/>
      <c r="G289" s="42"/>
      <c r="I289" s="15"/>
      <c r="J289" s="217"/>
    </row>
    <row r="290" spans="2:10" s="1" customFormat="1" ht="14.4" customHeight="1" x14ac:dyDescent="0.35">
      <c r="B290" s="4"/>
      <c r="G290" s="42"/>
      <c r="I290" s="15"/>
      <c r="J290" s="217"/>
    </row>
    <row r="291" spans="2:10" s="1" customFormat="1" ht="14.4" customHeight="1" x14ac:dyDescent="0.35">
      <c r="B291" s="4"/>
      <c r="G291" s="42"/>
      <c r="I291" s="15"/>
      <c r="J291" s="217"/>
    </row>
    <row r="292" spans="2:10" s="1" customFormat="1" ht="14.4" customHeight="1" x14ac:dyDescent="0.35">
      <c r="B292" s="4"/>
      <c r="G292" s="42"/>
      <c r="I292" s="15"/>
      <c r="J292" s="217"/>
    </row>
    <row r="293" spans="2:10" s="1" customFormat="1" ht="14.4" customHeight="1" x14ac:dyDescent="0.35">
      <c r="B293" s="4"/>
      <c r="G293" s="42"/>
      <c r="I293" s="15"/>
      <c r="J293" s="217"/>
    </row>
    <row r="294" spans="2:10" s="1" customFormat="1" ht="14.4" customHeight="1" x14ac:dyDescent="0.35">
      <c r="B294" s="4"/>
      <c r="G294" s="42"/>
      <c r="I294" s="15"/>
      <c r="J294" s="217"/>
    </row>
    <row r="295" spans="2:10" s="1" customFormat="1" ht="14.4" customHeight="1" x14ac:dyDescent="0.35">
      <c r="B295" s="4"/>
      <c r="G295" s="42"/>
      <c r="I295" s="15"/>
      <c r="J295" s="217"/>
    </row>
    <row r="296" spans="2:10" s="1" customFormat="1" ht="14.4" customHeight="1" x14ac:dyDescent="0.35">
      <c r="B296" s="4"/>
      <c r="G296" s="42"/>
      <c r="I296" s="15"/>
      <c r="J296" s="217"/>
    </row>
    <row r="297" spans="2:10" s="1" customFormat="1" ht="14.4" customHeight="1" x14ac:dyDescent="0.35">
      <c r="B297" s="4"/>
      <c r="G297" s="42"/>
      <c r="I297" s="15"/>
      <c r="J297" s="217"/>
    </row>
    <row r="298" spans="2:10" s="1" customFormat="1" ht="14.4" customHeight="1" x14ac:dyDescent="0.35">
      <c r="B298" s="4"/>
      <c r="G298" s="42"/>
      <c r="I298" s="15"/>
      <c r="J298" s="217"/>
    </row>
    <row r="299" spans="2:10" s="1" customFormat="1" ht="14.4" customHeight="1" x14ac:dyDescent="0.35">
      <c r="B299" s="4"/>
      <c r="G299" s="42"/>
      <c r="I299" s="15"/>
      <c r="J299" s="217"/>
    </row>
    <row r="300" spans="2:10" s="1" customFormat="1" ht="14.4" customHeight="1" x14ac:dyDescent="0.35">
      <c r="B300" s="4"/>
      <c r="G300" s="42"/>
      <c r="I300" s="15"/>
      <c r="J300" s="217"/>
    </row>
    <row r="301" spans="2:10" s="1" customFormat="1" ht="14.5" x14ac:dyDescent="0.35">
      <c r="B301" s="4"/>
      <c r="G301" s="42"/>
      <c r="I301" s="15"/>
      <c r="J301" s="217"/>
    </row>
    <row r="302" spans="2:10" s="1" customFormat="1" ht="14.5" x14ac:dyDescent="0.35">
      <c r="B302" s="4"/>
      <c r="G302" s="42"/>
      <c r="I302" s="15"/>
      <c r="J302" s="217"/>
    </row>
    <row r="303" spans="2:10" s="1" customFormat="1" ht="14.5" x14ac:dyDescent="0.35">
      <c r="B303" s="4"/>
      <c r="G303" s="42"/>
      <c r="I303" s="15"/>
      <c r="J303" s="217"/>
    </row>
    <row r="304" spans="2:10" s="1" customFormat="1" ht="14.5" x14ac:dyDescent="0.35">
      <c r="B304" s="4"/>
      <c r="G304" s="42"/>
      <c r="I304" s="15"/>
      <c r="J304" s="217"/>
    </row>
    <row r="305" spans="2:10" s="1" customFormat="1" ht="14.5" x14ac:dyDescent="0.35">
      <c r="B305" s="4"/>
      <c r="G305" s="42"/>
      <c r="I305" s="15"/>
      <c r="J305" s="217"/>
    </row>
    <row r="306" spans="2:10" s="1" customFormat="1" ht="14.5" x14ac:dyDescent="0.35">
      <c r="B306" s="4"/>
      <c r="G306" s="42"/>
      <c r="I306" s="15"/>
      <c r="J306" s="217"/>
    </row>
    <row r="307" spans="2:10" s="1" customFormat="1" ht="14.5" x14ac:dyDescent="0.35">
      <c r="B307" s="4"/>
      <c r="G307" s="42"/>
      <c r="I307" s="15"/>
      <c r="J307" s="217"/>
    </row>
    <row r="308" spans="2:10" s="1" customFormat="1" ht="14.5" x14ac:dyDescent="0.35">
      <c r="B308" s="4"/>
      <c r="G308" s="42"/>
      <c r="I308" s="15"/>
      <c r="J308" s="217"/>
    </row>
    <row r="309" spans="2:10" s="1" customFormat="1" ht="14.5" x14ac:dyDescent="0.35">
      <c r="B309" s="4"/>
      <c r="G309" s="42"/>
      <c r="I309" s="15"/>
      <c r="J309" s="217"/>
    </row>
    <row r="310" spans="2:10" s="1" customFormat="1" ht="14.5" x14ac:dyDescent="0.35">
      <c r="B310" s="4"/>
      <c r="G310" s="42"/>
      <c r="I310" s="15"/>
      <c r="J310" s="217"/>
    </row>
    <row r="311" spans="2:10" s="1" customFormat="1" ht="14.5" x14ac:dyDescent="0.35">
      <c r="B311" s="4"/>
      <c r="G311" s="42"/>
      <c r="I311" s="15"/>
      <c r="J311" s="217"/>
    </row>
    <row r="312" spans="2:10" s="1" customFormat="1" ht="14.5" x14ac:dyDescent="0.35">
      <c r="B312" s="4"/>
      <c r="G312" s="42"/>
      <c r="I312" s="15"/>
      <c r="J312" s="217"/>
    </row>
    <row r="313" spans="2:10" s="1" customFormat="1" ht="14.5" x14ac:dyDescent="0.35">
      <c r="B313" s="4"/>
      <c r="G313" s="42"/>
      <c r="I313" s="15"/>
      <c r="J313" s="217"/>
    </row>
    <row r="314" spans="2:10" s="1" customFormat="1" ht="14.5" x14ac:dyDescent="0.35">
      <c r="B314" s="4"/>
      <c r="G314" s="42"/>
      <c r="I314" s="15"/>
      <c r="J314" s="217"/>
    </row>
    <row r="315" spans="2:10" s="1" customFormat="1" ht="14.5" x14ac:dyDescent="0.35">
      <c r="B315" s="4"/>
      <c r="G315" s="42"/>
      <c r="I315" s="15"/>
      <c r="J315" s="217"/>
    </row>
    <row r="316" spans="2:10" s="1" customFormat="1" ht="14.5" x14ac:dyDescent="0.35">
      <c r="B316" s="4"/>
      <c r="G316" s="42"/>
      <c r="I316" s="15"/>
      <c r="J316" s="217"/>
    </row>
    <row r="317" spans="2:10" s="1" customFormat="1" ht="14.5" x14ac:dyDescent="0.35">
      <c r="B317" s="4"/>
      <c r="G317" s="42"/>
      <c r="I317" s="15"/>
      <c r="J317" s="217"/>
    </row>
    <row r="318" spans="2:10" s="1" customFormat="1" ht="14.5" x14ac:dyDescent="0.35">
      <c r="B318" s="4"/>
      <c r="G318" s="42"/>
      <c r="I318" s="15"/>
      <c r="J318" s="217"/>
    </row>
    <row r="319" spans="2:10" s="1" customFormat="1" ht="14.5" x14ac:dyDescent="0.35">
      <c r="B319" s="4"/>
      <c r="G319" s="42"/>
      <c r="I319" s="15"/>
      <c r="J319" s="217"/>
    </row>
    <row r="320" spans="2:10" s="1" customFormat="1" ht="14.5" x14ac:dyDescent="0.35">
      <c r="B320" s="4"/>
      <c r="G320" s="42"/>
      <c r="I320" s="15"/>
      <c r="J320" s="217"/>
    </row>
    <row r="321" spans="2:10" s="1" customFormat="1" ht="14.5" x14ac:dyDescent="0.35">
      <c r="B321" s="4"/>
      <c r="G321" s="42"/>
      <c r="I321" s="15"/>
      <c r="J321" s="217"/>
    </row>
    <row r="322" spans="2:10" s="1" customFormat="1" ht="14.5" x14ac:dyDescent="0.35">
      <c r="B322" s="4"/>
      <c r="G322" s="42"/>
      <c r="I322" s="15"/>
      <c r="J322" s="217"/>
    </row>
    <row r="323" spans="2:10" s="1" customFormat="1" ht="14.5" x14ac:dyDescent="0.35">
      <c r="B323" s="4"/>
      <c r="G323" s="42"/>
      <c r="I323" s="15"/>
      <c r="J323" s="217"/>
    </row>
    <row r="324" spans="2:10" s="1" customFormat="1" ht="14.5" x14ac:dyDescent="0.35">
      <c r="B324" s="4"/>
      <c r="G324" s="42"/>
      <c r="I324" s="15"/>
      <c r="J324" s="217"/>
    </row>
    <row r="325" spans="2:10" s="1" customFormat="1" ht="14.5" x14ac:dyDescent="0.35">
      <c r="B325" s="4"/>
      <c r="G325" s="42"/>
      <c r="I325" s="15"/>
      <c r="J325" s="217"/>
    </row>
    <row r="326" spans="2:10" s="1" customFormat="1" ht="14.5" x14ac:dyDescent="0.35">
      <c r="B326" s="4"/>
      <c r="G326" s="42"/>
      <c r="I326" s="15"/>
      <c r="J326" s="217"/>
    </row>
    <row r="327" spans="2:10" s="1" customFormat="1" ht="14.5" x14ac:dyDescent="0.35">
      <c r="B327" s="4"/>
      <c r="G327" s="42"/>
      <c r="I327" s="15"/>
      <c r="J327" s="217"/>
    </row>
    <row r="328" spans="2:10" s="1" customFormat="1" ht="14.5" x14ac:dyDescent="0.35">
      <c r="B328" s="4"/>
      <c r="G328" s="42"/>
      <c r="I328" s="15"/>
      <c r="J328" s="217"/>
    </row>
    <row r="329" spans="2:10" s="1" customFormat="1" ht="14.5" x14ac:dyDescent="0.35">
      <c r="B329" s="4"/>
      <c r="G329" s="42"/>
      <c r="I329" s="15"/>
      <c r="J329" s="217"/>
    </row>
    <row r="330" spans="2:10" s="1" customFormat="1" ht="14.5" x14ac:dyDescent="0.35">
      <c r="B330" s="4"/>
      <c r="G330" s="42"/>
      <c r="I330" s="15"/>
      <c r="J330" s="217"/>
    </row>
    <row r="331" spans="2:10" s="1" customFormat="1" ht="14.5" x14ac:dyDescent="0.35">
      <c r="B331" s="4"/>
      <c r="G331" s="42"/>
      <c r="I331" s="15"/>
      <c r="J331" s="217"/>
    </row>
    <row r="332" spans="2:10" s="1" customFormat="1" ht="14.5" x14ac:dyDescent="0.35">
      <c r="B332" s="4"/>
      <c r="G332" s="42"/>
      <c r="I332" s="15"/>
      <c r="J332" s="217"/>
    </row>
    <row r="333" spans="2:10" s="1" customFormat="1" ht="14.5" x14ac:dyDescent="0.35">
      <c r="B333" s="4"/>
      <c r="G333" s="42"/>
      <c r="I333" s="15"/>
      <c r="J333" s="217"/>
    </row>
    <row r="334" spans="2:10" s="1" customFormat="1" ht="14.5" x14ac:dyDescent="0.35">
      <c r="B334" s="4"/>
      <c r="G334" s="42"/>
      <c r="I334" s="15"/>
      <c r="J334" s="217"/>
    </row>
    <row r="335" spans="2:10" s="1" customFormat="1" ht="14.5" x14ac:dyDescent="0.35">
      <c r="B335" s="4"/>
      <c r="G335" s="42"/>
      <c r="I335" s="15"/>
      <c r="J335" s="217"/>
    </row>
    <row r="336" spans="2:10" s="1" customFormat="1" ht="14.5" x14ac:dyDescent="0.35">
      <c r="B336" s="4"/>
      <c r="G336" s="42"/>
      <c r="I336" s="15"/>
      <c r="J336" s="217"/>
    </row>
    <row r="337" spans="2:10" s="1" customFormat="1" ht="14.5" x14ac:dyDescent="0.35">
      <c r="B337" s="4"/>
      <c r="G337" s="42"/>
      <c r="I337" s="15"/>
      <c r="J337" s="217"/>
    </row>
    <row r="338" spans="2:10" s="1" customFormat="1" ht="14.5" x14ac:dyDescent="0.35">
      <c r="B338" s="4"/>
      <c r="G338" s="42"/>
      <c r="I338" s="15"/>
      <c r="J338" s="217"/>
    </row>
    <row r="339" spans="2:10" s="1" customFormat="1" ht="14.5" x14ac:dyDescent="0.35">
      <c r="B339" s="4"/>
      <c r="G339" s="42"/>
      <c r="I339" s="15"/>
      <c r="J339" s="217"/>
    </row>
    <row r="340" spans="2:10" s="1" customFormat="1" ht="14.5" x14ac:dyDescent="0.35">
      <c r="B340" s="4"/>
      <c r="G340" s="42"/>
      <c r="I340" s="15"/>
      <c r="J340" s="217"/>
    </row>
    <row r="341" spans="2:10" s="1" customFormat="1" ht="14.5" x14ac:dyDescent="0.35">
      <c r="B341" s="4"/>
      <c r="G341" s="42"/>
      <c r="I341" s="15"/>
      <c r="J341" s="217"/>
    </row>
    <row r="342" spans="2:10" s="1" customFormat="1" ht="14.5" x14ac:dyDescent="0.35">
      <c r="B342" s="4"/>
      <c r="G342" s="42"/>
      <c r="I342" s="15"/>
      <c r="J342" s="217"/>
    </row>
    <row r="343" spans="2:10" s="1" customFormat="1" ht="14.5" x14ac:dyDescent="0.35">
      <c r="B343" s="4"/>
      <c r="G343" s="42"/>
      <c r="I343" s="15"/>
      <c r="J343" s="217"/>
    </row>
    <row r="344" spans="2:10" s="1" customFormat="1" ht="14.5" x14ac:dyDescent="0.35">
      <c r="B344" s="4"/>
      <c r="G344" s="42"/>
      <c r="I344" s="15"/>
      <c r="J344" s="217"/>
    </row>
    <row r="345" spans="2:10" s="1" customFormat="1" ht="14.5" x14ac:dyDescent="0.35">
      <c r="B345" s="4"/>
      <c r="G345" s="42"/>
      <c r="I345" s="15"/>
      <c r="J345" s="217"/>
    </row>
    <row r="346" spans="2:10" s="1" customFormat="1" ht="14.5" x14ac:dyDescent="0.35">
      <c r="B346" s="4"/>
      <c r="G346" s="42"/>
      <c r="I346" s="15"/>
      <c r="J346" s="217"/>
    </row>
    <row r="347" spans="2:10" s="1" customFormat="1" ht="14.5" x14ac:dyDescent="0.35">
      <c r="B347" s="4"/>
      <c r="G347" s="42"/>
      <c r="I347" s="15"/>
      <c r="J347" s="217"/>
    </row>
    <row r="348" spans="2:10" s="1" customFormat="1" ht="14.5" x14ac:dyDescent="0.35">
      <c r="B348" s="4"/>
      <c r="G348" s="42"/>
      <c r="I348" s="15"/>
      <c r="J348" s="217"/>
    </row>
    <row r="349" spans="2:10" s="1" customFormat="1" ht="14.5" x14ac:dyDescent="0.35">
      <c r="B349" s="4"/>
      <c r="G349" s="42"/>
      <c r="I349" s="15"/>
      <c r="J349" s="217"/>
    </row>
    <row r="350" spans="2:10" s="1" customFormat="1" ht="14.5" x14ac:dyDescent="0.35">
      <c r="B350" s="4"/>
      <c r="G350" s="42"/>
      <c r="I350" s="15"/>
      <c r="J350" s="217"/>
    </row>
    <row r="351" spans="2:10" s="1" customFormat="1" ht="14.5" x14ac:dyDescent="0.35">
      <c r="B351" s="4"/>
      <c r="G351" s="42"/>
      <c r="I351" s="15"/>
      <c r="J351" s="217"/>
    </row>
    <row r="352" spans="2:10" s="1" customFormat="1" ht="14.5" x14ac:dyDescent="0.35">
      <c r="B352" s="4"/>
      <c r="G352" s="42"/>
      <c r="I352" s="15"/>
      <c r="J352" s="217"/>
    </row>
    <row r="353" spans="2:10" s="1" customFormat="1" ht="14.5" x14ac:dyDescent="0.35">
      <c r="B353" s="4"/>
      <c r="G353" s="42"/>
      <c r="I353" s="15"/>
      <c r="J353" s="217"/>
    </row>
    <row r="354" spans="2:10" s="1" customFormat="1" ht="14.5" x14ac:dyDescent="0.35">
      <c r="B354" s="4"/>
      <c r="G354" s="42"/>
      <c r="I354" s="15"/>
      <c r="J354" s="217"/>
    </row>
    <row r="355" spans="2:10" s="1" customFormat="1" ht="14.5" x14ac:dyDescent="0.35">
      <c r="B355" s="4"/>
      <c r="G355" s="42"/>
      <c r="I355" s="15"/>
      <c r="J355" s="217"/>
    </row>
    <row r="356" spans="2:10" s="1" customFormat="1" ht="14.5" x14ac:dyDescent="0.35">
      <c r="B356" s="4"/>
      <c r="G356" s="42"/>
      <c r="I356" s="15"/>
      <c r="J356" s="217"/>
    </row>
    <row r="357" spans="2:10" s="1" customFormat="1" ht="14.5" x14ac:dyDescent="0.35">
      <c r="B357" s="4"/>
      <c r="G357" s="42"/>
      <c r="I357" s="15"/>
      <c r="J357" s="217"/>
    </row>
    <row r="358" spans="2:10" s="1" customFormat="1" ht="14.5" x14ac:dyDescent="0.35">
      <c r="B358" s="4"/>
      <c r="G358" s="42"/>
      <c r="I358" s="15"/>
      <c r="J358" s="217"/>
    </row>
    <row r="359" spans="2:10" s="1" customFormat="1" ht="14.5" x14ac:dyDescent="0.35">
      <c r="B359" s="4"/>
      <c r="G359" s="42"/>
      <c r="I359" s="15"/>
      <c r="J359" s="217"/>
    </row>
    <row r="360" spans="2:10" s="1" customFormat="1" ht="14.5" x14ac:dyDescent="0.35">
      <c r="B360" s="4"/>
      <c r="G360" s="42"/>
      <c r="I360" s="15"/>
      <c r="J360" s="217"/>
    </row>
    <row r="361" spans="2:10" s="1" customFormat="1" ht="14.5" x14ac:dyDescent="0.35">
      <c r="B361" s="4"/>
      <c r="G361" s="42"/>
      <c r="I361" s="15"/>
      <c r="J361" s="217"/>
    </row>
    <row r="362" spans="2:10" s="1" customFormat="1" ht="14.5" x14ac:dyDescent="0.35">
      <c r="B362" s="4"/>
      <c r="G362" s="42"/>
      <c r="I362" s="15"/>
      <c r="J362" s="217"/>
    </row>
    <row r="363" spans="2:10" s="1" customFormat="1" ht="14.5" x14ac:dyDescent="0.35">
      <c r="B363" s="4"/>
      <c r="G363" s="42"/>
      <c r="I363" s="15"/>
      <c r="J363" s="217"/>
    </row>
    <row r="364" spans="2:10" s="1" customFormat="1" ht="14.5" x14ac:dyDescent="0.35">
      <c r="B364" s="4"/>
      <c r="G364" s="42"/>
      <c r="I364" s="15"/>
      <c r="J364" s="217"/>
    </row>
    <row r="365" spans="2:10" s="1" customFormat="1" ht="14.5" x14ac:dyDescent="0.35">
      <c r="B365" s="4"/>
      <c r="G365" s="42"/>
      <c r="I365" s="15"/>
      <c r="J365" s="217"/>
    </row>
    <row r="366" spans="2:10" s="1" customFormat="1" ht="14.5" x14ac:dyDescent="0.35">
      <c r="B366" s="4"/>
      <c r="G366" s="42"/>
      <c r="I366" s="15"/>
      <c r="J366" s="217"/>
    </row>
    <row r="367" spans="2:10" s="1" customFormat="1" ht="14.5" x14ac:dyDescent="0.35">
      <c r="B367" s="4"/>
      <c r="G367" s="42"/>
      <c r="I367" s="15"/>
      <c r="J367" s="217"/>
    </row>
    <row r="368" spans="2:10" s="1" customFormat="1" ht="14.5" x14ac:dyDescent="0.35">
      <c r="B368" s="4"/>
      <c r="G368" s="42"/>
      <c r="I368" s="15"/>
      <c r="J368" s="217"/>
    </row>
    <row r="369" spans="2:10" s="1" customFormat="1" ht="14.5" x14ac:dyDescent="0.35">
      <c r="B369" s="4"/>
      <c r="G369" s="42"/>
      <c r="I369" s="15"/>
      <c r="J369" s="217"/>
    </row>
    <row r="370" spans="2:10" s="1" customFormat="1" ht="14.5" x14ac:dyDescent="0.35">
      <c r="B370" s="4"/>
      <c r="G370" s="42"/>
      <c r="I370" s="15"/>
      <c r="J370" s="217"/>
    </row>
    <row r="371" spans="2:10" s="1" customFormat="1" ht="14.5" x14ac:dyDescent="0.35">
      <c r="B371" s="4"/>
      <c r="G371" s="42"/>
      <c r="I371" s="15"/>
      <c r="J371" s="217"/>
    </row>
    <row r="372" spans="2:10" s="1" customFormat="1" ht="14.5" x14ac:dyDescent="0.35">
      <c r="B372" s="4"/>
      <c r="G372" s="42"/>
      <c r="I372" s="15"/>
      <c r="J372" s="217"/>
    </row>
    <row r="373" spans="2:10" s="1" customFormat="1" ht="14.5" x14ac:dyDescent="0.35">
      <c r="B373" s="4"/>
      <c r="G373" s="42"/>
      <c r="I373" s="15"/>
      <c r="J373" s="217"/>
    </row>
    <row r="374" spans="2:10" s="1" customFormat="1" ht="14.5" x14ac:dyDescent="0.35">
      <c r="B374" s="4"/>
      <c r="G374" s="42"/>
      <c r="I374" s="15"/>
      <c r="J374" s="217"/>
    </row>
    <row r="375" spans="2:10" s="1" customFormat="1" ht="14.5" x14ac:dyDescent="0.35">
      <c r="B375" s="4"/>
      <c r="G375" s="42"/>
      <c r="I375" s="15"/>
      <c r="J375" s="217"/>
    </row>
    <row r="376" spans="2:10" s="1" customFormat="1" ht="14.5" x14ac:dyDescent="0.35">
      <c r="B376" s="4"/>
      <c r="G376" s="42"/>
      <c r="I376" s="15"/>
      <c r="J376" s="217"/>
    </row>
    <row r="377" spans="2:10" s="1" customFormat="1" ht="14.5" x14ac:dyDescent="0.35">
      <c r="B377" s="4"/>
      <c r="G377" s="42"/>
      <c r="I377" s="15"/>
      <c r="J377" s="217"/>
    </row>
    <row r="378" spans="2:10" s="1" customFormat="1" ht="14.5" x14ac:dyDescent="0.35">
      <c r="B378" s="4"/>
      <c r="G378" s="42"/>
      <c r="I378" s="15"/>
      <c r="J378" s="217"/>
    </row>
    <row r="379" spans="2:10" s="1" customFormat="1" ht="14.5" x14ac:dyDescent="0.35">
      <c r="B379" s="4"/>
      <c r="G379" s="42"/>
      <c r="I379" s="15"/>
      <c r="J379" s="217"/>
    </row>
    <row r="380" spans="2:10" s="1" customFormat="1" ht="14.5" x14ac:dyDescent="0.35">
      <c r="B380" s="4"/>
      <c r="G380" s="42"/>
      <c r="I380" s="15"/>
      <c r="J380" s="217"/>
    </row>
    <row r="381" spans="2:10" s="1" customFormat="1" ht="14.5" x14ac:dyDescent="0.35">
      <c r="B381" s="4"/>
      <c r="G381" s="42"/>
      <c r="I381" s="15"/>
      <c r="J381" s="217"/>
    </row>
    <row r="382" spans="2:10" s="1" customFormat="1" ht="14.5" x14ac:dyDescent="0.35">
      <c r="B382" s="4"/>
      <c r="G382" s="42"/>
      <c r="I382" s="15"/>
      <c r="J382" s="217"/>
    </row>
    <row r="383" spans="2:10" s="1" customFormat="1" ht="14.5" x14ac:dyDescent="0.35">
      <c r="B383" s="4"/>
      <c r="G383" s="42"/>
      <c r="I383" s="15"/>
      <c r="J383" s="217"/>
    </row>
    <row r="384" spans="2:10" s="1" customFormat="1" ht="14.5" x14ac:dyDescent="0.35">
      <c r="B384" s="4"/>
      <c r="G384" s="42"/>
      <c r="I384" s="15"/>
      <c r="J384" s="217"/>
    </row>
    <row r="385" spans="2:10" s="1" customFormat="1" ht="14.5" x14ac:dyDescent="0.35">
      <c r="B385" s="4"/>
      <c r="G385" s="42"/>
      <c r="I385" s="15"/>
      <c r="J385" s="217"/>
    </row>
    <row r="386" spans="2:10" s="1" customFormat="1" ht="14.5" x14ac:dyDescent="0.35">
      <c r="B386" s="4"/>
      <c r="G386" s="42"/>
      <c r="I386" s="15"/>
      <c r="J386" s="217"/>
    </row>
    <row r="387" spans="2:10" s="1" customFormat="1" ht="14.5" x14ac:dyDescent="0.35">
      <c r="B387" s="4"/>
      <c r="G387" s="42"/>
      <c r="I387" s="15"/>
      <c r="J387" s="217"/>
    </row>
    <row r="388" spans="2:10" s="1" customFormat="1" ht="14.5" x14ac:dyDescent="0.35">
      <c r="B388" s="4"/>
      <c r="G388" s="42"/>
      <c r="I388" s="15"/>
      <c r="J388" s="217"/>
    </row>
    <row r="389" spans="2:10" s="1" customFormat="1" ht="14.5" x14ac:dyDescent="0.35">
      <c r="B389" s="4"/>
      <c r="G389" s="42"/>
      <c r="I389" s="15"/>
      <c r="J389" s="217"/>
    </row>
    <row r="390" spans="2:10" s="1" customFormat="1" ht="14.5" x14ac:dyDescent="0.35">
      <c r="B390" s="4"/>
      <c r="G390" s="42"/>
      <c r="I390" s="15"/>
      <c r="J390" s="217"/>
    </row>
    <row r="391" spans="2:10" s="1" customFormat="1" ht="14.5" x14ac:dyDescent="0.35">
      <c r="B391" s="4"/>
      <c r="G391" s="42"/>
      <c r="I391" s="15"/>
      <c r="J391" s="217"/>
    </row>
    <row r="392" spans="2:10" s="1" customFormat="1" ht="14.5" x14ac:dyDescent="0.35">
      <c r="B392" s="4"/>
      <c r="G392" s="42"/>
      <c r="I392" s="15"/>
      <c r="J392" s="217"/>
    </row>
    <row r="393" spans="2:10" s="1" customFormat="1" ht="14.5" x14ac:dyDescent="0.35">
      <c r="B393" s="4"/>
      <c r="G393" s="42"/>
      <c r="I393" s="15"/>
      <c r="J393" s="217"/>
    </row>
    <row r="394" spans="2:10" s="1" customFormat="1" ht="14.5" x14ac:dyDescent="0.35">
      <c r="B394" s="4"/>
      <c r="G394" s="42"/>
      <c r="I394" s="15"/>
      <c r="J394" s="217"/>
    </row>
    <row r="395" spans="2:10" s="1" customFormat="1" ht="14.5" x14ac:dyDescent="0.35">
      <c r="B395" s="4"/>
      <c r="G395" s="42"/>
      <c r="I395" s="15"/>
      <c r="J395" s="217"/>
    </row>
    <row r="396" spans="2:10" s="1" customFormat="1" ht="14.5" x14ac:dyDescent="0.35">
      <c r="B396" s="4"/>
      <c r="G396" s="42"/>
      <c r="I396" s="15"/>
      <c r="J396" s="217"/>
    </row>
    <row r="397" spans="2:10" s="1" customFormat="1" ht="14.5" x14ac:dyDescent="0.35">
      <c r="B397" s="4"/>
      <c r="G397" s="42"/>
      <c r="I397" s="15"/>
      <c r="J397" s="217"/>
    </row>
    <row r="398" spans="2:10" s="1" customFormat="1" ht="14.5" x14ac:dyDescent="0.35">
      <c r="B398" s="4"/>
      <c r="G398" s="42"/>
      <c r="I398" s="15"/>
      <c r="J398" s="217"/>
    </row>
    <row r="399" spans="2:10" s="1" customFormat="1" ht="14.5" x14ac:dyDescent="0.35">
      <c r="B399" s="4"/>
      <c r="G399" s="42"/>
      <c r="I399" s="15"/>
      <c r="J399" s="217"/>
    </row>
    <row r="400" spans="2:10" s="1" customFormat="1" ht="14.5" x14ac:dyDescent="0.35">
      <c r="B400" s="4"/>
      <c r="G400" s="42"/>
      <c r="I400" s="15"/>
      <c r="J400" s="217"/>
    </row>
    <row r="401" spans="2:10" s="1" customFormat="1" ht="14.5" x14ac:dyDescent="0.35">
      <c r="B401" s="4"/>
      <c r="G401" s="42"/>
      <c r="I401" s="15"/>
      <c r="J401" s="217"/>
    </row>
    <row r="402" spans="2:10" s="1" customFormat="1" ht="14.5" x14ac:dyDescent="0.35">
      <c r="B402" s="4"/>
      <c r="G402" s="42"/>
      <c r="I402" s="15"/>
      <c r="J402" s="217"/>
    </row>
    <row r="403" spans="2:10" s="1" customFormat="1" ht="14.5" x14ac:dyDescent="0.35">
      <c r="B403" s="4"/>
      <c r="G403" s="42"/>
      <c r="I403" s="15"/>
      <c r="J403" s="217"/>
    </row>
    <row r="404" spans="2:10" s="1" customFormat="1" ht="14.5" x14ac:dyDescent="0.35">
      <c r="B404" s="4"/>
      <c r="G404" s="42"/>
      <c r="I404" s="15"/>
      <c r="J404" s="217"/>
    </row>
    <row r="405" spans="2:10" s="1" customFormat="1" ht="14.5" x14ac:dyDescent="0.35">
      <c r="B405" s="4"/>
      <c r="G405" s="42"/>
      <c r="I405" s="15"/>
      <c r="J405" s="217"/>
    </row>
    <row r="406" spans="2:10" s="1" customFormat="1" ht="14.5" x14ac:dyDescent="0.35">
      <c r="B406" s="4"/>
      <c r="G406" s="42"/>
      <c r="I406" s="15"/>
      <c r="J406" s="217"/>
    </row>
    <row r="407" spans="2:10" s="1" customFormat="1" ht="14.5" x14ac:dyDescent="0.35">
      <c r="B407" s="4"/>
      <c r="G407" s="42"/>
      <c r="I407" s="15"/>
      <c r="J407" s="217"/>
    </row>
    <row r="408" spans="2:10" s="1" customFormat="1" ht="14.5" x14ac:dyDescent="0.35">
      <c r="B408" s="4"/>
      <c r="G408" s="42"/>
      <c r="I408" s="15"/>
      <c r="J408" s="217"/>
    </row>
    <row r="409" spans="2:10" s="1" customFormat="1" ht="14.5" x14ac:dyDescent="0.35">
      <c r="B409" s="4"/>
      <c r="G409" s="42"/>
      <c r="I409" s="15"/>
      <c r="J409" s="217"/>
    </row>
    <row r="410" spans="2:10" s="1" customFormat="1" ht="14.5" x14ac:dyDescent="0.35">
      <c r="B410" s="4"/>
      <c r="G410" s="42"/>
      <c r="I410" s="15"/>
      <c r="J410" s="217"/>
    </row>
    <row r="411" spans="2:10" s="1" customFormat="1" ht="14.5" x14ac:dyDescent="0.35">
      <c r="B411" s="4"/>
      <c r="G411" s="42"/>
      <c r="I411" s="15"/>
      <c r="J411" s="217"/>
    </row>
    <row r="412" spans="2:10" s="1" customFormat="1" ht="14.5" x14ac:dyDescent="0.35">
      <c r="B412" s="4"/>
      <c r="G412" s="42"/>
      <c r="I412" s="15"/>
      <c r="J412" s="217"/>
    </row>
    <row r="413" spans="2:10" s="1" customFormat="1" ht="14.5" x14ac:dyDescent="0.35">
      <c r="B413" s="4"/>
      <c r="G413" s="42"/>
      <c r="I413" s="15"/>
      <c r="J413" s="217"/>
    </row>
    <row r="414" spans="2:10" s="1" customFormat="1" ht="14.5" x14ac:dyDescent="0.35">
      <c r="B414" s="4"/>
      <c r="G414" s="42"/>
      <c r="I414" s="15"/>
      <c r="J414" s="217"/>
    </row>
    <row r="415" spans="2:10" s="1" customFormat="1" ht="14.5" x14ac:dyDescent="0.35">
      <c r="B415" s="4"/>
      <c r="G415" s="42"/>
      <c r="I415" s="15"/>
      <c r="J415" s="217"/>
    </row>
    <row r="416" spans="2:10" s="1" customFormat="1" ht="14.5" x14ac:dyDescent="0.35">
      <c r="B416" s="4"/>
      <c r="G416" s="42"/>
      <c r="I416" s="15"/>
      <c r="J416" s="217"/>
    </row>
    <row r="417" spans="2:10" s="1" customFormat="1" ht="14.5" x14ac:dyDescent="0.35">
      <c r="B417" s="4"/>
      <c r="G417" s="42"/>
      <c r="I417" s="15"/>
      <c r="J417" s="217"/>
    </row>
    <row r="418" spans="2:10" s="1" customFormat="1" ht="14.5" x14ac:dyDescent="0.35">
      <c r="B418" s="4"/>
      <c r="G418" s="42"/>
      <c r="I418" s="15"/>
      <c r="J418" s="217"/>
    </row>
    <row r="419" spans="2:10" s="1" customFormat="1" ht="14.5" x14ac:dyDescent="0.35">
      <c r="B419" s="4"/>
      <c r="G419" s="42"/>
      <c r="I419" s="15"/>
      <c r="J419" s="217"/>
    </row>
    <row r="420" spans="2:10" s="1" customFormat="1" ht="14.5" x14ac:dyDescent="0.35">
      <c r="B420" s="4"/>
      <c r="G420" s="42"/>
      <c r="I420" s="15"/>
      <c r="J420" s="217"/>
    </row>
    <row r="421" spans="2:10" s="1" customFormat="1" ht="14.5" x14ac:dyDescent="0.35">
      <c r="B421" s="4"/>
      <c r="G421" s="42"/>
      <c r="I421" s="15"/>
      <c r="J421" s="217"/>
    </row>
    <row r="422" spans="2:10" s="1" customFormat="1" ht="14.5" x14ac:dyDescent="0.35">
      <c r="B422" s="4"/>
      <c r="G422" s="42"/>
      <c r="I422" s="15"/>
      <c r="J422" s="217"/>
    </row>
    <row r="423" spans="2:10" s="1" customFormat="1" ht="14.5" x14ac:dyDescent="0.35">
      <c r="B423" s="4"/>
      <c r="G423" s="42"/>
      <c r="I423" s="15"/>
      <c r="J423" s="217"/>
    </row>
    <row r="424" spans="2:10" s="1" customFormat="1" ht="14.5" x14ac:dyDescent="0.35">
      <c r="B424" s="4"/>
      <c r="G424" s="42"/>
      <c r="I424" s="15"/>
      <c r="J424" s="217"/>
    </row>
    <row r="425" spans="2:10" s="1" customFormat="1" ht="14.5" x14ac:dyDescent="0.35">
      <c r="B425" s="4"/>
      <c r="G425" s="42"/>
      <c r="I425" s="15"/>
      <c r="J425" s="217"/>
    </row>
    <row r="426" spans="2:10" s="1" customFormat="1" ht="14.5" x14ac:dyDescent="0.35">
      <c r="B426" s="4"/>
      <c r="G426" s="42"/>
      <c r="I426" s="15"/>
      <c r="J426" s="217"/>
    </row>
    <row r="427" spans="2:10" s="1" customFormat="1" ht="14.5" x14ac:dyDescent="0.35">
      <c r="B427" s="4"/>
      <c r="G427" s="42"/>
      <c r="I427" s="15"/>
      <c r="J427" s="217"/>
    </row>
    <row r="428" spans="2:10" s="1" customFormat="1" ht="14.5" x14ac:dyDescent="0.35">
      <c r="B428" s="4"/>
      <c r="G428" s="42"/>
      <c r="I428" s="15"/>
      <c r="J428" s="217"/>
    </row>
    <row r="429" spans="2:10" s="1" customFormat="1" ht="14.5" x14ac:dyDescent="0.35">
      <c r="B429" s="4"/>
      <c r="G429" s="42"/>
      <c r="I429" s="15"/>
      <c r="J429" s="217"/>
    </row>
    <row r="430" spans="2:10" s="1" customFormat="1" ht="14.5" x14ac:dyDescent="0.35">
      <c r="B430" s="4"/>
      <c r="G430" s="42"/>
      <c r="I430" s="15"/>
      <c r="J430" s="217"/>
    </row>
    <row r="431" spans="2:10" s="1" customFormat="1" ht="14.5" x14ac:dyDescent="0.35">
      <c r="B431" s="4"/>
      <c r="G431" s="42"/>
      <c r="I431" s="15"/>
      <c r="J431" s="217"/>
    </row>
    <row r="432" spans="2:10" s="1" customFormat="1" ht="14.5" x14ac:dyDescent="0.35">
      <c r="B432" s="4"/>
      <c r="G432" s="42"/>
      <c r="I432" s="15"/>
      <c r="J432" s="217"/>
    </row>
    <row r="433" spans="2:10" s="1" customFormat="1" ht="14.5" x14ac:dyDescent="0.35">
      <c r="B433" s="4"/>
      <c r="G433" s="42"/>
      <c r="I433" s="15"/>
      <c r="J433" s="217"/>
    </row>
    <row r="434" spans="2:10" s="1" customFormat="1" ht="14.5" x14ac:dyDescent="0.35">
      <c r="B434" s="4"/>
      <c r="G434" s="42"/>
      <c r="I434" s="15"/>
      <c r="J434" s="217"/>
    </row>
    <row r="435" spans="2:10" s="1" customFormat="1" ht="14.5" x14ac:dyDescent="0.35">
      <c r="B435" s="4"/>
      <c r="G435" s="42"/>
      <c r="I435" s="15"/>
      <c r="J435" s="217"/>
    </row>
    <row r="436" spans="2:10" s="1" customFormat="1" ht="14.5" x14ac:dyDescent="0.35">
      <c r="B436" s="4"/>
      <c r="G436" s="42"/>
      <c r="I436" s="15"/>
      <c r="J436" s="217"/>
    </row>
    <row r="437" spans="2:10" s="1" customFormat="1" ht="14.5" x14ac:dyDescent="0.35">
      <c r="B437" s="4"/>
      <c r="G437" s="42"/>
      <c r="I437" s="15"/>
      <c r="J437" s="217"/>
    </row>
    <row r="438" spans="2:10" s="1" customFormat="1" ht="14.5" x14ac:dyDescent="0.35">
      <c r="B438" s="4"/>
      <c r="G438" s="42"/>
      <c r="I438" s="15"/>
      <c r="J438" s="217"/>
    </row>
    <row r="439" spans="2:10" s="1" customFormat="1" ht="14.5" x14ac:dyDescent="0.35">
      <c r="B439" s="4"/>
      <c r="G439" s="42"/>
      <c r="I439" s="15"/>
      <c r="J439" s="217"/>
    </row>
    <row r="440" spans="2:10" s="1" customFormat="1" ht="14.5" x14ac:dyDescent="0.35">
      <c r="B440" s="4"/>
      <c r="G440" s="42"/>
      <c r="I440" s="15"/>
      <c r="J440" s="217"/>
    </row>
    <row r="441" spans="2:10" s="1" customFormat="1" ht="14.5" x14ac:dyDescent="0.35">
      <c r="B441" s="4"/>
      <c r="G441" s="42"/>
      <c r="I441" s="15"/>
      <c r="J441" s="217"/>
    </row>
    <row r="442" spans="2:10" s="1" customFormat="1" ht="14.5" x14ac:dyDescent="0.35">
      <c r="B442" s="4"/>
      <c r="G442" s="42"/>
      <c r="I442" s="15"/>
      <c r="J442" s="217"/>
    </row>
    <row r="443" spans="2:10" s="1" customFormat="1" ht="14.5" x14ac:dyDescent="0.35">
      <c r="B443" s="4"/>
      <c r="G443" s="42"/>
      <c r="I443" s="15"/>
      <c r="J443" s="217"/>
    </row>
    <row r="444" spans="2:10" s="1" customFormat="1" ht="14.5" x14ac:dyDescent="0.35">
      <c r="B444" s="4"/>
      <c r="G444" s="42"/>
      <c r="I444" s="15"/>
      <c r="J444" s="217"/>
    </row>
    <row r="445" spans="2:10" s="1" customFormat="1" ht="14.5" x14ac:dyDescent="0.35">
      <c r="B445" s="4"/>
      <c r="G445" s="42"/>
      <c r="I445" s="15"/>
      <c r="J445" s="217"/>
    </row>
    <row r="446" spans="2:10" s="1" customFormat="1" ht="14.5" x14ac:dyDescent="0.35">
      <c r="B446" s="4"/>
      <c r="G446" s="42"/>
      <c r="I446" s="15"/>
      <c r="J446" s="217"/>
    </row>
    <row r="447" spans="2:10" s="1" customFormat="1" ht="14.5" x14ac:dyDescent="0.35">
      <c r="B447" s="4"/>
      <c r="G447" s="42"/>
      <c r="I447" s="15"/>
      <c r="J447" s="217"/>
    </row>
    <row r="448" spans="2:10" s="1" customFormat="1" ht="14.5" x14ac:dyDescent="0.35">
      <c r="B448" s="4"/>
      <c r="G448" s="42"/>
      <c r="I448" s="15"/>
      <c r="J448" s="217"/>
    </row>
    <row r="449" spans="2:10" s="1" customFormat="1" ht="14.5" x14ac:dyDescent="0.35">
      <c r="B449" s="4"/>
      <c r="G449" s="42"/>
      <c r="I449" s="15"/>
      <c r="J449" s="217"/>
    </row>
    <row r="450" spans="2:10" s="1" customFormat="1" ht="14.5" x14ac:dyDescent="0.35">
      <c r="B450" s="4"/>
      <c r="G450" s="42"/>
      <c r="I450" s="15"/>
      <c r="J450" s="217"/>
    </row>
    <row r="451" spans="2:10" s="1" customFormat="1" ht="14.5" x14ac:dyDescent="0.35">
      <c r="B451" s="4"/>
      <c r="G451" s="42"/>
      <c r="I451" s="15"/>
      <c r="J451" s="217"/>
    </row>
    <row r="452" spans="2:10" s="1" customFormat="1" ht="14.5" x14ac:dyDescent="0.35">
      <c r="B452" s="4"/>
      <c r="G452" s="42"/>
      <c r="I452" s="15"/>
      <c r="J452" s="217"/>
    </row>
    <row r="453" spans="2:10" s="1" customFormat="1" ht="14.5" x14ac:dyDescent="0.35">
      <c r="B453" s="4"/>
      <c r="G453" s="42"/>
      <c r="I453" s="15"/>
      <c r="J453" s="217"/>
    </row>
    <row r="454" spans="2:10" s="1" customFormat="1" ht="14.5" x14ac:dyDescent="0.35">
      <c r="B454" s="4"/>
      <c r="G454" s="42"/>
      <c r="I454" s="15"/>
      <c r="J454" s="217"/>
    </row>
    <row r="455" spans="2:10" s="1" customFormat="1" ht="14.5" x14ac:dyDescent="0.35">
      <c r="B455" s="4"/>
      <c r="G455" s="42"/>
      <c r="I455" s="15"/>
      <c r="J455" s="217"/>
    </row>
    <row r="456" spans="2:10" s="1" customFormat="1" ht="14.5" x14ac:dyDescent="0.35">
      <c r="B456" s="4"/>
      <c r="G456" s="42"/>
      <c r="I456" s="15"/>
      <c r="J456" s="217"/>
    </row>
    <row r="457" spans="2:10" s="1" customFormat="1" ht="14.5" x14ac:dyDescent="0.35">
      <c r="B457" s="4"/>
      <c r="G457" s="42"/>
      <c r="I457" s="15"/>
      <c r="J457" s="217"/>
    </row>
    <row r="458" spans="2:10" s="1" customFormat="1" ht="14.5" x14ac:dyDescent="0.35">
      <c r="B458" s="4"/>
      <c r="G458" s="42"/>
      <c r="I458" s="15"/>
      <c r="J458" s="217"/>
    </row>
    <row r="459" spans="2:10" s="1" customFormat="1" ht="14.5" x14ac:dyDescent="0.35">
      <c r="B459" s="4"/>
      <c r="G459" s="42"/>
      <c r="I459" s="15"/>
      <c r="J459" s="217"/>
    </row>
    <row r="460" spans="2:10" s="1" customFormat="1" ht="14.5" x14ac:dyDescent="0.35">
      <c r="B460" s="4"/>
      <c r="G460" s="42"/>
      <c r="I460" s="15"/>
      <c r="J460" s="217"/>
    </row>
    <row r="461" spans="2:10" s="1" customFormat="1" ht="14.5" x14ac:dyDescent="0.35">
      <c r="B461" s="4"/>
      <c r="G461" s="42"/>
      <c r="I461" s="15"/>
      <c r="J461" s="217"/>
    </row>
    <row r="462" spans="2:10" s="1" customFormat="1" ht="14.5" x14ac:dyDescent="0.35">
      <c r="B462" s="4"/>
      <c r="G462" s="42"/>
      <c r="I462" s="15"/>
      <c r="J462" s="217"/>
    </row>
    <row r="463" spans="2:10" s="1" customFormat="1" ht="14.5" x14ac:dyDescent="0.35">
      <c r="B463" s="4"/>
      <c r="G463" s="42"/>
      <c r="I463" s="15"/>
      <c r="J463" s="217"/>
    </row>
    <row r="464" spans="2:10" s="1" customFormat="1" ht="14.5" x14ac:dyDescent="0.35">
      <c r="B464" s="4"/>
      <c r="G464" s="42"/>
      <c r="I464" s="15"/>
      <c r="J464" s="217"/>
    </row>
    <row r="465" spans="1:14" s="1" customFormat="1" ht="14.5" x14ac:dyDescent="0.35">
      <c r="B465" s="4"/>
      <c r="G465" s="42"/>
      <c r="I465" s="15"/>
      <c r="J465" s="217"/>
    </row>
    <row r="466" spans="1:14" s="1" customFormat="1" ht="14.5" x14ac:dyDescent="0.35">
      <c r="B466" s="4"/>
      <c r="G466" s="42"/>
      <c r="I466" s="15"/>
      <c r="J466" s="217"/>
    </row>
    <row r="467" spans="1:14" s="1" customFormat="1" ht="14.5" x14ac:dyDescent="0.35">
      <c r="B467" s="4"/>
      <c r="G467" s="42"/>
      <c r="I467" s="15"/>
      <c r="J467" s="217"/>
    </row>
    <row r="468" spans="1:14" s="1" customFormat="1" ht="14.5" x14ac:dyDescent="0.35">
      <c r="B468" s="4"/>
      <c r="G468" s="42"/>
      <c r="I468" s="15"/>
      <c r="J468" s="217"/>
    </row>
    <row r="469" spans="1:14" s="1" customFormat="1" ht="14.5" x14ac:dyDescent="0.35">
      <c r="B469" s="4"/>
      <c r="G469" s="42"/>
      <c r="I469" s="15"/>
      <c r="J469" s="217"/>
    </row>
    <row r="470" spans="1:14" s="1" customFormat="1" ht="14.5" x14ac:dyDescent="0.35">
      <c r="B470" s="4"/>
      <c r="G470" s="42"/>
      <c r="I470" s="15"/>
      <c r="J470" s="217"/>
    </row>
    <row r="471" spans="1:14" s="1" customFormat="1" ht="14.5" x14ac:dyDescent="0.35">
      <c r="B471" s="4"/>
      <c r="G471" s="42"/>
      <c r="I471" s="15"/>
      <c r="J471" s="217"/>
    </row>
    <row r="472" spans="1:14" s="1" customFormat="1" ht="14.5" x14ac:dyDescent="0.35">
      <c r="B472" s="4"/>
      <c r="G472" s="42"/>
      <c r="I472" s="15"/>
      <c r="J472" s="217"/>
    </row>
    <row r="473" spans="1:14" s="1" customFormat="1" ht="14.5" x14ac:dyDescent="0.35">
      <c r="B473" s="4"/>
      <c r="G473" s="42"/>
      <c r="I473" s="15"/>
      <c r="J473" s="217"/>
    </row>
    <row r="474" spans="1:14" s="1" customFormat="1" ht="14.5" x14ac:dyDescent="0.35">
      <c r="B474" s="4"/>
      <c r="G474" s="42"/>
      <c r="I474" s="15"/>
      <c r="J474" s="217"/>
    </row>
    <row r="475" spans="1:14" s="1" customFormat="1" ht="14.5" x14ac:dyDescent="0.35">
      <c r="B475" s="4"/>
      <c r="G475" s="42"/>
      <c r="I475" s="15"/>
      <c r="J475" s="217"/>
    </row>
    <row r="476" spans="1:14" s="1" customFormat="1" ht="14.5" x14ac:dyDescent="0.35">
      <c r="B476" s="4"/>
      <c r="G476" s="42"/>
      <c r="I476" s="15"/>
      <c r="J476" s="217"/>
    </row>
    <row r="477" spans="1:14" s="1" customFormat="1" ht="14.5" x14ac:dyDescent="0.35">
      <c r="B477" s="4"/>
      <c r="G477" s="42"/>
      <c r="I477" s="15"/>
      <c r="J477" s="217"/>
    </row>
    <row r="478" spans="1:14" s="1" customFormat="1" ht="14.5" x14ac:dyDescent="0.35">
      <c r="B478" s="4"/>
      <c r="G478" s="42"/>
      <c r="I478" s="15"/>
      <c r="J478" s="217"/>
    </row>
    <row r="479" spans="1:14" x14ac:dyDescent="0.35">
      <c r="A479" s="1"/>
      <c r="B479" s="4"/>
      <c r="C479" s="1"/>
      <c r="D479" s="1"/>
      <c r="E479" s="1"/>
      <c r="F479" s="1"/>
      <c r="G479" s="42"/>
      <c r="H479" s="1"/>
      <c r="I479" s="15"/>
      <c r="J479" s="217"/>
      <c r="K479" s="1"/>
      <c r="L479" s="1"/>
      <c r="M479" s="1"/>
      <c r="N479" s="1"/>
    </row>
    <row r="480" spans="1:14" x14ac:dyDescent="0.35">
      <c r="A480" s="1"/>
      <c r="B480" s="4"/>
      <c r="C480" s="1"/>
      <c r="D480" s="1"/>
      <c r="E480" s="1"/>
      <c r="F480" s="1"/>
      <c r="G480" s="42"/>
      <c r="H480" s="1"/>
      <c r="I480" s="15"/>
      <c r="J480" s="217"/>
      <c r="K480" s="1"/>
      <c r="L480" s="1"/>
      <c r="M480" s="1"/>
      <c r="N480" s="1"/>
    </row>
    <row r="481" spans="1:14" x14ac:dyDescent="0.35">
      <c r="A481" s="1"/>
      <c r="B481" s="4"/>
      <c r="C481" s="1"/>
      <c r="D481" s="1"/>
      <c r="E481" s="1"/>
      <c r="F481" s="1"/>
      <c r="G481" s="42"/>
      <c r="H481" s="1"/>
      <c r="I481" s="15"/>
      <c r="J481" s="217"/>
      <c r="K481" s="1"/>
      <c r="L481" s="1"/>
      <c r="M481" s="1"/>
      <c r="N481" s="1"/>
    </row>
    <row r="482" spans="1:14" x14ac:dyDescent="0.35">
      <c r="A482" s="1"/>
      <c r="B482" s="4"/>
      <c r="C482" s="1"/>
      <c r="D482" s="1"/>
      <c r="E482" s="1"/>
      <c r="F482" s="1"/>
      <c r="G482" s="42"/>
      <c r="H482" s="1"/>
      <c r="I482" s="15"/>
      <c r="J482" s="217"/>
      <c r="K482" s="1"/>
      <c r="L482" s="1"/>
      <c r="M482" s="1"/>
      <c r="N482" s="1"/>
    </row>
    <row r="483" spans="1:14" x14ac:dyDescent="0.35">
      <c r="A483" s="1"/>
      <c r="B483" s="4"/>
      <c r="C483" s="1"/>
      <c r="D483" s="1"/>
      <c r="E483" s="1"/>
      <c r="F483" s="1"/>
      <c r="G483" s="42"/>
      <c r="H483" s="1"/>
      <c r="I483" s="15"/>
      <c r="J483" s="217"/>
      <c r="K483" s="1"/>
      <c r="L483" s="1"/>
      <c r="M483" s="1"/>
      <c r="N483" s="1"/>
    </row>
    <row r="484" spans="1:14" x14ac:dyDescent="0.35">
      <c r="A484" s="1"/>
      <c r="B484" s="4"/>
      <c r="C484" s="1"/>
      <c r="D484" s="1"/>
      <c r="E484" s="1"/>
      <c r="F484" s="1"/>
      <c r="G484" s="42"/>
      <c r="H484" s="1"/>
      <c r="I484" s="15"/>
      <c r="J484" s="217"/>
      <c r="K484" s="1"/>
      <c r="L484" s="1"/>
      <c r="M484" s="1"/>
      <c r="N484" s="1"/>
    </row>
    <row r="485" spans="1:14" x14ac:dyDescent="0.35">
      <c r="A485" s="1"/>
      <c r="B485" s="4"/>
      <c r="C485" s="1"/>
      <c r="D485" s="1"/>
      <c r="E485" s="1"/>
      <c r="F485" s="1"/>
      <c r="G485" s="42"/>
      <c r="H485" s="1"/>
      <c r="I485" s="15"/>
      <c r="J485" s="217"/>
      <c r="K485" s="1"/>
      <c r="L485" s="1"/>
      <c r="M485" s="1"/>
      <c r="N485" s="1"/>
    </row>
    <row r="486" spans="1:14" x14ac:dyDescent="0.35">
      <c r="A486" s="1"/>
      <c r="B486" s="4"/>
      <c r="C486" s="1"/>
      <c r="D486" s="1"/>
      <c r="E486" s="1"/>
      <c r="F486" s="1"/>
      <c r="G486" s="42"/>
      <c r="H486" s="1"/>
      <c r="I486" s="15"/>
      <c r="J486" s="217"/>
      <c r="K486" s="1"/>
      <c r="L486" s="1"/>
      <c r="M486" s="1"/>
      <c r="N486" s="1"/>
    </row>
    <row r="487" spans="1:14" x14ac:dyDescent="0.35">
      <c r="A487" s="1"/>
      <c r="B487" s="4"/>
      <c r="C487" s="1"/>
      <c r="D487" s="1"/>
      <c r="E487" s="1"/>
      <c r="F487" s="1"/>
      <c r="G487" s="42"/>
      <c r="H487" s="1"/>
      <c r="I487" s="15"/>
      <c r="J487" s="217"/>
      <c r="K487" s="1"/>
      <c r="L487" s="1"/>
      <c r="M487" s="1"/>
      <c r="N487" s="1"/>
    </row>
    <row r="488" spans="1:14" x14ac:dyDescent="0.35">
      <c r="A488" s="1"/>
      <c r="B488" s="4"/>
      <c r="C488" s="1"/>
      <c r="D488" s="1"/>
      <c r="E488" s="1"/>
      <c r="F488" s="1"/>
      <c r="G488" s="42"/>
      <c r="H488" s="1"/>
      <c r="I488" s="15"/>
      <c r="J488" s="217"/>
      <c r="K488" s="1"/>
      <c r="L488" s="1"/>
      <c r="M488" s="1"/>
      <c r="N488" s="1"/>
    </row>
    <row r="489" spans="1:14" x14ac:dyDescent="0.35">
      <c r="A489" s="1"/>
      <c r="B489" s="4"/>
      <c r="C489" s="1"/>
      <c r="D489" s="1"/>
      <c r="E489" s="1"/>
      <c r="F489" s="1"/>
      <c r="G489" s="42"/>
      <c r="H489" s="1"/>
      <c r="I489" s="15"/>
      <c r="J489" s="217"/>
      <c r="K489" s="1"/>
      <c r="L489" s="1"/>
      <c r="M489" s="1"/>
      <c r="N489" s="1"/>
    </row>
    <row r="490" spans="1:14" x14ac:dyDescent="0.35">
      <c r="A490" s="1"/>
      <c r="B490" s="4"/>
      <c r="C490" s="1"/>
      <c r="D490" s="1"/>
      <c r="E490" s="1"/>
      <c r="F490" s="1"/>
      <c r="G490" s="42"/>
      <c r="H490" s="1"/>
      <c r="I490" s="15"/>
      <c r="J490" s="217"/>
      <c r="K490" s="1"/>
      <c r="L490" s="1"/>
      <c r="M490" s="1"/>
      <c r="N490" s="1"/>
    </row>
    <row r="491" spans="1:14" x14ac:dyDescent="0.35">
      <c r="A491" s="1"/>
      <c r="B491" s="4"/>
      <c r="C491" s="1"/>
      <c r="D491" s="1"/>
      <c r="E491" s="1"/>
      <c r="F491" s="1"/>
      <c r="G491" s="42"/>
      <c r="H491" s="1"/>
      <c r="I491" s="15"/>
      <c r="J491" s="217"/>
      <c r="K491" s="1"/>
      <c r="L491" s="1"/>
      <c r="M491" s="1"/>
      <c r="N491" s="1"/>
    </row>
  </sheetData>
  <mergeCells count="40">
    <mergeCell ref="A1:H1"/>
    <mergeCell ref="A2:H2"/>
    <mergeCell ref="B5:G5"/>
    <mergeCell ref="D18:E18"/>
    <mergeCell ref="D124:E124"/>
    <mergeCell ref="D27:E27"/>
    <mergeCell ref="E29:F29"/>
    <mergeCell ref="D37:E37"/>
    <mergeCell ref="D46:E46"/>
    <mergeCell ref="E47:F47"/>
    <mergeCell ref="D54:E54"/>
    <mergeCell ref="D62:E62"/>
    <mergeCell ref="E63:F63"/>
    <mergeCell ref="D69:E69"/>
    <mergeCell ref="D77:E77"/>
    <mergeCell ref="D106:E106"/>
    <mergeCell ref="E125:F125"/>
    <mergeCell ref="D133:E133"/>
    <mergeCell ref="E192:F192"/>
    <mergeCell ref="D197:E197"/>
    <mergeCell ref="D205:E205"/>
    <mergeCell ref="D191:E191"/>
    <mergeCell ref="D177:E177"/>
    <mergeCell ref="E178:F178"/>
    <mergeCell ref="D184:E184"/>
    <mergeCell ref="D169:E169"/>
    <mergeCell ref="E206:F206"/>
    <mergeCell ref="D143:E143"/>
    <mergeCell ref="E144:F144"/>
    <mergeCell ref="D152:E152"/>
    <mergeCell ref="D161:E161"/>
    <mergeCell ref="E162:F162"/>
    <mergeCell ref="E107:F107"/>
    <mergeCell ref="D113:E113"/>
    <mergeCell ref="E115:F115"/>
    <mergeCell ref="E78:F78"/>
    <mergeCell ref="D84:E84"/>
    <mergeCell ref="D92:E92"/>
    <mergeCell ref="E93:F93"/>
    <mergeCell ref="D99:E99"/>
  </mergeCells>
  <printOptions horizontalCentered="1"/>
  <pageMargins left="0.7" right="0.7" top="1" bottom="0.75" header="0.3" footer="0.3"/>
  <pageSetup scale="63" fitToHeight="4"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63"/>
  <sheetViews>
    <sheetView showGridLines="0" tabSelected="1" workbookViewId="0">
      <selection activeCell="J25" sqref="J25"/>
    </sheetView>
  </sheetViews>
  <sheetFormatPr defaultColWidth="8.765625" defaultRowHeight="14.5" x14ac:dyDescent="0.35"/>
  <cols>
    <col min="1" max="1" width="3.69140625" style="5" customWidth="1"/>
    <col min="2" max="2" width="2.69140625" style="5" customWidth="1"/>
    <col min="3" max="3" width="29.4609375" style="5" customWidth="1"/>
    <col min="4" max="4" width="11.3046875" style="5" customWidth="1"/>
    <col min="5" max="5" width="11.53515625" style="5" customWidth="1"/>
    <col min="6" max="6" width="5.3046875" style="5" customWidth="1"/>
    <col min="7" max="7" width="11.53515625" style="5" customWidth="1"/>
    <col min="8" max="8" width="3.61328125" style="5" customWidth="1"/>
    <col min="9" max="9" width="14.53515625" style="5" customWidth="1"/>
    <col min="10" max="10" width="11.3046875" style="5" customWidth="1"/>
    <col min="11" max="11" width="22.84375" style="5" customWidth="1"/>
    <col min="12" max="12" width="10.84375" style="5" customWidth="1"/>
    <col min="13" max="16384" width="8.765625" style="5"/>
  </cols>
  <sheetData>
    <row r="1" spans="1:12" ht="18.5" x14ac:dyDescent="0.35">
      <c r="A1" s="457" t="s">
        <v>26</v>
      </c>
      <c r="B1" s="457"/>
      <c r="C1" s="457"/>
      <c r="D1" s="457"/>
      <c r="E1" s="457"/>
      <c r="F1" s="457"/>
      <c r="G1" s="457"/>
      <c r="H1" s="46"/>
      <c r="I1" s="46"/>
      <c r="J1" s="46"/>
      <c r="K1" s="46"/>
    </row>
    <row r="2" spans="1:12" ht="15.5" x14ac:dyDescent="0.35">
      <c r="A2" s="478" t="s">
        <v>218</v>
      </c>
      <c r="B2" s="478"/>
      <c r="C2" s="478"/>
      <c r="D2" s="478"/>
      <c r="E2" s="478"/>
      <c r="F2" s="478"/>
      <c r="G2" s="478"/>
      <c r="H2" s="46"/>
      <c r="I2" s="46"/>
      <c r="J2" s="46"/>
      <c r="K2" s="46"/>
      <c r="L2" s="46"/>
    </row>
    <row r="3" spans="1:12" x14ac:dyDescent="0.35">
      <c r="A3" s="36"/>
      <c r="B3" s="49"/>
      <c r="C3" s="49"/>
      <c r="D3" s="341">
        <v>2025</v>
      </c>
      <c r="E3" s="49"/>
      <c r="F3" s="49"/>
      <c r="G3" s="49"/>
      <c r="H3" s="46"/>
      <c r="I3" s="46"/>
      <c r="J3" s="46"/>
      <c r="K3" s="46"/>
    </row>
    <row r="4" spans="1:12" ht="16" x14ac:dyDescent="0.35">
      <c r="A4" s="46"/>
      <c r="B4" s="46"/>
      <c r="C4" s="46"/>
      <c r="D4" s="47" t="s">
        <v>27</v>
      </c>
      <c r="E4" s="47" t="s">
        <v>28</v>
      </c>
      <c r="F4" s="47" t="s">
        <v>29</v>
      </c>
      <c r="G4" s="47" t="s">
        <v>30</v>
      </c>
      <c r="H4" s="46"/>
      <c r="I4" s="58" t="s">
        <v>36</v>
      </c>
      <c r="J4" s="46"/>
      <c r="L4" s="224" t="s">
        <v>171</v>
      </c>
    </row>
    <row r="5" spans="1:12" x14ac:dyDescent="0.35">
      <c r="A5" s="48" t="s">
        <v>13</v>
      </c>
      <c r="B5" s="46"/>
      <c r="C5" s="46"/>
      <c r="D5" s="305"/>
      <c r="F5" s="46"/>
      <c r="G5" s="46"/>
      <c r="H5" s="46"/>
      <c r="J5" s="46"/>
      <c r="K5" s="46"/>
    </row>
    <row r="6" spans="1:12" x14ac:dyDescent="0.35">
      <c r="A6" s="46"/>
      <c r="B6" s="46" t="s">
        <v>229</v>
      </c>
      <c r="C6" s="46"/>
      <c r="D6" s="305">
        <v>1777631</v>
      </c>
      <c r="E6" s="5">
        <f>-E12</f>
        <v>-43011.85</v>
      </c>
      <c r="F6" s="49" t="s">
        <v>192</v>
      </c>
      <c r="G6" s="305"/>
      <c r="H6" s="50"/>
      <c r="I6" s="305" t="s">
        <v>310</v>
      </c>
      <c r="J6" s="46"/>
      <c r="K6" s="223"/>
      <c r="L6" s="5" t="s">
        <v>272</v>
      </c>
    </row>
    <row r="7" spans="1:12" x14ac:dyDescent="0.35">
      <c r="A7" s="46"/>
      <c r="B7" s="46" t="s">
        <v>228</v>
      </c>
      <c r="C7" s="46"/>
      <c r="D7" s="305">
        <v>19670</v>
      </c>
      <c r="E7" s="305"/>
      <c r="F7" s="49"/>
      <c r="G7" s="46"/>
      <c r="H7" s="51"/>
      <c r="I7" s="336"/>
      <c r="J7" s="46"/>
      <c r="K7" s="46"/>
    </row>
    <row r="8" spans="1:12" x14ac:dyDescent="0.35">
      <c r="A8" s="46"/>
      <c r="B8" s="46"/>
      <c r="C8" s="46"/>
      <c r="D8" s="305"/>
      <c r="E8" s="305">
        <f>ExBA!G11</f>
        <v>-2112.1499999999069</v>
      </c>
      <c r="F8" s="49" t="s">
        <v>193</v>
      </c>
      <c r="G8" s="46">
        <f>SUM(D6:E8)</f>
        <v>1752177</v>
      </c>
      <c r="H8" s="51"/>
      <c r="I8" s="305" t="s">
        <v>276</v>
      </c>
      <c r="J8" s="46"/>
      <c r="K8" s="46"/>
      <c r="L8" s="5" t="s">
        <v>318</v>
      </c>
    </row>
    <row r="9" spans="1:12" x14ac:dyDescent="0.35">
      <c r="A9" s="46"/>
      <c r="B9" s="46" t="s">
        <v>230</v>
      </c>
      <c r="C9" s="46"/>
      <c r="D9" s="305">
        <v>2656</v>
      </c>
      <c r="E9" s="305">
        <f>ExBA!G14</f>
        <v>-171</v>
      </c>
      <c r="F9" s="370" t="s">
        <v>194</v>
      </c>
      <c r="G9" s="305">
        <f>D9+E9</f>
        <v>2485</v>
      </c>
      <c r="H9" s="371"/>
      <c r="I9" s="372" t="s">
        <v>275</v>
      </c>
      <c r="J9" s="46"/>
      <c r="L9" s="5" t="s">
        <v>319</v>
      </c>
    </row>
    <row r="10" spans="1:12" x14ac:dyDescent="0.35">
      <c r="A10" s="46"/>
      <c r="B10" s="46" t="s">
        <v>15</v>
      </c>
      <c r="C10" s="46"/>
      <c r="D10" s="305"/>
      <c r="E10" s="305"/>
      <c r="F10" s="49"/>
      <c r="G10" s="46"/>
      <c r="H10" s="52"/>
      <c r="I10" s="305"/>
      <c r="J10" s="46"/>
      <c r="K10" s="46"/>
    </row>
    <row r="11" spans="1:12" x14ac:dyDescent="0.35">
      <c r="A11" s="46"/>
      <c r="B11" s="46"/>
      <c r="C11" s="46" t="s">
        <v>37</v>
      </c>
      <c r="D11" s="305"/>
      <c r="E11" s="305"/>
      <c r="F11" s="49"/>
      <c r="G11" s="46">
        <f>D11+E11</f>
        <v>0</v>
      </c>
      <c r="H11" s="50"/>
      <c r="I11" s="305"/>
      <c r="J11" s="46"/>
      <c r="K11" s="46"/>
    </row>
    <row r="12" spans="1:12" x14ac:dyDescent="0.35">
      <c r="A12" s="46"/>
      <c r="B12" s="46"/>
      <c r="C12" s="46" t="s">
        <v>169</v>
      </c>
      <c r="D12" s="305"/>
      <c r="E12" s="305">
        <f>ExBA!R11</f>
        <v>43011.85</v>
      </c>
      <c r="F12" s="49" t="s">
        <v>192</v>
      </c>
      <c r="G12" s="46">
        <f>D12+E12</f>
        <v>43011.85</v>
      </c>
      <c r="H12" s="50"/>
      <c r="I12" s="305" t="s">
        <v>311</v>
      </c>
      <c r="J12" s="46"/>
      <c r="K12" s="46"/>
      <c r="L12" s="5" t="s">
        <v>272</v>
      </c>
    </row>
    <row r="13" spans="1:12" ht="16" x14ac:dyDescent="0.35">
      <c r="A13" s="46"/>
      <c r="B13" s="46"/>
      <c r="C13" s="46" t="s">
        <v>269</v>
      </c>
      <c r="D13" s="339">
        <v>0</v>
      </c>
      <c r="E13" s="339">
        <v>0</v>
      </c>
      <c r="F13" s="49"/>
      <c r="G13" s="306">
        <f>D13+E13</f>
        <v>0</v>
      </c>
      <c r="H13" s="50"/>
      <c r="I13" s="305"/>
      <c r="J13" s="46"/>
      <c r="K13" s="46"/>
    </row>
    <row r="14" spans="1:12" x14ac:dyDescent="0.35">
      <c r="A14" s="53" t="s">
        <v>16</v>
      </c>
      <c r="B14" s="46"/>
      <c r="C14" s="46"/>
      <c r="D14" s="305">
        <f>SUM(D6:D13)</f>
        <v>1799957</v>
      </c>
      <c r="E14" s="305">
        <f>SUM(E7:E13)</f>
        <v>40728.700000000092</v>
      </c>
      <c r="F14" s="49"/>
      <c r="G14" s="305">
        <f>SUM(G6:G13)</f>
        <v>1797673.85</v>
      </c>
      <c r="H14" s="52"/>
      <c r="I14" s="322"/>
      <c r="J14" s="46"/>
      <c r="K14" s="46"/>
    </row>
    <row r="15" spans="1:12" x14ac:dyDescent="0.35">
      <c r="A15" s="46"/>
      <c r="B15" s="46"/>
      <c r="C15" s="46"/>
      <c r="D15" s="305"/>
      <c r="E15" s="305"/>
      <c r="F15" s="49"/>
      <c r="G15" s="46"/>
      <c r="H15" s="52"/>
      <c r="I15" s="305"/>
      <c r="J15" s="46"/>
      <c r="K15" s="46"/>
    </row>
    <row r="16" spans="1:12" x14ac:dyDescent="0.35">
      <c r="A16" s="48" t="s">
        <v>17</v>
      </c>
      <c r="B16" s="46"/>
      <c r="C16" s="46"/>
      <c r="D16" s="305"/>
      <c r="E16" s="305"/>
      <c r="F16" s="49"/>
      <c r="G16" s="46"/>
      <c r="H16" s="52"/>
      <c r="I16" s="305"/>
      <c r="J16" s="46"/>
      <c r="K16" s="46"/>
    </row>
    <row r="17" spans="1:13" x14ac:dyDescent="0.35">
      <c r="A17" s="46"/>
      <c r="B17" s="46" t="s">
        <v>31</v>
      </c>
      <c r="C17" s="46"/>
      <c r="D17" s="305"/>
      <c r="E17" s="305"/>
      <c r="F17" s="49"/>
      <c r="G17" s="46"/>
      <c r="H17" s="52"/>
      <c r="I17" s="305"/>
      <c r="J17" s="46"/>
      <c r="K17" s="46"/>
    </row>
    <row r="18" spans="1:13" x14ac:dyDescent="0.35">
      <c r="A18" s="46"/>
      <c r="B18" s="46"/>
      <c r="C18" s="46" t="s">
        <v>2</v>
      </c>
      <c r="D18" s="305">
        <v>480971</v>
      </c>
      <c r="E18" s="305"/>
      <c r="F18" s="54"/>
      <c r="G18" s="46"/>
      <c r="H18" s="50"/>
      <c r="I18" s="322"/>
      <c r="J18" s="46"/>
      <c r="K18" s="46"/>
    </row>
    <row r="19" spans="1:13" x14ac:dyDescent="0.35">
      <c r="A19" s="46"/>
      <c r="B19" s="46"/>
      <c r="C19" s="46"/>
      <c r="D19" s="305"/>
      <c r="E19" s="373">
        <f>Wages!H30</f>
        <v>17805.662499999977</v>
      </c>
      <c r="F19" s="54" t="s">
        <v>195</v>
      </c>
      <c r="G19" s="46"/>
      <c r="H19" s="50"/>
      <c r="I19" s="305" t="s">
        <v>277</v>
      </c>
      <c r="J19" s="305"/>
      <c r="K19" s="46"/>
      <c r="L19" s="5" t="s">
        <v>291</v>
      </c>
    </row>
    <row r="20" spans="1:13" x14ac:dyDescent="0.35">
      <c r="A20" s="46"/>
      <c r="B20" s="46"/>
      <c r="C20" s="46"/>
      <c r="D20" s="305"/>
      <c r="E20" s="373"/>
      <c r="F20" s="54"/>
      <c r="G20" s="46">
        <f>D18+E18+E19</f>
        <v>498776.66249999998</v>
      </c>
      <c r="H20" s="50"/>
      <c r="I20" s="305"/>
      <c r="J20" s="46"/>
      <c r="K20" s="46"/>
    </row>
    <row r="21" spans="1:13" x14ac:dyDescent="0.35">
      <c r="A21" s="46"/>
      <c r="B21" s="46"/>
      <c r="C21" s="46" t="s">
        <v>3</v>
      </c>
      <c r="D21" s="305">
        <v>30000</v>
      </c>
      <c r="E21" s="305"/>
      <c r="F21" s="49"/>
      <c r="G21" s="46">
        <f>D21+E21</f>
        <v>30000</v>
      </c>
      <c r="H21" s="50"/>
      <c r="I21" s="322"/>
    </row>
    <row r="22" spans="1:13" x14ac:dyDescent="0.35">
      <c r="A22" s="46"/>
      <c r="B22" s="46"/>
      <c r="C22" s="46" t="s">
        <v>4</v>
      </c>
      <c r="D22" s="305">
        <v>228777</v>
      </c>
      <c r="E22" s="305">
        <f>Wages!H42</f>
        <v>-5406.6077262500039</v>
      </c>
      <c r="F22" s="413" t="s">
        <v>196</v>
      </c>
      <c r="G22" s="46"/>
      <c r="H22" s="50"/>
      <c r="I22" s="305" t="s">
        <v>295</v>
      </c>
      <c r="J22" s="46"/>
      <c r="K22" s="46"/>
      <c r="L22" s="5" t="s">
        <v>290</v>
      </c>
    </row>
    <row r="23" spans="1:13" x14ac:dyDescent="0.35">
      <c r="A23" s="46"/>
      <c r="B23" s="46"/>
      <c r="C23" s="46"/>
      <c r="D23" s="305"/>
      <c r="E23" s="373">
        <f>Medical!D53</f>
        <v>15698.550000000017</v>
      </c>
      <c r="F23" s="413" t="s">
        <v>197</v>
      </c>
      <c r="G23" s="46"/>
      <c r="H23" s="50"/>
      <c r="I23" s="305" t="s">
        <v>302</v>
      </c>
      <c r="J23" s="46"/>
      <c r="K23" s="46"/>
      <c r="L23" s="322" t="s">
        <v>320</v>
      </c>
    </row>
    <row r="24" spans="1:13" x14ac:dyDescent="0.35">
      <c r="A24" s="46"/>
      <c r="B24" s="46"/>
      <c r="C24" s="46"/>
      <c r="D24" s="305"/>
      <c r="E24" s="414"/>
      <c r="F24" s="54"/>
      <c r="G24" s="214">
        <f>D22+E22+E23</f>
        <v>239068.94227375</v>
      </c>
      <c r="H24" s="50"/>
      <c r="I24" s="414"/>
      <c r="J24" s="46"/>
      <c r="K24" s="46"/>
    </row>
    <row r="25" spans="1:13" x14ac:dyDescent="0.35">
      <c r="A25" s="46"/>
      <c r="B25" s="46"/>
      <c r="C25" s="46" t="s">
        <v>5</v>
      </c>
      <c r="D25" s="305">
        <v>378880</v>
      </c>
      <c r="E25" s="373">
        <f>'Water Loss'!D19</f>
        <v>0</v>
      </c>
      <c r="F25" s="54"/>
      <c r="G25" s="46">
        <f>D25+E25</f>
        <v>378880</v>
      </c>
      <c r="H25" s="55"/>
      <c r="I25" s="322"/>
    </row>
    <row r="26" spans="1:13" x14ac:dyDescent="0.35">
      <c r="A26" s="46"/>
      <c r="B26" s="46"/>
      <c r="C26" s="46" t="s">
        <v>6</v>
      </c>
      <c r="D26" s="305">
        <v>38326</v>
      </c>
      <c r="E26" s="373"/>
      <c r="F26" s="54"/>
      <c r="G26" s="46">
        <f>D26+E26</f>
        <v>38326</v>
      </c>
      <c r="H26" s="56"/>
      <c r="I26" s="322"/>
      <c r="J26" s="46"/>
      <c r="K26" s="46"/>
    </row>
    <row r="27" spans="1:13" x14ac:dyDescent="0.35">
      <c r="A27" s="46"/>
      <c r="B27" s="46"/>
      <c r="C27" s="46" t="s">
        <v>172</v>
      </c>
      <c r="D27" s="305"/>
      <c r="E27" s="305"/>
      <c r="F27" s="54"/>
      <c r="G27" s="46">
        <f>D27+E27</f>
        <v>0</v>
      </c>
      <c r="H27" s="56"/>
      <c r="I27" s="322"/>
      <c r="J27" s="46"/>
      <c r="K27" s="46"/>
    </row>
    <row r="28" spans="1:13" x14ac:dyDescent="0.35">
      <c r="A28" s="46"/>
      <c r="B28" s="46"/>
      <c r="C28" s="46" t="s">
        <v>80</v>
      </c>
      <c r="D28" s="305"/>
      <c r="E28" s="305"/>
      <c r="F28" s="54"/>
      <c r="G28" s="46"/>
      <c r="H28" s="56"/>
      <c r="I28" s="322"/>
      <c r="J28" s="46"/>
      <c r="K28" s="46"/>
    </row>
    <row r="29" spans="1:13" x14ac:dyDescent="0.35">
      <c r="A29" s="46"/>
      <c r="B29" s="46"/>
      <c r="C29" s="46" t="s">
        <v>7</v>
      </c>
      <c r="D29" s="305">
        <v>140767</v>
      </c>
      <c r="E29" s="305"/>
      <c r="F29" s="54"/>
      <c r="G29" s="46">
        <f>D29+E29</f>
        <v>140767</v>
      </c>
      <c r="H29" s="50"/>
      <c r="I29" s="305"/>
      <c r="J29" s="305"/>
      <c r="K29" s="305"/>
      <c r="L29" s="322"/>
      <c r="M29" s="322"/>
    </row>
    <row r="30" spans="1:13" ht="14.5" hidden="1" customHeight="1" x14ac:dyDescent="0.35">
      <c r="A30" s="46"/>
      <c r="B30" s="46"/>
      <c r="C30" s="46"/>
      <c r="D30" s="305"/>
      <c r="E30" s="305">
        <v>0</v>
      </c>
      <c r="F30" s="54" t="s">
        <v>200</v>
      </c>
      <c r="G30" s="46"/>
      <c r="H30" s="50"/>
      <c r="I30" s="333"/>
      <c r="J30" s="46"/>
      <c r="K30" s="46"/>
    </row>
    <row r="31" spans="1:13" x14ac:dyDescent="0.35">
      <c r="A31" s="46"/>
      <c r="B31" s="46"/>
      <c r="C31" s="46" t="s">
        <v>219</v>
      </c>
      <c r="D31" s="305">
        <v>27387</v>
      </c>
      <c r="E31" s="305"/>
      <c r="F31" s="54"/>
      <c r="G31" s="46">
        <f t="shared" ref="G31:G38" si="0">D31+E31</f>
        <v>27387</v>
      </c>
      <c r="H31" s="50"/>
      <c r="I31" s="305"/>
      <c r="J31" s="46"/>
      <c r="K31" s="46"/>
    </row>
    <row r="32" spans="1:13" x14ac:dyDescent="0.35">
      <c r="A32" s="46"/>
      <c r="B32" s="46"/>
      <c r="C32" s="46" t="s">
        <v>209</v>
      </c>
      <c r="D32" s="305">
        <v>7533</v>
      </c>
      <c r="E32" s="305"/>
      <c r="F32" s="54"/>
      <c r="G32" s="46">
        <f t="shared" si="0"/>
        <v>7533</v>
      </c>
      <c r="H32" s="50"/>
      <c r="I32" s="322"/>
      <c r="J32" s="46"/>
      <c r="K32" s="46"/>
    </row>
    <row r="33" spans="1:12" x14ac:dyDescent="0.35">
      <c r="A33" s="46"/>
      <c r="B33" s="46"/>
      <c r="C33" s="46" t="s">
        <v>220</v>
      </c>
      <c r="D33" s="305">
        <v>68481</v>
      </c>
      <c r="E33" s="305"/>
      <c r="F33" s="54"/>
      <c r="G33" s="46">
        <f t="shared" si="0"/>
        <v>68481</v>
      </c>
      <c r="H33" s="50"/>
      <c r="I33" s="305"/>
      <c r="J33" s="46"/>
      <c r="K33" s="46"/>
    </row>
    <row r="34" spans="1:12" x14ac:dyDescent="0.35">
      <c r="A34" s="46"/>
      <c r="B34" s="46"/>
      <c r="C34" s="5" t="s">
        <v>221</v>
      </c>
      <c r="D34" s="305">
        <v>6886</v>
      </c>
      <c r="E34" s="305"/>
      <c r="F34" s="54"/>
      <c r="G34" s="46">
        <f t="shared" si="0"/>
        <v>6886</v>
      </c>
      <c r="H34" s="52"/>
      <c r="I34" s="305"/>
      <c r="J34" s="46"/>
      <c r="K34" s="46"/>
    </row>
    <row r="35" spans="1:12" x14ac:dyDescent="0.35">
      <c r="A35" s="46"/>
      <c r="B35" s="46"/>
      <c r="C35" s="46" t="s">
        <v>9</v>
      </c>
      <c r="D35" s="305">
        <v>31774</v>
      </c>
      <c r="E35" s="305"/>
      <c r="F35" s="54"/>
      <c r="G35" s="46">
        <f t="shared" si="0"/>
        <v>31774</v>
      </c>
      <c r="H35" s="52"/>
      <c r="I35" s="305"/>
      <c r="J35" s="46"/>
      <c r="K35" s="46"/>
    </row>
    <row r="36" spans="1:12" x14ac:dyDescent="0.35">
      <c r="A36" s="46"/>
      <c r="B36" s="46"/>
      <c r="C36" s="46" t="s">
        <v>32</v>
      </c>
      <c r="D36" s="305">
        <v>52488</v>
      </c>
      <c r="E36" s="305"/>
      <c r="F36" s="54"/>
      <c r="G36" s="46">
        <f t="shared" si="0"/>
        <v>52488</v>
      </c>
      <c r="H36" s="52"/>
      <c r="I36" s="305"/>
      <c r="J36" s="46"/>
      <c r="K36" s="46"/>
    </row>
    <row r="37" spans="1:12" x14ac:dyDescent="0.35">
      <c r="A37" s="46"/>
      <c r="B37" s="46"/>
      <c r="C37" s="46" t="s">
        <v>54</v>
      </c>
      <c r="D37" s="305"/>
      <c r="E37" s="305"/>
      <c r="F37" s="54"/>
      <c r="G37" s="46">
        <f t="shared" si="0"/>
        <v>0</v>
      </c>
      <c r="H37" s="52"/>
      <c r="I37" s="305"/>
      <c r="J37" s="46"/>
      <c r="K37" s="46"/>
    </row>
    <row r="38" spans="1:12" x14ac:dyDescent="0.35">
      <c r="A38" s="46"/>
      <c r="B38" s="46"/>
      <c r="C38" s="46" t="s">
        <v>55</v>
      </c>
      <c r="D38" s="305">
        <v>1813</v>
      </c>
      <c r="E38" s="305"/>
      <c r="F38" s="49"/>
      <c r="G38" s="46">
        <f t="shared" si="0"/>
        <v>1813</v>
      </c>
      <c r="H38" s="52"/>
      <c r="I38" s="305"/>
      <c r="J38" s="46"/>
      <c r="K38" s="46"/>
    </row>
    <row r="39" spans="1:12" x14ac:dyDescent="0.35">
      <c r="A39" s="46"/>
      <c r="B39" s="46"/>
      <c r="C39" s="46" t="s">
        <v>8</v>
      </c>
      <c r="D39" s="305">
        <v>38435</v>
      </c>
      <c r="E39" s="373">
        <v>-38100</v>
      </c>
      <c r="F39" s="49" t="s">
        <v>198</v>
      </c>
      <c r="G39" s="46">
        <f>D39+E39</f>
        <v>335</v>
      </c>
      <c r="H39" s="52"/>
      <c r="I39" s="322" t="s">
        <v>273</v>
      </c>
      <c r="J39" s="46"/>
      <c r="K39" s="46"/>
    </row>
    <row r="40" spans="1:12" ht="16" x14ac:dyDescent="0.35">
      <c r="A40" s="46"/>
      <c r="B40" s="46"/>
      <c r="C40" s="358" t="s">
        <v>248</v>
      </c>
      <c r="D40" s="338">
        <v>0</v>
      </c>
      <c r="E40" s="339">
        <f>10000/3</f>
        <v>3333.3333333333335</v>
      </c>
      <c r="F40" s="54" t="s">
        <v>199</v>
      </c>
      <c r="G40" s="215">
        <f>D40+E40</f>
        <v>3333.3333333333335</v>
      </c>
      <c r="H40" s="52"/>
      <c r="I40" s="359" t="s">
        <v>249</v>
      </c>
      <c r="J40" s="46"/>
      <c r="K40" s="46"/>
    </row>
    <row r="41" spans="1:12" x14ac:dyDescent="0.35">
      <c r="A41" s="46"/>
      <c r="B41" s="46" t="s">
        <v>33</v>
      </c>
      <c r="C41" s="46"/>
      <c r="D41" s="305">
        <f>SUM(D18:D40)</f>
        <v>1532518</v>
      </c>
      <c r="E41" s="305">
        <f>SUM(E18:E40)</f>
        <v>-6669.0618929166758</v>
      </c>
      <c r="F41" s="49"/>
      <c r="G41" s="46">
        <f>SUM(G18:G40)</f>
        <v>1525848.9381070833</v>
      </c>
      <c r="H41" s="52"/>
      <c r="I41" s="305"/>
      <c r="J41" s="46"/>
      <c r="K41" s="46"/>
    </row>
    <row r="42" spans="1:12" ht="4" customHeight="1" x14ac:dyDescent="0.35">
      <c r="A42" s="46"/>
      <c r="B42" s="46"/>
      <c r="C42" s="46"/>
      <c r="D42" s="305"/>
      <c r="E42" s="305"/>
      <c r="F42" s="49"/>
      <c r="G42" s="46"/>
      <c r="H42" s="52"/>
      <c r="I42" s="305"/>
      <c r="J42" s="46"/>
      <c r="K42" s="46"/>
    </row>
    <row r="43" spans="1:12" x14ac:dyDescent="0.35">
      <c r="A43" s="46"/>
      <c r="B43" s="305" t="s">
        <v>18</v>
      </c>
      <c r="C43" s="46"/>
      <c r="D43" s="305">
        <v>389600</v>
      </c>
      <c r="E43" s="305">
        <f>Depreciation!K44</f>
        <v>-26315.965585714264</v>
      </c>
      <c r="F43" s="370" t="s">
        <v>200</v>
      </c>
      <c r="G43" s="305">
        <f>D43+E43</f>
        <v>363284.03441428574</v>
      </c>
      <c r="H43" s="337"/>
      <c r="I43" s="305" t="s">
        <v>257</v>
      </c>
      <c r="J43" s="46"/>
      <c r="L43" s="5" t="s">
        <v>217</v>
      </c>
    </row>
    <row r="44" spans="1:12" ht="16" x14ac:dyDescent="0.35">
      <c r="A44" s="46"/>
      <c r="B44" s="46" t="s">
        <v>1</v>
      </c>
      <c r="C44" s="46"/>
      <c r="D44" s="338">
        <v>39770</v>
      </c>
      <c r="E44" s="338">
        <f>Wages!H36</f>
        <v>681.41468124999665</v>
      </c>
      <c r="F44" s="422" t="s">
        <v>201</v>
      </c>
      <c r="G44" s="215">
        <f>D44+E44</f>
        <v>40451.414681249997</v>
      </c>
      <c r="H44" s="52"/>
      <c r="I44" s="305" t="s">
        <v>274</v>
      </c>
      <c r="J44" s="46"/>
      <c r="L44" s="5" t="s">
        <v>208</v>
      </c>
    </row>
    <row r="45" spans="1:12" ht="16" x14ac:dyDescent="0.35">
      <c r="A45" s="53" t="s">
        <v>0</v>
      </c>
      <c r="B45" s="46"/>
      <c r="C45" s="46"/>
      <c r="D45" s="215">
        <f>SUM(D41:D44)</f>
        <v>1961888</v>
      </c>
      <c r="E45" s="338">
        <f>SUM(E41:E44)</f>
        <v>-32303.612797380942</v>
      </c>
      <c r="F45" s="216"/>
      <c r="G45" s="215">
        <f>SUM(G41:G44)</f>
        <v>1929584.3872026191</v>
      </c>
      <c r="H45" s="52"/>
      <c r="I45" s="46"/>
      <c r="J45" s="46"/>
      <c r="K45" s="46"/>
    </row>
    <row r="46" spans="1:12" ht="4.1500000000000004" customHeight="1" x14ac:dyDescent="0.35">
      <c r="A46" s="53"/>
      <c r="B46" s="46"/>
      <c r="C46" s="46"/>
      <c r="D46" s="46"/>
      <c r="E46" s="305"/>
      <c r="F46" s="49"/>
      <c r="G46" s="46"/>
      <c r="H46" s="46"/>
      <c r="I46" s="46"/>
      <c r="J46" s="46"/>
      <c r="K46" s="46"/>
    </row>
    <row r="47" spans="1:12" x14ac:dyDescent="0.35">
      <c r="A47" s="53" t="s">
        <v>34</v>
      </c>
      <c r="B47" s="46"/>
      <c r="C47" s="46"/>
      <c r="D47" s="46">
        <f>D14-D45</f>
        <v>-161931</v>
      </c>
      <c r="E47" s="305"/>
      <c r="F47" s="49"/>
      <c r="G47" s="46">
        <f>G14-G45</f>
        <v>-131910.53720261902</v>
      </c>
      <c r="H47" s="46"/>
      <c r="I47" s="46"/>
      <c r="K47" s="46"/>
    </row>
    <row r="48" spans="1:12" x14ac:dyDescent="0.35">
      <c r="A48" s="46"/>
      <c r="B48" s="46"/>
      <c r="C48" s="46"/>
      <c r="D48" s="46"/>
      <c r="E48" s="46"/>
      <c r="F48" s="49"/>
      <c r="G48" s="46"/>
      <c r="H48" s="46"/>
      <c r="I48" s="46"/>
      <c r="J48" s="46"/>
      <c r="K48" s="46"/>
    </row>
    <row r="49" spans="1:12" hidden="1" x14ac:dyDescent="0.35"/>
    <row r="50" spans="1:12" hidden="1" x14ac:dyDescent="0.35"/>
    <row r="51" spans="1:12" ht="18.5" x14ac:dyDescent="0.35">
      <c r="A51" s="458" t="s">
        <v>204</v>
      </c>
      <c r="B51" s="458"/>
      <c r="C51" s="458"/>
      <c r="D51" s="458"/>
      <c r="E51" s="458"/>
      <c r="F51" s="458"/>
      <c r="G51" s="458"/>
    </row>
    <row r="52" spans="1:12" x14ac:dyDescent="0.35">
      <c r="A52" s="427" t="s">
        <v>35</v>
      </c>
      <c r="B52" s="305"/>
      <c r="C52" s="305"/>
      <c r="D52" s="428"/>
      <c r="E52" s="305"/>
      <c r="F52" s="413"/>
      <c r="G52" s="429">
        <f>G45</f>
        <v>1929584.3872026191</v>
      </c>
    </row>
    <row r="53" spans="1:12" x14ac:dyDescent="0.35">
      <c r="A53" s="319" t="s">
        <v>205</v>
      </c>
      <c r="B53" s="319"/>
      <c r="C53" s="319"/>
      <c r="D53" s="428"/>
      <c r="E53" s="305"/>
      <c r="F53" s="413" t="s">
        <v>202</v>
      </c>
      <c r="G53" s="432">
        <v>0.88</v>
      </c>
    </row>
    <row r="54" spans="1:12" x14ac:dyDescent="0.35">
      <c r="A54" s="319" t="s">
        <v>330</v>
      </c>
      <c r="B54" s="122"/>
      <c r="C54" s="122"/>
      <c r="D54" s="428"/>
      <c r="E54" s="305"/>
      <c r="F54" s="413"/>
      <c r="G54" s="5">
        <f>G52/G53</f>
        <v>2192709.5309120673</v>
      </c>
    </row>
    <row r="55" spans="1:12" ht="16" x14ac:dyDescent="0.5">
      <c r="A55" s="319" t="s">
        <v>19</v>
      </c>
      <c r="B55" s="319"/>
      <c r="C55" s="319" t="s">
        <v>326</v>
      </c>
      <c r="D55" s="428"/>
      <c r="E55" s="305"/>
      <c r="F55" s="413" t="s">
        <v>203</v>
      </c>
      <c r="G55" s="220">
        <f>'Debt Service'!M34</f>
        <v>27147.364000000001</v>
      </c>
      <c r="I55" s="5" t="s">
        <v>324</v>
      </c>
      <c r="J55" s="46"/>
      <c r="K55" s="46"/>
      <c r="L55" s="5" t="s">
        <v>329</v>
      </c>
    </row>
    <row r="56" spans="1:12" x14ac:dyDescent="0.35">
      <c r="A56" s="427" t="s">
        <v>58</v>
      </c>
      <c r="B56" s="305"/>
      <c r="C56" s="305"/>
      <c r="D56" s="428"/>
      <c r="E56" s="305"/>
      <c r="F56" s="413"/>
      <c r="G56" s="322">
        <f>G54+G55</f>
        <v>2219856.8949120673</v>
      </c>
    </row>
    <row r="57" spans="1:12" x14ac:dyDescent="0.35">
      <c r="A57" s="305" t="s">
        <v>20</v>
      </c>
      <c r="B57" s="305"/>
      <c r="C57" s="305" t="s">
        <v>169</v>
      </c>
      <c r="D57" s="428"/>
      <c r="E57" s="305"/>
      <c r="F57" s="413"/>
      <c r="G57" s="322">
        <f>'Revenue Requirements'!G7</f>
        <v>43011.85</v>
      </c>
    </row>
    <row r="58" spans="1:12" ht="16" x14ac:dyDescent="0.5">
      <c r="A58" s="305"/>
      <c r="B58" s="305"/>
      <c r="C58" s="305" t="s">
        <v>173</v>
      </c>
      <c r="D58" s="428"/>
      <c r="E58" s="305"/>
      <c r="F58" s="413"/>
      <c r="G58" s="430">
        <v>77780</v>
      </c>
      <c r="J58" s="322" t="s">
        <v>232</v>
      </c>
    </row>
    <row r="59" spans="1:12" x14ac:dyDescent="0.35">
      <c r="A59" s="427" t="s">
        <v>56</v>
      </c>
      <c r="B59" s="305"/>
      <c r="C59" s="305"/>
      <c r="D59" s="428"/>
      <c r="E59" s="305"/>
      <c r="F59" s="413"/>
      <c r="G59" s="322">
        <f>G56-G57-G58</f>
        <v>2099065.0449120672</v>
      </c>
    </row>
    <row r="60" spans="1:12" x14ac:dyDescent="0.35">
      <c r="A60" s="305" t="s">
        <v>20</v>
      </c>
      <c r="B60" s="305"/>
      <c r="C60" s="305" t="s">
        <v>57</v>
      </c>
      <c r="D60" s="428"/>
      <c r="E60" s="305"/>
      <c r="F60" s="413"/>
      <c r="G60" s="433">
        <f>G8+G9</f>
        <v>1754662</v>
      </c>
    </row>
    <row r="61" spans="1:12" ht="16" hidden="1" x14ac:dyDescent="0.5">
      <c r="A61" s="305"/>
      <c r="B61" s="305"/>
      <c r="C61" s="305" t="s">
        <v>14</v>
      </c>
      <c r="D61" s="428"/>
      <c r="E61" s="305"/>
      <c r="F61" s="413"/>
      <c r="G61" s="430">
        <f>'Revenue Requirements'!G11</f>
        <v>0</v>
      </c>
    </row>
    <row r="62" spans="1:12" x14ac:dyDescent="0.35">
      <c r="A62" s="427" t="s">
        <v>59</v>
      </c>
      <c r="B62" s="305"/>
      <c r="C62" s="305"/>
      <c r="D62" s="428"/>
      <c r="E62" s="305"/>
      <c r="F62" s="413"/>
      <c r="G62" s="322">
        <f>G59-G60</f>
        <v>344403.04491206724</v>
      </c>
    </row>
    <row r="63" spans="1:12" x14ac:dyDescent="0.35">
      <c r="A63" s="427" t="s">
        <v>60</v>
      </c>
      <c r="B63" s="305"/>
      <c r="C63" s="305"/>
      <c r="D63" s="428"/>
      <c r="E63" s="305"/>
      <c r="F63" s="413"/>
      <c r="G63" s="431">
        <f>G62/G60</f>
        <v>0.1962788530851339</v>
      </c>
    </row>
  </sheetData>
  <mergeCells count="3">
    <mergeCell ref="A2:G2"/>
    <mergeCell ref="A1:G1"/>
    <mergeCell ref="A51:G51"/>
  </mergeCells>
  <printOptions horizontalCentered="1"/>
  <pageMargins left="0.45" right="0.25" top="0.5" bottom="0.5" header="0.3" footer="0.3"/>
  <pageSetup orientation="portrait" horizontalDpi="4294967293" r:id="rId1"/>
  <rowBreaks count="2" manualBreakCount="2">
    <brk id="47" max="16383" man="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6ECB-1166-4A19-BAC2-1CAB016DEA29}">
  <sheetPr>
    <tabColor rgb="FF92D050"/>
    <pageSetUpPr fitToPage="1"/>
  </sheetPr>
  <dimension ref="A1:M29"/>
  <sheetViews>
    <sheetView topLeftCell="A3" workbookViewId="0">
      <selection activeCell="I15" sqref="I15"/>
    </sheetView>
  </sheetViews>
  <sheetFormatPr defaultRowHeight="15.5" x14ac:dyDescent="0.35"/>
  <cols>
    <col min="7" max="7" width="11.69140625" bestFit="1" customWidth="1"/>
    <col min="9" max="9" width="14.84375" customWidth="1"/>
  </cols>
  <sheetData>
    <row r="1" spans="1:13" ht="18.5" x14ac:dyDescent="0.35">
      <c r="A1" s="458" t="s">
        <v>204</v>
      </c>
      <c r="B1" s="458"/>
      <c r="C1" s="458"/>
      <c r="D1" s="458"/>
      <c r="E1" s="458"/>
      <c r="F1" s="458"/>
      <c r="G1" s="458"/>
    </row>
    <row r="2" spans="1:13" ht="16" x14ac:dyDescent="0.35">
      <c r="A2" s="318" t="s">
        <v>35</v>
      </c>
      <c r="B2" s="319"/>
      <c r="C2" s="319"/>
      <c r="D2" s="59"/>
      <c r="E2" s="46"/>
      <c r="F2" s="54"/>
      <c r="G2" s="5">
        <f>SAO!G45</f>
        <v>1929584.3872026191</v>
      </c>
      <c r="H2" s="46"/>
      <c r="I2" s="57"/>
      <c r="J2" s="58"/>
      <c r="K2" s="46"/>
      <c r="L2" s="5"/>
      <c r="M2" s="5"/>
    </row>
    <row r="3" spans="1:13" x14ac:dyDescent="0.35">
      <c r="A3" s="319" t="s">
        <v>205</v>
      </c>
      <c r="B3" s="319"/>
      <c r="C3" s="319"/>
      <c r="D3" s="59"/>
      <c r="E3" s="46"/>
      <c r="F3" s="54"/>
      <c r="G3" s="205">
        <v>0.88</v>
      </c>
      <c r="H3" s="46"/>
      <c r="I3" s="5"/>
      <c r="J3" s="46"/>
      <c r="K3" s="46"/>
      <c r="L3" s="5"/>
      <c r="M3" s="5"/>
    </row>
    <row r="4" spans="1:13" x14ac:dyDescent="0.35">
      <c r="A4" s="319" t="s">
        <v>206</v>
      </c>
      <c r="B4" s="122"/>
      <c r="C4" s="122"/>
      <c r="D4" s="59"/>
      <c r="E4" s="46"/>
      <c r="F4" s="54"/>
      <c r="G4" s="5">
        <f>G2/G3</f>
        <v>2192709.5309120673</v>
      </c>
      <c r="H4" s="46"/>
      <c r="I4" s="5"/>
      <c r="J4" s="46"/>
      <c r="K4" s="46"/>
      <c r="L4" s="5"/>
      <c r="M4" s="5"/>
    </row>
    <row r="5" spans="1:13" ht="17" x14ac:dyDescent="0.5">
      <c r="A5" s="319" t="s">
        <v>19</v>
      </c>
      <c r="B5" s="319"/>
      <c r="C5" s="319" t="s">
        <v>326</v>
      </c>
      <c r="D5" s="59"/>
      <c r="E5" s="46"/>
      <c r="F5" s="54"/>
      <c r="G5" s="220">
        <f>'Debt Service'!M34</f>
        <v>27147.364000000001</v>
      </c>
      <c r="H5" s="46"/>
      <c r="I5" s="5" t="s">
        <v>324</v>
      </c>
      <c r="J5" s="46"/>
      <c r="K5" s="46"/>
      <c r="L5" s="5" t="s">
        <v>329</v>
      </c>
      <c r="M5" s="5"/>
    </row>
    <row r="6" spans="1:13" x14ac:dyDescent="0.35">
      <c r="A6" s="318" t="s">
        <v>58</v>
      </c>
      <c r="B6" s="319"/>
      <c r="C6" s="319"/>
      <c r="D6" s="59"/>
      <c r="E6" s="46"/>
      <c r="F6" s="54"/>
      <c r="G6" s="5">
        <f>G4+G5</f>
        <v>2219856.8949120673</v>
      </c>
      <c r="H6" s="46"/>
      <c r="I6" s="5"/>
      <c r="J6" s="46"/>
      <c r="K6" s="46"/>
      <c r="L6" s="5"/>
      <c r="M6" s="5"/>
    </row>
    <row r="7" spans="1:13" x14ac:dyDescent="0.35">
      <c r="A7" s="319" t="s">
        <v>20</v>
      </c>
      <c r="B7" s="319"/>
      <c r="C7" s="46" t="s">
        <v>169</v>
      </c>
      <c r="D7" s="59"/>
      <c r="E7" s="46"/>
      <c r="F7" s="54"/>
      <c r="G7" s="5">
        <f>SAO!G12</f>
        <v>43011.85</v>
      </c>
      <c r="H7" s="46"/>
      <c r="I7" s="5"/>
      <c r="J7" s="46"/>
      <c r="K7" s="46"/>
      <c r="L7" s="5"/>
      <c r="M7" s="5"/>
    </row>
    <row r="8" spans="1:13" ht="17" x14ac:dyDescent="0.5">
      <c r="A8" s="319"/>
      <c r="B8" s="319"/>
      <c r="C8" s="327" t="s">
        <v>173</v>
      </c>
      <c r="D8" s="59"/>
      <c r="E8" s="46"/>
      <c r="F8" s="54"/>
      <c r="G8" s="324">
        <v>77780</v>
      </c>
      <c r="H8" s="46"/>
      <c r="I8" s="5" t="s">
        <v>232</v>
      </c>
      <c r="J8" s="46"/>
      <c r="K8" s="46"/>
      <c r="L8" s="5"/>
      <c r="M8" s="5"/>
    </row>
    <row r="9" spans="1:13" x14ac:dyDescent="0.35">
      <c r="A9" s="318" t="s">
        <v>56</v>
      </c>
      <c r="B9" s="319"/>
      <c r="C9" s="319"/>
      <c r="D9" s="59"/>
      <c r="E9" s="46"/>
      <c r="F9" s="54"/>
      <c r="G9" s="5">
        <f>G6-G7-G8</f>
        <v>2099065.0449120672</v>
      </c>
      <c r="H9" s="46"/>
      <c r="I9" s="5"/>
      <c r="J9" s="46"/>
      <c r="K9" s="46"/>
      <c r="L9" s="5"/>
      <c r="M9" s="5"/>
    </row>
    <row r="10" spans="1:13" x14ac:dyDescent="0.35">
      <c r="A10" s="319" t="s">
        <v>20</v>
      </c>
      <c r="B10" s="319"/>
      <c r="C10" s="325" t="s">
        <v>57</v>
      </c>
      <c r="D10" s="59"/>
      <c r="E10" s="46"/>
      <c r="F10" s="54"/>
      <c r="G10" s="4">
        <f>SAO!G8+SAO!G9</f>
        <v>1754662</v>
      </c>
      <c r="H10" s="46"/>
      <c r="I10" s="27"/>
      <c r="J10" s="46"/>
      <c r="K10" s="46"/>
      <c r="L10" s="5"/>
      <c r="M10" s="5"/>
    </row>
    <row r="11" spans="1:13" ht="17" x14ac:dyDescent="0.5">
      <c r="A11" s="319"/>
      <c r="B11" s="319"/>
      <c r="C11" s="326" t="s">
        <v>14</v>
      </c>
      <c r="D11" s="59"/>
      <c r="E11" s="46"/>
      <c r="F11" s="54"/>
      <c r="G11" s="38"/>
      <c r="H11" s="46"/>
      <c r="I11" s="27"/>
      <c r="J11" s="46"/>
      <c r="K11" s="46"/>
      <c r="L11" s="5"/>
      <c r="M11" s="5"/>
    </row>
    <row r="12" spans="1:13" x14ac:dyDescent="0.35">
      <c r="A12" s="53" t="s">
        <v>59</v>
      </c>
      <c r="B12" s="46"/>
      <c r="C12" s="46"/>
      <c r="D12" s="59"/>
      <c r="E12" s="46"/>
      <c r="F12" s="54"/>
      <c r="G12" s="46">
        <f>G9-G10-G11</f>
        <v>344403.04491206724</v>
      </c>
      <c r="H12" s="46"/>
      <c r="I12" s="46"/>
      <c r="J12" s="46"/>
      <c r="K12" s="46"/>
      <c r="L12" s="5"/>
      <c r="M12" s="5"/>
    </row>
    <row r="13" spans="1:13" x14ac:dyDescent="0.35">
      <c r="A13" s="53" t="s">
        <v>60</v>
      </c>
      <c r="B13" s="46"/>
      <c r="C13" s="46"/>
      <c r="D13" s="59"/>
      <c r="E13" s="46"/>
      <c r="F13" s="54"/>
      <c r="G13" s="60">
        <f>ROUND(G12/G10,4)</f>
        <v>0.1963</v>
      </c>
      <c r="H13" s="46"/>
      <c r="I13" s="46"/>
      <c r="J13" s="5"/>
      <c r="K13" s="46"/>
      <c r="L13" s="5"/>
      <c r="M13" s="5"/>
    </row>
    <row r="14" spans="1:13" x14ac:dyDescent="0.35">
      <c r="A14" s="53"/>
      <c r="B14" s="46"/>
      <c r="C14" s="46"/>
      <c r="D14" s="59"/>
      <c r="E14" s="46"/>
      <c r="F14" s="54"/>
      <c r="G14" s="60"/>
      <c r="H14" s="46"/>
      <c r="I14" s="46"/>
      <c r="J14" s="5"/>
      <c r="K14" s="46"/>
      <c r="L14" s="5"/>
      <c r="M14" s="5"/>
    </row>
    <row r="15" spans="1:13" x14ac:dyDescent="0.35">
      <c r="A15" s="53"/>
      <c r="B15" s="46"/>
      <c r="C15" s="46"/>
      <c r="D15" s="59"/>
      <c r="E15" s="46"/>
      <c r="F15" s="54"/>
      <c r="G15" s="60"/>
      <c r="H15" s="46"/>
      <c r="I15" s="46"/>
      <c r="J15" s="5"/>
      <c r="K15" s="46"/>
      <c r="L15" s="5"/>
      <c r="M15" s="5"/>
    </row>
    <row r="16" spans="1:13" x14ac:dyDescent="0.35">
      <c r="A16" s="5"/>
      <c r="B16" s="5"/>
      <c r="C16" s="5"/>
      <c r="D16" s="5"/>
      <c r="E16" s="5"/>
      <c r="F16" s="5"/>
      <c r="G16" s="5"/>
      <c r="H16" s="5"/>
      <c r="I16" s="5"/>
      <c r="J16" s="5"/>
      <c r="K16" s="5"/>
      <c r="L16" s="5"/>
      <c r="M16" s="5"/>
    </row>
    <row r="17" spans="1:13" ht="18.5" x14ac:dyDescent="0.35">
      <c r="A17" s="458"/>
      <c r="B17" s="458"/>
      <c r="C17" s="458"/>
      <c r="D17" s="458"/>
      <c r="E17" s="458"/>
      <c r="F17" s="458"/>
      <c r="G17" s="458"/>
      <c r="H17" s="5"/>
      <c r="I17" s="5"/>
      <c r="J17" s="5"/>
      <c r="K17" s="5"/>
      <c r="L17" s="5"/>
      <c r="M17" s="5"/>
    </row>
    <row r="18" spans="1:13" x14ac:dyDescent="0.35">
      <c r="A18" s="318"/>
      <c r="B18" s="319"/>
      <c r="C18" s="319"/>
      <c r="D18" s="59"/>
      <c r="E18" s="46"/>
      <c r="F18" s="54"/>
      <c r="G18" s="5"/>
      <c r="H18" s="5"/>
      <c r="I18" s="5"/>
      <c r="J18" s="5"/>
      <c r="K18" s="5"/>
      <c r="L18" s="5"/>
      <c r="M18" s="5"/>
    </row>
    <row r="19" spans="1:13" x14ac:dyDescent="0.35">
      <c r="A19" s="319"/>
      <c r="B19" s="319"/>
      <c r="C19" s="319"/>
      <c r="D19" s="59"/>
      <c r="E19" s="46"/>
      <c r="F19" s="54"/>
      <c r="G19" s="205"/>
      <c r="H19" s="5"/>
      <c r="I19" s="5"/>
      <c r="J19" s="5"/>
      <c r="K19" s="5"/>
      <c r="L19" s="5"/>
      <c r="M19" s="5"/>
    </row>
    <row r="20" spans="1:13" x14ac:dyDescent="0.35">
      <c r="A20" s="319"/>
      <c r="B20" s="122"/>
      <c r="C20" s="122"/>
      <c r="D20" s="59"/>
      <c r="E20" s="46"/>
      <c r="F20" s="54"/>
      <c r="G20" s="5"/>
      <c r="H20" s="5"/>
      <c r="I20" s="5"/>
      <c r="J20" s="5"/>
      <c r="K20" s="5"/>
      <c r="L20" s="5"/>
      <c r="M20" s="5"/>
    </row>
    <row r="21" spans="1:13" ht="17" x14ac:dyDescent="0.5">
      <c r="A21" s="319"/>
      <c r="B21" s="319"/>
      <c r="C21" s="319"/>
      <c r="D21" s="59"/>
      <c r="E21" s="46"/>
      <c r="F21" s="54"/>
      <c r="G21" s="220"/>
      <c r="H21" s="5"/>
      <c r="I21" s="5"/>
      <c r="J21" s="46"/>
      <c r="K21" s="46"/>
      <c r="L21" s="5"/>
      <c r="M21" s="5"/>
    </row>
    <row r="22" spans="1:13" x14ac:dyDescent="0.35">
      <c r="A22" s="318"/>
      <c r="B22" s="319"/>
      <c r="C22" s="319"/>
      <c r="D22" s="59"/>
      <c r="E22" s="46"/>
      <c r="F22" s="54"/>
      <c r="G22" s="5"/>
      <c r="H22" s="5"/>
      <c r="I22" s="5"/>
      <c r="J22" s="5"/>
      <c r="K22" s="5"/>
      <c r="L22" s="5"/>
      <c r="M22" s="5"/>
    </row>
    <row r="23" spans="1:13" x14ac:dyDescent="0.35">
      <c r="A23" s="319"/>
      <c r="B23" s="319"/>
      <c r="C23" s="46"/>
      <c r="D23" s="59"/>
      <c r="E23" s="46"/>
      <c r="F23" s="54"/>
      <c r="G23" s="5"/>
      <c r="H23" s="5"/>
      <c r="I23" s="5"/>
      <c r="J23" s="5"/>
      <c r="K23" s="5"/>
      <c r="L23" s="5"/>
      <c r="M23" s="5"/>
    </row>
    <row r="24" spans="1:13" ht="17" x14ac:dyDescent="0.5">
      <c r="A24" s="319"/>
      <c r="B24" s="319"/>
      <c r="C24" s="327"/>
      <c r="D24" s="59"/>
      <c r="E24" s="46"/>
      <c r="F24" s="54"/>
      <c r="G24" s="324"/>
      <c r="H24" s="46"/>
      <c r="I24" s="5"/>
      <c r="J24" s="5"/>
      <c r="K24" s="5"/>
      <c r="L24" s="5"/>
      <c r="M24" s="5"/>
    </row>
    <row r="25" spans="1:13" x14ac:dyDescent="0.35">
      <c r="A25" s="318"/>
      <c r="B25" s="319"/>
      <c r="C25" s="319"/>
      <c r="D25" s="59"/>
      <c r="E25" s="46"/>
      <c r="F25" s="54"/>
      <c r="G25" s="5"/>
      <c r="H25" s="5"/>
      <c r="I25" s="5"/>
      <c r="J25" s="5"/>
      <c r="K25" s="5"/>
      <c r="L25" s="5"/>
      <c r="M25" s="5"/>
    </row>
    <row r="26" spans="1:13" x14ac:dyDescent="0.35">
      <c r="A26" s="319"/>
      <c r="B26" s="319"/>
      <c r="C26" s="325"/>
      <c r="D26" s="59"/>
      <c r="E26" s="46"/>
      <c r="F26" s="54"/>
      <c r="G26" s="4"/>
      <c r="H26" s="5"/>
      <c r="I26" s="5"/>
      <c r="J26" s="5"/>
      <c r="K26" s="5"/>
      <c r="L26" s="5"/>
      <c r="M26" s="5"/>
    </row>
    <row r="27" spans="1:13" ht="17" x14ac:dyDescent="0.5">
      <c r="A27" s="319"/>
      <c r="B27" s="319"/>
      <c r="C27" s="326"/>
      <c r="D27" s="59"/>
      <c r="E27" s="46"/>
      <c r="F27" s="54"/>
      <c r="G27" s="38"/>
      <c r="H27" s="5"/>
      <c r="I27" s="5"/>
      <c r="J27" s="5"/>
      <c r="K27" s="5"/>
      <c r="L27" s="5"/>
      <c r="M27" s="5"/>
    </row>
    <row r="28" spans="1:13" x14ac:dyDescent="0.35">
      <c r="A28" s="318"/>
      <c r="B28" s="319"/>
      <c r="C28" s="319"/>
      <c r="D28" s="59"/>
      <c r="E28" s="46"/>
      <c r="F28" s="54"/>
      <c r="G28" s="4"/>
      <c r="H28" s="5"/>
      <c r="I28" s="5"/>
      <c r="J28" s="5"/>
      <c r="K28" s="5"/>
      <c r="L28" s="5"/>
      <c r="M28" s="5"/>
    </row>
    <row r="29" spans="1:13" x14ac:dyDescent="0.35">
      <c r="A29" s="318"/>
      <c r="B29" s="319"/>
      <c r="C29" s="319"/>
      <c r="D29" s="5"/>
      <c r="E29" s="5"/>
      <c r="F29" s="5"/>
      <c r="G29" s="60"/>
      <c r="H29" s="5"/>
      <c r="I29" s="205"/>
      <c r="J29" s="5"/>
      <c r="K29" s="5"/>
      <c r="L29" s="5"/>
      <c r="M29" s="5"/>
    </row>
  </sheetData>
  <mergeCells count="2">
    <mergeCell ref="A17:G17"/>
    <mergeCell ref="A1:G1"/>
  </mergeCells>
  <printOptions horizontalCentered="1" verticalCentered="1"/>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23B5-3C4F-4A66-BDCE-8C5FC4A546FE}">
  <sheetPr>
    <tabColor rgb="FF92D050"/>
  </sheetPr>
  <dimension ref="A1:I27"/>
  <sheetViews>
    <sheetView workbookViewId="0">
      <selection activeCell="I7" sqref="I7"/>
    </sheetView>
  </sheetViews>
  <sheetFormatPr defaultColWidth="8.84375" defaultRowHeight="14.5" x14ac:dyDescent="0.35"/>
  <cols>
    <col min="1" max="1" width="18.69140625" style="1" customWidth="1"/>
    <col min="2" max="2" width="10.15234375" style="5" bestFit="1" customWidth="1"/>
    <col min="3" max="3" width="10.15234375" style="1" bestFit="1" customWidth="1"/>
    <col min="4" max="4" width="9.07421875" style="1" bestFit="1" customWidth="1"/>
    <col min="5" max="5" width="8.84375" style="1"/>
    <col min="6" max="6" width="9.3828125" style="1" bestFit="1" customWidth="1"/>
    <col min="7" max="16384" width="8.84375" style="1"/>
  </cols>
  <sheetData>
    <row r="1" spans="1:7" ht="17" x14ac:dyDescent="0.5">
      <c r="A1" s="1" t="s">
        <v>153</v>
      </c>
      <c r="B1" s="459" t="s">
        <v>231</v>
      </c>
      <c r="C1" s="460"/>
    </row>
    <row r="2" spans="1:7" x14ac:dyDescent="0.35">
      <c r="A2" s="1" t="s">
        <v>154</v>
      </c>
      <c r="C2" s="5">
        <v>144763</v>
      </c>
      <c r="F2" s="352"/>
    </row>
    <row r="3" spans="1:7" x14ac:dyDescent="0.35">
      <c r="A3" s="1" t="s">
        <v>155</v>
      </c>
      <c r="B3" s="5">
        <f>124861+1541+277+729</f>
        <v>127408</v>
      </c>
      <c r="C3" s="5"/>
    </row>
    <row r="4" spans="1:7" x14ac:dyDescent="0.35">
      <c r="A4" s="1" t="s">
        <v>156</v>
      </c>
    </row>
    <row r="5" spans="1:7" x14ac:dyDescent="0.35">
      <c r="A5" s="1" t="s">
        <v>157</v>
      </c>
    </row>
    <row r="6" spans="1:7" x14ac:dyDescent="0.35">
      <c r="A6" s="1" t="s">
        <v>158</v>
      </c>
      <c r="B6" s="5">
        <v>1051</v>
      </c>
    </row>
    <row r="7" spans="1:7" x14ac:dyDescent="0.35">
      <c r="A7" s="1" t="s">
        <v>159</v>
      </c>
    </row>
    <row r="8" spans="1:7" x14ac:dyDescent="0.35">
      <c r="A8" s="1" t="s">
        <v>160</v>
      </c>
      <c r="B8" s="5">
        <v>84</v>
      </c>
    </row>
    <row r="9" spans="1:7" x14ac:dyDescent="0.35">
      <c r="C9" s="122">
        <f>B5+B6+B7+B8</f>
        <v>1135</v>
      </c>
    </row>
    <row r="10" spans="1:7" x14ac:dyDescent="0.35">
      <c r="A10" s="1" t="s">
        <v>161</v>
      </c>
      <c r="B10" s="5">
        <v>0</v>
      </c>
    </row>
    <row r="11" spans="1:7" x14ac:dyDescent="0.35">
      <c r="A11" s="1" t="s">
        <v>162</v>
      </c>
    </row>
    <row r="12" spans="1:7" x14ac:dyDescent="0.35">
      <c r="A12" s="1" t="s">
        <v>163</v>
      </c>
      <c r="B12" s="5">
        <v>16220</v>
      </c>
    </row>
    <row r="13" spans="1:7" x14ac:dyDescent="0.35">
      <c r="A13" s="1" t="s">
        <v>167</v>
      </c>
    </row>
    <row r="14" spans="1:7" x14ac:dyDescent="0.35">
      <c r="C14" s="122">
        <f>B10+B11+B12+B13</f>
        <v>16220</v>
      </c>
      <c r="D14" s="207">
        <f>C14/C2</f>
        <v>0.11204520492114697</v>
      </c>
      <c r="E14" s="1" t="s">
        <v>164</v>
      </c>
    </row>
    <row r="15" spans="1:7" x14ac:dyDescent="0.35">
      <c r="C15" s="122"/>
      <c r="D15" s="207">
        <v>0.15</v>
      </c>
      <c r="E15" s="1" t="s">
        <v>165</v>
      </c>
    </row>
    <row r="16" spans="1:7" x14ac:dyDescent="0.35">
      <c r="D16" s="213">
        <f>IF(D14&gt;D15,D14-D15,0)</f>
        <v>0</v>
      </c>
      <c r="E16" s="1" t="s">
        <v>166</v>
      </c>
      <c r="G16" s="18"/>
    </row>
    <row r="19" spans="2:9" x14ac:dyDescent="0.35">
      <c r="B19" s="314"/>
      <c r="D19" s="313"/>
    </row>
    <row r="20" spans="2:9" x14ac:dyDescent="0.35">
      <c r="B20" s="314"/>
      <c r="D20" s="313"/>
    </row>
    <row r="21" spans="2:9" x14ac:dyDescent="0.35">
      <c r="B21" s="315"/>
      <c r="C21" s="316"/>
      <c r="D21" s="317"/>
    </row>
    <row r="22" spans="2:9" x14ac:dyDescent="0.35">
      <c r="B22" s="314"/>
      <c r="D22" s="313"/>
      <c r="I22" s="1" t="s">
        <v>94</v>
      </c>
    </row>
    <row r="25" spans="2:9" x14ac:dyDescent="0.35">
      <c r="D25" s="206"/>
    </row>
    <row r="26" spans="2:9" x14ac:dyDescent="0.35">
      <c r="D26" s="144"/>
    </row>
    <row r="27" spans="2:9" x14ac:dyDescent="0.35">
      <c r="D27" s="42"/>
    </row>
  </sheetData>
  <mergeCells count="1">
    <mergeCell ref="B1:C1"/>
  </mergeCell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3153-D18D-47C6-A731-B4659C25EE06}">
  <sheetPr>
    <tabColor rgb="FF92D050"/>
  </sheetPr>
  <dimension ref="A1:M117"/>
  <sheetViews>
    <sheetView zoomScale="106" zoomScaleNormal="106" workbookViewId="0">
      <selection activeCell="A5" sqref="A5:A12"/>
    </sheetView>
  </sheetViews>
  <sheetFormatPr defaultColWidth="8.84375" defaultRowHeight="14.5" x14ac:dyDescent="0.35"/>
  <cols>
    <col min="1" max="1" width="14.53515625" style="1" bestFit="1" customWidth="1"/>
    <col min="2" max="2" width="21.23046875" style="1" customWidth="1"/>
    <col min="3" max="3" width="12.3046875" style="1" customWidth="1"/>
    <col min="4" max="4" width="8.84375" style="1"/>
    <col min="5" max="5" width="10.765625" style="1" customWidth="1"/>
    <col min="6" max="6" width="10.921875" style="1" customWidth="1"/>
    <col min="7" max="7" width="10.69140625" style="1" customWidth="1"/>
    <col min="8" max="8" width="9.84375" style="1" bestFit="1" customWidth="1"/>
    <col min="9" max="9" width="9.53515625" style="90" bestFit="1" customWidth="1"/>
    <col min="10" max="11" width="8.84375" style="1"/>
    <col min="12" max="12" width="9.53515625" style="1" bestFit="1" customWidth="1"/>
    <col min="13" max="13" width="10.3828125" style="1" bestFit="1" customWidth="1"/>
    <col min="14" max="16384" width="8.84375" style="1"/>
  </cols>
  <sheetData>
    <row r="1" spans="1:12" x14ac:dyDescent="0.35">
      <c r="B1" s="141" t="s">
        <v>81</v>
      </c>
    </row>
    <row r="2" spans="1:12" x14ac:dyDescent="0.35">
      <c r="C2" s="18"/>
      <c r="E2" s="18">
        <v>2026</v>
      </c>
      <c r="H2" s="18" t="s">
        <v>11</v>
      </c>
    </row>
    <row r="3" spans="1:12" x14ac:dyDescent="0.35">
      <c r="C3" s="18" t="s">
        <v>82</v>
      </c>
      <c r="D3" s="18" t="s">
        <v>82</v>
      </c>
      <c r="E3" s="18" t="s">
        <v>83</v>
      </c>
      <c r="F3" s="18" t="s">
        <v>82</v>
      </c>
      <c r="G3" s="18" t="s">
        <v>82</v>
      </c>
      <c r="H3" s="18" t="s">
        <v>82</v>
      </c>
    </row>
    <row r="4" spans="1:12" x14ac:dyDescent="0.35">
      <c r="B4" s="19" t="s">
        <v>84</v>
      </c>
      <c r="C4" s="19" t="s">
        <v>85</v>
      </c>
      <c r="D4" s="19" t="s">
        <v>86</v>
      </c>
      <c r="E4" s="19" t="s">
        <v>87</v>
      </c>
      <c r="F4" s="19" t="s">
        <v>88</v>
      </c>
      <c r="G4" s="19" t="s">
        <v>89</v>
      </c>
      <c r="H4" s="19" t="s">
        <v>90</v>
      </c>
    </row>
    <row r="5" spans="1:12" x14ac:dyDescent="0.35">
      <c r="A5" s="348"/>
      <c r="B5" s="18">
        <v>1</v>
      </c>
      <c r="C5" s="328">
        <f>40*52</f>
        <v>2080</v>
      </c>
      <c r="D5" s="365">
        <f>33.5+44+1.5</f>
        <v>79</v>
      </c>
      <c r="E5" s="80">
        <v>23.15</v>
      </c>
      <c r="F5" s="13">
        <f t="shared" ref="F5:F12" si="0">C5*E5</f>
        <v>48152</v>
      </c>
      <c r="G5" s="13">
        <f>D5*(E5*1.5)</f>
        <v>2743.2749999999996</v>
      </c>
      <c r="H5" s="64">
        <f t="shared" ref="H5" si="1">F5+G5</f>
        <v>50895.275000000001</v>
      </c>
      <c r="I5" s="349"/>
      <c r="K5" s="350"/>
      <c r="L5" s="352"/>
    </row>
    <row r="6" spans="1:12" x14ac:dyDescent="0.35">
      <c r="B6" s="18">
        <v>2</v>
      </c>
      <c r="C6" s="328">
        <f t="shared" ref="C6:C12" si="2">40*52</f>
        <v>2080</v>
      </c>
      <c r="D6" s="365">
        <f>8.5+8+17+133.5+114+9</f>
        <v>290</v>
      </c>
      <c r="E6" s="80">
        <v>24.2</v>
      </c>
      <c r="F6" s="13">
        <f t="shared" si="0"/>
        <v>50336</v>
      </c>
      <c r="G6" s="13">
        <f>D6*(E6*1.5)</f>
        <v>10527</v>
      </c>
      <c r="H6" s="64">
        <f t="shared" ref="H6:H11" si="3">F6+G6</f>
        <v>60863</v>
      </c>
      <c r="I6" s="349"/>
      <c r="K6" s="351"/>
      <c r="L6" s="352"/>
    </row>
    <row r="7" spans="1:12" x14ac:dyDescent="0.35">
      <c r="B7" s="18">
        <v>3</v>
      </c>
      <c r="C7" s="328">
        <f t="shared" si="2"/>
        <v>2080</v>
      </c>
      <c r="D7" s="365">
        <f>33.5+30.5+1.5</f>
        <v>65.5</v>
      </c>
      <c r="E7" s="80">
        <v>31.93</v>
      </c>
      <c r="F7" s="13">
        <f t="shared" si="0"/>
        <v>66414.399999999994</v>
      </c>
      <c r="G7" s="13">
        <f>D7*(E7*1.5)</f>
        <v>3137.1224999999999</v>
      </c>
      <c r="H7" s="64">
        <f t="shared" si="3"/>
        <v>69551.522499999992</v>
      </c>
      <c r="I7" s="349"/>
      <c r="K7" s="351"/>
      <c r="L7" s="352"/>
    </row>
    <row r="8" spans="1:12" x14ac:dyDescent="0.35">
      <c r="B8" s="18">
        <v>4</v>
      </c>
      <c r="C8" s="328">
        <f t="shared" si="2"/>
        <v>2080</v>
      </c>
      <c r="D8" s="365">
        <f>51.5+31+6</f>
        <v>88.5</v>
      </c>
      <c r="E8" s="80">
        <v>24.26</v>
      </c>
      <c r="F8" s="13">
        <f t="shared" si="0"/>
        <v>50460.800000000003</v>
      </c>
      <c r="G8" s="13">
        <f t="shared" ref="G8:G12" si="4">D8*(E8*1.5)</f>
        <v>3220.5149999999999</v>
      </c>
      <c r="H8" s="64">
        <f t="shared" si="3"/>
        <v>53681.315000000002</v>
      </c>
      <c r="I8" s="349"/>
      <c r="K8" s="351"/>
      <c r="L8" s="352"/>
    </row>
    <row r="9" spans="1:12" x14ac:dyDescent="0.35">
      <c r="B9" s="18">
        <v>5</v>
      </c>
      <c r="C9" s="328">
        <f t="shared" si="2"/>
        <v>2080</v>
      </c>
      <c r="D9" s="366">
        <f>17.5+23</f>
        <v>40.5</v>
      </c>
      <c r="E9" s="80">
        <v>25</v>
      </c>
      <c r="F9" s="13">
        <f t="shared" si="0"/>
        <v>52000</v>
      </c>
      <c r="G9" s="13">
        <f t="shared" si="4"/>
        <v>1518.75</v>
      </c>
      <c r="H9" s="353">
        <f t="shared" si="3"/>
        <v>53518.75</v>
      </c>
      <c r="I9" s="349"/>
      <c r="K9" s="351"/>
      <c r="L9" s="352"/>
    </row>
    <row r="10" spans="1:12" x14ac:dyDescent="0.35">
      <c r="B10" s="18">
        <v>6</v>
      </c>
      <c r="C10" s="328">
        <f t="shared" si="2"/>
        <v>2080</v>
      </c>
      <c r="D10" s="366"/>
      <c r="E10" s="80">
        <v>25.59</v>
      </c>
      <c r="F10" s="13">
        <f t="shared" si="0"/>
        <v>53227.199999999997</v>
      </c>
      <c r="G10" s="13">
        <f t="shared" si="4"/>
        <v>0</v>
      </c>
      <c r="H10" s="353">
        <f t="shared" si="3"/>
        <v>53227.199999999997</v>
      </c>
      <c r="I10" s="349"/>
      <c r="K10" s="351"/>
      <c r="L10" s="352"/>
    </row>
    <row r="11" spans="1:12" x14ac:dyDescent="0.35">
      <c r="B11" s="18">
        <v>7</v>
      </c>
      <c r="C11" s="328">
        <f t="shared" si="2"/>
        <v>2080</v>
      </c>
      <c r="D11" s="366">
        <f>3+6</f>
        <v>9</v>
      </c>
      <c r="E11" s="80">
        <v>20</v>
      </c>
      <c r="F11" s="13">
        <f t="shared" si="0"/>
        <v>41600</v>
      </c>
      <c r="G11" s="13">
        <f t="shared" si="4"/>
        <v>270</v>
      </c>
      <c r="H11" s="64">
        <f t="shared" si="3"/>
        <v>41870</v>
      </c>
      <c r="I11" s="349"/>
      <c r="K11" s="351"/>
      <c r="L11" s="352"/>
    </row>
    <row r="12" spans="1:12" x14ac:dyDescent="0.35">
      <c r="B12" s="18">
        <v>8</v>
      </c>
      <c r="C12" s="328">
        <f t="shared" si="2"/>
        <v>2080</v>
      </c>
      <c r="D12" s="366"/>
      <c r="E12" s="80">
        <v>55.37</v>
      </c>
      <c r="F12" s="13">
        <f t="shared" si="0"/>
        <v>115169.59999999999</v>
      </c>
      <c r="G12" s="13">
        <f t="shared" si="4"/>
        <v>0</v>
      </c>
      <c r="H12" s="64">
        <f t="shared" ref="H12:H20" si="5">F12+G12</f>
        <v>115169.59999999999</v>
      </c>
      <c r="I12" s="349"/>
      <c r="K12" s="351"/>
      <c r="L12" s="352"/>
    </row>
    <row r="13" spans="1:12" hidden="1" x14ac:dyDescent="0.35">
      <c r="A13" s="114"/>
      <c r="C13" s="328"/>
      <c r="D13" s="323"/>
      <c r="E13" s="80"/>
      <c r="F13" s="13">
        <f t="shared" ref="F13:F20" si="6">C13*E13</f>
        <v>0</v>
      </c>
      <c r="G13" s="15">
        <f t="shared" ref="G13:G20" si="7">D13*E13*1.5</f>
        <v>0</v>
      </c>
      <c r="H13" s="16">
        <f t="shared" si="5"/>
        <v>0</v>
      </c>
    </row>
    <row r="14" spans="1:12" hidden="1" x14ac:dyDescent="0.35">
      <c r="A14" s="114"/>
      <c r="C14" s="328"/>
      <c r="D14" s="323"/>
      <c r="E14" s="80"/>
      <c r="F14" s="13">
        <f t="shared" si="6"/>
        <v>0</v>
      </c>
      <c r="G14" s="15">
        <f t="shared" si="7"/>
        <v>0</v>
      </c>
      <c r="H14" s="16">
        <f t="shared" si="5"/>
        <v>0</v>
      </c>
    </row>
    <row r="15" spans="1:12" hidden="1" x14ac:dyDescent="0.35">
      <c r="A15" s="114"/>
      <c r="C15" s="328"/>
      <c r="D15" s="323"/>
      <c r="E15" s="80"/>
      <c r="F15" s="16">
        <f t="shared" si="6"/>
        <v>0</v>
      </c>
      <c r="G15" s="20">
        <f t="shared" si="7"/>
        <v>0</v>
      </c>
      <c r="H15" s="16">
        <f t="shared" si="5"/>
        <v>0</v>
      </c>
    </row>
    <row r="16" spans="1:12" hidden="1" x14ac:dyDescent="0.35">
      <c r="A16" s="114"/>
      <c r="C16" s="328"/>
      <c r="D16" s="323"/>
      <c r="E16" s="80"/>
      <c r="F16" s="16">
        <f t="shared" si="6"/>
        <v>0</v>
      </c>
      <c r="G16" s="20"/>
      <c r="H16" s="16"/>
    </row>
    <row r="17" spans="1:13" hidden="1" x14ac:dyDescent="0.35">
      <c r="A17" s="114"/>
      <c r="C17" s="328"/>
      <c r="D17" s="323"/>
      <c r="E17" s="80"/>
      <c r="F17" s="16">
        <f t="shared" si="6"/>
        <v>0</v>
      </c>
      <c r="G17" s="20"/>
      <c r="H17" s="16"/>
    </row>
    <row r="18" spans="1:13" hidden="1" x14ac:dyDescent="0.35">
      <c r="A18" s="114"/>
      <c r="C18" s="328"/>
      <c r="D18" s="323"/>
      <c r="E18" s="80"/>
      <c r="F18" s="16">
        <f t="shared" si="6"/>
        <v>0</v>
      </c>
      <c r="G18" s="20">
        <f t="shared" si="7"/>
        <v>0</v>
      </c>
      <c r="H18" s="16">
        <f t="shared" si="5"/>
        <v>0</v>
      </c>
    </row>
    <row r="19" spans="1:13" hidden="1" x14ac:dyDescent="0.35">
      <c r="A19" s="114"/>
      <c r="C19" s="328"/>
      <c r="D19" s="323"/>
      <c r="E19" s="80"/>
      <c r="F19" s="16">
        <f t="shared" si="6"/>
        <v>0</v>
      </c>
      <c r="G19" s="20">
        <f t="shared" si="7"/>
        <v>0</v>
      </c>
      <c r="H19" s="16">
        <f t="shared" si="5"/>
        <v>0</v>
      </c>
    </row>
    <row r="20" spans="1:13" hidden="1" x14ac:dyDescent="0.35">
      <c r="A20" s="114"/>
      <c r="C20" s="328"/>
      <c r="D20" s="323"/>
      <c r="E20" s="80"/>
      <c r="F20" s="16">
        <f t="shared" si="6"/>
        <v>0</v>
      </c>
      <c r="G20" s="20">
        <f t="shared" si="7"/>
        <v>0</v>
      </c>
      <c r="H20" s="16">
        <f t="shared" si="5"/>
        <v>0</v>
      </c>
    </row>
    <row r="21" spans="1:13" ht="16" hidden="1" x14ac:dyDescent="0.5">
      <c r="A21" s="114"/>
      <c r="C21" s="329"/>
    </row>
    <row r="22" spans="1:13" ht="16" x14ac:dyDescent="0.5">
      <c r="A22" s="114"/>
      <c r="C22" s="20"/>
      <c r="D22" s="324">
        <v>0</v>
      </c>
      <c r="E22" s="330"/>
      <c r="F22" s="83">
        <f>C21*E22</f>
        <v>0</v>
      </c>
      <c r="G22" s="83">
        <f>D22*E22*1.5</f>
        <v>0</v>
      </c>
      <c r="H22" s="83">
        <f>F22+G22</f>
        <v>0</v>
      </c>
    </row>
    <row r="23" spans="1:13" x14ac:dyDescent="0.35">
      <c r="B23" s="1" t="s">
        <v>150</v>
      </c>
      <c r="C23" s="20">
        <f>SUM(C5:C22)</f>
        <v>16640</v>
      </c>
      <c r="D23" s="22">
        <f>SUM(D5:D22)</f>
        <v>572.5</v>
      </c>
      <c r="E23" s="20"/>
      <c r="F23" s="113">
        <f>SUM(F5:F22)</f>
        <v>477360</v>
      </c>
      <c r="G23" s="113">
        <f>SUM(G5:G22)</f>
        <v>21416.662499999999</v>
      </c>
      <c r="H23" s="203">
        <f>SUM(H5:H22)</f>
        <v>498776.66249999998</v>
      </c>
    </row>
    <row r="24" spans="1:13" x14ac:dyDescent="0.35">
      <c r="C24" s="16"/>
      <c r="D24" s="16"/>
      <c r="E24" s="64"/>
      <c r="F24" s="20"/>
      <c r="G24" s="20"/>
      <c r="H24" s="20"/>
    </row>
    <row r="25" spans="1:13" x14ac:dyDescent="0.35">
      <c r="B25" s="1" t="s">
        <v>151</v>
      </c>
      <c r="C25" s="16"/>
      <c r="D25" s="16"/>
      <c r="E25" s="64"/>
      <c r="F25" s="20"/>
      <c r="G25" s="20"/>
      <c r="H25" s="204">
        <f>H23</f>
        <v>498776.66249999998</v>
      </c>
    </row>
    <row r="26" spans="1:13" x14ac:dyDescent="0.35">
      <c r="B26" s="16"/>
      <c r="C26" s="16"/>
      <c r="D26" s="16"/>
      <c r="H26" s="66"/>
    </row>
    <row r="27" spans="1:13" x14ac:dyDescent="0.35">
      <c r="B27" s="67"/>
      <c r="C27" s="16"/>
      <c r="D27" s="16"/>
      <c r="H27" s="66" t="s">
        <v>28</v>
      </c>
    </row>
    <row r="28" spans="1:13" x14ac:dyDescent="0.35">
      <c r="B28" s="16"/>
      <c r="C28" s="16"/>
      <c r="D28" s="1" t="s">
        <v>91</v>
      </c>
      <c r="H28" s="68">
        <f>H23</f>
        <v>498776.66249999998</v>
      </c>
      <c r="M28" s="340"/>
    </row>
    <row r="29" spans="1:13" ht="16" x14ac:dyDescent="0.5">
      <c r="B29" s="16"/>
      <c r="C29" s="16"/>
      <c r="D29" s="1" t="s">
        <v>92</v>
      </c>
      <c r="H29" s="25">
        <f>-SAO!D18</f>
        <v>-480971</v>
      </c>
    </row>
    <row r="30" spans="1:13" ht="15" thickBot="1" x14ac:dyDescent="0.4">
      <c r="B30" s="16"/>
      <c r="C30" s="16"/>
      <c r="D30" s="39" t="s">
        <v>93</v>
      </c>
      <c r="F30" s="39"/>
      <c r="G30" s="39"/>
      <c r="H30" s="69">
        <f>H28+H29</f>
        <v>17805.662499999977</v>
      </c>
      <c r="I30" s="18"/>
    </row>
    <row r="31" spans="1:13" ht="15" thickTop="1" x14ac:dyDescent="0.35">
      <c r="B31" s="16"/>
      <c r="C31" s="16"/>
      <c r="H31" s="1" t="s">
        <v>94</v>
      </c>
      <c r="I31" s="18"/>
    </row>
    <row r="32" spans="1:13" x14ac:dyDescent="0.35">
      <c r="B32" s="16"/>
      <c r="C32" s="16"/>
      <c r="D32" s="1" t="s">
        <v>227</v>
      </c>
      <c r="H32" s="364">
        <f>H23+C52</f>
        <v>528776.66249999998</v>
      </c>
      <c r="I32" s="18"/>
      <c r="M32" s="75"/>
    </row>
    <row r="33" spans="2:13" x14ac:dyDescent="0.35">
      <c r="B33" s="16"/>
      <c r="C33" s="16"/>
      <c r="D33" s="1" t="s">
        <v>95</v>
      </c>
      <c r="H33" s="70">
        <v>7.6499999999999999E-2</v>
      </c>
      <c r="I33" s="18"/>
      <c r="M33" s="340"/>
    </row>
    <row r="34" spans="2:13" x14ac:dyDescent="0.35">
      <c r="B34" s="16"/>
      <c r="C34" s="16"/>
      <c r="D34" s="1" t="s">
        <v>96</v>
      </c>
      <c r="H34" s="16">
        <f>+H32*H33</f>
        <v>40451.414681249997</v>
      </c>
      <c r="I34" s="18"/>
    </row>
    <row r="35" spans="2:13" x14ac:dyDescent="0.35">
      <c r="B35" s="16"/>
      <c r="C35" s="16"/>
      <c r="D35" s="1" t="s">
        <v>97</v>
      </c>
      <c r="H35" s="71">
        <f>-SAO!D44</f>
        <v>-39770</v>
      </c>
      <c r="I35" s="18"/>
    </row>
    <row r="36" spans="2:13" ht="15" thickBot="1" x14ac:dyDescent="0.4">
      <c r="B36" s="16"/>
      <c r="C36" s="16"/>
      <c r="D36" s="39" t="s">
        <v>98</v>
      </c>
      <c r="F36" s="39"/>
      <c r="G36" s="39"/>
      <c r="H36" s="69">
        <f>H34+H35</f>
        <v>681.41468124999665</v>
      </c>
      <c r="I36" s="18"/>
    </row>
    <row r="37" spans="2:13" ht="15" thickTop="1" x14ac:dyDescent="0.35">
      <c r="B37" s="16"/>
      <c r="C37" s="16"/>
      <c r="I37" s="18"/>
    </row>
    <row r="38" spans="2:13" x14ac:dyDescent="0.35">
      <c r="B38" s="16"/>
      <c r="C38" s="16"/>
      <c r="D38" s="1" t="s">
        <v>99</v>
      </c>
      <c r="H38" s="26">
        <f>H25</f>
        <v>498776.66249999998</v>
      </c>
      <c r="I38" s="18"/>
    </row>
    <row r="39" spans="2:13" x14ac:dyDescent="0.35">
      <c r="B39" s="16"/>
      <c r="C39" s="16"/>
      <c r="D39" s="1" t="s">
        <v>100</v>
      </c>
      <c r="H39" s="70">
        <v>0.17430000000000001</v>
      </c>
      <c r="I39" s="18"/>
      <c r="J39" s="1" t="s">
        <v>259</v>
      </c>
      <c r="K39" s="1" t="s">
        <v>260</v>
      </c>
    </row>
    <row r="40" spans="2:13" x14ac:dyDescent="0.35">
      <c r="B40" s="16"/>
      <c r="C40" s="16"/>
      <c r="D40" s="1" t="s">
        <v>101</v>
      </c>
      <c r="H40" s="16">
        <f>+H38*H39</f>
        <v>86936.772273750001</v>
      </c>
      <c r="I40" s="18"/>
    </row>
    <row r="41" spans="2:13" x14ac:dyDescent="0.35">
      <c r="B41" s="16"/>
      <c r="C41" s="16"/>
      <c r="D41" s="1" t="s">
        <v>102</v>
      </c>
      <c r="H41" s="410">
        <v>-92343.38</v>
      </c>
      <c r="I41" s="18"/>
      <c r="J41" s="1" t="s">
        <v>309</v>
      </c>
    </row>
    <row r="42" spans="2:13" ht="15" thickBot="1" x14ac:dyDescent="0.4">
      <c r="B42" s="16"/>
      <c r="C42" s="16"/>
      <c r="D42" s="114" t="s">
        <v>103</v>
      </c>
      <c r="F42" s="114"/>
      <c r="G42" s="114"/>
      <c r="H42" s="208">
        <f>+H40+H41</f>
        <v>-5406.6077262500039</v>
      </c>
      <c r="I42" s="18"/>
    </row>
    <row r="43" spans="2:13" ht="15" thickTop="1" x14ac:dyDescent="0.35">
      <c r="B43" s="16"/>
      <c r="C43" s="16"/>
      <c r="D43" s="114"/>
      <c r="F43" s="114"/>
      <c r="G43" s="114"/>
      <c r="H43" s="196"/>
      <c r="I43" s="18"/>
    </row>
    <row r="44" spans="2:13" x14ac:dyDescent="0.35">
      <c r="B44" s="16"/>
      <c r="C44" s="16"/>
      <c r="F44" s="114"/>
      <c r="G44" s="114"/>
      <c r="H44" s="412"/>
      <c r="I44" s="18"/>
    </row>
    <row r="46" spans="2:13" x14ac:dyDescent="0.35">
      <c r="B46" s="334" t="s">
        <v>210</v>
      </c>
      <c r="C46" s="334" t="s">
        <v>226</v>
      </c>
    </row>
    <row r="47" spans="2:13" x14ac:dyDescent="0.35">
      <c r="B47" s="1" t="s">
        <v>282</v>
      </c>
      <c r="C47" s="314">
        <v>6000</v>
      </c>
    </row>
    <row r="48" spans="2:13" x14ac:dyDescent="0.35">
      <c r="B48" s="1" t="s">
        <v>283</v>
      </c>
      <c r="C48" s="314">
        <v>6000</v>
      </c>
    </row>
    <row r="49" spans="2:8" x14ac:dyDescent="0.35">
      <c r="B49" s="1" t="s">
        <v>284</v>
      </c>
      <c r="C49" s="314">
        <v>6000</v>
      </c>
    </row>
    <row r="50" spans="2:8" x14ac:dyDescent="0.35">
      <c r="B50" s="1" t="s">
        <v>285</v>
      </c>
      <c r="C50" s="314">
        <v>6000</v>
      </c>
    </row>
    <row r="51" spans="2:8" x14ac:dyDescent="0.35">
      <c r="B51" s="1" t="s">
        <v>286</v>
      </c>
      <c r="C51" s="315">
        <v>6000</v>
      </c>
    </row>
    <row r="52" spans="2:8" x14ac:dyDescent="0.35">
      <c r="C52" s="21">
        <f>SUM(C47:C51)</f>
        <v>30000</v>
      </c>
    </row>
    <row r="57" spans="2:8" x14ac:dyDescent="0.35">
      <c r="E57" s="75"/>
    </row>
    <row r="58" spans="2:8" x14ac:dyDescent="0.35">
      <c r="D58" s="75"/>
      <c r="E58" s="75"/>
      <c r="F58" s="75"/>
      <c r="G58" s="75"/>
    </row>
    <row r="60" spans="2:8" x14ac:dyDescent="0.35">
      <c r="H60" s="400"/>
    </row>
    <row r="61" spans="2:8" x14ac:dyDescent="0.35">
      <c r="H61" s="400"/>
    </row>
    <row r="62" spans="2:8" x14ac:dyDescent="0.35">
      <c r="H62" s="400"/>
    </row>
    <row r="67" spans="2:8" x14ac:dyDescent="0.35">
      <c r="H67" s="400"/>
    </row>
    <row r="74" spans="2:8" x14ac:dyDescent="0.35">
      <c r="H74" s="400"/>
    </row>
    <row r="77" spans="2:8" x14ac:dyDescent="0.35">
      <c r="B77" s="343"/>
      <c r="C77" s="344"/>
    </row>
    <row r="78" spans="2:8" ht="15.5" x14ac:dyDescent="0.35">
      <c r="B78"/>
      <c r="C78" s="344"/>
    </row>
    <row r="79" spans="2:8" x14ac:dyDescent="0.35">
      <c r="B79" s="344"/>
      <c r="C79" s="344"/>
    </row>
    <row r="80" spans="2:8" ht="15.5" x14ac:dyDescent="0.35">
      <c r="B80" s="342"/>
      <c r="C80" s="345"/>
    </row>
    <row r="81" spans="2:3" ht="15.5" x14ac:dyDescent="0.35">
      <c r="B81" s="342"/>
      <c r="C81" s="345"/>
    </row>
    <row r="82" spans="2:3" ht="15.5" x14ac:dyDescent="0.35">
      <c r="B82" s="342"/>
      <c r="C82" s="345"/>
    </row>
    <row r="83" spans="2:3" ht="15.5" x14ac:dyDescent="0.35">
      <c r="B83"/>
      <c r="C83" s="344"/>
    </row>
    <row r="84" spans="2:3" ht="15.5" x14ac:dyDescent="0.35">
      <c r="B84" s="344"/>
      <c r="C84" s="346"/>
    </row>
    <row r="85" spans="2:3" ht="15.5" x14ac:dyDescent="0.35">
      <c r="B85" s="342"/>
      <c r="C85" s="347"/>
    </row>
    <row r="86" spans="2:3" ht="15.5" x14ac:dyDescent="0.35">
      <c r="B86" s="342"/>
      <c r="C86" s="347"/>
    </row>
    <row r="87" spans="2:3" ht="15.5" x14ac:dyDescent="0.35">
      <c r="B87" s="342"/>
      <c r="C87" s="347"/>
    </row>
    <row r="88" spans="2:3" ht="15.5" x14ac:dyDescent="0.35">
      <c r="B88"/>
      <c r="C88" s="347"/>
    </row>
    <row r="89" spans="2:3" ht="15.5" x14ac:dyDescent="0.35">
      <c r="B89" s="344"/>
      <c r="C89" s="347"/>
    </row>
    <row r="90" spans="2:3" ht="15.5" x14ac:dyDescent="0.35">
      <c r="B90" s="342"/>
      <c r="C90" s="347"/>
    </row>
    <row r="91" spans="2:3" ht="15.5" x14ac:dyDescent="0.35">
      <c r="B91" s="342"/>
      <c r="C91" s="347"/>
    </row>
    <row r="92" spans="2:3" ht="15.5" x14ac:dyDescent="0.35">
      <c r="B92" s="342"/>
      <c r="C92" s="347"/>
    </row>
    <row r="93" spans="2:3" ht="15.5" x14ac:dyDescent="0.35">
      <c r="B93" s="342"/>
      <c r="C93" s="347"/>
    </row>
    <row r="94" spans="2:3" ht="15.5" x14ac:dyDescent="0.35">
      <c r="B94" s="344"/>
      <c r="C94" s="347"/>
    </row>
    <row r="95" spans="2:3" ht="15.5" x14ac:dyDescent="0.35">
      <c r="B95" s="342"/>
      <c r="C95" s="347"/>
    </row>
    <row r="96" spans="2:3" ht="15.5" x14ac:dyDescent="0.35">
      <c r="B96" s="342"/>
      <c r="C96" s="347"/>
    </row>
    <row r="97" spans="2:3" ht="15.5" x14ac:dyDescent="0.35">
      <c r="B97" s="342"/>
      <c r="C97" s="347"/>
    </row>
    <row r="98" spans="2:3" ht="15.5" x14ac:dyDescent="0.35">
      <c r="B98" s="342"/>
      <c r="C98" s="347"/>
    </row>
    <row r="99" spans="2:3" ht="15.5" x14ac:dyDescent="0.35">
      <c r="B99" s="344"/>
      <c r="C99" s="347"/>
    </row>
    <row r="100" spans="2:3" ht="15.5" x14ac:dyDescent="0.35">
      <c r="B100" s="342"/>
      <c r="C100" s="347"/>
    </row>
    <row r="101" spans="2:3" ht="15.5" x14ac:dyDescent="0.35">
      <c r="B101" s="342"/>
      <c r="C101" s="347"/>
    </row>
    <row r="102" spans="2:3" ht="15.5" x14ac:dyDescent="0.35">
      <c r="B102" s="342"/>
      <c r="C102" s="347"/>
    </row>
    <row r="103" spans="2:3" ht="15.5" x14ac:dyDescent="0.35">
      <c r="B103"/>
      <c r="C103" s="102"/>
    </row>
    <row r="104" spans="2:3" ht="15.5" x14ac:dyDescent="0.35">
      <c r="B104" s="344"/>
      <c r="C104" s="347"/>
    </row>
    <row r="105" spans="2:3" ht="15.5" x14ac:dyDescent="0.35">
      <c r="B105" s="342"/>
      <c r="C105" s="347"/>
    </row>
    <row r="106" spans="2:3" ht="15.5" x14ac:dyDescent="0.35">
      <c r="B106" s="342"/>
      <c r="C106" s="347"/>
    </row>
    <row r="107" spans="2:3" ht="15.5" x14ac:dyDescent="0.35">
      <c r="B107" s="342"/>
      <c r="C107" s="347"/>
    </row>
    <row r="108" spans="2:3" ht="15.5" x14ac:dyDescent="0.35">
      <c r="B108" s="342"/>
      <c r="C108" s="347"/>
    </row>
    <row r="109" spans="2:3" ht="15.5" x14ac:dyDescent="0.35">
      <c r="B109" s="344"/>
      <c r="C109" s="347"/>
    </row>
    <row r="110" spans="2:3" ht="15.5" x14ac:dyDescent="0.35">
      <c r="B110" s="342"/>
      <c r="C110" s="347"/>
    </row>
    <row r="111" spans="2:3" ht="15.5" x14ac:dyDescent="0.35">
      <c r="B111" s="342"/>
      <c r="C111" s="347"/>
    </row>
    <row r="112" spans="2:3" ht="15.5" x14ac:dyDescent="0.35">
      <c r="B112" s="342"/>
      <c r="C112" s="347"/>
    </row>
    <row r="113" spans="2:3" ht="15.5" x14ac:dyDescent="0.35">
      <c r="B113" s="342"/>
      <c r="C113" s="347"/>
    </row>
    <row r="114" spans="2:3" ht="15.5" x14ac:dyDescent="0.35">
      <c r="B114" s="344"/>
      <c r="C114" s="347"/>
    </row>
    <row r="115" spans="2:3" ht="15.5" x14ac:dyDescent="0.35">
      <c r="B115" s="342"/>
      <c r="C115" s="347"/>
    </row>
    <row r="116" spans="2:3" ht="15.5" x14ac:dyDescent="0.35">
      <c r="B116" s="342"/>
      <c r="C116" s="347"/>
    </row>
    <row r="117" spans="2:3" ht="15.5" x14ac:dyDescent="0.35">
      <c r="B117" s="342"/>
      <c r="C117" s="347"/>
    </row>
  </sheetData>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P60"/>
  <sheetViews>
    <sheetView workbookViewId="0">
      <selection activeCell="D52" sqref="D52"/>
    </sheetView>
  </sheetViews>
  <sheetFormatPr defaultColWidth="8.84375" defaultRowHeight="14.5" x14ac:dyDescent="0.35"/>
  <cols>
    <col min="1" max="1" width="14.53515625" style="1" bestFit="1" customWidth="1"/>
    <col min="2" max="2" width="13.23046875" style="1" customWidth="1"/>
    <col min="3" max="3" width="9.84375" style="1" customWidth="1"/>
    <col min="4" max="4" width="12.4609375" style="1" customWidth="1"/>
    <col min="5" max="5" width="10.3828125" style="1" customWidth="1"/>
    <col min="6" max="6" width="9.765625" style="1" customWidth="1"/>
    <col min="7" max="7" width="10.69140625" style="1" customWidth="1"/>
    <col min="8" max="8" width="10.07421875" style="200" customWidth="1"/>
    <col min="9" max="9" width="10.53515625" style="1" customWidth="1"/>
    <col min="10" max="10" width="8.84375" style="1"/>
    <col min="11" max="11" width="10.23046875" style="1" bestFit="1" customWidth="1"/>
    <col min="12" max="12" width="10.07421875" style="1" customWidth="1"/>
    <col min="13" max="13" width="9.3828125" style="1" bestFit="1" customWidth="1"/>
    <col min="14" max="14" width="9.765625" style="1" bestFit="1" customWidth="1"/>
    <col min="15" max="15" width="9.3828125" style="1" bestFit="1" customWidth="1"/>
    <col min="16" max="16384" width="8.84375" style="1"/>
  </cols>
  <sheetData>
    <row r="1" spans="1:16" x14ac:dyDescent="0.35">
      <c r="B1" s="114" t="s">
        <v>73</v>
      </c>
    </row>
    <row r="2" spans="1:16" x14ac:dyDescent="0.35">
      <c r="B2" s="357">
        <v>46204</v>
      </c>
    </row>
    <row r="3" spans="1:16" x14ac:dyDescent="0.35">
      <c r="B3" s="18" t="s">
        <v>245</v>
      </c>
      <c r="D3" s="18" t="s">
        <v>68</v>
      </c>
      <c r="G3" s="18" t="s">
        <v>149</v>
      </c>
      <c r="I3" s="18"/>
      <c r="K3" s="21"/>
      <c r="L3" s="21"/>
    </row>
    <row r="4" spans="1:16" x14ac:dyDescent="0.35">
      <c r="B4" s="411" t="s">
        <v>186</v>
      </c>
      <c r="C4" s="18" t="s">
        <v>68</v>
      </c>
      <c r="D4" s="18" t="s">
        <v>69</v>
      </c>
      <c r="E4" s="18" t="s">
        <v>69</v>
      </c>
      <c r="F4" s="18" t="s">
        <v>70</v>
      </c>
      <c r="G4" s="18" t="s">
        <v>72</v>
      </c>
      <c r="I4" s="18"/>
    </row>
    <row r="5" spans="1:16" x14ac:dyDescent="0.35">
      <c r="B5" s="409" t="s">
        <v>84</v>
      </c>
      <c r="C5" s="19" t="s">
        <v>71</v>
      </c>
      <c r="D5" s="19" t="s">
        <v>74</v>
      </c>
      <c r="E5" s="19" t="s">
        <v>75</v>
      </c>
      <c r="F5" s="19" t="s">
        <v>75</v>
      </c>
      <c r="G5" s="40" t="s">
        <v>71</v>
      </c>
      <c r="H5" s="201"/>
      <c r="I5" s="40"/>
      <c r="K5" s="1" t="s">
        <v>267</v>
      </c>
      <c r="M5" s="330">
        <v>92343.38</v>
      </c>
    </row>
    <row r="6" spans="1:16" x14ac:dyDescent="0.35">
      <c r="A6" s="417"/>
      <c r="B6" s="18">
        <v>1</v>
      </c>
      <c r="C6" s="37">
        <v>1955.96</v>
      </c>
      <c r="D6" s="37">
        <f>C6*0.25</f>
        <v>488.99</v>
      </c>
      <c r="E6" s="41">
        <f>IF(C6&gt;0,D6/C6,0)</f>
        <v>0.25</v>
      </c>
      <c r="F6" s="41">
        <f>1-E6</f>
        <v>0.75</v>
      </c>
      <c r="G6" s="42">
        <f>C6*F6*12</f>
        <v>17603.64</v>
      </c>
      <c r="H6" s="202"/>
      <c r="I6" s="42"/>
      <c r="K6" s="1" t="s">
        <v>268</v>
      </c>
      <c r="M6" s="407">
        <v>136433.62</v>
      </c>
    </row>
    <row r="7" spans="1:16" x14ac:dyDescent="0.35">
      <c r="A7" s="335"/>
      <c r="B7" s="18">
        <v>2</v>
      </c>
      <c r="C7" s="37">
        <v>1258.33</v>
      </c>
      <c r="D7" s="37">
        <f t="shared" ref="D7:D14" si="0">C7*0.25</f>
        <v>314.58249999999998</v>
      </c>
      <c r="E7" s="41">
        <f t="shared" ref="E7:E14" si="1">IF(C7&gt;0,D7/C7,0)</f>
        <v>0.25</v>
      </c>
      <c r="F7" s="41">
        <f t="shared" ref="F7:F14" si="2">1-E7</f>
        <v>0.75</v>
      </c>
      <c r="G7" s="42">
        <f t="shared" ref="G7:G14" si="3">C7*F7*12</f>
        <v>11324.97</v>
      </c>
      <c r="H7" s="202"/>
      <c r="I7" s="42"/>
      <c r="M7" s="352">
        <f>SUM(M5:M6)</f>
        <v>228777</v>
      </c>
      <c r="N7" s="1" t="s">
        <v>289</v>
      </c>
      <c r="O7" s="330"/>
      <c r="P7" s="352"/>
    </row>
    <row r="8" spans="1:16" x14ac:dyDescent="0.35">
      <c r="A8" s="335"/>
      <c r="B8" s="18">
        <v>3</v>
      </c>
      <c r="C8" s="37">
        <v>2542.4499999999998</v>
      </c>
      <c r="D8" s="37">
        <f t="shared" si="0"/>
        <v>635.61249999999995</v>
      </c>
      <c r="E8" s="41">
        <f t="shared" si="1"/>
        <v>0.25</v>
      </c>
      <c r="F8" s="41">
        <f t="shared" si="2"/>
        <v>0.75</v>
      </c>
      <c r="G8" s="42">
        <f t="shared" si="3"/>
        <v>22882.05</v>
      </c>
      <c r="H8" s="202"/>
      <c r="I8" s="42"/>
      <c r="N8" s="1" t="s">
        <v>309</v>
      </c>
    </row>
    <row r="9" spans="1:16" x14ac:dyDescent="0.35">
      <c r="A9" s="335"/>
      <c r="B9" s="18">
        <v>4</v>
      </c>
      <c r="C9" s="37">
        <v>348.51</v>
      </c>
      <c r="D9" s="37">
        <f t="shared" si="0"/>
        <v>87.127499999999998</v>
      </c>
      <c r="E9" s="41">
        <f t="shared" si="1"/>
        <v>0.25</v>
      </c>
      <c r="F9" s="41">
        <f t="shared" si="2"/>
        <v>0.75</v>
      </c>
      <c r="G9" s="42">
        <f t="shared" si="3"/>
        <v>3136.59</v>
      </c>
      <c r="H9" s="202"/>
      <c r="I9" s="42"/>
      <c r="K9" s="42"/>
    </row>
    <row r="10" spans="1:16" x14ac:dyDescent="0.35">
      <c r="A10" s="335"/>
      <c r="B10" s="18">
        <v>5</v>
      </c>
      <c r="C10" s="37">
        <v>1091.19</v>
      </c>
      <c r="D10" s="37">
        <f t="shared" si="0"/>
        <v>272.79750000000001</v>
      </c>
      <c r="E10" s="41">
        <f t="shared" si="1"/>
        <v>0.25</v>
      </c>
      <c r="F10" s="41">
        <f t="shared" si="2"/>
        <v>0.75</v>
      </c>
      <c r="G10" s="42">
        <f t="shared" si="3"/>
        <v>9820.7100000000009</v>
      </c>
      <c r="H10" s="202"/>
      <c r="I10" s="42"/>
    </row>
    <row r="11" spans="1:16" x14ac:dyDescent="0.35">
      <c r="A11" s="335"/>
      <c r="B11" s="18">
        <v>6</v>
      </c>
      <c r="C11" s="37">
        <v>1091.19</v>
      </c>
      <c r="D11" s="37">
        <f t="shared" si="0"/>
        <v>272.79750000000001</v>
      </c>
      <c r="E11" s="41">
        <f t="shared" si="1"/>
        <v>0.25</v>
      </c>
      <c r="F11" s="41">
        <f t="shared" si="2"/>
        <v>0.75</v>
      </c>
      <c r="G11" s="42">
        <f t="shared" si="3"/>
        <v>9820.7100000000009</v>
      </c>
      <c r="H11" s="202"/>
      <c r="I11" s="42"/>
    </row>
    <row r="12" spans="1:16" x14ac:dyDescent="0.35">
      <c r="A12" s="335"/>
      <c r="B12" s="18">
        <v>7</v>
      </c>
      <c r="C12" s="37">
        <v>1091.19</v>
      </c>
      <c r="D12" s="37">
        <f t="shared" si="0"/>
        <v>272.79750000000001</v>
      </c>
      <c r="E12" s="41">
        <f t="shared" si="1"/>
        <v>0.25</v>
      </c>
      <c r="F12" s="41">
        <f t="shared" si="2"/>
        <v>0.75</v>
      </c>
      <c r="G12" s="42">
        <f t="shared" si="3"/>
        <v>9820.7100000000009</v>
      </c>
      <c r="H12" s="202"/>
      <c r="I12" s="42"/>
    </row>
    <row r="13" spans="1:16" x14ac:dyDescent="0.35">
      <c r="A13" s="335"/>
      <c r="B13" s="18">
        <v>8</v>
      </c>
      <c r="C13" s="37">
        <v>2167.75</v>
      </c>
      <c r="D13" s="37">
        <f t="shared" si="0"/>
        <v>541.9375</v>
      </c>
      <c r="E13" s="41">
        <f t="shared" si="1"/>
        <v>0.25</v>
      </c>
      <c r="F13" s="41">
        <f t="shared" si="2"/>
        <v>0.75</v>
      </c>
      <c r="G13" s="42">
        <f t="shared" si="3"/>
        <v>19509.75</v>
      </c>
      <c r="H13" s="202"/>
      <c r="I13" s="42"/>
    </row>
    <row r="14" spans="1:16" x14ac:dyDescent="0.35">
      <c r="B14" s="1" t="s">
        <v>258</v>
      </c>
      <c r="C14" s="255">
        <v>80</v>
      </c>
      <c r="D14" s="109">
        <f t="shared" si="0"/>
        <v>20</v>
      </c>
      <c r="E14" s="41">
        <f t="shared" si="1"/>
        <v>0.25</v>
      </c>
      <c r="F14" s="41">
        <f t="shared" si="2"/>
        <v>0.75</v>
      </c>
      <c r="G14" s="254">
        <f t="shared" si="3"/>
        <v>720</v>
      </c>
      <c r="H14" s="202"/>
      <c r="I14" s="254"/>
    </row>
    <row r="15" spans="1:16" x14ac:dyDescent="0.35">
      <c r="B15" s="1" t="s">
        <v>50</v>
      </c>
      <c r="C15" s="42">
        <f>SUM(C6:C14)</f>
        <v>11626.570000000002</v>
      </c>
      <c r="D15" s="13"/>
      <c r="E15" s="41"/>
      <c r="F15" s="41"/>
      <c r="G15" s="42">
        <f>SUM(G6:G14)</f>
        <v>104639.13</v>
      </c>
      <c r="I15" s="42">
        <f>C15*12</f>
        <v>139518.84000000003</v>
      </c>
    </row>
    <row r="16" spans="1:16" x14ac:dyDescent="0.35">
      <c r="C16" s="42"/>
      <c r="D16" s="13"/>
      <c r="E16" s="41"/>
      <c r="F16" s="41"/>
      <c r="G16" s="42"/>
      <c r="I16" s="42"/>
    </row>
    <row r="17" spans="1:15" x14ac:dyDescent="0.35">
      <c r="B17" s="411" t="s">
        <v>297</v>
      </c>
      <c r="C17" s="42" t="s">
        <v>304</v>
      </c>
      <c r="D17" s="13"/>
      <c r="E17" s="41"/>
      <c r="F17" s="41"/>
      <c r="G17" s="18" t="s">
        <v>149</v>
      </c>
      <c r="I17" s="42"/>
    </row>
    <row r="18" spans="1:15" ht="16" x14ac:dyDescent="0.5">
      <c r="B18" s="1" t="s">
        <v>84</v>
      </c>
      <c r="C18" s="380" t="s">
        <v>303</v>
      </c>
      <c r="D18" s="13"/>
      <c r="E18" s="41"/>
      <c r="F18" s="41"/>
      <c r="G18" s="334" t="s">
        <v>72</v>
      </c>
      <c r="I18" s="42"/>
    </row>
    <row r="19" spans="1:15" x14ac:dyDescent="0.35">
      <c r="B19" s="1">
        <v>8</v>
      </c>
      <c r="C19" s="42">
        <v>3500</v>
      </c>
      <c r="D19" s="13"/>
      <c r="E19" s="41"/>
      <c r="F19" s="41"/>
      <c r="G19" s="42">
        <f>8*3500</f>
        <v>28000</v>
      </c>
      <c r="I19" s="42"/>
    </row>
    <row r="20" spans="1:15" x14ac:dyDescent="0.35">
      <c r="C20" s="42"/>
      <c r="D20" s="13"/>
      <c r="E20" s="41"/>
      <c r="F20" s="41"/>
      <c r="G20" s="42"/>
      <c r="I20" s="42"/>
    </row>
    <row r="21" spans="1:15" x14ac:dyDescent="0.35">
      <c r="D21" s="18" t="s">
        <v>68</v>
      </c>
      <c r="G21" s="18" t="s">
        <v>149</v>
      </c>
      <c r="I21" s="18"/>
      <c r="N21" s="19"/>
      <c r="O21" s="19"/>
    </row>
    <row r="22" spans="1:15" x14ac:dyDescent="0.35">
      <c r="B22" s="411" t="s">
        <v>187</v>
      </c>
      <c r="C22" s="18" t="s">
        <v>68</v>
      </c>
      <c r="D22" s="18" t="s">
        <v>69</v>
      </c>
      <c r="E22" s="18" t="s">
        <v>69</v>
      </c>
      <c r="F22" s="18" t="s">
        <v>70</v>
      </c>
      <c r="G22" s="18" t="s">
        <v>72</v>
      </c>
      <c r="I22" s="18"/>
    </row>
    <row r="23" spans="1:15" x14ac:dyDescent="0.35">
      <c r="B23" s="114"/>
      <c r="C23" s="19" t="s">
        <v>71</v>
      </c>
      <c r="D23" s="19" t="s">
        <v>74</v>
      </c>
      <c r="E23" s="19" t="s">
        <v>75</v>
      </c>
      <c r="F23" s="19" t="s">
        <v>75</v>
      </c>
      <c r="G23" s="40" t="s">
        <v>71</v>
      </c>
      <c r="H23" s="201"/>
      <c r="I23" s="40"/>
    </row>
    <row r="24" spans="1:15" x14ac:dyDescent="0.35">
      <c r="A24" s="1" t="s">
        <v>292</v>
      </c>
      <c r="B24" s="1">
        <v>3</v>
      </c>
      <c r="C24" s="37">
        <v>141.57</v>
      </c>
      <c r="D24" s="37">
        <v>0</v>
      </c>
      <c r="E24" s="41">
        <f>IF(C24&gt;0,D24/C24,0)</f>
        <v>0</v>
      </c>
      <c r="F24" s="41">
        <f>1-E24</f>
        <v>1</v>
      </c>
      <c r="G24" s="42">
        <f>C24*F24*12</f>
        <v>1698.84</v>
      </c>
      <c r="H24" s="202"/>
      <c r="I24" s="42"/>
    </row>
    <row r="25" spans="1:15" x14ac:dyDescent="0.35">
      <c r="A25" s="1" t="s">
        <v>293</v>
      </c>
      <c r="B25" s="1">
        <v>4</v>
      </c>
      <c r="C25" s="37">
        <v>98.08</v>
      </c>
      <c r="D25" s="37">
        <v>0</v>
      </c>
      <c r="E25" s="41">
        <f t="shared" ref="E25:E38" si="4">IF(C25&gt;0,D25/C25,0)</f>
        <v>0</v>
      </c>
      <c r="F25" s="41">
        <f t="shared" ref="F25:F38" si="5">1-E25</f>
        <v>1</v>
      </c>
      <c r="G25" s="42">
        <f t="shared" ref="G25:G38" si="6">C25*F25*12</f>
        <v>1176.96</v>
      </c>
      <c r="H25" s="202"/>
      <c r="I25" s="42"/>
    </row>
    <row r="26" spans="1:15" x14ac:dyDescent="0.35">
      <c r="A26" s="1" t="s">
        <v>294</v>
      </c>
      <c r="B26" s="1">
        <v>1</v>
      </c>
      <c r="C26" s="37">
        <v>73.84</v>
      </c>
      <c r="D26" s="37">
        <v>0</v>
      </c>
      <c r="E26" s="41">
        <f t="shared" si="4"/>
        <v>0</v>
      </c>
      <c r="F26" s="41">
        <f t="shared" si="5"/>
        <v>1</v>
      </c>
      <c r="G26" s="42">
        <f t="shared" si="6"/>
        <v>886.08</v>
      </c>
      <c r="H26" s="202"/>
      <c r="I26" s="42"/>
    </row>
    <row r="27" spans="1:15" x14ac:dyDescent="0.35">
      <c r="C27" s="255"/>
      <c r="D27" s="37">
        <v>0</v>
      </c>
      <c r="E27" s="41">
        <f t="shared" si="4"/>
        <v>0</v>
      </c>
      <c r="F27" s="41">
        <f t="shared" si="5"/>
        <v>1</v>
      </c>
      <c r="G27" s="254">
        <f t="shared" si="6"/>
        <v>0</v>
      </c>
      <c r="H27" s="202"/>
      <c r="I27" s="42"/>
    </row>
    <row r="28" spans="1:15" x14ac:dyDescent="0.35">
      <c r="B28" s="1" t="s">
        <v>50</v>
      </c>
      <c r="C28" s="37">
        <f>SUM(C24:C27)</f>
        <v>313.49</v>
      </c>
      <c r="D28" s="37"/>
      <c r="E28" s="41"/>
      <c r="F28" s="41"/>
      <c r="G28" s="42">
        <f>SUM(G24:G27)</f>
        <v>3761.88</v>
      </c>
      <c r="H28" s="202"/>
      <c r="I28" s="42"/>
    </row>
    <row r="29" spans="1:15" x14ac:dyDescent="0.35">
      <c r="B29" s="411" t="s">
        <v>296</v>
      </c>
      <c r="C29" s="18" t="s">
        <v>68</v>
      </c>
      <c r="D29" s="37"/>
      <c r="E29" s="41"/>
      <c r="F29" s="41"/>
      <c r="G29" s="18" t="s">
        <v>72</v>
      </c>
      <c r="H29" s="202"/>
      <c r="I29" s="42"/>
    </row>
    <row r="30" spans="1:15" x14ac:dyDescent="0.35">
      <c r="B30" s="18" t="s">
        <v>69</v>
      </c>
      <c r="C30" s="19" t="s">
        <v>71</v>
      </c>
      <c r="D30" s="37"/>
      <c r="E30" s="41"/>
      <c r="F30" s="41"/>
      <c r="G30" s="40" t="s">
        <v>71</v>
      </c>
      <c r="H30" s="202"/>
      <c r="I30" s="42"/>
    </row>
    <row r="31" spans="1:15" x14ac:dyDescent="0.35">
      <c r="A31" s="417"/>
      <c r="B31" s="18">
        <v>1</v>
      </c>
      <c r="C31" s="37">
        <v>54.05</v>
      </c>
      <c r="D31" s="37">
        <v>0</v>
      </c>
      <c r="E31" s="41">
        <f t="shared" ref="E31" si="7">IF(C31&gt;0,D31/C31,0)</f>
        <v>0</v>
      </c>
      <c r="F31" s="41">
        <f t="shared" ref="F31" si="8">1-E31</f>
        <v>1</v>
      </c>
      <c r="G31" s="42">
        <f t="shared" ref="G31" si="9">C31*F31*12</f>
        <v>648.59999999999991</v>
      </c>
      <c r="H31" s="202"/>
      <c r="I31" s="42"/>
    </row>
    <row r="32" spans="1:15" x14ac:dyDescent="0.35">
      <c r="A32" s="335"/>
      <c r="B32" s="18">
        <v>2</v>
      </c>
      <c r="C32" s="37">
        <v>28.7</v>
      </c>
      <c r="D32" s="37">
        <v>0</v>
      </c>
      <c r="E32" s="41">
        <f t="shared" ref="E32:E34" si="10">IF(C32&gt;0,D32/C32,0)</f>
        <v>0</v>
      </c>
      <c r="F32" s="41">
        <f t="shared" ref="F32:F34" si="11">1-E32</f>
        <v>1</v>
      </c>
      <c r="G32" s="42">
        <f t="shared" ref="G32:G34" si="12">C32*F32*12</f>
        <v>344.4</v>
      </c>
      <c r="H32" s="202"/>
      <c r="I32" s="42"/>
    </row>
    <row r="33" spans="1:15" x14ac:dyDescent="0.35">
      <c r="A33" s="335"/>
      <c r="B33" s="18">
        <v>3</v>
      </c>
      <c r="C33" s="37">
        <v>78.599999999999994</v>
      </c>
      <c r="D33" s="37">
        <v>0</v>
      </c>
      <c r="E33" s="41">
        <f t="shared" si="10"/>
        <v>0</v>
      </c>
      <c r="F33" s="41">
        <f t="shared" si="11"/>
        <v>1</v>
      </c>
      <c r="G33" s="42">
        <f t="shared" si="12"/>
        <v>943.19999999999993</v>
      </c>
      <c r="H33" s="202"/>
      <c r="I33" s="42"/>
    </row>
    <row r="34" spans="1:15" x14ac:dyDescent="0.35">
      <c r="A34" s="335"/>
      <c r="B34" s="18">
        <v>4</v>
      </c>
      <c r="C34" s="37">
        <v>28.7</v>
      </c>
      <c r="D34" s="37">
        <v>0</v>
      </c>
      <c r="E34" s="41">
        <f t="shared" si="10"/>
        <v>0</v>
      </c>
      <c r="F34" s="41">
        <f t="shared" si="11"/>
        <v>1</v>
      </c>
      <c r="G34" s="42">
        <f t="shared" si="12"/>
        <v>344.4</v>
      </c>
      <c r="H34" s="202"/>
      <c r="I34" s="42"/>
    </row>
    <row r="35" spans="1:15" x14ac:dyDescent="0.35">
      <c r="A35" s="335"/>
      <c r="B35" s="18">
        <v>5</v>
      </c>
      <c r="C35" s="37">
        <v>36.299999999999997</v>
      </c>
      <c r="D35" s="37">
        <v>0</v>
      </c>
      <c r="E35" s="41">
        <f t="shared" si="4"/>
        <v>0</v>
      </c>
      <c r="F35" s="41">
        <f t="shared" si="5"/>
        <v>1</v>
      </c>
      <c r="G35" s="42">
        <f t="shared" si="6"/>
        <v>435.59999999999997</v>
      </c>
      <c r="H35" s="202"/>
      <c r="I35" s="42"/>
    </row>
    <row r="36" spans="1:15" x14ac:dyDescent="0.35">
      <c r="A36" s="335"/>
      <c r="B36" s="18">
        <v>6</v>
      </c>
      <c r="C36" s="37">
        <v>43.85</v>
      </c>
      <c r="D36" s="37">
        <v>0</v>
      </c>
      <c r="E36" s="41">
        <f t="shared" si="4"/>
        <v>0</v>
      </c>
      <c r="F36" s="41">
        <f t="shared" si="5"/>
        <v>1</v>
      </c>
      <c r="G36" s="42">
        <f t="shared" si="6"/>
        <v>526.20000000000005</v>
      </c>
      <c r="H36" s="202"/>
      <c r="I36" s="42"/>
    </row>
    <row r="37" spans="1:15" x14ac:dyDescent="0.35">
      <c r="A37" s="335"/>
      <c r="B37" s="18">
        <v>7</v>
      </c>
      <c r="C37" s="37">
        <v>36.299999999999997</v>
      </c>
      <c r="D37" s="37">
        <v>0</v>
      </c>
      <c r="E37" s="41">
        <f t="shared" si="4"/>
        <v>0</v>
      </c>
      <c r="F37" s="41">
        <f t="shared" si="5"/>
        <v>1</v>
      </c>
      <c r="G37" s="42">
        <f t="shared" si="6"/>
        <v>435.59999999999997</v>
      </c>
      <c r="H37" s="202"/>
      <c r="I37" s="42"/>
    </row>
    <row r="38" spans="1:15" x14ac:dyDescent="0.35">
      <c r="A38" s="335"/>
      <c r="B38" s="18">
        <v>8</v>
      </c>
      <c r="C38" s="255">
        <v>45</v>
      </c>
      <c r="D38" s="109">
        <v>0</v>
      </c>
      <c r="E38" s="41">
        <f t="shared" si="4"/>
        <v>0</v>
      </c>
      <c r="F38" s="41">
        <f t="shared" si="5"/>
        <v>1</v>
      </c>
      <c r="G38" s="254">
        <f t="shared" si="6"/>
        <v>540</v>
      </c>
      <c r="H38" s="202"/>
      <c r="I38" s="254"/>
    </row>
    <row r="39" spans="1:15" x14ac:dyDescent="0.35">
      <c r="B39" s="1" t="s">
        <v>50</v>
      </c>
      <c r="C39" s="42">
        <f>SUM(C31:C38)</f>
        <v>351.5</v>
      </c>
      <c r="G39" s="42">
        <f>SUM(G31:G38)</f>
        <v>4218</v>
      </c>
      <c r="I39" s="42"/>
      <c r="N39" s="316"/>
      <c r="O39" s="316"/>
    </row>
    <row r="40" spans="1:15" x14ac:dyDescent="0.35">
      <c r="C40" s="42"/>
      <c r="G40" s="42"/>
      <c r="I40" s="42"/>
    </row>
    <row r="41" spans="1:15" x14ac:dyDescent="0.35">
      <c r="C41" s="42"/>
      <c r="G41" s="42"/>
      <c r="I41" s="42"/>
    </row>
    <row r="42" spans="1:15" x14ac:dyDescent="0.35">
      <c r="C42" s="18" t="s">
        <v>68</v>
      </c>
      <c r="G42" s="18" t="s">
        <v>72</v>
      </c>
      <c r="I42" s="42"/>
    </row>
    <row r="43" spans="1:15" x14ac:dyDescent="0.35">
      <c r="B43" s="1" t="s">
        <v>298</v>
      </c>
      <c r="C43" s="19" t="s">
        <v>71</v>
      </c>
      <c r="G43" s="40" t="s">
        <v>71</v>
      </c>
      <c r="I43" s="42"/>
    </row>
    <row r="44" spans="1:15" x14ac:dyDescent="0.35">
      <c r="B44" s="89" t="s">
        <v>299</v>
      </c>
      <c r="C44" s="42">
        <v>959.43</v>
      </c>
      <c r="G44" s="42">
        <f>C44*12</f>
        <v>11513.16</v>
      </c>
      <c r="I44" s="42"/>
    </row>
    <row r="45" spans="1:15" x14ac:dyDescent="0.35">
      <c r="C45" s="42"/>
      <c r="G45" s="42"/>
      <c r="I45" s="42"/>
    </row>
    <row r="46" spans="1:15" x14ac:dyDescent="0.35">
      <c r="C46" s="42"/>
      <c r="G46" s="42"/>
      <c r="I46" s="42"/>
    </row>
    <row r="47" spans="1:15" x14ac:dyDescent="0.35">
      <c r="C47" s="42"/>
      <c r="G47" s="42"/>
      <c r="I47" s="42"/>
    </row>
    <row r="48" spans="1:15" x14ac:dyDescent="0.35">
      <c r="G48" s="42"/>
      <c r="I48" s="42"/>
    </row>
    <row r="49" spans="2:12" x14ac:dyDescent="0.35">
      <c r="B49" s="114" t="s">
        <v>307</v>
      </c>
      <c r="E49" s="21">
        <f>G44+G39+G28+G19+G15</f>
        <v>152132.17000000001</v>
      </c>
      <c r="G49" s="42"/>
      <c r="I49" s="42"/>
    </row>
    <row r="50" spans="2:12" x14ac:dyDescent="0.35">
      <c r="I50" s="42"/>
    </row>
    <row r="51" spans="2:12" x14ac:dyDescent="0.35">
      <c r="B51" s="1" t="s">
        <v>300</v>
      </c>
      <c r="D51" s="211">
        <f>E49</f>
        <v>152132.17000000001</v>
      </c>
      <c r="I51" s="42"/>
    </row>
    <row r="52" spans="2:12" x14ac:dyDescent="0.35">
      <c r="B52" s="1" t="s">
        <v>301</v>
      </c>
      <c r="D52" s="408">
        <f>-M6</f>
        <v>-136433.62</v>
      </c>
      <c r="E52" s="118"/>
      <c r="F52" s="118"/>
      <c r="H52" s="201"/>
      <c r="I52" s="40"/>
      <c r="K52" s="119"/>
      <c r="L52" s="119"/>
    </row>
    <row r="53" spans="2:12" x14ac:dyDescent="0.35">
      <c r="B53" s="1" t="s">
        <v>116</v>
      </c>
      <c r="D53" s="212">
        <f>D51+D52</f>
        <v>15698.550000000017</v>
      </c>
      <c r="E53" s="120"/>
      <c r="F53" s="115"/>
      <c r="G53" s="89"/>
      <c r="H53" s="209"/>
      <c r="I53" s="115"/>
      <c r="K53" s="82"/>
    </row>
    <row r="54" spans="2:12" ht="17" x14ac:dyDescent="0.5">
      <c r="D54" s="117"/>
      <c r="E54" s="116"/>
      <c r="F54" s="116"/>
      <c r="G54" s="199"/>
      <c r="H54" s="210"/>
      <c r="I54" s="116"/>
    </row>
    <row r="55" spans="2:12" ht="15.5" x14ac:dyDescent="0.35">
      <c r="D55" s="117"/>
      <c r="E55" s="115"/>
      <c r="F55" s="115"/>
      <c r="G55" s="199"/>
      <c r="H55" s="209"/>
      <c r="I55" s="115"/>
    </row>
    <row r="60" spans="2:12" x14ac:dyDescent="0.35">
      <c r="H60" s="200" t="s">
        <v>152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34C12-8B08-4347-8810-FE79CDF4480C}">
  <sheetPr>
    <tabColor rgb="FF92D050"/>
    <pageSetUpPr fitToPage="1"/>
  </sheetPr>
  <dimension ref="A1:R53"/>
  <sheetViews>
    <sheetView showGridLines="0" workbookViewId="0">
      <selection activeCell="B2" sqref="B2:L48"/>
    </sheetView>
  </sheetViews>
  <sheetFormatPr defaultRowHeight="15.5" x14ac:dyDescent="0.35"/>
  <cols>
    <col min="1" max="1" width="2" customWidth="1"/>
    <col min="2" max="2" width="1.84375" customWidth="1"/>
    <col min="3" max="3" width="1.765625" customWidth="1"/>
    <col min="4" max="4" width="27.4609375" customWidth="1"/>
    <col min="5" max="5" width="8.3046875" customWidth="1"/>
    <col min="6" max="6" width="11.69140625" customWidth="1"/>
    <col min="7" max="7" width="6.07421875" customWidth="1"/>
    <col min="8" max="8" width="9.3046875" customWidth="1"/>
    <col min="9" max="9" width="6.07421875" customWidth="1"/>
    <col min="10" max="10" width="9.3046875" customWidth="1"/>
    <col min="11" max="11" width="10.69140625" customWidth="1"/>
    <col min="12" max="12" width="1.84375" customWidth="1"/>
    <col min="13" max="13" width="2.4609375" customWidth="1"/>
    <col min="15" max="15" width="12.3828125" bestFit="1" customWidth="1"/>
    <col min="17" max="17" width="11.3828125" bestFit="1" customWidth="1"/>
  </cols>
  <sheetData>
    <row r="1" spans="1:13" x14ac:dyDescent="0.35">
      <c r="A1" s="1"/>
      <c r="B1" s="1"/>
      <c r="C1" s="122"/>
      <c r="D1" s="122"/>
      <c r="E1" s="122"/>
      <c r="F1" s="122"/>
      <c r="G1" s="123"/>
      <c r="H1" s="122"/>
      <c r="I1" s="123"/>
      <c r="J1" s="122"/>
      <c r="K1" s="122"/>
      <c r="L1" s="122"/>
      <c r="M1" s="122"/>
    </row>
    <row r="2" spans="1:13" x14ac:dyDescent="0.35">
      <c r="A2" s="1"/>
      <c r="B2" s="76"/>
      <c r="C2" s="124"/>
      <c r="D2" s="124"/>
      <c r="E2" s="124"/>
      <c r="F2" s="124"/>
      <c r="G2" s="125"/>
      <c r="H2" s="124"/>
      <c r="I2" s="125"/>
      <c r="J2" s="124"/>
      <c r="K2" s="124"/>
      <c r="L2" s="126"/>
      <c r="M2" s="127"/>
    </row>
    <row r="3" spans="1:13" ht="18.5" x14ac:dyDescent="0.45">
      <c r="A3" s="1"/>
      <c r="B3" s="45"/>
      <c r="C3" s="461" t="s">
        <v>25</v>
      </c>
      <c r="D3" s="461"/>
      <c r="E3" s="461"/>
      <c r="F3" s="461"/>
      <c r="G3" s="461"/>
      <c r="H3" s="461"/>
      <c r="I3" s="461"/>
      <c r="J3" s="461"/>
      <c r="K3" s="461"/>
      <c r="L3" s="128"/>
      <c r="M3" s="127"/>
    </row>
    <row r="4" spans="1:13" ht="18.5" x14ac:dyDescent="0.45">
      <c r="A4" s="1"/>
      <c r="B4" s="45"/>
      <c r="C4" s="453" t="s">
        <v>38</v>
      </c>
      <c r="D4" s="453"/>
      <c r="E4" s="453"/>
      <c r="F4" s="453"/>
      <c r="G4" s="453"/>
      <c r="H4" s="453"/>
      <c r="I4" s="453"/>
      <c r="J4" s="453"/>
      <c r="K4" s="453"/>
      <c r="L4" s="128"/>
      <c r="M4" s="127"/>
    </row>
    <row r="5" spans="1:13" ht="18.5" x14ac:dyDescent="0.45">
      <c r="A5" s="1"/>
      <c r="B5" s="45"/>
      <c r="C5" s="453" t="str">
        <f>SAO!A2</f>
        <v>EAST CLARK COUNTY WATER DISTRICT</v>
      </c>
      <c r="D5" s="460"/>
      <c r="E5" s="460"/>
      <c r="F5" s="460"/>
      <c r="G5" s="460"/>
      <c r="H5" s="460"/>
      <c r="I5" s="460"/>
      <c r="J5" s="460"/>
      <c r="K5" s="460"/>
      <c r="L5" s="128"/>
      <c r="M5" s="127"/>
    </row>
    <row r="6" spans="1:13" x14ac:dyDescent="0.35">
      <c r="A6" s="1"/>
      <c r="B6" s="45"/>
      <c r="C6" s="454" t="s">
        <v>256</v>
      </c>
      <c r="D6" s="454"/>
      <c r="E6" s="454"/>
      <c r="F6" s="454"/>
      <c r="G6" s="454"/>
      <c r="H6" s="454"/>
      <c r="I6" s="454"/>
      <c r="J6" s="454"/>
      <c r="K6" s="454"/>
      <c r="L6" s="128"/>
      <c r="M6" s="127"/>
    </row>
    <row r="7" spans="1:13" x14ac:dyDescent="0.35">
      <c r="A7" s="1"/>
      <c r="B7" s="45"/>
      <c r="C7" s="122"/>
      <c r="D7" s="122"/>
      <c r="E7" s="122"/>
      <c r="F7" s="122"/>
      <c r="G7" s="129"/>
      <c r="H7" s="122"/>
      <c r="I7" s="129"/>
      <c r="J7" s="122"/>
      <c r="K7" s="130" t="s">
        <v>39</v>
      </c>
      <c r="L7" s="128"/>
      <c r="M7" s="127"/>
    </row>
    <row r="8" spans="1:13" x14ac:dyDescent="0.35">
      <c r="A8" s="1"/>
      <c r="B8" s="45"/>
      <c r="C8" s="131"/>
      <c r="D8" s="131"/>
      <c r="E8" s="131" t="s">
        <v>40</v>
      </c>
      <c r="F8" s="131" t="s">
        <v>41</v>
      </c>
      <c r="G8" s="132" t="s">
        <v>117</v>
      </c>
      <c r="H8" s="133"/>
      <c r="I8" s="132" t="s">
        <v>30</v>
      </c>
      <c r="J8" s="133"/>
      <c r="K8" s="130" t="s">
        <v>42</v>
      </c>
      <c r="L8" s="128"/>
      <c r="M8" s="127"/>
    </row>
    <row r="9" spans="1:13" ht="17" x14ac:dyDescent="0.5">
      <c r="A9" s="1"/>
      <c r="B9" s="45"/>
      <c r="C9" s="130"/>
      <c r="D9" s="134" t="s">
        <v>118</v>
      </c>
      <c r="E9" s="130" t="s">
        <v>43</v>
      </c>
      <c r="F9" s="130" t="s">
        <v>119</v>
      </c>
      <c r="G9" s="23" t="s">
        <v>44</v>
      </c>
      <c r="H9" s="130" t="s">
        <v>45</v>
      </c>
      <c r="I9" s="23" t="s">
        <v>44</v>
      </c>
      <c r="J9" s="130" t="s">
        <v>45</v>
      </c>
      <c r="K9" s="130" t="s">
        <v>36</v>
      </c>
      <c r="L9" s="128"/>
      <c r="M9" s="127"/>
    </row>
    <row r="10" spans="1:13" x14ac:dyDescent="0.35">
      <c r="A10" s="1"/>
      <c r="B10" s="45"/>
      <c r="C10" s="130"/>
      <c r="D10" s="130"/>
      <c r="E10" s="130"/>
      <c r="F10" s="130"/>
      <c r="G10" s="23"/>
      <c r="H10" s="130"/>
      <c r="I10" s="23"/>
      <c r="J10" s="130"/>
      <c r="K10" s="130"/>
      <c r="L10" s="128"/>
      <c r="M10" s="127"/>
    </row>
    <row r="11" spans="1:13" x14ac:dyDescent="0.35">
      <c r="A11" s="1"/>
      <c r="B11" s="45"/>
      <c r="C11" s="135" t="s">
        <v>120</v>
      </c>
      <c r="D11" s="122"/>
      <c r="E11" s="136"/>
      <c r="F11" s="82"/>
      <c r="G11" s="129"/>
      <c r="H11" s="82"/>
      <c r="I11" s="129"/>
      <c r="J11" s="82"/>
      <c r="K11" s="82"/>
      <c r="L11" s="128"/>
      <c r="M11" s="127"/>
    </row>
    <row r="12" spans="1:13" x14ac:dyDescent="0.35">
      <c r="A12" s="1"/>
      <c r="B12" s="45"/>
      <c r="C12" s="135"/>
      <c r="D12" s="122" t="s">
        <v>121</v>
      </c>
      <c r="E12" s="136" t="s">
        <v>61</v>
      </c>
      <c r="F12" s="204">
        <v>213120.13</v>
      </c>
      <c r="G12" s="61" t="s">
        <v>122</v>
      </c>
      <c r="H12" s="204">
        <v>6488</v>
      </c>
      <c r="I12" s="129">
        <v>37.5</v>
      </c>
      <c r="J12" s="204">
        <f>F12/I12</f>
        <v>5683.2034666666668</v>
      </c>
      <c r="K12" s="204">
        <f>J12-H12</f>
        <v>-804.79653333333317</v>
      </c>
      <c r="L12" s="128"/>
      <c r="M12" s="127"/>
    </row>
    <row r="13" spans="1:13" x14ac:dyDescent="0.35">
      <c r="A13" s="1"/>
      <c r="B13" s="45"/>
      <c r="C13" s="135"/>
      <c r="D13" s="122" t="s">
        <v>123</v>
      </c>
      <c r="E13" s="136" t="s">
        <v>61</v>
      </c>
      <c r="F13" s="20">
        <v>84637.47</v>
      </c>
      <c r="G13" s="61" t="s">
        <v>122</v>
      </c>
      <c r="H13" s="20">
        <v>8163.32</v>
      </c>
      <c r="I13" s="129">
        <v>10</v>
      </c>
      <c r="J13" s="20">
        <f>F13/I13</f>
        <v>8463.7469999999994</v>
      </c>
      <c r="K13" s="20">
        <f>J13-H13</f>
        <v>300.42699999999968</v>
      </c>
      <c r="L13" s="128"/>
      <c r="M13" s="127"/>
    </row>
    <row r="14" spans="1:13" hidden="1" x14ac:dyDescent="0.35">
      <c r="A14" s="1"/>
      <c r="B14" s="45"/>
      <c r="C14" s="122"/>
      <c r="D14" s="122" t="s">
        <v>124</v>
      </c>
      <c r="E14" s="136" t="s">
        <v>61</v>
      </c>
      <c r="F14" s="20"/>
      <c r="G14" s="61" t="s">
        <v>122</v>
      </c>
      <c r="H14" s="20"/>
      <c r="I14" s="129">
        <v>22.5</v>
      </c>
      <c r="J14" s="20">
        <f>F14/I14</f>
        <v>0</v>
      </c>
      <c r="K14" s="20">
        <f>J14-H14</f>
        <v>0</v>
      </c>
      <c r="L14" s="128"/>
      <c r="M14" s="127"/>
    </row>
    <row r="15" spans="1:13" x14ac:dyDescent="0.35">
      <c r="A15" s="1"/>
      <c r="B15" s="45"/>
      <c r="C15" s="122"/>
      <c r="D15" s="122" t="s">
        <v>125</v>
      </c>
      <c r="E15" s="136" t="s">
        <v>61</v>
      </c>
      <c r="F15" s="20">
        <v>213024.72</v>
      </c>
      <c r="G15" s="61" t="s">
        <v>122</v>
      </c>
      <c r="H15" s="20">
        <v>13573.34</v>
      </c>
      <c r="I15" s="129">
        <v>12.5</v>
      </c>
      <c r="J15" s="20">
        <f t="shared" ref="J15:J17" si="0">F15/I15</f>
        <v>17041.977599999998</v>
      </c>
      <c r="K15" s="20">
        <f t="shared" ref="K15:K17" si="1">J15-H15</f>
        <v>3468.6375999999982</v>
      </c>
      <c r="L15" s="128"/>
      <c r="M15" s="127"/>
    </row>
    <row r="16" spans="1:13" x14ac:dyDescent="0.35">
      <c r="A16" s="1"/>
      <c r="B16" s="45"/>
      <c r="C16" s="122"/>
      <c r="D16" s="122" t="s">
        <v>126</v>
      </c>
      <c r="E16" s="136" t="s">
        <v>61</v>
      </c>
      <c r="F16" s="20">
        <v>17190</v>
      </c>
      <c r="G16" s="61" t="s">
        <v>122</v>
      </c>
      <c r="H16" s="20">
        <v>1625.68</v>
      </c>
      <c r="I16" s="129">
        <v>17.5</v>
      </c>
      <c r="J16" s="20">
        <f t="shared" si="0"/>
        <v>982.28571428571433</v>
      </c>
      <c r="K16" s="20">
        <f t="shared" si="1"/>
        <v>-643.39428571428573</v>
      </c>
      <c r="L16" s="128"/>
      <c r="M16" s="127"/>
    </row>
    <row r="17" spans="1:18" hidden="1" x14ac:dyDescent="0.35">
      <c r="A17" s="1"/>
      <c r="B17" s="45"/>
      <c r="C17" s="122"/>
      <c r="D17" s="122" t="s">
        <v>127</v>
      </c>
      <c r="E17" s="136" t="s">
        <v>61</v>
      </c>
      <c r="F17" s="20"/>
      <c r="G17" s="61" t="s">
        <v>122</v>
      </c>
      <c r="H17" s="20"/>
      <c r="I17" s="129">
        <v>15</v>
      </c>
      <c r="J17" s="20">
        <f t="shared" si="0"/>
        <v>0</v>
      </c>
      <c r="K17" s="20">
        <f t="shared" si="1"/>
        <v>0</v>
      </c>
      <c r="L17" s="128"/>
      <c r="M17" s="127"/>
    </row>
    <row r="18" spans="1:18" x14ac:dyDescent="0.35">
      <c r="A18" s="1"/>
      <c r="B18" s="45"/>
      <c r="C18" s="130"/>
      <c r="D18" s="130"/>
      <c r="E18" s="130"/>
      <c r="F18" s="130"/>
      <c r="G18" s="23"/>
      <c r="H18" s="130"/>
      <c r="I18" s="23"/>
      <c r="J18" s="130"/>
      <c r="K18" s="130"/>
      <c r="L18" s="128"/>
      <c r="M18" s="127"/>
    </row>
    <row r="19" spans="1:18" x14ac:dyDescent="0.35">
      <c r="A19" s="1"/>
      <c r="B19" s="45"/>
      <c r="C19" s="135" t="s">
        <v>128</v>
      </c>
      <c r="D19" s="122"/>
      <c r="E19" s="136"/>
      <c r="F19" s="82"/>
      <c r="G19" s="137"/>
      <c r="H19" s="82"/>
      <c r="I19" s="137"/>
      <c r="J19" s="82"/>
      <c r="K19" s="82"/>
      <c r="L19" s="128"/>
      <c r="M19" s="127"/>
    </row>
    <row r="20" spans="1:18" x14ac:dyDescent="0.35">
      <c r="A20" s="1"/>
      <c r="B20" s="45"/>
      <c r="C20" s="135"/>
      <c r="D20" s="122" t="s">
        <v>121</v>
      </c>
      <c r="E20" s="136" t="s">
        <v>61</v>
      </c>
      <c r="F20" s="20">
        <v>193881</v>
      </c>
      <c r="G20" s="61" t="s">
        <v>122</v>
      </c>
      <c r="H20" s="20">
        <v>4935</v>
      </c>
      <c r="I20" s="129">
        <v>37.5</v>
      </c>
      <c r="J20" s="20">
        <f>F20/I20</f>
        <v>5170.16</v>
      </c>
      <c r="K20" s="20">
        <f>J20-H20</f>
        <v>235.15999999999985</v>
      </c>
      <c r="L20" s="128"/>
      <c r="M20" s="127"/>
    </row>
    <row r="21" spans="1:18" x14ac:dyDescent="0.35">
      <c r="A21" s="1"/>
      <c r="B21" s="45"/>
      <c r="C21" s="122"/>
      <c r="D21" s="122" t="s">
        <v>129</v>
      </c>
      <c r="E21" s="136" t="s">
        <v>61</v>
      </c>
      <c r="F21" s="82">
        <v>116758</v>
      </c>
      <c r="G21" s="61" t="s">
        <v>122</v>
      </c>
      <c r="H21" s="20">
        <v>5935.73</v>
      </c>
      <c r="I21" s="129">
        <v>10</v>
      </c>
      <c r="J21" s="82">
        <f>F21/I21</f>
        <v>11675.8</v>
      </c>
      <c r="K21" s="20">
        <f>J21-H21</f>
        <v>5740.07</v>
      </c>
      <c r="L21" s="128"/>
      <c r="M21" s="127"/>
    </row>
    <row r="22" spans="1:18" x14ac:dyDescent="0.35">
      <c r="A22" s="1"/>
      <c r="B22" s="45"/>
      <c r="C22" s="122"/>
      <c r="D22" s="122" t="s">
        <v>130</v>
      </c>
      <c r="E22" s="136" t="s">
        <v>61</v>
      </c>
      <c r="F22" s="82">
        <v>100965.97</v>
      </c>
      <c r="G22" s="61" t="s">
        <v>122</v>
      </c>
      <c r="H22" s="20">
        <v>5966.13</v>
      </c>
      <c r="I22" s="129">
        <v>20</v>
      </c>
      <c r="J22" s="82">
        <f>F22/I22</f>
        <v>5048.2984999999999</v>
      </c>
      <c r="K22" s="20">
        <f>J22-H22</f>
        <v>-917.83150000000023</v>
      </c>
      <c r="L22" s="128"/>
      <c r="M22" s="127"/>
    </row>
    <row r="23" spans="1:18" x14ac:dyDescent="0.35">
      <c r="A23" s="1"/>
      <c r="B23" s="45"/>
      <c r="C23" s="130"/>
      <c r="D23" s="130"/>
      <c r="E23" s="130"/>
      <c r="F23" s="82"/>
      <c r="G23" s="137"/>
      <c r="H23" s="82"/>
      <c r="I23" s="137"/>
      <c r="J23" s="82"/>
      <c r="K23" s="82"/>
      <c r="L23" s="128"/>
      <c r="M23" s="127"/>
    </row>
    <row r="24" spans="1:18" x14ac:dyDescent="0.35">
      <c r="A24" s="1"/>
      <c r="B24" s="45"/>
      <c r="C24" s="135" t="s">
        <v>131</v>
      </c>
      <c r="D24" s="122"/>
      <c r="E24" s="136"/>
      <c r="F24" s="82"/>
      <c r="G24" s="129"/>
      <c r="H24" s="82"/>
      <c r="I24" s="129"/>
      <c r="J24" s="82"/>
      <c r="K24" s="82"/>
      <c r="L24" s="128"/>
      <c r="M24" s="127"/>
    </row>
    <row r="25" spans="1:18" hidden="1" x14ac:dyDescent="0.35">
      <c r="A25" s="1"/>
      <c r="B25" s="45"/>
      <c r="C25" s="135"/>
      <c r="D25" s="122" t="s">
        <v>132</v>
      </c>
      <c r="E25" s="136" t="s">
        <v>61</v>
      </c>
      <c r="F25" s="20"/>
      <c r="G25" s="61" t="s">
        <v>122</v>
      </c>
      <c r="H25" s="20"/>
      <c r="I25" s="129">
        <v>50</v>
      </c>
      <c r="J25" s="20">
        <f>H25</f>
        <v>0</v>
      </c>
      <c r="K25" s="20">
        <f>J25-H25</f>
        <v>0</v>
      </c>
      <c r="L25" s="128"/>
      <c r="M25" s="127"/>
    </row>
    <row r="26" spans="1:18" x14ac:dyDescent="0.35">
      <c r="A26" s="1"/>
      <c r="B26" s="45"/>
      <c r="C26" s="135"/>
      <c r="D26" s="122" t="s">
        <v>133</v>
      </c>
      <c r="E26" s="136" t="s">
        <v>61</v>
      </c>
      <c r="F26" s="20">
        <v>8804512.0500000007</v>
      </c>
      <c r="G26" s="61" t="s">
        <v>122</v>
      </c>
      <c r="H26" s="20">
        <v>193355.06</v>
      </c>
      <c r="I26" s="129">
        <v>62.5</v>
      </c>
      <c r="J26" s="20">
        <f t="shared" ref="J26:J33" si="2">F26/I26</f>
        <v>140872.19280000002</v>
      </c>
      <c r="K26" s="20">
        <f t="shared" ref="K26:K33" si="3">J26-H26</f>
        <v>-52482.867199999979</v>
      </c>
      <c r="L26" s="128"/>
      <c r="M26" s="127"/>
    </row>
    <row r="27" spans="1:18" x14ac:dyDescent="0.35">
      <c r="A27" s="1"/>
      <c r="B27" s="45"/>
      <c r="C27" s="135"/>
      <c r="D27" s="122" t="s">
        <v>134</v>
      </c>
      <c r="E27" s="136" t="s">
        <v>61</v>
      </c>
      <c r="F27" s="20">
        <v>102403.56</v>
      </c>
      <c r="G27" s="61" t="s">
        <v>122</v>
      </c>
      <c r="H27" s="20">
        <v>5521.74</v>
      </c>
      <c r="I27" s="129">
        <v>45</v>
      </c>
      <c r="J27" s="20">
        <f t="shared" si="2"/>
        <v>2275.6346666666668</v>
      </c>
      <c r="K27" s="20">
        <f t="shared" si="3"/>
        <v>-3246.105333333333</v>
      </c>
      <c r="L27" s="128"/>
      <c r="M27" s="127"/>
      <c r="Q27" s="384"/>
    </row>
    <row r="28" spans="1:18" x14ac:dyDescent="0.35">
      <c r="A28" s="1"/>
      <c r="B28" s="45"/>
      <c r="C28" s="135"/>
      <c r="D28" s="122" t="s">
        <v>135</v>
      </c>
      <c r="E28" s="136" t="s">
        <v>61</v>
      </c>
      <c r="F28" s="20">
        <v>1056882.32</v>
      </c>
      <c r="G28" s="61" t="s">
        <v>122</v>
      </c>
      <c r="H28" s="20">
        <v>53544.9</v>
      </c>
      <c r="I28" s="129">
        <v>15</v>
      </c>
      <c r="J28" s="20">
        <f t="shared" si="2"/>
        <v>70458.821333333341</v>
      </c>
      <c r="K28" s="20">
        <f t="shared" si="3"/>
        <v>16913.921333333339</v>
      </c>
      <c r="L28" s="128"/>
      <c r="M28" s="127"/>
      <c r="O28" s="360"/>
      <c r="Q28" s="384"/>
    </row>
    <row r="29" spans="1:18" hidden="1" x14ac:dyDescent="0.35">
      <c r="A29" s="1"/>
      <c r="B29" s="45"/>
      <c r="C29" s="135"/>
      <c r="D29" s="122" t="s">
        <v>136</v>
      </c>
      <c r="E29" s="136">
        <v>39413</v>
      </c>
      <c r="F29" s="20">
        <v>117150</v>
      </c>
      <c r="G29" s="61">
        <v>20</v>
      </c>
      <c r="H29" s="20">
        <v>5857.5</v>
      </c>
      <c r="I29" s="129">
        <v>20</v>
      </c>
      <c r="J29" s="20">
        <f t="shared" si="2"/>
        <v>5857.5</v>
      </c>
      <c r="K29" s="20">
        <f t="shared" si="3"/>
        <v>0</v>
      </c>
      <c r="L29" s="128"/>
      <c r="M29" s="127"/>
      <c r="Q29" s="384"/>
      <c r="R29" s="383"/>
    </row>
    <row r="30" spans="1:18" x14ac:dyDescent="0.35">
      <c r="A30" s="1"/>
      <c r="B30" s="45"/>
      <c r="C30" s="135"/>
      <c r="D30" s="122" t="s">
        <v>137</v>
      </c>
      <c r="E30" s="136">
        <v>39400</v>
      </c>
      <c r="F30" s="20">
        <v>4420</v>
      </c>
      <c r="G30" s="61">
        <v>20</v>
      </c>
      <c r="H30" s="20">
        <v>221</v>
      </c>
      <c r="I30" s="129">
        <v>37.5</v>
      </c>
      <c r="J30" s="20">
        <f t="shared" si="2"/>
        <v>117.86666666666666</v>
      </c>
      <c r="K30" s="20">
        <f t="shared" si="3"/>
        <v>-103.13333333333334</v>
      </c>
      <c r="L30" s="128"/>
      <c r="M30" s="127"/>
    </row>
    <row r="31" spans="1:18" hidden="1" x14ac:dyDescent="0.35">
      <c r="A31" s="1"/>
      <c r="B31" s="45"/>
      <c r="C31" s="135"/>
      <c r="D31" s="122" t="s">
        <v>138</v>
      </c>
      <c r="E31" s="136" t="s">
        <v>61</v>
      </c>
      <c r="F31" s="20"/>
      <c r="G31" s="61" t="s">
        <v>122</v>
      </c>
      <c r="H31" s="20"/>
      <c r="I31" s="129">
        <v>40</v>
      </c>
      <c r="J31" s="20">
        <f t="shared" si="2"/>
        <v>0</v>
      </c>
      <c r="K31" s="20">
        <f t="shared" si="3"/>
        <v>0</v>
      </c>
      <c r="L31" s="128"/>
      <c r="M31" s="127"/>
    </row>
    <row r="32" spans="1:18" x14ac:dyDescent="0.35">
      <c r="A32" s="1"/>
      <c r="B32" s="45"/>
      <c r="C32" s="135"/>
      <c r="D32" s="122" t="s">
        <v>139</v>
      </c>
      <c r="E32" s="136" t="s">
        <v>61</v>
      </c>
      <c r="F32" s="20">
        <v>2408784.6</v>
      </c>
      <c r="G32" s="61" t="s">
        <v>122</v>
      </c>
      <c r="H32" s="20">
        <v>53896</v>
      </c>
      <c r="I32" s="129">
        <v>45</v>
      </c>
      <c r="J32" s="20">
        <f t="shared" si="2"/>
        <v>53528.546666666669</v>
      </c>
      <c r="K32" s="20">
        <f t="shared" si="3"/>
        <v>-367.4533333333311</v>
      </c>
      <c r="L32" s="128"/>
      <c r="M32" s="127"/>
    </row>
    <row r="33" spans="1:14" hidden="1" x14ac:dyDescent="0.35">
      <c r="A33" s="1"/>
      <c r="B33" s="45"/>
      <c r="C33" s="135"/>
      <c r="D33" s="122" t="s">
        <v>190</v>
      </c>
      <c r="E33" s="136" t="s">
        <v>61</v>
      </c>
      <c r="F33" s="20"/>
      <c r="G33" s="61" t="s">
        <v>122</v>
      </c>
      <c r="H33" s="20"/>
      <c r="I33" s="129">
        <v>15</v>
      </c>
      <c r="J33" s="20">
        <f t="shared" si="2"/>
        <v>0</v>
      </c>
      <c r="K33" s="20">
        <f t="shared" si="3"/>
        <v>0</v>
      </c>
      <c r="L33" s="128"/>
      <c r="M33" s="127"/>
    </row>
    <row r="34" spans="1:14" x14ac:dyDescent="0.35">
      <c r="A34" s="1"/>
      <c r="B34" s="45"/>
      <c r="C34" s="135"/>
      <c r="D34" s="1"/>
      <c r="E34" s="136"/>
      <c r="F34" s="82"/>
      <c r="G34" s="137"/>
      <c r="H34" s="82"/>
      <c r="I34" s="137"/>
      <c r="J34" s="82"/>
      <c r="K34" s="20"/>
      <c r="L34" s="128"/>
      <c r="M34" s="127"/>
    </row>
    <row r="35" spans="1:14" x14ac:dyDescent="0.35">
      <c r="A35" s="1"/>
      <c r="B35" s="45"/>
      <c r="C35" s="135" t="s">
        <v>140</v>
      </c>
      <c r="D35" s="1"/>
      <c r="E35" s="136"/>
      <c r="F35" s="82"/>
      <c r="G35" s="129"/>
      <c r="H35" s="82"/>
      <c r="I35" s="138"/>
      <c r="J35" s="82"/>
      <c r="K35" s="82"/>
      <c r="L35" s="128"/>
      <c r="M35" s="127"/>
    </row>
    <row r="36" spans="1:14" x14ac:dyDescent="0.35">
      <c r="A36" s="1"/>
      <c r="B36" s="45"/>
      <c r="C36" s="122"/>
      <c r="D36" s="1" t="s">
        <v>141</v>
      </c>
      <c r="E36" s="136" t="s">
        <v>61</v>
      </c>
      <c r="F36" s="82">
        <v>252756</v>
      </c>
      <c r="G36" s="61" t="s">
        <v>122</v>
      </c>
      <c r="H36" s="82">
        <v>30516.79</v>
      </c>
      <c r="I36" s="138">
        <v>7</v>
      </c>
      <c r="J36" s="82">
        <f>F36/I36</f>
        <v>36108</v>
      </c>
      <c r="K36" s="82">
        <f>J36-H36</f>
        <v>5591.2099999999991</v>
      </c>
      <c r="L36" s="128"/>
      <c r="M36" s="127"/>
    </row>
    <row r="37" spans="1:14" hidden="1" x14ac:dyDescent="0.35">
      <c r="A37" s="1"/>
      <c r="B37" s="45"/>
      <c r="C37" s="381"/>
      <c r="D37" s="381"/>
      <c r="E37" s="130"/>
      <c r="F37" s="82"/>
      <c r="G37" s="137"/>
      <c r="H37" s="82"/>
      <c r="I37" s="137"/>
      <c r="J37" s="82"/>
      <c r="K37" s="82"/>
      <c r="L37" s="128"/>
      <c r="M37" s="127"/>
    </row>
    <row r="38" spans="1:14" hidden="1" x14ac:dyDescent="0.35">
      <c r="A38" s="1"/>
      <c r="B38" s="45"/>
      <c r="C38" s="382" t="s">
        <v>142</v>
      </c>
      <c r="D38" s="354"/>
      <c r="E38" s="136"/>
      <c r="F38" s="82"/>
      <c r="G38" s="139"/>
      <c r="H38" s="82"/>
      <c r="I38" s="129"/>
      <c r="J38" s="82"/>
      <c r="K38" s="82"/>
      <c r="L38" s="128"/>
      <c r="M38" s="127"/>
    </row>
    <row r="39" spans="1:14" hidden="1" x14ac:dyDescent="0.35">
      <c r="A39" s="1"/>
      <c r="B39" s="45"/>
      <c r="C39" s="382"/>
      <c r="D39" s="354" t="s">
        <v>121</v>
      </c>
      <c r="E39" s="136" t="s">
        <v>61</v>
      </c>
      <c r="F39" s="82"/>
      <c r="G39" s="61" t="s">
        <v>122</v>
      </c>
      <c r="H39" s="82"/>
      <c r="I39" s="129"/>
      <c r="J39" s="82"/>
      <c r="K39" s="82"/>
      <c r="L39" s="128"/>
      <c r="M39" s="127"/>
    </row>
    <row r="40" spans="1:14" hidden="1" x14ac:dyDescent="0.35">
      <c r="A40" s="1"/>
      <c r="B40" s="45"/>
      <c r="C40" s="382"/>
      <c r="D40" s="335" t="s">
        <v>216</v>
      </c>
      <c r="E40" s="136" t="s">
        <v>61</v>
      </c>
      <c r="F40" s="82"/>
      <c r="G40" s="61" t="s">
        <v>122</v>
      </c>
      <c r="H40" s="82"/>
      <c r="I40" s="138">
        <v>62.5</v>
      </c>
      <c r="J40" s="82">
        <f>F40/I40</f>
        <v>0</v>
      </c>
      <c r="K40" s="82">
        <f>J40-H40</f>
        <v>0</v>
      </c>
      <c r="L40" s="128"/>
      <c r="M40" s="127"/>
    </row>
    <row r="41" spans="1:14" x14ac:dyDescent="0.35">
      <c r="A41" s="1"/>
      <c r="B41" s="45"/>
      <c r="C41" s="122"/>
      <c r="D41" s="122"/>
      <c r="E41" s="122"/>
      <c r="F41" s="136"/>
      <c r="G41" s="82"/>
      <c r="H41" s="140"/>
      <c r="I41" s="82"/>
      <c r="J41" s="129"/>
      <c r="K41" s="82"/>
      <c r="L41" s="128"/>
      <c r="M41" s="127"/>
    </row>
    <row r="42" spans="1:14" x14ac:dyDescent="0.35">
      <c r="A42" s="1"/>
      <c r="B42" s="45"/>
      <c r="C42" s="141" t="s">
        <v>247</v>
      </c>
      <c r="D42" s="1"/>
      <c r="E42" s="1"/>
      <c r="F42" s="143">
        <f>SUM(F12:F41)</f>
        <v>13686485.82</v>
      </c>
      <c r="G42" s="142"/>
      <c r="H42" s="143">
        <f>SUM(H12:H41)</f>
        <v>389600.18999999994</v>
      </c>
      <c r="I42" s="143"/>
      <c r="J42" s="143">
        <f>SUM(J12:J41)</f>
        <v>363284.03441428574</v>
      </c>
      <c r="K42" s="143">
        <f>SUM(K12:K41)</f>
        <v>-26316.155585714263</v>
      </c>
      <c r="L42" s="128"/>
      <c r="M42" s="127"/>
      <c r="N42" s="18"/>
    </row>
    <row r="43" spans="1:14" x14ac:dyDescent="0.35">
      <c r="A43" s="1"/>
      <c r="B43" s="45"/>
      <c r="C43" s="141"/>
      <c r="D43" s="1"/>
      <c r="E43" s="1"/>
      <c r="F43" s="143"/>
      <c r="G43" s="142"/>
      <c r="H43" s="143"/>
      <c r="I43" s="143"/>
      <c r="J43" s="143"/>
      <c r="K43" s="143"/>
      <c r="L43" s="128"/>
      <c r="M43" s="127"/>
      <c r="N43" s="18"/>
    </row>
    <row r="44" spans="1:14" x14ac:dyDescent="0.35">
      <c r="A44" s="1"/>
      <c r="B44" s="45"/>
      <c r="C44" s="141"/>
      <c r="D44" s="1" t="s">
        <v>246</v>
      </c>
      <c r="E44" s="1"/>
      <c r="F44" s="143"/>
      <c r="G44" s="142"/>
      <c r="H44" s="143">
        <f>SAO!D43</f>
        <v>389600</v>
      </c>
      <c r="I44" s="143"/>
      <c r="J44" s="143">
        <f>J42</f>
        <v>363284.03441428574</v>
      </c>
      <c r="K44" s="143">
        <f>J44-H44</f>
        <v>-26315.965585714264</v>
      </c>
      <c r="L44" s="128"/>
      <c r="M44" s="127"/>
      <c r="N44" s="18"/>
    </row>
    <row r="45" spans="1:14" x14ac:dyDescent="0.35">
      <c r="A45" s="1"/>
      <c r="B45" s="45"/>
      <c r="C45" s="141"/>
      <c r="D45" s="1"/>
      <c r="E45" s="1"/>
      <c r="F45" s="143"/>
      <c r="G45" s="142"/>
      <c r="H45" s="143"/>
      <c r="I45" s="143"/>
      <c r="J45" s="143"/>
      <c r="K45" s="143"/>
      <c r="L45" s="128"/>
      <c r="M45" s="127"/>
      <c r="N45" s="18"/>
    </row>
    <row r="46" spans="1:14" x14ac:dyDescent="0.35">
      <c r="A46" s="1"/>
      <c r="B46" s="77"/>
      <c r="C46" s="144"/>
      <c r="D46" s="144"/>
      <c r="E46" s="144"/>
      <c r="F46" s="144"/>
      <c r="G46" s="144"/>
      <c r="H46" s="145"/>
      <c r="I46" s="144"/>
      <c r="J46" s="145"/>
      <c r="K46" s="144"/>
      <c r="L46" s="146"/>
      <c r="M46" s="147"/>
    </row>
    <row r="47" spans="1:14" x14ac:dyDescent="0.35">
      <c r="A47" s="1"/>
      <c r="B47" s="1"/>
      <c r="C47" s="122"/>
      <c r="D47" s="122"/>
      <c r="E47" s="122"/>
      <c r="F47" s="122"/>
      <c r="G47" s="122"/>
      <c r="H47" s="22"/>
      <c r="I47" s="122"/>
      <c r="J47" s="22"/>
      <c r="K47" s="122"/>
      <c r="L47" s="122"/>
      <c r="M47" s="122"/>
    </row>
    <row r="48" spans="1:14" x14ac:dyDescent="0.35">
      <c r="D48" s="122" t="s">
        <v>143</v>
      </c>
    </row>
    <row r="49" spans="4:4" x14ac:dyDescent="0.35">
      <c r="D49" s="122"/>
    </row>
    <row r="50" spans="4:4" x14ac:dyDescent="0.35">
      <c r="D50" s="1"/>
    </row>
    <row r="53" spans="4:4" x14ac:dyDescent="0.35">
      <c r="D53" t="s">
        <v>252</v>
      </c>
    </row>
  </sheetData>
  <mergeCells count="4">
    <mergeCell ref="C3:K3"/>
    <mergeCell ref="C4:K4"/>
    <mergeCell ref="C6:K6"/>
    <mergeCell ref="C5:K5"/>
  </mergeCells>
  <pageMargins left="0.7" right="0.7" top="0.75" bottom="0.75" header="0.3" footer="0.3"/>
  <pageSetup scale="76"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8E55-8DC2-4CD5-8872-149491EA390B}">
  <sheetPr>
    <tabColor rgb="FF92D050"/>
    <pageSetUpPr fitToPage="1"/>
  </sheetPr>
  <dimension ref="B1:X40"/>
  <sheetViews>
    <sheetView showGridLines="0" workbookViewId="0">
      <selection activeCell="C14" sqref="C14"/>
    </sheetView>
  </sheetViews>
  <sheetFormatPr defaultRowHeight="15.5" x14ac:dyDescent="0.35"/>
  <cols>
    <col min="1" max="1" width="1.765625" customWidth="1"/>
    <col min="2" max="2" width="17.765625" customWidth="1"/>
    <col min="3" max="12" width="7.765625" customWidth="1"/>
    <col min="13" max="13" width="10.69140625" customWidth="1"/>
    <col min="14" max="14" width="0.765625" customWidth="1"/>
    <col min="15" max="15" width="2.3046875" customWidth="1"/>
    <col min="16" max="16" width="9.69140625" customWidth="1"/>
    <col min="20" max="20" width="11.15234375" bestFit="1" customWidth="1"/>
  </cols>
  <sheetData>
    <row r="1" spans="2:24" x14ac:dyDescent="0.35">
      <c r="B1" s="16"/>
      <c r="C1" s="16"/>
      <c r="D1" s="16"/>
      <c r="E1" s="16"/>
      <c r="F1" s="16"/>
      <c r="G1" s="16"/>
      <c r="H1" s="16"/>
      <c r="I1" s="16"/>
      <c r="J1" s="16"/>
      <c r="K1" s="16"/>
      <c r="L1" s="16"/>
      <c r="M1" s="16"/>
      <c r="N1" s="16"/>
      <c r="O1" s="16"/>
      <c r="P1" s="16"/>
    </row>
    <row r="2" spans="2:24" x14ac:dyDescent="0.35">
      <c r="B2" s="148"/>
      <c r="C2" s="149"/>
      <c r="D2" s="149"/>
      <c r="E2" s="149"/>
      <c r="F2" s="149"/>
      <c r="G2" s="149"/>
      <c r="H2" s="149"/>
      <c r="I2" s="149"/>
      <c r="J2" s="149"/>
      <c r="K2" s="149"/>
      <c r="L2" s="149"/>
      <c r="M2" s="149"/>
      <c r="N2" s="150"/>
      <c r="O2" s="16"/>
      <c r="P2" s="16"/>
    </row>
    <row r="3" spans="2:24" ht="18.5" x14ac:dyDescent="0.45">
      <c r="B3" s="151" t="s">
        <v>144</v>
      </c>
      <c r="C3" s="152"/>
      <c r="D3" s="152"/>
      <c r="E3" s="152"/>
      <c r="F3" s="152"/>
      <c r="G3" s="152"/>
      <c r="H3" s="152"/>
      <c r="I3" s="152"/>
      <c r="J3" s="152"/>
      <c r="K3" s="152"/>
      <c r="L3" s="152"/>
      <c r="M3" s="152"/>
      <c r="N3" s="65"/>
      <c r="O3" s="16"/>
      <c r="P3" s="16"/>
    </row>
    <row r="4" spans="2:24" ht="18.5" x14ac:dyDescent="0.45">
      <c r="B4" s="153" t="s">
        <v>145</v>
      </c>
      <c r="C4" s="154"/>
      <c r="D4" s="154"/>
      <c r="E4" s="154"/>
      <c r="F4" s="154"/>
      <c r="G4" s="154"/>
      <c r="H4" s="154"/>
      <c r="I4" s="154"/>
      <c r="J4" s="154"/>
      <c r="K4" s="154"/>
      <c r="L4" s="154"/>
      <c r="M4" s="154"/>
      <c r="N4" s="65"/>
      <c r="O4" s="16"/>
      <c r="P4" s="16"/>
    </row>
    <row r="5" spans="2:24" x14ac:dyDescent="0.35">
      <c r="B5" s="155"/>
      <c r="C5" s="152"/>
      <c r="D5" s="152"/>
      <c r="E5" s="152"/>
      <c r="F5" s="152"/>
      <c r="G5" s="152"/>
      <c r="H5" s="152"/>
      <c r="I5" s="152"/>
      <c r="J5" s="152"/>
      <c r="K5" s="152"/>
      <c r="L5" s="152"/>
      <c r="M5" s="152"/>
      <c r="N5" s="65"/>
      <c r="O5" s="16"/>
      <c r="P5" s="16"/>
    </row>
    <row r="6" spans="2:24" x14ac:dyDescent="0.35">
      <c r="B6" s="156" t="s">
        <v>233</v>
      </c>
      <c r="C6" s="157"/>
      <c r="D6" s="157"/>
      <c r="E6" s="157"/>
      <c r="F6" s="157"/>
      <c r="G6" s="157"/>
      <c r="H6" s="157"/>
      <c r="I6" s="157"/>
      <c r="J6" s="157"/>
      <c r="K6" s="157"/>
      <c r="L6" s="157"/>
      <c r="M6" s="157"/>
      <c r="N6" s="65"/>
      <c r="O6" s="16"/>
      <c r="P6" s="16"/>
    </row>
    <row r="7" spans="2:24" x14ac:dyDescent="0.35">
      <c r="B7" s="158"/>
      <c r="C7" s="157"/>
      <c r="D7" s="157"/>
      <c r="E7" s="157"/>
      <c r="F7" s="157"/>
      <c r="G7" s="157"/>
      <c r="H7" s="157"/>
      <c r="I7" s="157"/>
      <c r="J7" s="157"/>
      <c r="K7" s="157"/>
      <c r="L7" s="157"/>
      <c r="M7" s="157"/>
      <c r="N7" s="65"/>
      <c r="O7" s="16"/>
      <c r="P7" s="16"/>
      <c r="T7" s="360"/>
    </row>
    <row r="8" spans="2:24" x14ac:dyDescent="0.35">
      <c r="B8" s="159"/>
      <c r="C8" s="160"/>
      <c r="D8" s="161"/>
      <c r="E8" s="160"/>
      <c r="F8" s="162"/>
      <c r="G8" s="160"/>
      <c r="H8" s="162"/>
      <c r="I8" s="160"/>
      <c r="J8" s="162"/>
      <c r="K8" s="160"/>
      <c r="L8" s="162"/>
      <c r="M8" s="161"/>
      <c r="N8" s="150"/>
      <c r="O8" s="16"/>
      <c r="P8" s="16"/>
      <c r="T8" s="360"/>
    </row>
    <row r="9" spans="2:24" ht="16" x14ac:dyDescent="0.35">
      <c r="B9" s="163"/>
      <c r="C9" s="462" t="s">
        <v>212</v>
      </c>
      <c r="D9" s="463"/>
      <c r="E9" s="462" t="s">
        <v>222</v>
      </c>
      <c r="F9" s="463"/>
      <c r="G9" s="462" t="s">
        <v>223</v>
      </c>
      <c r="H9" s="463"/>
      <c r="I9" s="462" t="s">
        <v>234</v>
      </c>
      <c r="J9" s="463"/>
      <c r="K9" s="462" t="s">
        <v>235</v>
      </c>
      <c r="L9" s="463"/>
      <c r="M9" s="16"/>
      <c r="N9" s="65"/>
      <c r="O9" s="16"/>
      <c r="P9" s="16"/>
      <c r="T9" s="360"/>
    </row>
    <row r="10" spans="2:24" ht="16" x14ac:dyDescent="0.35">
      <c r="B10" s="163"/>
      <c r="C10" s="164"/>
      <c r="D10" s="165" t="s">
        <v>146</v>
      </c>
      <c r="E10" s="166"/>
      <c r="F10" s="165" t="s">
        <v>146</v>
      </c>
      <c r="G10" s="166"/>
      <c r="H10" s="165" t="s">
        <v>146</v>
      </c>
      <c r="I10" s="166"/>
      <c r="J10" s="165" t="s">
        <v>146</v>
      </c>
      <c r="K10" s="166"/>
      <c r="L10" s="165" t="s">
        <v>146</v>
      </c>
      <c r="M10" s="16"/>
      <c r="N10" s="65"/>
      <c r="O10" s="16"/>
      <c r="P10" s="61" t="s">
        <v>41</v>
      </c>
      <c r="T10" s="360"/>
    </row>
    <row r="11" spans="2:24" ht="16" x14ac:dyDescent="0.35">
      <c r="B11" s="163"/>
      <c r="C11" s="164" t="s">
        <v>147</v>
      </c>
      <c r="D11" s="167" t="s">
        <v>148</v>
      </c>
      <c r="E11" s="164" t="s">
        <v>147</v>
      </c>
      <c r="F11" s="167" t="s">
        <v>148</v>
      </c>
      <c r="G11" s="164" t="s">
        <v>147</v>
      </c>
      <c r="H11" s="167" t="s">
        <v>148</v>
      </c>
      <c r="I11" s="164" t="s">
        <v>147</v>
      </c>
      <c r="J11" s="167" t="s">
        <v>148</v>
      </c>
      <c r="K11" s="164" t="s">
        <v>147</v>
      </c>
      <c r="L11" s="167" t="s">
        <v>148</v>
      </c>
      <c r="M11" s="168" t="s">
        <v>76</v>
      </c>
      <c r="N11" s="65"/>
      <c r="O11" s="16"/>
      <c r="P11" s="198" t="s">
        <v>237</v>
      </c>
      <c r="Q11" s="342" t="s">
        <v>238</v>
      </c>
      <c r="T11" s="360"/>
    </row>
    <row r="12" spans="2:24" x14ac:dyDescent="0.35">
      <c r="B12" s="169" t="s">
        <v>236</v>
      </c>
      <c r="C12" s="170">
        <v>45000</v>
      </c>
      <c r="D12" s="171">
        <f>4129.38+3184.38+350</f>
        <v>7663.76</v>
      </c>
      <c r="E12" s="170">
        <v>45000</v>
      </c>
      <c r="F12" s="172">
        <f>3184.38+2239.38+350</f>
        <v>5773.76</v>
      </c>
      <c r="G12" s="170">
        <v>50000</v>
      </c>
      <c r="H12" s="172">
        <f>2239.38+1189.38+350</f>
        <v>3778.76</v>
      </c>
      <c r="I12" s="170">
        <v>55000</v>
      </c>
      <c r="J12" s="172">
        <f>1189.38+350</f>
        <v>1539.38</v>
      </c>
      <c r="K12" s="170"/>
      <c r="L12" s="172"/>
      <c r="M12" s="173">
        <f t="shared" ref="M12:M19" si="0">SUM(C12:L12)</f>
        <v>213755.66000000003</v>
      </c>
      <c r="N12" s="65"/>
      <c r="O12" s="16"/>
      <c r="P12" s="16">
        <v>740000</v>
      </c>
      <c r="Q12" t="s">
        <v>287</v>
      </c>
      <c r="R12" s="16"/>
      <c r="T12" s="361"/>
      <c r="V12" s="16"/>
      <c r="X12" s="16"/>
    </row>
    <row r="13" spans="2:24" x14ac:dyDescent="0.35">
      <c r="B13" s="169" t="s">
        <v>239</v>
      </c>
      <c r="C13" s="170">
        <v>30000</v>
      </c>
      <c r="D13" s="171">
        <f>3489.38+3489.38+350</f>
        <v>7328.76</v>
      </c>
      <c r="E13" s="170">
        <v>30000</v>
      </c>
      <c r="F13" s="172">
        <f>2866.88+2866.88+350</f>
        <v>6083.76</v>
      </c>
      <c r="G13" s="170">
        <v>35000</v>
      </c>
      <c r="H13" s="172">
        <f>2244.38+2244.38+350</f>
        <v>4838.76</v>
      </c>
      <c r="I13" s="170">
        <v>35000</v>
      </c>
      <c r="J13" s="172">
        <f>1496.25+1496.25+350</f>
        <v>3342.5</v>
      </c>
      <c r="K13" s="170">
        <v>35000</v>
      </c>
      <c r="L13" s="172">
        <f>748.13+748.13+350</f>
        <v>1846.26</v>
      </c>
      <c r="M13" s="174">
        <f t="shared" si="0"/>
        <v>188440.04</v>
      </c>
      <c r="N13" s="65"/>
      <c r="O13" s="16"/>
      <c r="P13" s="16">
        <v>520000</v>
      </c>
      <c r="Q13" t="s">
        <v>288</v>
      </c>
      <c r="R13" s="16"/>
      <c r="T13" s="361"/>
      <c r="V13" s="16"/>
      <c r="X13" s="16"/>
    </row>
    <row r="14" spans="2:24" x14ac:dyDescent="0.35">
      <c r="B14" s="169" t="s">
        <v>240</v>
      </c>
      <c r="C14" s="170">
        <f>16771.7+16960.38</f>
        <v>33732.080000000002</v>
      </c>
      <c r="D14" s="171">
        <f>9465.56+841.38+9276.88+824.61</f>
        <v>20408.43</v>
      </c>
      <c r="E14" s="170">
        <f>17151.19+17344.14</f>
        <v>34495.33</v>
      </c>
      <c r="F14" s="172">
        <f>9086.07+807.65+8893.12+790.5</f>
        <v>19577.34</v>
      </c>
      <c r="G14" s="170">
        <f>17539.26+17736.58</f>
        <v>35275.839999999997</v>
      </c>
      <c r="H14" s="172">
        <f>8698+773.16+8500.68+755.62</f>
        <v>18727.46</v>
      </c>
      <c r="I14" s="170">
        <f>17936.11+18137.89</f>
        <v>36074</v>
      </c>
      <c r="J14" s="172">
        <f>8301.15+737.88+8099.37+719.94</f>
        <v>17858.339999999997</v>
      </c>
      <c r="K14" s="170">
        <f>18341.95+18548.29</f>
        <v>36890.240000000005</v>
      </c>
      <c r="L14" s="172">
        <f>7895.31+7688.97+683.46+701.81</f>
        <v>16969.550000000003</v>
      </c>
      <c r="M14" s="174">
        <f t="shared" si="0"/>
        <v>270008.61</v>
      </c>
      <c r="N14" s="65"/>
      <c r="O14" s="16"/>
      <c r="P14" s="16"/>
      <c r="Q14" t="s">
        <v>241</v>
      </c>
      <c r="R14" s="16"/>
      <c r="T14" s="361"/>
      <c r="V14" s="16"/>
      <c r="X14" s="16"/>
    </row>
    <row r="15" spans="2:24" x14ac:dyDescent="0.35">
      <c r="B15" s="169"/>
      <c r="C15" s="170"/>
      <c r="D15" s="171"/>
      <c r="E15" s="170"/>
      <c r="F15" s="172"/>
      <c r="G15" s="170"/>
      <c r="H15" s="172"/>
      <c r="I15" s="170"/>
      <c r="J15" s="172"/>
      <c r="K15" s="170"/>
      <c r="L15" s="172"/>
      <c r="M15" s="174">
        <f t="shared" si="0"/>
        <v>0</v>
      </c>
      <c r="N15" s="65"/>
      <c r="O15" s="16"/>
      <c r="P15" s="16"/>
      <c r="R15" s="16"/>
      <c r="T15" s="361"/>
      <c r="V15" s="16"/>
      <c r="X15" s="16"/>
    </row>
    <row r="16" spans="2:24" x14ac:dyDescent="0.35">
      <c r="B16" s="169"/>
      <c r="C16" s="170"/>
      <c r="D16" s="171"/>
      <c r="E16" s="170"/>
      <c r="F16" s="171"/>
      <c r="G16" s="170"/>
      <c r="H16" s="171"/>
      <c r="I16" s="170"/>
      <c r="J16" s="171"/>
      <c r="K16" s="170"/>
      <c r="L16" s="172"/>
      <c r="M16" s="174">
        <f t="shared" si="0"/>
        <v>0</v>
      </c>
      <c r="N16" s="65"/>
      <c r="O16" s="16"/>
      <c r="P16" s="16"/>
      <c r="R16" s="16"/>
      <c r="T16" s="362"/>
      <c r="V16" s="16"/>
      <c r="X16" s="16"/>
    </row>
    <row r="17" spans="2:24" x14ac:dyDescent="0.35">
      <c r="B17" s="169"/>
      <c r="C17" s="170"/>
      <c r="D17" s="171"/>
      <c r="E17" s="170"/>
      <c r="F17" s="171"/>
      <c r="G17" s="170"/>
      <c r="H17" s="171"/>
      <c r="I17" s="170"/>
      <c r="J17" s="171"/>
      <c r="K17" s="170"/>
      <c r="L17" s="172"/>
      <c r="M17" s="174">
        <f t="shared" si="0"/>
        <v>0</v>
      </c>
      <c r="N17" s="65"/>
      <c r="O17" s="16"/>
      <c r="P17" s="16"/>
      <c r="R17" s="16"/>
      <c r="T17" s="363"/>
      <c r="V17" s="16"/>
      <c r="X17" s="16"/>
    </row>
    <row r="18" spans="2:24" x14ac:dyDescent="0.35">
      <c r="B18" s="169"/>
      <c r="C18" s="170"/>
      <c r="D18" s="171"/>
      <c r="E18" s="170"/>
      <c r="F18" s="171"/>
      <c r="G18" s="170"/>
      <c r="H18" s="171"/>
      <c r="I18" s="170"/>
      <c r="J18" s="171"/>
      <c r="K18" s="170"/>
      <c r="L18" s="172"/>
      <c r="M18" s="174">
        <f t="shared" si="0"/>
        <v>0</v>
      </c>
      <c r="N18" s="65"/>
      <c r="O18" s="16"/>
      <c r="P18" s="16"/>
      <c r="R18" s="16"/>
      <c r="T18" s="16"/>
      <c r="V18" s="16"/>
      <c r="X18" s="16"/>
    </row>
    <row r="19" spans="2:24" x14ac:dyDescent="0.35">
      <c r="B19" s="169"/>
      <c r="C19" s="170"/>
      <c r="D19" s="171"/>
      <c r="E19" s="170"/>
      <c r="F19" s="171"/>
      <c r="G19" s="170"/>
      <c r="H19" s="171"/>
      <c r="I19" s="170"/>
      <c r="J19" s="171"/>
      <c r="K19" s="170"/>
      <c r="L19" s="172"/>
      <c r="M19" s="174">
        <f t="shared" si="0"/>
        <v>0</v>
      </c>
      <c r="N19" s="65"/>
      <c r="O19" s="16"/>
      <c r="P19" s="16"/>
      <c r="R19" s="16"/>
      <c r="T19" s="16"/>
      <c r="V19" s="16"/>
      <c r="X19" s="16"/>
    </row>
    <row r="20" spans="2:24" x14ac:dyDescent="0.35">
      <c r="B20" s="169"/>
      <c r="C20" s="170"/>
      <c r="D20" s="171"/>
      <c r="E20" s="170"/>
      <c r="F20" s="171"/>
      <c r="G20" s="170"/>
      <c r="H20" s="171"/>
      <c r="I20" s="170"/>
      <c r="J20" s="171"/>
      <c r="K20" s="170"/>
      <c r="L20" s="172"/>
      <c r="M20" s="174"/>
      <c r="N20" s="65"/>
      <c r="O20" s="16"/>
      <c r="P20" s="16"/>
      <c r="R20" s="16"/>
      <c r="T20" s="16"/>
      <c r="V20" s="16"/>
      <c r="X20" s="16"/>
    </row>
    <row r="21" spans="2:24" x14ac:dyDescent="0.35">
      <c r="B21" s="175"/>
      <c r="C21" s="176"/>
      <c r="D21" s="177"/>
      <c r="E21" s="176"/>
      <c r="F21" s="177"/>
      <c r="G21" s="176"/>
      <c r="H21" s="177"/>
      <c r="I21" s="176"/>
      <c r="J21" s="177"/>
      <c r="K21" s="176"/>
      <c r="L21" s="178"/>
      <c r="M21" s="174"/>
      <c r="N21" s="65"/>
      <c r="O21" s="16"/>
      <c r="P21" s="16"/>
    </row>
    <row r="22" spans="2:24" x14ac:dyDescent="0.35">
      <c r="B22" s="121" t="s">
        <v>76</v>
      </c>
      <c r="C22" s="179">
        <f t="shared" ref="C22:L22" si="1">SUM(C12:C21)</f>
        <v>108732.08</v>
      </c>
      <c r="D22" s="180">
        <f t="shared" si="1"/>
        <v>35400.949999999997</v>
      </c>
      <c r="E22" s="179">
        <f t="shared" si="1"/>
        <v>109495.33</v>
      </c>
      <c r="F22" s="181">
        <f t="shared" si="1"/>
        <v>31434.86</v>
      </c>
      <c r="G22" s="179">
        <f t="shared" si="1"/>
        <v>120275.84</v>
      </c>
      <c r="H22" s="181">
        <f t="shared" si="1"/>
        <v>27344.98</v>
      </c>
      <c r="I22" s="179">
        <f t="shared" si="1"/>
        <v>126074</v>
      </c>
      <c r="J22" s="181">
        <f t="shared" si="1"/>
        <v>22740.219999999998</v>
      </c>
      <c r="K22" s="179">
        <f t="shared" si="1"/>
        <v>71890.240000000005</v>
      </c>
      <c r="L22" s="181">
        <f t="shared" si="1"/>
        <v>18815.810000000001</v>
      </c>
      <c r="M22" s="182">
        <f>SUM(M12:M21)</f>
        <v>672204.31</v>
      </c>
      <c r="N22" s="65"/>
      <c r="O22" s="16"/>
      <c r="P22" s="16"/>
    </row>
    <row r="23" spans="2:24" x14ac:dyDescent="0.35">
      <c r="B23" s="183"/>
      <c r="C23" s="184"/>
      <c r="D23" s="185"/>
      <c r="E23" s="184"/>
      <c r="F23" s="186"/>
      <c r="G23" s="184"/>
      <c r="H23" s="186"/>
      <c r="I23" s="184"/>
      <c r="J23" s="187"/>
      <c r="K23" s="184"/>
      <c r="L23" s="186"/>
      <c r="M23" s="185"/>
      <c r="N23" s="188"/>
      <c r="O23" s="16"/>
      <c r="P23" s="16"/>
    </row>
    <row r="24" spans="2:24" x14ac:dyDescent="0.35">
      <c r="B24" s="189"/>
      <c r="C24" s="190"/>
      <c r="D24" s="190"/>
      <c r="E24" s="190"/>
      <c r="F24" s="190"/>
      <c r="G24" s="190"/>
      <c r="H24" s="190"/>
      <c r="I24" s="190"/>
      <c r="J24" s="191"/>
      <c r="K24" s="191"/>
      <c r="L24" s="191"/>
      <c r="M24" s="190"/>
      <c r="N24" s="65"/>
      <c r="O24" s="16"/>
      <c r="P24" s="16"/>
    </row>
    <row r="25" spans="2:24" x14ac:dyDescent="0.35">
      <c r="B25" s="192"/>
      <c r="C25" s="193"/>
      <c r="D25" s="194"/>
      <c r="E25" s="193"/>
      <c r="F25" s="193"/>
      <c r="G25" s="193"/>
      <c r="H25" s="193"/>
      <c r="I25" s="194" t="s">
        <v>214</v>
      </c>
      <c r="J25" s="16"/>
      <c r="K25" s="195"/>
      <c r="L25" s="196"/>
      <c r="M25" s="193">
        <f>M22/5</f>
        <v>134440.86200000002</v>
      </c>
      <c r="N25" s="65"/>
      <c r="O25" s="16"/>
      <c r="P25" s="16"/>
    </row>
    <row r="26" spans="2:24" x14ac:dyDescent="0.35">
      <c r="B26" s="17"/>
      <c r="C26" s="194"/>
      <c r="D26" s="16"/>
      <c r="E26" s="194"/>
      <c r="F26" s="194"/>
      <c r="G26" s="194"/>
      <c r="H26" s="194"/>
      <c r="I26" s="194"/>
      <c r="J26" s="16"/>
      <c r="K26" s="20"/>
      <c r="L26" s="195"/>
      <c r="M26" s="26"/>
      <c r="N26" s="65"/>
      <c r="O26" s="16"/>
      <c r="P26" s="16"/>
    </row>
    <row r="27" spans="2:24" x14ac:dyDescent="0.35">
      <c r="B27" s="192"/>
      <c r="C27" s="194"/>
      <c r="D27" s="194"/>
      <c r="E27" s="194"/>
      <c r="F27" s="194"/>
      <c r="G27" s="194"/>
      <c r="H27" s="194"/>
      <c r="I27" s="194" t="s">
        <v>215</v>
      </c>
      <c r="J27" s="16"/>
      <c r="K27" s="195"/>
      <c r="L27" s="194"/>
      <c r="M27" s="193">
        <f>M25*0.2</f>
        <v>26888.172400000007</v>
      </c>
      <c r="N27" s="65"/>
      <c r="O27" s="16"/>
      <c r="P27" s="16">
        <f>M27+M25</f>
        <v>161329.03440000003</v>
      </c>
    </row>
    <row r="28" spans="2:24" x14ac:dyDescent="0.35">
      <c r="B28" s="192"/>
      <c r="C28" s="194"/>
      <c r="D28" s="194"/>
      <c r="E28" s="194"/>
      <c r="F28" s="194"/>
      <c r="G28" s="194"/>
      <c r="H28" s="194"/>
      <c r="I28" s="194"/>
      <c r="J28" s="16"/>
      <c r="K28" s="195"/>
      <c r="L28" s="194"/>
      <c r="M28" s="193"/>
      <c r="N28" s="65"/>
      <c r="O28" s="16"/>
      <c r="P28" s="16"/>
    </row>
    <row r="29" spans="2:24" x14ac:dyDescent="0.35">
      <c r="B29" s="192"/>
      <c r="C29" s="194"/>
      <c r="D29" s="194"/>
      <c r="E29" s="194"/>
      <c r="F29" s="194"/>
      <c r="G29" s="194"/>
      <c r="H29" s="194"/>
      <c r="I29" s="424" t="s">
        <v>327</v>
      </c>
      <c r="J29" s="16"/>
      <c r="K29" s="195"/>
      <c r="L29" s="194"/>
      <c r="M29" s="193">
        <f>M32/5</f>
        <v>27147.364000000001</v>
      </c>
      <c r="N29" s="65"/>
      <c r="O29" s="16"/>
      <c r="P29" s="16"/>
    </row>
    <row r="30" spans="2:24" x14ac:dyDescent="0.35">
      <c r="B30" s="197"/>
      <c r="C30" s="198"/>
      <c r="D30" s="198"/>
      <c r="E30" s="198"/>
      <c r="F30" s="198"/>
      <c r="G30" s="198"/>
      <c r="H30" s="198"/>
      <c r="I30" s="198"/>
      <c r="J30" s="198"/>
      <c r="K30" s="198"/>
      <c r="L30" s="198"/>
      <c r="M30" s="198"/>
      <c r="N30" s="188"/>
      <c r="O30" s="16"/>
      <c r="P30" s="16"/>
    </row>
    <row r="31" spans="2:24" x14ac:dyDescent="0.35">
      <c r="B31" s="320"/>
      <c r="C31" s="320"/>
      <c r="D31" s="320"/>
      <c r="E31" s="320"/>
      <c r="F31" s="320"/>
      <c r="G31" s="320"/>
      <c r="H31" s="320"/>
      <c r="I31" s="320"/>
      <c r="J31" s="320"/>
      <c r="K31" s="320"/>
      <c r="L31" s="320"/>
      <c r="M31" s="320"/>
      <c r="N31" s="320"/>
      <c r="O31" s="320"/>
      <c r="P31" s="320"/>
    </row>
    <row r="32" spans="2:24" x14ac:dyDescent="0.35">
      <c r="B32" s="320"/>
      <c r="C32" s="320"/>
      <c r="D32" s="320"/>
      <c r="E32" s="320"/>
      <c r="F32" s="320"/>
      <c r="G32" s="320"/>
      <c r="H32" s="320"/>
      <c r="I32" s="320" t="s">
        <v>207</v>
      </c>
      <c r="J32" s="320"/>
      <c r="K32" s="320"/>
      <c r="L32" s="320"/>
      <c r="M32" s="321">
        <f>D22+F22+H22+J22+L22</f>
        <v>135736.82</v>
      </c>
      <c r="N32" s="320"/>
      <c r="O32" s="320"/>
      <c r="P32" s="320"/>
    </row>
    <row r="33" spans="2:16" x14ac:dyDescent="0.35">
      <c r="B33" s="320"/>
      <c r="C33" s="320"/>
      <c r="D33" s="320"/>
      <c r="E33" s="320"/>
      <c r="F33" s="320"/>
      <c r="G33" s="320"/>
      <c r="H33" s="320"/>
      <c r="I33" s="320"/>
      <c r="J33" s="320"/>
      <c r="K33" s="320"/>
      <c r="L33" s="320"/>
      <c r="M33" s="320"/>
      <c r="N33" s="320"/>
      <c r="O33" s="320"/>
      <c r="P33" s="320"/>
    </row>
    <row r="34" spans="2:16" x14ac:dyDescent="0.35">
      <c r="B34" s="320"/>
      <c r="C34" s="320"/>
      <c r="D34" s="320"/>
      <c r="E34" s="320"/>
      <c r="F34" s="320"/>
      <c r="G34" s="320"/>
      <c r="H34" s="320"/>
      <c r="I34" s="320" t="s">
        <v>213</v>
      </c>
      <c r="J34" s="320"/>
      <c r="K34" s="320"/>
      <c r="L34" s="320"/>
      <c r="M34" s="321">
        <f>M32/5</f>
        <v>27147.364000000001</v>
      </c>
      <c r="N34" s="320"/>
      <c r="O34" s="320"/>
      <c r="P34" s="320"/>
    </row>
    <row r="35" spans="2:16" x14ac:dyDescent="0.35">
      <c r="B35" s="320"/>
      <c r="C35" s="320"/>
      <c r="D35" s="320"/>
      <c r="E35" s="320"/>
      <c r="F35" s="320"/>
      <c r="G35" s="320"/>
      <c r="H35" s="320"/>
      <c r="I35" s="320"/>
      <c r="J35" s="320"/>
      <c r="K35" s="320"/>
      <c r="L35" s="320"/>
      <c r="M35" s="320"/>
      <c r="N35" s="320"/>
      <c r="O35" s="320"/>
      <c r="P35" s="320"/>
    </row>
    <row r="36" spans="2:16" x14ac:dyDescent="0.35">
      <c r="B36" s="320"/>
      <c r="C36" s="320"/>
      <c r="D36" s="320"/>
      <c r="E36" s="320"/>
      <c r="F36" s="320"/>
      <c r="G36" s="320"/>
      <c r="H36" s="320"/>
      <c r="I36" s="320"/>
      <c r="J36" s="320"/>
      <c r="K36" s="320"/>
      <c r="L36" s="320"/>
      <c r="M36" s="320"/>
      <c r="N36" s="320"/>
      <c r="O36" s="320"/>
      <c r="P36" s="320"/>
    </row>
    <row r="37" spans="2:16" x14ac:dyDescent="0.35">
      <c r="B37" s="320"/>
      <c r="C37" s="320"/>
      <c r="D37" s="320"/>
      <c r="E37" s="320"/>
      <c r="F37" s="320"/>
      <c r="G37" s="320"/>
      <c r="H37" s="320"/>
      <c r="I37" s="320"/>
      <c r="J37" s="320"/>
      <c r="K37" s="320"/>
      <c r="L37" s="320"/>
      <c r="M37" s="320"/>
      <c r="N37" s="320"/>
      <c r="O37" s="320"/>
      <c r="P37" s="320"/>
    </row>
    <row r="38" spans="2:16" x14ac:dyDescent="0.35">
      <c r="B38" s="320"/>
      <c r="C38" s="320"/>
      <c r="D38" s="320"/>
      <c r="E38" s="320"/>
      <c r="F38" s="320"/>
      <c r="G38" s="320"/>
      <c r="H38" s="320"/>
      <c r="I38" s="320"/>
      <c r="J38" s="320"/>
      <c r="K38" s="320"/>
      <c r="L38" s="320"/>
      <c r="M38" s="320"/>
      <c r="N38" s="320"/>
      <c r="O38" s="320"/>
      <c r="P38" s="320"/>
    </row>
    <row r="39" spans="2:16" x14ac:dyDescent="0.35">
      <c r="B39" s="320"/>
      <c r="C39" s="320"/>
      <c r="D39" s="320"/>
      <c r="E39" s="320"/>
      <c r="F39" s="320"/>
      <c r="G39" s="320"/>
      <c r="H39" s="320"/>
      <c r="I39" s="320"/>
      <c r="J39" s="320"/>
      <c r="K39" s="320"/>
      <c r="L39" s="320"/>
      <c r="M39" s="320"/>
      <c r="N39" s="320"/>
      <c r="O39" s="320"/>
      <c r="P39" s="320"/>
    </row>
    <row r="40" spans="2:16" x14ac:dyDescent="0.35">
      <c r="B40" s="320"/>
      <c r="C40" s="320"/>
      <c r="D40" s="320"/>
      <c r="E40" s="320"/>
      <c r="F40" s="320"/>
      <c r="G40" s="320"/>
      <c r="H40" s="320"/>
      <c r="I40" s="320"/>
      <c r="J40" s="320"/>
      <c r="K40" s="320"/>
      <c r="L40" s="320"/>
      <c r="M40" s="320"/>
      <c r="N40" s="320"/>
      <c r="O40" s="320"/>
      <c r="P40" s="320"/>
    </row>
  </sheetData>
  <mergeCells count="5">
    <mergeCell ref="C9:D9"/>
    <mergeCell ref="E9:F9"/>
    <mergeCell ref="G9:H9"/>
    <mergeCell ref="I9:J9"/>
    <mergeCell ref="K9:L9"/>
  </mergeCells>
  <pageMargins left="0.7" right="0.7" top="0.75" bottom="0.75" header="0.3" footer="0.3"/>
  <pageSetup scale="92"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GH86"/>
  <sheetViews>
    <sheetView showGridLines="0" topLeftCell="A3" workbookViewId="0">
      <selection activeCell="C5" sqref="C5:K41"/>
    </sheetView>
  </sheetViews>
  <sheetFormatPr defaultColWidth="8.84375" defaultRowHeight="14.5" x14ac:dyDescent="0.35"/>
  <cols>
    <col min="1" max="1" width="2.61328125" style="15" customWidth="1"/>
    <col min="2" max="2" width="1.765625" style="24" customWidth="1"/>
    <col min="3" max="3" width="4.61328125" style="24" customWidth="1"/>
    <col min="4" max="4" width="7.61328125" style="91" customWidth="1"/>
    <col min="5" max="5" width="10.61328125" style="227" customWidth="1"/>
    <col min="6" max="6" width="10.61328125" style="24" customWidth="1"/>
    <col min="7" max="7" width="12.61328125" style="24" customWidth="1"/>
    <col min="8" max="8" width="10.61328125" style="24" customWidth="1"/>
    <col min="9" max="9" width="12.61328125" style="78" customWidth="1"/>
    <col min="10" max="10" width="10.61328125" style="24" customWidth="1"/>
    <col min="11" max="11" width="6.3046875" style="221" bestFit="1" customWidth="1"/>
    <col min="12" max="12" width="1.765625" style="24" customWidth="1"/>
    <col min="13" max="190" width="9.69140625" style="24" customWidth="1"/>
    <col min="191" max="16384" width="8.84375" style="15"/>
  </cols>
  <sheetData>
    <row r="1" spans="2:190" ht="15" thickBot="1" x14ac:dyDescent="0.4"/>
    <row r="2" spans="2:190" x14ac:dyDescent="0.35">
      <c r="B2" s="231"/>
      <c r="C2" s="232"/>
      <c r="D2" s="233"/>
      <c r="E2" s="247"/>
      <c r="F2" s="232"/>
      <c r="G2" s="232"/>
      <c r="H2" s="232"/>
      <c r="I2" s="234"/>
      <c r="J2" s="232"/>
      <c r="K2" s="235"/>
      <c r="L2" s="236"/>
    </row>
    <row r="3" spans="2:190" ht="15" customHeight="1" x14ac:dyDescent="0.45">
      <c r="B3" s="237"/>
      <c r="C3" s="452" t="s">
        <v>77</v>
      </c>
      <c r="D3" s="452"/>
      <c r="E3" s="452"/>
      <c r="F3" s="452"/>
      <c r="G3" s="452"/>
      <c r="H3" s="452"/>
      <c r="I3" s="452"/>
      <c r="J3" s="452"/>
      <c r="L3" s="238"/>
    </row>
    <row r="4" spans="2:190" ht="18.5" x14ac:dyDescent="0.45">
      <c r="B4" s="237"/>
      <c r="E4" s="434"/>
      <c r="F4" s="419"/>
      <c r="G4" s="435"/>
      <c r="H4" s="419"/>
      <c r="I4" s="436"/>
      <c r="L4" s="238"/>
    </row>
    <row r="5" spans="2:190" ht="18.5" x14ac:dyDescent="0.45">
      <c r="B5" s="237"/>
      <c r="C5" s="453" t="s">
        <v>53</v>
      </c>
      <c r="D5" s="453"/>
      <c r="E5" s="453"/>
      <c r="F5" s="453"/>
      <c r="G5" s="453"/>
      <c r="H5" s="453"/>
      <c r="I5" s="453"/>
      <c r="J5" s="453"/>
      <c r="L5" s="238"/>
    </row>
    <row r="6" spans="2:190" ht="18" hidden="1" customHeight="1" x14ac:dyDescent="0.35">
      <c r="B6" s="237"/>
      <c r="C6" s="454" t="str">
        <f>SAO!A2</f>
        <v>EAST CLARK COUNTY WATER DISTRICT</v>
      </c>
      <c r="D6" s="454"/>
      <c r="E6" s="454"/>
      <c r="F6" s="454"/>
      <c r="G6" s="454"/>
      <c r="H6" s="454"/>
      <c r="I6" s="454"/>
      <c r="J6" s="454"/>
      <c r="L6" s="238"/>
    </row>
    <row r="7" spans="2:190" ht="6" customHeight="1" x14ac:dyDescent="0.35">
      <c r="B7" s="237"/>
      <c r="L7" s="238"/>
    </row>
    <row r="8" spans="2:190" ht="14.25" customHeight="1" x14ac:dyDescent="0.35">
      <c r="B8" s="237"/>
      <c r="C8" s="75" t="s">
        <v>174</v>
      </c>
      <c r="D8" s="226"/>
      <c r="E8" s="248"/>
      <c r="F8" s="451" t="s">
        <v>170</v>
      </c>
      <c r="G8" s="451"/>
      <c r="H8" s="451" t="s">
        <v>10</v>
      </c>
      <c r="I8" s="451"/>
      <c r="J8" s="451" t="s">
        <v>63</v>
      </c>
      <c r="K8" s="451"/>
      <c r="L8" s="239"/>
      <c r="GH8" s="15"/>
    </row>
    <row r="9" spans="2:190" ht="17.25" customHeight="1" x14ac:dyDescent="0.35">
      <c r="B9" s="237"/>
      <c r="C9" s="89" t="s">
        <v>177</v>
      </c>
      <c r="D9" s="4">
        <v>2000</v>
      </c>
      <c r="E9" s="90" t="s">
        <v>176</v>
      </c>
      <c r="F9" s="229">
        <v>28.08</v>
      </c>
      <c r="G9" s="44" t="s">
        <v>104</v>
      </c>
      <c r="H9" s="44">
        <f>ROUND(F9*(1+'Revenue Requirements'!$G$13),2)</f>
        <v>33.590000000000003</v>
      </c>
      <c r="I9" s="78" t="s">
        <v>104</v>
      </c>
      <c r="J9" s="44">
        <f>H9-F9</f>
        <v>5.5100000000000051</v>
      </c>
      <c r="K9" s="62">
        <f>J9/F9</f>
        <v>0.19622507122507141</v>
      </c>
      <c r="L9" s="239"/>
      <c r="GH9" s="15"/>
    </row>
    <row r="10" spans="2:190" ht="14.25" customHeight="1" x14ac:dyDescent="0.35">
      <c r="B10" s="237"/>
      <c r="C10" s="89" t="s">
        <v>178</v>
      </c>
      <c r="D10" s="4">
        <v>8000</v>
      </c>
      <c r="E10" s="90" t="s">
        <v>176</v>
      </c>
      <c r="F10" s="230">
        <v>1.1639999999999999E-2</v>
      </c>
      <c r="G10" s="44" t="s">
        <v>175</v>
      </c>
      <c r="H10" s="418">
        <f>ROUND(F10*(1+'Revenue Requirements'!$G$13),5)</f>
        <v>1.392E-2</v>
      </c>
      <c r="I10" s="78" t="s">
        <v>175</v>
      </c>
      <c r="J10" s="225">
        <f>H10-F10</f>
        <v>2.2800000000000008E-3</v>
      </c>
      <c r="K10" s="62">
        <f t="shared" ref="K10:K12" si="0">J10/F10</f>
        <v>0.1958762886597939</v>
      </c>
      <c r="L10" s="239"/>
      <c r="GH10" s="15"/>
    </row>
    <row r="11" spans="2:190" ht="14.25" customHeight="1" x14ac:dyDescent="0.35">
      <c r="B11" s="240"/>
      <c r="C11" s="89" t="s">
        <v>178</v>
      </c>
      <c r="D11" s="4">
        <v>40000</v>
      </c>
      <c r="E11" s="90" t="s">
        <v>176</v>
      </c>
      <c r="F11" s="230">
        <v>1.0330000000000001E-2</v>
      </c>
      <c r="G11" s="44" t="s">
        <v>175</v>
      </c>
      <c r="H11" s="418">
        <f>ROUND(F11*(1+'Revenue Requirements'!$G$13),5)</f>
        <v>1.2359999999999999E-2</v>
      </c>
      <c r="I11" s="78" t="s">
        <v>175</v>
      </c>
      <c r="J11" s="225">
        <f t="shared" ref="J11:J12" si="1">H11-F11</f>
        <v>2.0299999999999988E-3</v>
      </c>
      <c r="K11" s="62">
        <f t="shared" si="0"/>
        <v>0.19651500484027093</v>
      </c>
      <c r="L11" s="239"/>
      <c r="M11" s="419"/>
      <c r="N11" s="419"/>
      <c r="GH11" s="15"/>
    </row>
    <row r="12" spans="2:190" ht="15" customHeight="1" x14ac:dyDescent="0.35">
      <c r="B12" s="237"/>
      <c r="C12" s="228" t="s">
        <v>179</v>
      </c>
      <c r="D12" s="94">
        <v>50000</v>
      </c>
      <c r="E12" s="227" t="s">
        <v>176</v>
      </c>
      <c r="F12" s="230">
        <v>9.0299999999999998E-3</v>
      </c>
      <c r="G12" s="44" t="s">
        <v>175</v>
      </c>
      <c r="H12" s="418">
        <f>ROUND(F12*(1+'Revenue Requirements'!$G$13),5)</f>
        <v>1.0800000000000001E-2</v>
      </c>
      <c r="I12" s="78" t="s">
        <v>175</v>
      </c>
      <c r="J12" s="225">
        <f t="shared" si="1"/>
        <v>1.7700000000000007E-3</v>
      </c>
      <c r="K12" s="62">
        <f t="shared" si="0"/>
        <v>0.19601328903654494</v>
      </c>
      <c r="L12" s="239"/>
      <c r="GH12" s="15"/>
    </row>
    <row r="13" spans="2:190" ht="15" customHeight="1" x14ac:dyDescent="0.35">
      <c r="B13" s="237"/>
      <c r="C13" s="72"/>
      <c r="D13" s="94"/>
      <c r="F13" s="73"/>
      <c r="G13" s="72"/>
      <c r="H13" s="44"/>
      <c r="I13" s="79"/>
      <c r="J13" s="44"/>
      <c r="K13" s="62"/>
      <c r="L13" s="239"/>
      <c r="GH13" s="15"/>
    </row>
    <row r="14" spans="2:190" ht="14.25" customHeight="1" x14ac:dyDescent="0.35">
      <c r="B14" s="237"/>
      <c r="C14" s="75" t="s">
        <v>105</v>
      </c>
      <c r="D14" s="226"/>
      <c r="E14" s="248"/>
      <c r="F14" s="451" t="s">
        <v>170</v>
      </c>
      <c r="G14" s="451"/>
      <c r="H14" s="451" t="s">
        <v>10</v>
      </c>
      <c r="I14" s="451"/>
      <c r="J14" s="451" t="s">
        <v>63</v>
      </c>
      <c r="K14" s="451"/>
      <c r="L14" s="238"/>
      <c r="GH14" s="15"/>
    </row>
    <row r="15" spans="2:190" ht="14.25" customHeight="1" x14ac:dyDescent="0.35">
      <c r="B15" s="237"/>
      <c r="C15" s="89" t="s">
        <v>177</v>
      </c>
      <c r="D15" s="4">
        <v>5000</v>
      </c>
      <c r="E15" s="90" t="s">
        <v>176</v>
      </c>
      <c r="F15" s="229">
        <v>62.98</v>
      </c>
      <c r="G15" s="44" t="s">
        <v>104</v>
      </c>
      <c r="H15" s="44">
        <f>ROUND(F15*(1+'Revenue Requirements'!$G$13),2)</f>
        <v>75.34</v>
      </c>
      <c r="I15" s="78" t="s">
        <v>104</v>
      </c>
      <c r="J15" s="44">
        <f>H15-F15</f>
        <v>12.360000000000007</v>
      </c>
      <c r="K15" s="62">
        <f>J15/F15</f>
        <v>0.19625277865989213</v>
      </c>
      <c r="L15" s="238"/>
      <c r="GH15" s="15"/>
    </row>
    <row r="16" spans="2:190" ht="14.25" customHeight="1" x14ac:dyDescent="0.35">
      <c r="B16" s="237"/>
      <c r="C16" s="89" t="s">
        <v>178</v>
      </c>
      <c r="D16" s="4">
        <v>5000</v>
      </c>
      <c r="E16" s="90" t="s">
        <v>176</v>
      </c>
      <c r="F16" s="230">
        <v>1.1639999999999999E-2</v>
      </c>
      <c r="G16" s="44" t="s">
        <v>175</v>
      </c>
      <c r="H16" s="225">
        <f>ROUND(F16*(1+'Revenue Requirements'!$G$13),5)</f>
        <v>1.392E-2</v>
      </c>
      <c r="I16" s="78" t="s">
        <v>175</v>
      </c>
      <c r="J16" s="225">
        <f t="shared" ref="J16:J18" si="2">H16-F16</f>
        <v>2.2800000000000008E-3</v>
      </c>
      <c r="K16" s="62">
        <f t="shared" ref="K16:K18" si="3">J16/F16</f>
        <v>0.1958762886597939</v>
      </c>
      <c r="L16" s="238"/>
      <c r="GH16" s="15"/>
    </row>
    <row r="17" spans="2:190" ht="14.25" customHeight="1" x14ac:dyDescent="0.35">
      <c r="B17" s="237"/>
      <c r="C17" s="89" t="s">
        <v>178</v>
      </c>
      <c r="D17" s="4">
        <v>40000</v>
      </c>
      <c r="E17" s="90" t="s">
        <v>176</v>
      </c>
      <c r="F17" s="230">
        <v>1.0330000000000001E-2</v>
      </c>
      <c r="G17" s="44" t="s">
        <v>175</v>
      </c>
      <c r="H17" s="225">
        <f>ROUND(F17*(1+'Revenue Requirements'!$G$13),5)</f>
        <v>1.2359999999999999E-2</v>
      </c>
      <c r="I17" s="78" t="s">
        <v>175</v>
      </c>
      <c r="J17" s="225">
        <f t="shared" si="2"/>
        <v>2.0299999999999988E-3</v>
      </c>
      <c r="K17" s="62">
        <f t="shared" si="3"/>
        <v>0.19651500484027093</v>
      </c>
      <c r="L17" s="238"/>
      <c r="GH17" s="15"/>
    </row>
    <row r="18" spans="2:190" x14ac:dyDescent="0.35">
      <c r="B18" s="237"/>
      <c r="C18" s="228" t="s">
        <v>179</v>
      </c>
      <c r="D18" s="94">
        <v>50000</v>
      </c>
      <c r="E18" s="227" t="s">
        <v>176</v>
      </c>
      <c r="F18" s="230">
        <v>9.0299999999999998E-3</v>
      </c>
      <c r="G18" s="44" t="s">
        <v>175</v>
      </c>
      <c r="H18" s="225">
        <f>ROUND(F18*(1+'Revenue Requirements'!$G$13),5)</f>
        <v>1.0800000000000001E-2</v>
      </c>
      <c r="I18" s="78" t="s">
        <v>175</v>
      </c>
      <c r="J18" s="225">
        <f t="shared" si="2"/>
        <v>1.7700000000000007E-3</v>
      </c>
      <c r="K18" s="62">
        <f t="shared" si="3"/>
        <v>0.19601328903654494</v>
      </c>
      <c r="L18" s="238"/>
    </row>
    <row r="19" spans="2:190" x14ac:dyDescent="0.35">
      <c r="B19" s="237"/>
      <c r="L19" s="238"/>
    </row>
    <row r="20" spans="2:190" x14ac:dyDescent="0.35">
      <c r="B20" s="237"/>
      <c r="C20" s="75" t="s">
        <v>106</v>
      </c>
      <c r="D20" s="226"/>
      <c r="E20" s="248"/>
      <c r="F20" s="451" t="s">
        <v>170</v>
      </c>
      <c r="G20" s="451"/>
      <c r="H20" s="451" t="s">
        <v>10</v>
      </c>
      <c r="I20" s="451"/>
      <c r="J20" s="451" t="s">
        <v>63</v>
      </c>
      <c r="K20" s="451"/>
      <c r="L20" s="238"/>
    </row>
    <row r="21" spans="2:190" x14ac:dyDescent="0.35">
      <c r="B21" s="237"/>
      <c r="C21" s="89" t="s">
        <v>177</v>
      </c>
      <c r="D21" s="4">
        <v>10000</v>
      </c>
      <c r="E21" s="90" t="s">
        <v>176</v>
      </c>
      <c r="F21" s="229">
        <v>121.16</v>
      </c>
      <c r="G21" s="44" t="s">
        <v>104</v>
      </c>
      <c r="H21" s="44">
        <f>ROUND(F21*(1+'Revenue Requirements'!$G$13),2)</f>
        <v>144.94</v>
      </c>
      <c r="I21" s="78" t="s">
        <v>104</v>
      </c>
      <c r="J21" s="44">
        <f>H21-F21</f>
        <v>23.78</v>
      </c>
      <c r="K21" s="62">
        <f>J21/F21</f>
        <v>0.1962693958402113</v>
      </c>
      <c r="L21" s="238"/>
    </row>
    <row r="22" spans="2:190" x14ac:dyDescent="0.35">
      <c r="B22" s="237"/>
      <c r="C22" s="89" t="s">
        <v>178</v>
      </c>
      <c r="D22" s="4">
        <v>40000</v>
      </c>
      <c r="E22" s="90" t="s">
        <v>176</v>
      </c>
      <c r="F22" s="230">
        <v>1.0330000000000001E-2</v>
      </c>
      <c r="G22" s="44" t="s">
        <v>175</v>
      </c>
      <c r="H22" s="225">
        <f>ROUND(F22*(1+'Revenue Requirements'!$G$13),5)</f>
        <v>1.2359999999999999E-2</v>
      </c>
      <c r="I22" s="78" t="s">
        <v>175</v>
      </c>
      <c r="J22" s="225">
        <f t="shared" ref="J22:J23" si="4">H22-F22</f>
        <v>2.0299999999999988E-3</v>
      </c>
      <c r="K22" s="62">
        <f t="shared" ref="K22:K23" si="5">J22/F22</f>
        <v>0.19651500484027093</v>
      </c>
      <c r="L22" s="238"/>
    </row>
    <row r="23" spans="2:190" x14ac:dyDescent="0.35">
      <c r="B23" s="237"/>
      <c r="C23" s="228" t="s">
        <v>179</v>
      </c>
      <c r="D23" s="94">
        <v>50000</v>
      </c>
      <c r="E23" s="227" t="s">
        <v>176</v>
      </c>
      <c r="F23" s="230">
        <v>9.0299999999999998E-3</v>
      </c>
      <c r="G23" s="44" t="s">
        <v>175</v>
      </c>
      <c r="H23" s="225">
        <f>ROUND(F23*(1+'Revenue Requirements'!$G$13),5)</f>
        <v>1.0800000000000001E-2</v>
      </c>
      <c r="I23" s="78" t="s">
        <v>175</v>
      </c>
      <c r="J23" s="225">
        <f t="shared" si="4"/>
        <v>1.7700000000000007E-3</v>
      </c>
      <c r="K23" s="62">
        <f t="shared" si="5"/>
        <v>0.19601328903654494</v>
      </c>
      <c r="L23" s="238"/>
    </row>
    <row r="24" spans="2:190" x14ac:dyDescent="0.35">
      <c r="B24" s="237"/>
      <c r="L24" s="238"/>
    </row>
    <row r="25" spans="2:190" x14ac:dyDescent="0.35">
      <c r="B25" s="237"/>
      <c r="C25" s="75" t="s">
        <v>107</v>
      </c>
      <c r="D25" s="226"/>
      <c r="E25" s="248"/>
      <c r="F25" s="451" t="s">
        <v>170</v>
      </c>
      <c r="G25" s="451"/>
      <c r="H25" s="451" t="s">
        <v>10</v>
      </c>
      <c r="I25" s="451"/>
      <c r="J25" s="451" t="s">
        <v>63</v>
      </c>
      <c r="K25" s="451"/>
      <c r="L25" s="238"/>
    </row>
    <row r="26" spans="2:190" x14ac:dyDescent="0.35">
      <c r="B26" s="237"/>
      <c r="C26" s="89" t="s">
        <v>177</v>
      </c>
      <c r="D26" s="4">
        <v>20000</v>
      </c>
      <c r="E26" s="90" t="s">
        <v>176</v>
      </c>
      <c r="F26" s="229">
        <v>224.5</v>
      </c>
      <c r="G26" s="44" t="s">
        <v>104</v>
      </c>
      <c r="H26" s="44">
        <f>ROUND(F26*(1+'Revenue Requirements'!$G$13),2)</f>
        <v>268.57</v>
      </c>
      <c r="I26" s="78" t="s">
        <v>104</v>
      </c>
      <c r="J26" s="44">
        <f>H26-F26</f>
        <v>44.069999999999993</v>
      </c>
      <c r="K26" s="62">
        <f>J26/F26</f>
        <v>0.19630289532293985</v>
      </c>
      <c r="L26" s="238"/>
    </row>
    <row r="27" spans="2:190" x14ac:dyDescent="0.35">
      <c r="B27" s="237"/>
      <c r="C27" s="89" t="s">
        <v>178</v>
      </c>
      <c r="D27" s="4">
        <v>30000</v>
      </c>
      <c r="E27" s="90" t="s">
        <v>176</v>
      </c>
      <c r="F27" s="230">
        <v>1.0330000000000001E-2</v>
      </c>
      <c r="G27" s="44" t="s">
        <v>175</v>
      </c>
      <c r="H27" s="225">
        <f>ROUND(F27*(1+'Revenue Requirements'!$G$13),5)</f>
        <v>1.2359999999999999E-2</v>
      </c>
      <c r="I27" s="78" t="s">
        <v>175</v>
      </c>
      <c r="J27" s="225">
        <f t="shared" ref="J27" si="6">H27-F27</f>
        <v>2.0299999999999988E-3</v>
      </c>
      <c r="K27" s="62">
        <f t="shared" ref="K27" si="7">J27/F27</f>
        <v>0.19651500484027093</v>
      </c>
      <c r="L27" s="238"/>
    </row>
    <row r="28" spans="2:190" x14ac:dyDescent="0.35">
      <c r="B28" s="237"/>
      <c r="C28" s="228" t="s">
        <v>179</v>
      </c>
      <c r="D28" s="94">
        <v>50000</v>
      </c>
      <c r="E28" s="227" t="s">
        <v>176</v>
      </c>
      <c r="F28" s="230">
        <v>9.0299999999999998E-3</v>
      </c>
      <c r="G28" s="44" t="s">
        <v>175</v>
      </c>
      <c r="H28" s="225">
        <f>ROUND(F28*(1+'Revenue Requirements'!$G$13),5)</f>
        <v>1.0800000000000001E-2</v>
      </c>
      <c r="I28" s="78" t="s">
        <v>175</v>
      </c>
      <c r="J28" s="225">
        <f t="shared" ref="J28" si="8">H28-F28</f>
        <v>1.7700000000000007E-3</v>
      </c>
      <c r="K28" s="62">
        <f t="shared" ref="K28" si="9">J28/F28</f>
        <v>0.19601328903654494</v>
      </c>
      <c r="L28" s="238"/>
    </row>
    <row r="29" spans="2:190" x14ac:dyDescent="0.35">
      <c r="B29" s="237"/>
      <c r="L29" s="238"/>
    </row>
    <row r="30" spans="2:190" x14ac:dyDescent="0.35">
      <c r="B30" s="237"/>
      <c r="C30" s="75" t="s">
        <v>180</v>
      </c>
      <c r="D30" s="226"/>
      <c r="E30" s="248"/>
      <c r="F30" s="451" t="s">
        <v>170</v>
      </c>
      <c r="G30" s="451"/>
      <c r="H30" s="451" t="s">
        <v>10</v>
      </c>
      <c r="I30" s="451"/>
      <c r="J30" s="451" t="s">
        <v>63</v>
      </c>
      <c r="K30" s="451"/>
      <c r="L30" s="238"/>
    </row>
    <row r="31" spans="2:190" x14ac:dyDescent="0.35">
      <c r="B31" s="237"/>
      <c r="C31" s="89" t="s">
        <v>177</v>
      </c>
      <c r="D31" s="4">
        <v>30000</v>
      </c>
      <c r="E31" s="90" t="s">
        <v>176</v>
      </c>
      <c r="F31" s="229">
        <v>327.83</v>
      </c>
      <c r="G31" s="44" t="s">
        <v>104</v>
      </c>
      <c r="H31" s="44">
        <f>ROUND(F31*(1+'Revenue Requirements'!$G$13),2)</f>
        <v>392.18</v>
      </c>
      <c r="I31" s="78" t="s">
        <v>104</v>
      </c>
      <c r="J31" s="44">
        <f>H31-F31</f>
        <v>64.350000000000023</v>
      </c>
      <c r="K31" s="62">
        <f>J31/F31</f>
        <v>0.19629076045511401</v>
      </c>
      <c r="L31" s="238"/>
    </row>
    <row r="32" spans="2:190" x14ac:dyDescent="0.35">
      <c r="B32" s="237"/>
      <c r="C32" s="89" t="s">
        <v>178</v>
      </c>
      <c r="D32" s="4">
        <v>20000</v>
      </c>
      <c r="E32" s="90" t="s">
        <v>176</v>
      </c>
      <c r="F32" s="230">
        <v>1.0330000000000001E-2</v>
      </c>
      <c r="G32" s="44" t="s">
        <v>175</v>
      </c>
      <c r="H32" s="225">
        <f>ROUND(F32*(1+'Revenue Requirements'!$G$13),5)</f>
        <v>1.2359999999999999E-2</v>
      </c>
      <c r="I32" s="78" t="s">
        <v>175</v>
      </c>
      <c r="J32" s="225">
        <f t="shared" ref="J32" si="10">H32-F32</f>
        <v>2.0299999999999988E-3</v>
      </c>
      <c r="K32" s="62">
        <f t="shared" ref="K32" si="11">J32/F32</f>
        <v>0.19651500484027093</v>
      </c>
      <c r="L32" s="238"/>
    </row>
    <row r="33" spans="1:13" x14ac:dyDescent="0.35">
      <c r="B33" s="237"/>
      <c r="C33" s="228" t="s">
        <v>179</v>
      </c>
      <c r="D33" s="94">
        <v>50000</v>
      </c>
      <c r="E33" s="227" t="s">
        <v>176</v>
      </c>
      <c r="F33" s="230">
        <v>9.0299999999999998E-3</v>
      </c>
      <c r="G33" s="44" t="s">
        <v>175</v>
      </c>
      <c r="H33" s="225">
        <f>ROUND(F33*(1+'Revenue Requirements'!$G$13),5)</f>
        <v>1.0800000000000001E-2</v>
      </c>
      <c r="I33" s="78" t="s">
        <v>175</v>
      </c>
      <c r="J33" s="225">
        <f t="shared" ref="J33" si="12">H33-F33</f>
        <v>1.7700000000000007E-3</v>
      </c>
      <c r="K33" s="62">
        <f t="shared" ref="K33" si="13">J33/F33</f>
        <v>0.19601328903654494</v>
      </c>
      <c r="L33" s="238"/>
    </row>
    <row r="34" spans="1:13" x14ac:dyDescent="0.35">
      <c r="B34" s="237"/>
      <c r="L34" s="238"/>
    </row>
    <row r="35" spans="1:13" x14ac:dyDescent="0.35">
      <c r="B35" s="237"/>
      <c r="C35" s="75" t="s">
        <v>108</v>
      </c>
      <c r="D35" s="226"/>
      <c r="E35" s="248"/>
      <c r="F35" s="451" t="s">
        <v>170</v>
      </c>
      <c r="G35" s="451"/>
      <c r="H35" s="451" t="s">
        <v>10</v>
      </c>
      <c r="I35" s="451"/>
      <c r="J35" s="451" t="s">
        <v>63</v>
      </c>
      <c r="K35" s="451"/>
      <c r="L35" s="238"/>
    </row>
    <row r="36" spans="1:13" x14ac:dyDescent="0.35">
      <c r="B36" s="237"/>
      <c r="C36" s="89" t="s">
        <v>177</v>
      </c>
      <c r="D36" s="4">
        <v>50000</v>
      </c>
      <c r="E36" s="90" t="s">
        <v>176</v>
      </c>
      <c r="F36" s="229">
        <v>534.5</v>
      </c>
      <c r="G36" s="44" t="s">
        <v>104</v>
      </c>
      <c r="H36" s="44">
        <f>ROUND(F36*(1+'Revenue Requirements'!$G$13),2)</f>
        <v>639.41999999999996</v>
      </c>
      <c r="I36" s="78" t="s">
        <v>104</v>
      </c>
      <c r="J36" s="44">
        <f>H36-F36</f>
        <v>104.91999999999996</v>
      </c>
      <c r="K36" s="62">
        <f>J36/F36</f>
        <v>0.19629560336763321</v>
      </c>
      <c r="L36" s="238"/>
    </row>
    <row r="37" spans="1:13" x14ac:dyDescent="0.35">
      <c r="B37" s="237"/>
      <c r="C37" s="228" t="s">
        <v>179</v>
      </c>
      <c r="D37" s="94">
        <v>50000</v>
      </c>
      <c r="E37" s="227" t="s">
        <v>176</v>
      </c>
      <c r="F37" s="230">
        <v>9.0299999999999998E-3</v>
      </c>
      <c r="G37" s="44" t="s">
        <v>175</v>
      </c>
      <c r="H37" s="225">
        <f>ROUND(F37*(1+'Revenue Requirements'!$G$13),5)</f>
        <v>1.0800000000000001E-2</v>
      </c>
      <c r="I37" s="78" t="s">
        <v>175</v>
      </c>
      <c r="J37" s="225">
        <f t="shared" ref="J37" si="14">H37-F37</f>
        <v>1.7700000000000007E-3</v>
      </c>
      <c r="K37" s="62">
        <f t="shared" ref="K37" si="15">J37/F37</f>
        <v>0.19601328903654494</v>
      </c>
      <c r="L37" s="238"/>
    </row>
    <row r="38" spans="1:13" hidden="1" x14ac:dyDescent="0.35">
      <c r="B38" s="237"/>
      <c r="L38" s="238"/>
    </row>
    <row r="39" spans="1:13" x14ac:dyDescent="0.35">
      <c r="B39" s="237"/>
      <c r="C39" s="228"/>
      <c r="D39" s="94"/>
      <c r="F39" s="230"/>
      <c r="G39" s="44"/>
      <c r="H39" s="225"/>
      <c r="J39" s="225"/>
      <c r="K39" s="62"/>
      <c r="L39" s="238"/>
    </row>
    <row r="40" spans="1:13" x14ac:dyDescent="0.35">
      <c r="B40" s="237"/>
      <c r="C40" s="331" t="s">
        <v>224</v>
      </c>
      <c r="D40" s="94"/>
      <c r="F40" s="451" t="s">
        <v>170</v>
      </c>
      <c r="G40" s="451"/>
      <c r="H40" s="451" t="s">
        <v>10</v>
      </c>
      <c r="I40" s="451"/>
      <c r="J40" s="451" t="s">
        <v>63</v>
      </c>
      <c r="K40" s="451"/>
      <c r="L40" s="238"/>
    </row>
    <row r="41" spans="1:13" x14ac:dyDescent="0.35">
      <c r="B41" s="237"/>
      <c r="C41" s="227"/>
      <c r="D41" s="94"/>
      <c r="F41" s="230">
        <v>9.0399999999999994E-3</v>
      </c>
      <c r="G41" s="44" t="s">
        <v>175</v>
      </c>
      <c r="H41" s="225">
        <f>ROUND(F41*(1+'Revenue Requirements'!$G$13),5)</f>
        <v>1.081E-2</v>
      </c>
      <c r="I41" s="78" t="s">
        <v>175</v>
      </c>
      <c r="J41" s="225">
        <f t="shared" ref="J41" si="16">H41-F41</f>
        <v>1.7700000000000007E-3</v>
      </c>
      <c r="K41" s="62">
        <f t="shared" ref="K41" si="17">J41/F41</f>
        <v>0.19579646017699123</v>
      </c>
      <c r="L41" s="238"/>
    </row>
    <row r="42" spans="1:13" ht="15" thickBot="1" x14ac:dyDescent="0.4">
      <c r="B42" s="241"/>
      <c r="C42" s="242"/>
      <c r="D42" s="243"/>
      <c r="E42" s="249"/>
      <c r="F42" s="242"/>
      <c r="G42" s="242"/>
      <c r="H42" s="242"/>
      <c r="I42" s="244"/>
      <c r="J42" s="242"/>
      <c r="K42" s="245"/>
      <c r="L42" s="246"/>
    </row>
    <row r="44" spans="1:13" x14ac:dyDescent="0.35">
      <c r="A44" s="390"/>
      <c r="B44" s="419"/>
      <c r="C44" s="419"/>
      <c r="D44" s="437"/>
      <c r="E44" s="434"/>
      <c r="F44" s="419"/>
      <c r="G44" s="419"/>
      <c r="H44" s="419"/>
      <c r="I44" s="436"/>
      <c r="J44" s="419"/>
      <c r="K44" s="438"/>
      <c r="L44" s="419"/>
      <c r="M44" s="419"/>
    </row>
    <row r="45" spans="1:13" x14ac:dyDescent="0.35">
      <c r="A45" s="390"/>
      <c r="B45" s="419"/>
      <c r="C45" s="419"/>
      <c r="D45" s="437"/>
      <c r="E45" s="434"/>
      <c r="F45" s="419"/>
      <c r="G45" s="419"/>
      <c r="H45" s="419"/>
      <c r="I45" s="436"/>
      <c r="J45" s="419"/>
      <c r="K45" s="438"/>
      <c r="L45" s="419"/>
      <c r="M45" s="419"/>
    </row>
    <row r="46" spans="1:13" ht="18.5" x14ac:dyDescent="0.45">
      <c r="A46" s="390"/>
      <c r="B46" s="419"/>
      <c r="C46" s="455"/>
      <c r="D46" s="455"/>
      <c r="E46" s="455"/>
      <c r="F46" s="455"/>
      <c r="G46" s="455"/>
      <c r="H46" s="455"/>
      <c r="I46" s="455"/>
      <c r="J46" s="455"/>
      <c r="K46" s="438"/>
      <c r="L46" s="419"/>
      <c r="M46" s="419"/>
    </row>
    <row r="47" spans="1:13" ht="18.5" x14ac:dyDescent="0.45">
      <c r="A47" s="390"/>
      <c r="B47" s="419"/>
      <c r="C47" s="419"/>
      <c r="D47" s="437"/>
      <c r="E47" s="434"/>
      <c r="F47" s="419"/>
      <c r="G47" s="435"/>
      <c r="H47" s="419"/>
      <c r="I47" s="436"/>
      <c r="J47" s="419"/>
      <c r="K47" s="438"/>
      <c r="L47" s="419"/>
      <c r="M47" s="419"/>
    </row>
    <row r="48" spans="1:13" ht="18.5" x14ac:dyDescent="0.45">
      <c r="A48" s="390"/>
      <c r="B48" s="419"/>
      <c r="C48" s="453"/>
      <c r="D48" s="453"/>
      <c r="E48" s="453"/>
      <c r="F48" s="453"/>
      <c r="G48" s="453"/>
      <c r="H48" s="453"/>
      <c r="I48" s="453"/>
      <c r="J48" s="453"/>
      <c r="K48" s="438"/>
      <c r="L48" s="419"/>
      <c r="M48" s="419"/>
    </row>
    <row r="49" spans="1:13" ht="15.5" hidden="1" x14ac:dyDescent="0.35">
      <c r="A49" s="390"/>
      <c r="B49" s="419"/>
      <c r="C49" s="454"/>
      <c r="D49" s="454"/>
      <c r="E49" s="454"/>
      <c r="F49" s="454"/>
      <c r="G49" s="454"/>
      <c r="H49" s="454"/>
      <c r="I49" s="454"/>
      <c r="J49" s="454"/>
      <c r="K49" s="438"/>
      <c r="L49" s="419"/>
      <c r="M49" s="419"/>
    </row>
    <row r="50" spans="1:13" hidden="1" x14ac:dyDescent="0.35">
      <c r="A50" s="390"/>
      <c r="B50" s="419"/>
      <c r="C50" s="419"/>
      <c r="D50" s="437"/>
      <c r="E50" s="434"/>
      <c r="F50" s="419"/>
      <c r="G50" s="419"/>
      <c r="H50" s="419"/>
      <c r="I50" s="436"/>
      <c r="J50" s="419"/>
      <c r="K50" s="438"/>
      <c r="L50" s="419"/>
      <c r="M50" s="419"/>
    </row>
    <row r="51" spans="1:13" x14ac:dyDescent="0.35">
      <c r="A51" s="390"/>
      <c r="B51" s="419"/>
      <c r="C51" s="75"/>
      <c r="D51" s="439"/>
      <c r="E51" s="248"/>
      <c r="F51" s="456"/>
      <c r="G51" s="456"/>
      <c r="H51" s="456"/>
      <c r="I51" s="456"/>
      <c r="J51" s="456"/>
      <c r="K51" s="456"/>
      <c r="L51" s="440"/>
      <c r="M51" s="419"/>
    </row>
    <row r="52" spans="1:13" x14ac:dyDescent="0.35">
      <c r="A52" s="390"/>
      <c r="B52" s="419"/>
      <c r="C52" s="89"/>
      <c r="D52" s="323"/>
      <c r="E52" s="90"/>
      <c r="F52" s="441"/>
      <c r="G52" s="442"/>
      <c r="H52" s="442"/>
      <c r="I52" s="436"/>
      <c r="J52" s="442"/>
      <c r="K52" s="443"/>
      <c r="L52" s="440"/>
      <c r="M52" s="419"/>
    </row>
    <row r="53" spans="1:13" x14ac:dyDescent="0.35">
      <c r="A53" s="390"/>
      <c r="B53" s="419"/>
      <c r="C53" s="89"/>
      <c r="D53" s="323"/>
      <c r="E53" s="90"/>
      <c r="F53" s="444"/>
      <c r="G53" s="442"/>
      <c r="H53" s="418"/>
      <c r="I53" s="436"/>
      <c r="J53" s="418"/>
      <c r="K53" s="443"/>
      <c r="L53" s="440"/>
      <c r="M53" s="419"/>
    </row>
    <row r="54" spans="1:13" x14ac:dyDescent="0.35">
      <c r="A54" s="390"/>
      <c r="B54" s="1"/>
      <c r="C54" s="89"/>
      <c r="D54" s="323"/>
      <c r="E54" s="90"/>
      <c r="F54" s="444"/>
      <c r="G54" s="442"/>
      <c r="H54" s="418"/>
      <c r="I54" s="436"/>
      <c r="J54" s="418"/>
      <c r="K54" s="443"/>
      <c r="L54" s="440"/>
      <c r="M54" s="419"/>
    </row>
    <row r="55" spans="1:13" x14ac:dyDescent="0.35">
      <c r="A55" s="390"/>
      <c r="B55" s="419"/>
      <c r="C55" s="445"/>
      <c r="D55" s="446"/>
      <c r="E55" s="434"/>
      <c r="F55" s="444"/>
      <c r="G55" s="442"/>
      <c r="H55" s="418"/>
      <c r="I55" s="436"/>
      <c r="J55" s="418"/>
      <c r="K55" s="443"/>
      <c r="L55" s="440"/>
      <c r="M55" s="419"/>
    </row>
    <row r="56" spans="1:13" hidden="1" x14ac:dyDescent="0.35">
      <c r="A56" s="390"/>
      <c r="B56" s="419"/>
      <c r="C56" s="447"/>
      <c r="D56" s="446"/>
      <c r="E56" s="434"/>
      <c r="F56" s="448"/>
      <c r="G56" s="447"/>
      <c r="H56" s="442"/>
      <c r="I56" s="449"/>
      <c r="J56" s="442"/>
      <c r="K56" s="443"/>
      <c r="L56" s="440"/>
      <c r="M56" s="419"/>
    </row>
    <row r="57" spans="1:13" x14ac:dyDescent="0.35">
      <c r="A57" s="390"/>
      <c r="B57" s="419"/>
      <c r="C57" s="75"/>
      <c r="D57" s="439"/>
      <c r="E57" s="248"/>
      <c r="F57" s="456"/>
      <c r="G57" s="456"/>
      <c r="H57" s="456"/>
      <c r="I57" s="456"/>
      <c r="J57" s="456"/>
      <c r="K57" s="456"/>
      <c r="L57" s="419"/>
      <c r="M57" s="419"/>
    </row>
    <row r="58" spans="1:13" x14ac:dyDescent="0.35">
      <c r="A58" s="390"/>
      <c r="B58" s="419"/>
      <c r="C58" s="89"/>
      <c r="D58" s="323"/>
      <c r="E58" s="90"/>
      <c r="F58" s="441"/>
      <c r="G58" s="442"/>
      <c r="H58" s="442"/>
      <c r="I58" s="436"/>
      <c r="J58" s="442"/>
      <c r="K58" s="443"/>
      <c r="L58" s="419"/>
      <c r="M58" s="419"/>
    </row>
    <row r="59" spans="1:13" x14ac:dyDescent="0.35">
      <c r="A59" s="390"/>
      <c r="B59" s="419"/>
      <c r="C59" s="89"/>
      <c r="D59" s="323"/>
      <c r="E59" s="90"/>
      <c r="F59" s="444"/>
      <c r="G59" s="442"/>
      <c r="H59" s="418"/>
      <c r="I59" s="436"/>
      <c r="J59" s="418"/>
      <c r="K59" s="443"/>
      <c r="L59" s="419"/>
      <c r="M59" s="419"/>
    </row>
    <row r="60" spans="1:13" x14ac:dyDescent="0.35">
      <c r="A60" s="390"/>
      <c r="B60" s="419"/>
      <c r="C60" s="89"/>
      <c r="D60" s="323"/>
      <c r="E60" s="90"/>
      <c r="F60" s="444"/>
      <c r="G60" s="442"/>
      <c r="H60" s="418"/>
      <c r="I60" s="436"/>
      <c r="J60" s="418"/>
      <c r="K60" s="443"/>
      <c r="L60" s="419"/>
      <c r="M60" s="419"/>
    </row>
    <row r="61" spans="1:13" x14ac:dyDescent="0.35">
      <c r="A61" s="390"/>
      <c r="B61" s="419"/>
      <c r="C61" s="445"/>
      <c r="D61" s="446"/>
      <c r="E61" s="434"/>
      <c r="F61" s="444"/>
      <c r="G61" s="442"/>
      <c r="H61" s="418"/>
      <c r="I61" s="436"/>
      <c r="J61" s="418"/>
      <c r="K61" s="443"/>
      <c r="L61" s="419"/>
      <c r="M61" s="419"/>
    </row>
    <row r="62" spans="1:13" hidden="1" x14ac:dyDescent="0.35">
      <c r="A62" s="390"/>
      <c r="B62" s="419"/>
      <c r="C62" s="419"/>
      <c r="D62" s="437"/>
      <c r="E62" s="434"/>
      <c r="F62" s="419"/>
      <c r="G62" s="419"/>
      <c r="H62" s="419"/>
      <c r="I62" s="436"/>
      <c r="J62" s="419"/>
      <c r="K62" s="438"/>
      <c r="L62" s="419"/>
      <c r="M62" s="419"/>
    </row>
    <row r="63" spans="1:13" x14ac:dyDescent="0.35">
      <c r="A63" s="390"/>
      <c r="B63" s="419"/>
      <c r="C63" s="75"/>
      <c r="D63" s="439"/>
      <c r="E63" s="248"/>
      <c r="F63" s="456"/>
      <c r="G63" s="456"/>
      <c r="H63" s="456"/>
      <c r="I63" s="456"/>
      <c r="J63" s="456"/>
      <c r="K63" s="456"/>
      <c r="L63" s="419"/>
      <c r="M63" s="419"/>
    </row>
    <row r="64" spans="1:13" x14ac:dyDescent="0.35">
      <c r="A64" s="390"/>
      <c r="B64" s="419"/>
      <c r="C64" s="89"/>
      <c r="D64" s="323"/>
      <c r="E64" s="90"/>
      <c r="F64" s="441"/>
      <c r="G64" s="442"/>
      <c r="H64" s="442"/>
      <c r="I64" s="436"/>
      <c r="J64" s="442"/>
      <c r="K64" s="443"/>
      <c r="L64" s="419"/>
      <c r="M64" s="419"/>
    </row>
    <row r="65" spans="1:13" x14ac:dyDescent="0.35">
      <c r="A65" s="390"/>
      <c r="B65" s="419"/>
      <c r="C65" s="89"/>
      <c r="D65" s="323"/>
      <c r="E65" s="90"/>
      <c r="F65" s="444"/>
      <c r="G65" s="442"/>
      <c r="H65" s="418"/>
      <c r="I65" s="436"/>
      <c r="J65" s="418"/>
      <c r="K65" s="443"/>
      <c r="L65" s="419"/>
      <c r="M65" s="419"/>
    </row>
    <row r="66" spans="1:13" x14ac:dyDescent="0.35">
      <c r="A66" s="390"/>
      <c r="B66" s="419"/>
      <c r="C66" s="445"/>
      <c r="D66" s="446"/>
      <c r="E66" s="434"/>
      <c r="F66" s="444"/>
      <c r="G66" s="442"/>
      <c r="H66" s="418"/>
      <c r="I66" s="436"/>
      <c r="J66" s="418"/>
      <c r="K66" s="443"/>
      <c r="L66" s="419"/>
      <c r="M66" s="419"/>
    </row>
    <row r="67" spans="1:13" hidden="1" x14ac:dyDescent="0.35">
      <c r="A67" s="390"/>
      <c r="B67" s="419"/>
      <c r="C67" s="419"/>
      <c r="D67" s="437"/>
      <c r="E67" s="434"/>
      <c r="F67" s="419"/>
      <c r="G67" s="419"/>
      <c r="H67" s="419"/>
      <c r="I67" s="436"/>
      <c r="J67" s="419"/>
      <c r="K67" s="438"/>
      <c r="L67" s="419"/>
      <c r="M67" s="419"/>
    </row>
    <row r="68" spans="1:13" x14ac:dyDescent="0.35">
      <c r="A68" s="390"/>
      <c r="B68" s="419"/>
      <c r="C68" s="75"/>
      <c r="D68" s="439"/>
      <c r="E68" s="248"/>
      <c r="F68" s="456"/>
      <c r="G68" s="456"/>
      <c r="H68" s="456"/>
      <c r="I68" s="456"/>
      <c r="J68" s="456"/>
      <c r="K68" s="456"/>
      <c r="L68" s="419"/>
      <c r="M68" s="419"/>
    </row>
    <row r="69" spans="1:13" x14ac:dyDescent="0.35">
      <c r="A69" s="390"/>
      <c r="B69" s="419"/>
      <c r="C69" s="89"/>
      <c r="D69" s="323"/>
      <c r="E69" s="90"/>
      <c r="F69" s="441"/>
      <c r="G69" s="442"/>
      <c r="H69" s="442"/>
      <c r="I69" s="436"/>
      <c r="J69" s="442"/>
      <c r="K69" s="443"/>
      <c r="L69" s="419"/>
      <c r="M69" s="419"/>
    </row>
    <row r="70" spans="1:13" x14ac:dyDescent="0.35">
      <c r="A70" s="390"/>
      <c r="B70" s="419"/>
      <c r="C70" s="89"/>
      <c r="D70" s="323"/>
      <c r="E70" s="90"/>
      <c r="F70" s="444"/>
      <c r="G70" s="442"/>
      <c r="H70" s="418"/>
      <c r="I70" s="436"/>
      <c r="J70" s="418"/>
      <c r="K70" s="443"/>
      <c r="L70" s="419"/>
      <c r="M70" s="419"/>
    </row>
    <row r="71" spans="1:13" x14ac:dyDescent="0.35">
      <c r="A71" s="390"/>
      <c r="B71" s="419"/>
      <c r="C71" s="445"/>
      <c r="D71" s="446"/>
      <c r="E71" s="434"/>
      <c r="F71" s="444"/>
      <c r="G71" s="442"/>
      <c r="H71" s="418"/>
      <c r="I71" s="436"/>
      <c r="J71" s="418"/>
      <c r="K71" s="443"/>
      <c r="L71" s="419"/>
      <c r="M71" s="419"/>
    </row>
    <row r="72" spans="1:13" hidden="1" x14ac:dyDescent="0.35">
      <c r="A72" s="390"/>
      <c r="B72" s="419"/>
      <c r="C72" s="419"/>
      <c r="D72" s="437"/>
      <c r="E72" s="434"/>
      <c r="F72" s="419"/>
      <c r="G72" s="419"/>
      <c r="H72" s="419"/>
      <c r="I72" s="436"/>
      <c r="J72" s="419"/>
      <c r="K72" s="438"/>
      <c r="L72" s="419"/>
      <c r="M72" s="419"/>
    </row>
    <row r="73" spans="1:13" x14ac:dyDescent="0.35">
      <c r="A73" s="390"/>
      <c r="B73" s="419"/>
      <c r="C73" s="75"/>
      <c r="D73" s="439"/>
      <c r="E73" s="248"/>
      <c r="F73" s="456"/>
      <c r="G73" s="456"/>
      <c r="H73" s="456"/>
      <c r="I73" s="456"/>
      <c r="J73" s="456"/>
      <c r="K73" s="456"/>
      <c r="L73" s="419"/>
      <c r="M73" s="419"/>
    </row>
    <row r="74" spans="1:13" x14ac:dyDescent="0.35">
      <c r="A74" s="390"/>
      <c r="B74" s="419"/>
      <c r="C74" s="89"/>
      <c r="D74" s="323"/>
      <c r="E74" s="90"/>
      <c r="F74" s="441"/>
      <c r="G74" s="442"/>
      <c r="H74" s="442"/>
      <c r="I74" s="436"/>
      <c r="J74" s="442"/>
      <c r="K74" s="443"/>
      <c r="L74" s="419"/>
      <c r="M74" s="419"/>
    </row>
    <row r="75" spans="1:13" x14ac:dyDescent="0.35">
      <c r="A75" s="390"/>
      <c r="B75" s="419"/>
      <c r="C75" s="89"/>
      <c r="D75" s="323"/>
      <c r="E75" s="90"/>
      <c r="F75" s="444"/>
      <c r="G75" s="442"/>
      <c r="H75" s="418"/>
      <c r="I75" s="436"/>
      <c r="J75" s="418"/>
      <c r="K75" s="443"/>
      <c r="L75" s="419"/>
      <c r="M75" s="419"/>
    </row>
    <row r="76" spans="1:13" x14ac:dyDescent="0.35">
      <c r="A76" s="390"/>
      <c r="B76" s="419"/>
      <c r="C76" s="445"/>
      <c r="D76" s="446"/>
      <c r="E76" s="434"/>
      <c r="F76" s="444"/>
      <c r="G76" s="442"/>
      <c r="H76" s="418"/>
      <c r="I76" s="436"/>
      <c r="J76" s="418"/>
      <c r="K76" s="443"/>
      <c r="L76" s="419"/>
      <c r="M76" s="419"/>
    </row>
    <row r="77" spans="1:13" hidden="1" x14ac:dyDescent="0.35">
      <c r="A77" s="390"/>
      <c r="B77" s="419"/>
      <c r="C77" s="419"/>
      <c r="D77" s="437"/>
      <c r="E77" s="434"/>
      <c r="F77" s="419"/>
      <c r="G77" s="419"/>
      <c r="H77" s="419"/>
      <c r="I77" s="436"/>
      <c r="J77" s="419"/>
      <c r="K77" s="438"/>
      <c r="L77" s="419"/>
      <c r="M77" s="419"/>
    </row>
    <row r="78" spans="1:13" x14ac:dyDescent="0.35">
      <c r="A78" s="390"/>
      <c r="B78" s="419"/>
      <c r="C78" s="75"/>
      <c r="D78" s="439"/>
      <c r="E78" s="248"/>
      <c r="F78" s="456"/>
      <c r="G78" s="456"/>
      <c r="H78" s="456"/>
      <c r="I78" s="456"/>
      <c r="J78" s="456"/>
      <c r="K78" s="456"/>
      <c r="L78" s="419"/>
      <c r="M78" s="419"/>
    </row>
    <row r="79" spans="1:13" x14ac:dyDescent="0.35">
      <c r="A79" s="390"/>
      <c r="B79" s="419"/>
      <c r="C79" s="89"/>
      <c r="D79" s="323"/>
      <c r="E79" s="90"/>
      <c r="F79" s="441"/>
      <c r="G79" s="442"/>
      <c r="H79" s="442"/>
      <c r="I79" s="436"/>
      <c r="J79" s="442"/>
      <c r="K79" s="443"/>
      <c r="L79" s="419"/>
      <c r="M79" s="419"/>
    </row>
    <row r="80" spans="1:13" x14ac:dyDescent="0.35">
      <c r="A80" s="390"/>
      <c r="B80" s="419"/>
      <c r="C80" s="445"/>
      <c r="D80" s="446"/>
      <c r="E80" s="434"/>
      <c r="F80" s="444"/>
      <c r="G80" s="442"/>
      <c r="H80" s="418"/>
      <c r="I80" s="436"/>
      <c r="J80" s="418"/>
      <c r="K80" s="443"/>
      <c r="L80" s="419"/>
      <c r="M80" s="419"/>
    </row>
    <row r="81" spans="1:13" hidden="1" x14ac:dyDescent="0.35">
      <c r="A81" s="390"/>
      <c r="B81" s="419"/>
      <c r="C81" s="419"/>
      <c r="D81" s="437"/>
      <c r="E81" s="434"/>
      <c r="F81" s="419"/>
      <c r="G81" s="419"/>
      <c r="H81" s="419"/>
      <c r="I81" s="436"/>
      <c r="J81" s="419"/>
      <c r="K81" s="438"/>
      <c r="L81" s="419"/>
      <c r="M81" s="419"/>
    </row>
    <row r="82" spans="1:13" hidden="1" x14ac:dyDescent="0.35">
      <c r="A82" s="390"/>
      <c r="B82" s="419"/>
      <c r="C82" s="445"/>
      <c r="D82" s="446"/>
      <c r="E82" s="434"/>
      <c r="F82" s="444"/>
      <c r="G82" s="442"/>
      <c r="H82" s="418"/>
      <c r="I82" s="436"/>
      <c r="J82" s="418"/>
      <c r="K82" s="443"/>
      <c r="L82" s="419"/>
      <c r="M82" s="419"/>
    </row>
    <row r="83" spans="1:13" x14ac:dyDescent="0.35">
      <c r="A83" s="390"/>
      <c r="B83" s="419"/>
      <c r="C83" s="450"/>
      <c r="D83" s="446"/>
      <c r="E83" s="434"/>
      <c r="F83" s="456"/>
      <c r="G83" s="456"/>
      <c r="H83" s="456"/>
      <c r="I83" s="456"/>
      <c r="J83" s="456"/>
      <c r="K83" s="456"/>
      <c r="L83" s="419"/>
      <c r="M83" s="419"/>
    </row>
    <row r="84" spans="1:13" x14ac:dyDescent="0.35">
      <c r="A84" s="390"/>
      <c r="B84" s="419"/>
      <c r="C84" s="434"/>
      <c r="D84" s="446"/>
      <c r="E84" s="434"/>
      <c r="F84" s="444"/>
      <c r="G84" s="442"/>
      <c r="H84" s="418"/>
      <c r="I84" s="436"/>
      <c r="J84" s="418"/>
      <c r="K84" s="443"/>
      <c r="L84" s="419"/>
      <c r="M84" s="419"/>
    </row>
    <row r="85" spans="1:13" x14ac:dyDescent="0.35">
      <c r="A85" s="390"/>
      <c r="B85" s="419"/>
      <c r="C85" s="419"/>
      <c r="D85" s="437"/>
      <c r="E85" s="434"/>
      <c r="F85" s="419"/>
      <c r="G85" s="419"/>
      <c r="H85" s="419"/>
      <c r="I85" s="436"/>
      <c r="J85" s="419"/>
      <c r="K85" s="438"/>
      <c r="L85" s="419"/>
      <c r="M85" s="419"/>
    </row>
    <row r="86" spans="1:13" x14ac:dyDescent="0.35">
      <c r="A86" s="390"/>
      <c r="B86" s="419"/>
      <c r="C86" s="419"/>
      <c r="D86" s="437"/>
      <c r="E86" s="434"/>
      <c r="F86" s="419"/>
      <c r="G86" s="419"/>
      <c r="H86" s="419"/>
      <c r="I86" s="436"/>
      <c r="J86" s="419"/>
      <c r="K86" s="438"/>
      <c r="L86" s="419"/>
      <c r="M86" s="419"/>
    </row>
  </sheetData>
  <mergeCells count="48">
    <mergeCell ref="F78:G78"/>
    <mergeCell ref="H78:I78"/>
    <mergeCell ref="J78:K78"/>
    <mergeCell ref="F83:G83"/>
    <mergeCell ref="H83:I83"/>
    <mergeCell ref="J83:K83"/>
    <mergeCell ref="F68:G68"/>
    <mergeCell ref="H68:I68"/>
    <mergeCell ref="J68:K68"/>
    <mergeCell ref="F73:G73"/>
    <mergeCell ref="H73:I73"/>
    <mergeCell ref="J73:K73"/>
    <mergeCell ref="F57:G57"/>
    <mergeCell ref="H57:I57"/>
    <mergeCell ref="J57:K57"/>
    <mergeCell ref="F63:G63"/>
    <mergeCell ref="H63:I63"/>
    <mergeCell ref="J63:K63"/>
    <mergeCell ref="C46:J46"/>
    <mergeCell ref="C48:J48"/>
    <mergeCell ref="C49:J49"/>
    <mergeCell ref="F51:G51"/>
    <mergeCell ref="H51:I51"/>
    <mergeCell ref="J51:K51"/>
    <mergeCell ref="C3:J3"/>
    <mergeCell ref="F8:G8"/>
    <mergeCell ref="H8:I8"/>
    <mergeCell ref="J8:K8"/>
    <mergeCell ref="F14:G14"/>
    <mergeCell ref="H14:I14"/>
    <mergeCell ref="J14:K14"/>
    <mergeCell ref="C5:J5"/>
    <mergeCell ref="C6:J6"/>
    <mergeCell ref="F30:G30"/>
    <mergeCell ref="H30:I30"/>
    <mergeCell ref="J30:K30"/>
    <mergeCell ref="F20:G20"/>
    <mergeCell ref="H20:I20"/>
    <mergeCell ref="J20:K20"/>
    <mergeCell ref="F25:G25"/>
    <mergeCell ref="H25:I25"/>
    <mergeCell ref="J25:K25"/>
    <mergeCell ref="F40:G40"/>
    <mergeCell ref="H40:I40"/>
    <mergeCell ref="J40:K40"/>
    <mergeCell ref="F35:G35"/>
    <mergeCell ref="H35:I35"/>
    <mergeCell ref="J35:K35"/>
  </mergeCells>
  <printOptions horizontalCentered="1" verticalCentered="1"/>
  <pageMargins left="0.5" right="0.5" top="0.75" bottom="0.75" header="0" footer="0"/>
  <pageSetup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References</vt:lpstr>
      <vt:lpstr>SAO</vt:lpstr>
      <vt:lpstr>Revenue Requirements</vt:lpstr>
      <vt:lpstr>Water Loss</vt:lpstr>
      <vt:lpstr>Wages</vt:lpstr>
      <vt:lpstr>Medical</vt:lpstr>
      <vt:lpstr>Depreciation</vt:lpstr>
      <vt:lpstr>Debt Service</vt:lpstr>
      <vt:lpstr>Rates</vt:lpstr>
      <vt:lpstr>Bills</vt:lpstr>
      <vt:lpstr>ExBA</vt:lpstr>
      <vt:lpstr>PrBA</vt:lpstr>
      <vt:lpstr>Bills!Print_Area</vt:lpstr>
      <vt:lpstr>'Debt Service'!Print_Area</vt:lpstr>
      <vt:lpstr>ExBA!Print_Area</vt:lpstr>
      <vt:lpstr>PrBA!Print_Area</vt:lpstr>
      <vt:lpstr>Rates!Print_Area</vt:lpstr>
      <vt:lpstr>'Revenue Requirements'!Print_Area</vt:lpstr>
      <vt:lpstr>SAO!Print_Area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dc:creator>
  <cp:lastModifiedBy>Janet Reid</cp:lastModifiedBy>
  <cp:lastPrinted>2022-06-27T18:39:08Z</cp:lastPrinted>
  <dcterms:created xsi:type="dcterms:W3CDTF">2016-05-18T14:12:06Z</dcterms:created>
  <dcterms:modified xsi:type="dcterms:W3CDTF">2026-07-22T16:39:45Z</dcterms:modified>
</cp:coreProperties>
</file>