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covery\Kentucky\2026 KY PM CPCN (2026-00202)\Staff Attachments\"/>
    </mc:Choice>
  </mc:AlternateContent>
  <xr:revisionPtr revIDLastSave="0" documentId="13_ncr:1_{97FE21C1-E49B-4F40-B44C-221979B05928}" xr6:coauthVersionLast="47" xr6:coauthVersionMax="47" xr10:uidLastSave="{00000000-0000-0000-0000-000000000000}"/>
  <bookViews>
    <workbookView xWindow="-120" yWindow="-120" windowWidth="29040" windowHeight="15720" xr2:uid="{AA4B8AEE-20F1-4CCE-BA29-1456452C0F6C}"/>
  </bookViews>
  <sheets>
    <sheet name="2026 DR-CPCN" sheetId="9" r:id="rId1"/>
    <sheet name="26 template 03062026" sheetId="8" r:id="rId2"/>
    <sheet name="24 template 08272024" sheetId="6" r:id="rId3"/>
    <sheet name="5 year plan slides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9" l="1"/>
  <c r="E34" i="9" s="1"/>
  <c r="D33" i="9"/>
  <c r="E33" i="9" s="1"/>
  <c r="D32" i="9"/>
  <c r="E32" i="9" s="1"/>
  <c r="D31" i="9"/>
  <c r="E31" i="9" s="1"/>
  <c r="D30" i="9"/>
  <c r="E30" i="9" s="1"/>
  <c r="D29" i="9"/>
  <c r="E29" i="9" s="1"/>
  <c r="D28" i="9"/>
  <c r="E28" i="9" s="1"/>
  <c r="D27" i="9"/>
  <c r="E27" i="9" s="1"/>
  <c r="D26" i="9"/>
  <c r="E26" i="9" s="1"/>
  <c r="D25" i="9"/>
  <c r="D24" i="9"/>
  <c r="E24" i="9" s="1"/>
  <c r="D23" i="9"/>
  <c r="F22" i="9"/>
  <c r="E22" i="9"/>
  <c r="D21" i="9"/>
  <c r="E21" i="9" s="1"/>
  <c r="E20" i="9"/>
  <c r="E19" i="9"/>
  <c r="E18" i="9"/>
  <c r="E17" i="9"/>
  <c r="E16" i="9"/>
  <c r="E15" i="9"/>
  <c r="E14" i="9"/>
  <c r="E13" i="9"/>
  <c r="E12" i="9"/>
  <c r="E11" i="9"/>
  <c r="E10" i="9"/>
  <c r="D9" i="9"/>
  <c r="E9" i="9" s="1"/>
  <c r="E8" i="9"/>
  <c r="E7" i="9"/>
  <c r="E6" i="9"/>
  <c r="E5" i="9"/>
  <c r="E4" i="9"/>
  <c r="O3" i="9"/>
  <c r="O4" i="9" s="1"/>
  <c r="E3" i="9"/>
  <c r="N11" i="8"/>
  <c r="N12" i="8"/>
  <c r="N2" i="8"/>
  <c r="O3" i="8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N13" i="8"/>
  <c r="N14" i="8"/>
  <c r="N15" i="8" s="1"/>
  <c r="N16" i="8" s="1"/>
  <c r="N17" i="8" s="1"/>
  <c r="N18" i="8" s="1"/>
  <c r="N19" i="8" s="1"/>
  <c r="G34" i="9" l="1"/>
  <c r="H34" i="9" s="1"/>
  <c r="G33" i="9"/>
  <c r="H33" i="9" s="1"/>
  <c r="G28" i="9"/>
  <c r="H28" i="9" s="1"/>
  <c r="G26" i="9"/>
  <c r="H26" i="9" s="1"/>
  <c r="G27" i="9"/>
  <c r="H27" i="9" s="1"/>
  <c r="G30" i="9"/>
  <c r="H30" i="9" s="1"/>
  <c r="G31" i="9"/>
  <c r="H31" i="9" s="1"/>
  <c r="G32" i="9"/>
  <c r="H32" i="9" s="1"/>
  <c r="G29" i="9"/>
  <c r="H29" i="9" s="1"/>
  <c r="E23" i="9"/>
  <c r="F23" i="9"/>
  <c r="F24" i="9" s="1"/>
  <c r="F25" i="9" s="1"/>
  <c r="F26" i="9" s="1"/>
  <c r="F27" i="9" s="1"/>
  <c r="F28" i="9" s="1"/>
  <c r="F29" i="9" s="1"/>
  <c r="F30" i="9" s="1"/>
  <c r="F31" i="9" s="1"/>
  <c r="F32" i="9" s="1"/>
  <c r="F33" i="9" s="1"/>
  <c r="F34" i="9" s="1"/>
  <c r="G23" i="9"/>
  <c r="H23" i="9" s="1"/>
  <c r="G24" i="9"/>
  <c r="H24" i="9" s="1"/>
  <c r="E25" i="9"/>
  <c r="G25" i="9"/>
  <c r="H25" i="9" s="1"/>
  <c r="P4" i="9"/>
  <c r="O5" i="9"/>
  <c r="P3" i="9"/>
  <c r="C33" i="8"/>
  <c r="D33" i="8" s="1"/>
  <c r="C32" i="8"/>
  <c r="D32" i="8" s="1"/>
  <c r="C31" i="8"/>
  <c r="D31" i="8" s="1"/>
  <c r="C30" i="8"/>
  <c r="D30" i="8" s="1"/>
  <c r="C29" i="8"/>
  <c r="D29" i="8" s="1"/>
  <c r="C28" i="8"/>
  <c r="D28" i="8" s="1"/>
  <c r="C27" i="8"/>
  <c r="C26" i="8"/>
  <c r="D26" i="8" s="1"/>
  <c r="C25" i="8"/>
  <c r="D25" i="8" s="1"/>
  <c r="C24" i="8"/>
  <c r="D24" i="8" s="1"/>
  <c r="C23" i="8"/>
  <c r="F33" i="8" s="1"/>
  <c r="G33" i="8" s="1"/>
  <c r="F22" i="8"/>
  <c r="G22" i="8" s="1"/>
  <c r="C22" i="8"/>
  <c r="F26" i="8" s="1"/>
  <c r="G26" i="8" s="1"/>
  <c r="E21" i="8"/>
  <c r="D21" i="8"/>
  <c r="C20" i="8"/>
  <c r="D20" i="8" s="1"/>
  <c r="D19" i="8"/>
  <c r="D18" i="8"/>
  <c r="D17" i="8"/>
  <c r="D16" i="8"/>
  <c r="D15" i="8"/>
  <c r="D14" i="8"/>
  <c r="D13" i="8"/>
  <c r="D12" i="8"/>
  <c r="D11" i="8"/>
  <c r="D10" i="8"/>
  <c r="D9" i="8"/>
  <c r="C8" i="8"/>
  <c r="D8" i="8" s="1"/>
  <c r="D7" i="8"/>
  <c r="D6" i="8"/>
  <c r="D5" i="8"/>
  <c r="D4" i="8"/>
  <c r="D3" i="8"/>
  <c r="N3" i="8"/>
  <c r="D2" i="8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" i="6"/>
  <c r="D2" i="6"/>
  <c r="D3" i="6"/>
  <c r="D4" i="6"/>
  <c r="D5" i="6"/>
  <c r="D6" i="6"/>
  <c r="D7" i="6"/>
  <c r="D8" i="6"/>
  <c r="D10" i="6"/>
  <c r="D11" i="6"/>
  <c r="D12" i="6"/>
  <c r="D13" i="6"/>
  <c r="D14" i="6"/>
  <c r="D15" i="6"/>
  <c r="D16" i="6"/>
  <c r="D17" i="6"/>
  <c r="D18" i="6"/>
  <c r="D19" i="6"/>
  <c r="D20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9" i="6"/>
  <c r="P5" i="9" l="1"/>
  <c r="O6" i="9"/>
  <c r="F23" i="8"/>
  <c r="G23" i="8" s="1"/>
  <c r="F24" i="8"/>
  <c r="G24" i="8" s="1"/>
  <c r="F25" i="8"/>
  <c r="G25" i="8" s="1"/>
  <c r="F31" i="8"/>
  <c r="G31" i="8" s="1"/>
  <c r="D23" i="8"/>
  <c r="F28" i="8"/>
  <c r="G28" i="8" s="1"/>
  <c r="D22" i="8"/>
  <c r="E22" i="8"/>
  <c r="E23" i="8" s="1"/>
  <c r="E24" i="8" s="1"/>
  <c r="E25" i="8" s="1"/>
  <c r="E26" i="8" s="1"/>
  <c r="E27" i="8" s="1"/>
  <c r="E28" i="8" s="1"/>
  <c r="E29" i="8" s="1"/>
  <c r="E30" i="8" s="1"/>
  <c r="E31" i="8" s="1"/>
  <c r="E32" i="8" s="1"/>
  <c r="E33" i="8" s="1"/>
  <c r="N4" i="8"/>
  <c r="D27" i="8"/>
  <c r="F29" i="8"/>
  <c r="G29" i="8" s="1"/>
  <c r="F27" i="8"/>
  <c r="G27" i="8" s="1"/>
  <c r="F32" i="8"/>
  <c r="G32" i="8" s="1"/>
  <c r="F30" i="8"/>
  <c r="G30" i="8" s="1"/>
  <c r="N2" i="6"/>
  <c r="C34" i="6"/>
  <c r="C33" i="6"/>
  <c r="C32" i="6"/>
  <c r="C31" i="6"/>
  <c r="C30" i="6"/>
  <c r="C29" i="6"/>
  <c r="C28" i="6"/>
  <c r="C27" i="6"/>
  <c r="C26" i="6"/>
  <c r="C25" i="6"/>
  <c r="C24" i="6"/>
  <c r="C23" i="6"/>
  <c r="E22" i="6"/>
  <c r="C8" i="6"/>
  <c r="C21" i="6" s="1"/>
  <c r="D21" i="6" s="1"/>
  <c r="O7" i="9" l="1"/>
  <c r="P6" i="9"/>
  <c r="N5" i="8"/>
  <c r="N3" i="6"/>
  <c r="F31" i="6"/>
  <c r="G31" i="6" s="1"/>
  <c r="F24" i="6"/>
  <c r="G24" i="6" s="1"/>
  <c r="F27" i="6"/>
  <c r="G27" i="6" s="1"/>
  <c r="F26" i="6"/>
  <c r="G26" i="6" s="1"/>
  <c r="F28" i="6"/>
  <c r="G28" i="6" s="1"/>
  <c r="F34" i="6"/>
  <c r="G34" i="6" s="1"/>
  <c r="E23" i="6"/>
  <c r="E24" i="6" s="1"/>
  <c r="E25" i="6" s="1"/>
  <c r="E26" i="6" s="1"/>
  <c r="E27" i="6" s="1"/>
  <c r="E28" i="6" s="1"/>
  <c r="E29" i="6" s="1"/>
  <c r="E30" i="6" s="1"/>
  <c r="E31" i="6" s="1"/>
  <c r="E32" i="6" s="1"/>
  <c r="E33" i="6" s="1"/>
  <c r="E34" i="6" s="1"/>
  <c r="F23" i="6"/>
  <c r="G23" i="6" s="1"/>
  <c r="F29" i="6"/>
  <c r="G29" i="6" s="1"/>
  <c r="F32" i="6"/>
  <c r="G32" i="6" s="1"/>
  <c r="F33" i="6"/>
  <c r="G33" i="6" s="1"/>
  <c r="F30" i="6"/>
  <c r="G30" i="6" s="1"/>
  <c r="F25" i="6"/>
  <c r="G25" i="6" s="1"/>
  <c r="O8" i="9" l="1"/>
  <c r="P7" i="9"/>
  <c r="N6" i="8"/>
  <c r="N4" i="6"/>
  <c r="O9" i="9" l="1"/>
  <c r="P8" i="9"/>
  <c r="N7" i="8"/>
  <c r="N5" i="6"/>
  <c r="O10" i="9" l="1"/>
  <c r="P9" i="9"/>
  <c r="N8" i="8"/>
  <c r="N6" i="6"/>
  <c r="O11" i="9" l="1"/>
  <c r="P10" i="9"/>
  <c r="N9" i="8"/>
  <c r="N7" i="6"/>
  <c r="P11" i="9" l="1"/>
  <c r="O12" i="9"/>
  <c r="N10" i="8"/>
  <c r="N8" i="6"/>
  <c r="P12" i="9" l="1"/>
  <c r="O13" i="9"/>
  <c r="O14" i="9" s="1"/>
  <c r="N9" i="6"/>
  <c r="P13" i="9" l="1"/>
  <c r="N10" i="6"/>
  <c r="O15" i="9" l="1"/>
  <c r="P14" i="9"/>
  <c r="N11" i="6"/>
  <c r="O16" i="9" l="1"/>
  <c r="P15" i="9"/>
  <c r="N12" i="6"/>
  <c r="P16" i="9" l="1"/>
  <c r="O17" i="9"/>
  <c r="N13" i="6"/>
  <c r="O18" i="9" l="1"/>
  <c r="P17" i="9"/>
  <c r="N14" i="6"/>
  <c r="P18" i="9" l="1"/>
  <c r="O19" i="9"/>
  <c r="N15" i="6"/>
  <c r="O20" i="9" l="1"/>
  <c r="P19" i="9"/>
  <c r="N16" i="6"/>
  <c r="O21" i="9" l="1"/>
  <c r="P20" i="9"/>
  <c r="N17" i="6"/>
  <c r="O22" i="9" l="1"/>
  <c r="P21" i="9"/>
  <c r="N18" i="6"/>
  <c r="P22" i="9" l="1"/>
  <c r="O23" i="9"/>
  <c r="N20" i="8"/>
  <c r="N21" i="8" s="1"/>
  <c r="N22" i="8" s="1"/>
  <c r="N23" i="8" s="1"/>
  <c r="N24" i="8" s="1"/>
  <c r="N25" i="8" s="1"/>
  <c r="N26" i="8" s="1"/>
  <c r="N27" i="8" s="1"/>
  <c r="N28" i="8" s="1"/>
  <c r="N29" i="8" s="1"/>
  <c r="N30" i="8" s="1"/>
  <c r="N31" i="8" s="1"/>
  <c r="N32" i="8" s="1"/>
  <c r="N33" i="8" s="1"/>
  <c r="N19" i="6"/>
  <c r="P23" i="9" l="1"/>
  <c r="O24" i="9"/>
  <c r="N20" i="6"/>
  <c r="P24" i="9" l="1"/>
  <c r="O25" i="9"/>
  <c r="N21" i="6"/>
  <c r="N22" i="6" s="1"/>
  <c r="N23" i="6" s="1"/>
  <c r="N24" i="6" s="1"/>
  <c r="N25" i="6" s="1"/>
  <c r="N26" i="6" s="1"/>
  <c r="N27" i="6" s="1"/>
  <c r="N28" i="6" s="1"/>
  <c r="N29" i="6" s="1"/>
  <c r="N30" i="6" s="1"/>
  <c r="N31" i="6" s="1"/>
  <c r="N32" i="6" s="1"/>
  <c r="N33" i="6" s="1"/>
  <c r="N34" i="6" s="1"/>
  <c r="O26" i="9" l="1"/>
  <c r="P25" i="9"/>
  <c r="P26" i="9" l="1"/>
  <c r="O27" i="9"/>
  <c r="O28" i="9" l="1"/>
  <c r="P27" i="9"/>
  <c r="P28" i="9" l="1"/>
  <c r="O29" i="9"/>
  <c r="P29" i="9" l="1"/>
  <c r="O30" i="9"/>
  <c r="P30" i="9" l="1"/>
  <c r="O31" i="9"/>
  <c r="P31" i="9" l="1"/>
  <c r="O32" i="9"/>
  <c r="P32" i="9" l="1"/>
  <c r="O33" i="9"/>
  <c r="O34" i="9" l="1"/>
  <c r="P34" i="9" s="1"/>
  <c r="P33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Gregory W Smith</author>
    <author>Robert H Arnold</author>
  </authors>
  <commentList>
    <comment ref="I1" authorId="0" shapeId="0" xr:uid="{9369E175-436E-4425-8DD2-F80E1B4F408B}">
      <text>
        <r>
          <rPr>
            <b/>
            <sz val="9"/>
            <color indexed="81"/>
            <rFont val="Tahoma"/>
            <family val="2"/>
          </rPr>
          <t>Choices:
   High Consequence
   Medium Consequence
   None</t>
        </r>
      </text>
    </comment>
    <comment ref="J1" authorId="0" shapeId="0" xr:uid="{55790485-56CC-4C01-8661-2071F4531322}">
      <text>
        <r>
          <rPr>
            <b/>
            <sz val="9"/>
            <color indexed="81"/>
            <rFont val="Tahoma"/>
            <family val="2"/>
          </rPr>
          <t>If a Consequence Area is noted, please list the corresponding number or identifier?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" authorId="0" shapeId="0" xr:uid="{B25C704C-0D05-46FA-8D89-F3F57262DB50}">
      <text>
        <r>
          <rPr>
            <b/>
            <sz val="9"/>
            <color indexed="81"/>
            <rFont val="Tahoma"/>
            <family val="2"/>
          </rPr>
          <t xml:space="preserve">Choices:
   Pressure Test
   Pressure Reduction
   Engineering Critical Assessment
   Pipe Replacement
   PIR Reduction (PIR&lt;150')
   Alternative Technology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" authorId="0" shapeId="0" xr:uid="{6D18A140-E2BB-448B-AED0-25510179D9E0}">
      <text>
        <r>
          <rPr>
            <b/>
            <sz val="9"/>
            <color indexed="81"/>
            <rFont val="Tahoma"/>
            <family val="2"/>
          </rPr>
          <t>Proposed Year for Reconformation:
FY2021 - FY2035
(Note: 50% must be accomplished by July 3, 2028)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1" shapeId="0" xr:uid="{B25EB6C9-EA93-4DC7-AC1F-391C56E4FD60}">
      <text>
        <r>
          <rPr>
            <b/>
            <sz val="9"/>
            <color indexed="81"/>
            <rFont val="Tahoma"/>
            <family val="2"/>
          </rPr>
          <t>Robert H Arnold:</t>
        </r>
        <r>
          <rPr>
            <sz val="9"/>
            <color indexed="81"/>
            <rFont val="Tahoma"/>
            <family val="2"/>
          </rPr>
          <t xml:space="preserve">
lowered from 920 to 850
</t>
        </r>
      </text>
    </comment>
    <comment ref="C13" authorId="1" shapeId="0" xr:uid="{E54C2F29-5FEB-42AB-BA0D-DAC685428A0A}">
      <text>
        <r>
          <rPr>
            <b/>
            <sz val="9"/>
            <color indexed="81"/>
            <rFont val="Tahoma"/>
            <family val="2"/>
          </rPr>
          <t>Robert H Arnold:</t>
        </r>
        <r>
          <rPr>
            <sz val="9"/>
            <color indexed="81"/>
            <rFont val="Tahoma"/>
            <family val="2"/>
          </rPr>
          <t xml:space="preserve">
8:, 6", and 4"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Gregory W Smith</author>
    <author>Robert H Arnold</author>
  </authors>
  <commentList>
    <comment ref="I1" authorId="0" shapeId="0" xr:uid="{CB166972-5A51-4A35-B655-5BE703AAB08A}">
      <text>
        <r>
          <rPr>
            <b/>
            <sz val="9"/>
            <color indexed="81"/>
            <rFont val="Tahoma"/>
            <family val="2"/>
          </rPr>
          <t>Choices:
   High Consequence
   Medium Consequence
   None</t>
        </r>
      </text>
    </comment>
    <comment ref="J1" authorId="0" shapeId="0" xr:uid="{D130EB19-A650-415E-B43C-B5BBA60A3A24}">
      <text>
        <r>
          <rPr>
            <b/>
            <sz val="9"/>
            <color indexed="81"/>
            <rFont val="Tahoma"/>
            <family val="2"/>
          </rPr>
          <t>If a Consequence Area is noted, please list the corresponding number or identifier?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" authorId="0" shapeId="0" xr:uid="{EDE01E39-EBB9-48F7-A59F-FADC8D5D07E5}">
      <text>
        <r>
          <rPr>
            <b/>
            <sz val="9"/>
            <color indexed="81"/>
            <rFont val="Tahoma"/>
            <family val="2"/>
          </rPr>
          <t xml:space="preserve">Choices:
   Pressure Test
   Pressure Reduction
   Engineering Critical Assessment
   Pipe Replacement
   PIR Reduction (PIR&lt;150')
   Alternative Technology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" authorId="0" shapeId="0" xr:uid="{0018A904-CDDA-424D-B00C-5DE6543AC3A3}">
      <text>
        <r>
          <rPr>
            <b/>
            <sz val="9"/>
            <color indexed="81"/>
            <rFont val="Tahoma"/>
            <family val="2"/>
          </rPr>
          <t>Proposed Year for Reconformation:
FY2021 - FY2035
(Note: 50% must be accomplished by July 3, 2028)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1" shapeId="0" xr:uid="{5C0A4F01-53DB-4BC4-B761-0B02329BC721}">
      <text>
        <r>
          <rPr>
            <b/>
            <sz val="9"/>
            <color indexed="81"/>
            <rFont val="Tahoma"/>
            <family val="2"/>
          </rPr>
          <t>Robert H Arnold:</t>
        </r>
        <r>
          <rPr>
            <sz val="9"/>
            <color indexed="81"/>
            <rFont val="Tahoma"/>
            <family val="2"/>
          </rPr>
          <t xml:space="preserve">
lowered from 920 to 850
</t>
        </r>
      </text>
    </comment>
    <comment ref="C13" authorId="1" shapeId="0" xr:uid="{B1C9B4C3-8FBC-490D-AA2B-51E206661DE0}">
      <text>
        <r>
          <rPr>
            <b/>
            <sz val="9"/>
            <color indexed="81"/>
            <rFont val="Tahoma"/>
            <family val="2"/>
          </rPr>
          <t>Robert H Arnold:</t>
        </r>
        <r>
          <rPr>
            <sz val="9"/>
            <color indexed="81"/>
            <rFont val="Tahoma"/>
            <family val="2"/>
          </rPr>
          <t xml:space="preserve">
8:, 6", and 4"</t>
        </r>
      </text>
    </comment>
  </commentList>
</comments>
</file>

<file path=xl/sharedStrings.xml><?xml version="1.0" encoding="utf-8"?>
<sst xmlns="http://schemas.openxmlformats.org/spreadsheetml/2006/main" count="346" uniqueCount="78">
  <si>
    <t>cost center</t>
  </si>
  <si>
    <t>Consequence Number:</t>
  </si>
  <si>
    <t>Barnsley</t>
  </si>
  <si>
    <t>HCA</t>
  </si>
  <si>
    <t>HCA 9</t>
  </si>
  <si>
    <t>Pressure Test</t>
  </si>
  <si>
    <t>HCA10</t>
  </si>
  <si>
    <t>N/A</t>
  </si>
  <si>
    <t>St. Charles</t>
  </si>
  <si>
    <t>Pressure Reduction</t>
  </si>
  <si>
    <t>Hawesville</t>
  </si>
  <si>
    <t>Pipe Replacement</t>
  </si>
  <si>
    <t>Madisonville</t>
  </si>
  <si>
    <t>MCA</t>
  </si>
  <si>
    <t>KY_51</t>
  </si>
  <si>
    <t>Paducah</t>
  </si>
  <si>
    <t>KY_84</t>
  </si>
  <si>
    <t>Bowling Green</t>
  </si>
  <si>
    <t>KY_83</t>
  </si>
  <si>
    <t>Bon Harbor</t>
  </si>
  <si>
    <t>KY_82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</si>
  <si>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</si>
  <si>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</si>
  <si>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</si>
  <si>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</si>
  <si>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</si>
  <si>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</si>
  <si>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</si>
  <si>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</si>
  <si>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</si>
  <si>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</si>
  <si>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</si>
  <si>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</si>
  <si>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</si>
  <si>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Template</t>
  </si>
  <si>
    <t>Town</t>
  </si>
  <si>
    <t>Forecast Reconfirmation (Fiscal Year)</t>
  </si>
  <si>
    <t>Length (ft)</t>
  </si>
  <si>
    <t>In-Service Date</t>
  </si>
  <si>
    <t>Outside Diameter</t>
  </si>
  <si>
    <t>MAOP</t>
  </si>
  <si>
    <t>% SMYS at MAOP</t>
  </si>
  <si>
    <t>Consequence Area Type</t>
  </si>
  <si>
    <t>Proposed MAOP Reconfirmation  Method</t>
  </si>
  <si>
    <t xml:space="preserve">Current Estimated Capital Cost </t>
  </si>
  <si>
    <t>Cumulative Miles Completed</t>
  </si>
  <si>
    <t>Murfreesboro</t>
  </si>
  <si>
    <t>% Complete</t>
  </si>
  <si>
    <t>&lt;--- Need to be finished by July 1 2028</t>
  </si>
  <si>
    <t>&lt;--- Need to be finished by July 1 2035</t>
  </si>
  <si>
    <t xml:space="preserve">2021-2028 Remediation </t>
  </si>
  <si>
    <t xml:space="preserve">#HCA </t>
  </si>
  <si>
    <t>Total Miles</t>
  </si>
  <si>
    <t>2029-2035 Remediation</t>
  </si>
  <si>
    <t>#HCA</t>
  </si>
  <si>
    <t># Segments</t>
  </si>
  <si>
    <t>Forecast of Work for each FY</t>
  </si>
  <si>
    <t>Hydro</t>
  </si>
  <si>
    <t>Pipeline Replacement</t>
  </si>
  <si>
    <t>FY25</t>
  </si>
  <si>
    <t>FY26P</t>
  </si>
  <si>
    <t>FY27P</t>
  </si>
  <si>
    <t>FY28P</t>
  </si>
  <si>
    <t>FY29P</t>
  </si>
  <si>
    <t>FY30P</t>
  </si>
  <si>
    <t>MAOP Derate</t>
  </si>
  <si>
    <t>*Could probably remove Hydro row if wanted</t>
  </si>
  <si>
    <t>FY</t>
  </si>
  <si>
    <t>Length (mi)</t>
  </si>
  <si>
    <t>&lt;--- Will be 50% complete in FY27</t>
  </si>
  <si>
    <t>Combine to 2030?</t>
  </si>
  <si>
    <t>* Bowling Green Removed from 624 Replacement Schedule Per Robert Arnold Email 2/18/2026</t>
  </si>
  <si>
    <t>6.625*</t>
  </si>
  <si>
    <t>Complete</t>
  </si>
  <si>
    <t>In Progress</t>
  </si>
  <si>
    <t>* Bon Harbor Field Lines consist of 3 separate pipe sizes with different outside diameters. For calculations of SMYS, 6" Nominal Pipe Size was utililzed</t>
  </si>
  <si>
    <t>38.8%**</t>
  </si>
  <si>
    <t xml:space="preserve">** Reference Material Specification Spreadsheet for breakout of pipe characteristics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</si>
</sst>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%"/>
    <numFmt numFmtId="165" formatCode="0.000"/>
    <numFmt numFmtId="166" formatCode="0.0000"/>
    <numFmt numFmtId="167" formatCode="0.0"/>
  </numFmts>
  <fonts count="6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1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" fontId="3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3" fillId="0" borderId="7" xfId="0" applyFont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right"/>
    </xf>
    <xf numFmtId="0" fontId="2" fillId="0" borderId="0" xfId="0" applyFont="1" applyAlignment="1">
      <alignment horizontal="center"/>
    </xf>
    <xf numFmtId="164" fontId="3" fillId="0" borderId="0" xfId="1" applyNumberFormat="1" applyFont="1" applyBorder="1" applyAlignment="1"/>
    <xf numFmtId="165" fontId="3" fillId="0" borderId="0" xfId="0" applyNumberFormat="1" applyFont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 vertical="center"/>
    </xf>
    <xf numFmtId="164" fontId="3" fillId="0" borderId="9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2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wrapText="1"/>
    </xf>
    <xf numFmtId="1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10" fontId="0" fillId="3" borderId="4" xfId="0" applyNumberForma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wrapText="1"/>
    </xf>
    <xf numFmtId="44" fontId="2" fillId="0" borderId="9" xfId="0" applyNumberFormat="1" applyFont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" fontId="3" fillId="3" borderId="5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14" fontId="3" fillId="3" borderId="6" xfId="0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10" fontId="0" fillId="3" borderId="12" xfId="0" applyNumberForma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167" fontId="3" fillId="0" borderId="0" xfId="0" applyNumberFormat="1" applyFont="1" applyAlignment="1">
      <alignment horizontal="center" vertical="center"/>
    </xf>
    <xf numFmtId="167" fontId="3" fillId="0" borderId="9" xfId="0" applyNumberFormat="1" applyFont="1" applyBorder="1" applyAlignment="1">
      <alignment horizontal="center" vertical="center"/>
    </xf>
    <xf numFmtId="167" fontId="3" fillId="3" borderId="6" xfId="0" applyNumberFormat="1" applyFont="1" applyFill="1" applyBorder="1" applyAlignment="1">
      <alignment horizontal="center" vertical="center"/>
    </xf>
    <xf numFmtId="10" fontId="0" fillId="0" borderId="4" xfId="0" applyNumberForma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7" fontId="3" fillId="3" borderId="0" xfId="0" applyNumberFormat="1" applyFont="1" applyFill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44" fontId="2" fillId="3" borderId="0" xfId="0" applyNumberFormat="1" applyFont="1" applyFill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/>
    </xf>
    <xf numFmtId="1" fontId="3" fillId="3" borderId="7" xfId="0" applyNumberFormat="1" applyFont="1" applyFill="1" applyBorder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164" fontId="0" fillId="0" borderId="4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164" fontId="3" fillId="6" borderId="0" xfId="1" applyNumberFormat="1" applyFont="1" applyFill="1" applyBorder="1" applyAlignment="1">
      <alignment horizontal="center" vertical="center"/>
    </xf>
    <xf numFmtId="164" fontId="0" fillId="6" borderId="4" xfId="0" applyNumberFormat="1" applyFill="1" applyBorder="1" applyAlignment="1">
      <alignment horizontal="center" vertical="center"/>
    </xf>
    <xf numFmtId="1" fontId="3" fillId="6" borderId="7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3" fillId="6" borderId="0" xfId="0" applyFont="1" applyFill="1" applyAlignment="1">
      <alignment horizontal="center" vertical="center"/>
    </xf>
    <xf numFmtId="167" fontId="3" fillId="6" borderId="0" xfId="0" applyNumberFormat="1" applyFont="1" applyFill="1" applyAlignment="1">
      <alignment horizontal="center" vertical="center"/>
    </xf>
    <xf numFmtId="14" fontId="3" fillId="6" borderId="0" xfId="0" applyNumberFormat="1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 wrapText="1"/>
    </xf>
    <xf numFmtId="2" fontId="0" fillId="6" borderId="0" xfId="0" applyNumberFormat="1" applyFill="1" applyAlignment="1">
      <alignment horizontal="center" vertical="center"/>
    </xf>
    <xf numFmtId="0" fontId="2" fillId="2" borderId="11" xfId="0" applyFont="1" applyFill="1" applyBorder="1" applyAlignment="1">
      <alignment horizontal="center" wrapText="1"/>
    </xf>
    <xf numFmtId="44" fontId="2" fillId="0" borderId="4" xfId="0" applyNumberFormat="1" applyFont="1" applyBorder="1" applyAlignment="1">
      <alignment horizontal="center" vertical="center"/>
    </xf>
    <xf numFmtId="44" fontId="2" fillId="0" borderId="4" xfId="0" applyNumberFormat="1" applyFont="1" applyBorder="1" applyAlignment="1">
      <alignment horizontal="center" vertical="center" wrapText="1"/>
    </xf>
    <xf numFmtId="44" fontId="2" fillId="6" borderId="4" xfId="0" applyNumberFormat="1" applyFont="1" applyFill="1" applyBorder="1" applyAlignment="1">
      <alignment horizontal="center" vertical="center" wrapText="1"/>
    </xf>
    <xf numFmtId="44" fontId="2" fillId="0" borderId="1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4" fontId="2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9FF66"/>
      <color rgb="FFFB7D7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95250</xdr:colOff>
      <xdr:row>1</xdr:row>
      <xdr:rowOff>100500</xdr:rowOff>
    </xdr:from>
    <xdr:to>
      <xdr:col>26</xdr:col>
      <xdr:colOff>390525</xdr:colOff>
      <xdr:row>23</xdr:row>
      <xdr:rowOff>162795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E57947-5132-D6F1-92CA-144F88849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6025" y="291000"/>
          <a:ext cx="7610475" cy="42532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EA719-898A-4C79-9128-D9E51DF77CAD}">
  <sheetPr>
    <pageSetUpPr fitToPage="1"/>
  </sheetPr>
  <dimension ref="A1:R37"/>
  <sheetViews>
    <sheetView tabSelected="1" topLeftCell="B1" zoomScale="85" zoomScaleNormal="85" workbookViewId="0">
      <selection activeCell="B1" sqref="B1"/>
    </sheetView>
  </sheetViews>
  <sheetFormatPr defaultRowHeight="15" x14ac:dyDescent="0.25"/>
  <cols>
    <col min="1" max="1" width="8.7109375" style="1" hidden="1" customWidth="1"/>
    <col min="2" max="2" width="8.7109375" style="1" customWidth="1"/>
    <col min="3" max="3" width="20.85546875" style="1" bestFit="1" customWidth="1"/>
    <col min="4" max="5" width="14" style="1" customWidth="1"/>
    <col min="6" max="6" width="14.28515625" style="1" customWidth="1"/>
    <col min="7" max="8" width="12.85546875" style="1" customWidth="1"/>
    <col min="9" max="9" width="18.42578125" style="2" customWidth="1"/>
    <col min="10" max="10" width="18" style="3" customWidth="1"/>
    <col min="11" max="11" width="17.140625" style="1" hidden="1" customWidth="1"/>
    <col min="12" max="12" width="22.7109375" style="3" customWidth="1"/>
    <col min="13" max="13" width="17" style="3" customWidth="1"/>
    <col min="14" max="14" width="21.7109375" style="61" customWidth="1"/>
    <col min="15" max="15" width="27.28515625" customWidth="1"/>
    <col min="16" max="16" width="11.7109375" customWidth="1"/>
    <col min="17" max="17" width="37.42578125" customWidth="1"/>
    <col min="18" max="18" width="31.85546875" customWidth="1"/>
  </cols>
  <sheetData>
    <row r="1" spans="1:18" ht="15.75" thickBot="1" x14ac:dyDescent="0.3"/>
    <row r="2" spans="1:18" ht="47.25" customHeight="1" thickBot="1" x14ac:dyDescent="0.3">
      <c r="A2" s="8" t="s">
        <v>0</v>
      </c>
      <c r="B2" s="111"/>
      <c r="C2" s="11" t="s">
        <v>35</v>
      </c>
      <c r="D2" s="12" t="s">
        <v>37</v>
      </c>
      <c r="E2" s="12" t="s">
        <v>68</v>
      </c>
      <c r="F2" s="12" t="s">
        <v>38</v>
      </c>
      <c r="G2" s="12" t="s">
        <v>39</v>
      </c>
      <c r="H2" s="13" t="s">
        <v>40</v>
      </c>
      <c r="I2" s="14" t="s">
        <v>41</v>
      </c>
      <c r="J2" s="12" t="s">
        <v>42</v>
      </c>
      <c r="K2" s="12" t="s">
        <v>1</v>
      </c>
      <c r="L2" s="12" t="s">
        <v>43</v>
      </c>
      <c r="M2" s="12" t="s">
        <v>36</v>
      </c>
      <c r="N2" s="105" t="s">
        <v>44</v>
      </c>
      <c r="O2" s="12" t="s">
        <v>45</v>
      </c>
      <c r="P2" s="35" t="s">
        <v>47</v>
      </c>
      <c r="R2" s="94" t="s">
        <v>71</v>
      </c>
    </row>
    <row r="3" spans="1:18" ht="26.25" customHeight="1" x14ac:dyDescent="0.25">
      <c r="A3" s="7">
        <v>8502</v>
      </c>
      <c r="C3" s="16" t="s">
        <v>2</v>
      </c>
      <c r="D3" s="74">
        <v>4788</v>
      </c>
      <c r="E3" s="64">
        <f t="shared" ref="E3:E9" si="0">D3/5280</f>
        <v>0.90681818181818186</v>
      </c>
      <c r="F3" s="75">
        <v>33909</v>
      </c>
      <c r="G3" s="74">
        <v>8.625</v>
      </c>
      <c r="H3" s="74">
        <v>900</v>
      </c>
      <c r="I3" s="37">
        <v>0.28699999999999998</v>
      </c>
      <c r="J3" s="76" t="s">
        <v>3</v>
      </c>
      <c r="K3" s="74" t="s">
        <v>4</v>
      </c>
      <c r="L3" s="76" t="s">
        <v>5</v>
      </c>
      <c r="M3" s="76">
        <v>2022</v>
      </c>
      <c r="N3" s="110" t="s">
        <v>73</v>
      </c>
      <c r="O3" s="87">
        <f>D3/5280</f>
        <v>0.90681818181818186</v>
      </c>
      <c r="P3" s="92">
        <f>O3/22.9</f>
        <v>3.9599047240968639E-2</v>
      </c>
    </row>
    <row r="4" spans="1:18" ht="26.25" customHeight="1" x14ac:dyDescent="0.25">
      <c r="A4" s="7">
        <v>8502</v>
      </c>
      <c r="C4" s="16" t="s">
        <v>2</v>
      </c>
      <c r="D4" s="74">
        <v>6138</v>
      </c>
      <c r="E4" s="64">
        <f t="shared" si="0"/>
        <v>1.1625000000000001</v>
      </c>
      <c r="F4" s="75">
        <v>23743</v>
      </c>
      <c r="G4" s="74">
        <v>4.5</v>
      </c>
      <c r="H4" s="74">
        <v>900</v>
      </c>
      <c r="I4" s="37">
        <v>0.308</v>
      </c>
      <c r="J4" s="76" t="s">
        <v>3</v>
      </c>
      <c r="K4" s="74" t="s">
        <v>6</v>
      </c>
      <c r="L4" s="76" t="s">
        <v>5</v>
      </c>
      <c r="M4" s="76">
        <v>2022</v>
      </c>
      <c r="N4" s="110" t="s">
        <v>73</v>
      </c>
      <c r="O4" s="87">
        <f>O3+(D4/5280)</f>
        <v>2.0693181818181818</v>
      </c>
      <c r="P4" s="92">
        <f t="shared" ref="P4:P20" si="1">O4/22.9</f>
        <v>9.0363239380706631E-2</v>
      </c>
    </row>
    <row r="5" spans="1:18" ht="26.25" customHeight="1" x14ac:dyDescent="0.25">
      <c r="A5" s="9">
        <v>8502</v>
      </c>
      <c r="B5" s="3"/>
      <c r="C5" s="99" t="s">
        <v>2</v>
      </c>
      <c r="D5" s="74">
        <v>993</v>
      </c>
      <c r="E5" s="64">
        <f t="shared" si="0"/>
        <v>0.18806818181818183</v>
      </c>
      <c r="F5" s="75">
        <v>23743</v>
      </c>
      <c r="G5" s="74">
        <v>3.5</v>
      </c>
      <c r="H5" s="74">
        <v>900</v>
      </c>
      <c r="I5" s="37">
        <v>0.20799999999999999</v>
      </c>
      <c r="J5" s="76" t="s">
        <v>7</v>
      </c>
      <c r="K5" s="74" t="s">
        <v>7</v>
      </c>
      <c r="L5" s="76" t="s">
        <v>5</v>
      </c>
      <c r="M5" s="76">
        <v>2022</v>
      </c>
      <c r="N5" s="110" t="s">
        <v>73</v>
      </c>
      <c r="O5" s="87">
        <f t="shared" ref="O5:O34" si="2">O4+(D5/5280)</f>
        <v>2.2573863636363636</v>
      </c>
      <c r="P5" s="92">
        <f t="shared" si="1"/>
        <v>9.8575823739579196E-2</v>
      </c>
    </row>
    <row r="6" spans="1:18" ht="26.25" customHeight="1" x14ac:dyDescent="0.25">
      <c r="A6" s="10">
        <v>2609</v>
      </c>
      <c r="B6" s="79"/>
      <c r="C6" s="39" t="s">
        <v>8</v>
      </c>
      <c r="D6" s="74">
        <v>10032</v>
      </c>
      <c r="E6" s="64">
        <f t="shared" si="0"/>
        <v>1.9</v>
      </c>
      <c r="F6" s="75">
        <v>25203</v>
      </c>
      <c r="G6" s="74">
        <v>8.625</v>
      </c>
      <c r="H6" s="74">
        <v>850</v>
      </c>
      <c r="I6" s="37">
        <v>0.46400000000000002</v>
      </c>
      <c r="J6" s="76" t="s">
        <v>7</v>
      </c>
      <c r="K6" s="74" t="s">
        <v>7</v>
      </c>
      <c r="L6" s="76" t="s">
        <v>9</v>
      </c>
      <c r="M6" s="76">
        <v>2023</v>
      </c>
      <c r="N6" s="110" t="s">
        <v>73</v>
      </c>
      <c r="O6" s="87">
        <f t="shared" si="2"/>
        <v>4.1573863636363635</v>
      </c>
      <c r="P6" s="92">
        <f t="shared" si="1"/>
        <v>0.18154525605398969</v>
      </c>
    </row>
    <row r="7" spans="1:18" ht="26.25" customHeight="1" x14ac:dyDescent="0.25">
      <c r="A7" s="10"/>
      <c r="B7" s="79"/>
      <c r="C7" s="39" t="s">
        <v>46</v>
      </c>
      <c r="D7" s="74">
        <v>10695</v>
      </c>
      <c r="E7" s="64">
        <f t="shared" si="0"/>
        <v>2.0255681818181817</v>
      </c>
      <c r="F7" s="75">
        <v>35710</v>
      </c>
      <c r="G7" s="74">
        <v>8.625</v>
      </c>
      <c r="H7" s="74">
        <v>550</v>
      </c>
      <c r="I7" s="37">
        <v>0.3</v>
      </c>
      <c r="J7" s="76" t="s">
        <v>3</v>
      </c>
      <c r="K7" s="74"/>
      <c r="L7" s="76" t="s">
        <v>11</v>
      </c>
      <c r="M7" s="76">
        <v>2025</v>
      </c>
      <c r="N7" s="110" t="s">
        <v>73</v>
      </c>
      <c r="O7" s="87">
        <f t="shared" si="2"/>
        <v>6.1829545454545451</v>
      </c>
      <c r="P7" s="92">
        <f t="shared" si="1"/>
        <v>0.26999801508535132</v>
      </c>
    </row>
    <row r="8" spans="1:18" ht="26.25" customHeight="1" x14ac:dyDescent="0.25">
      <c r="A8" s="7">
        <v>2636</v>
      </c>
      <c r="C8" s="40" t="s">
        <v>10</v>
      </c>
      <c r="D8" s="74">
        <v>206</v>
      </c>
      <c r="E8" s="64">
        <f t="shared" si="0"/>
        <v>3.9015151515151517E-2</v>
      </c>
      <c r="F8" s="75">
        <v>25409</v>
      </c>
      <c r="G8" s="74">
        <v>6.625</v>
      </c>
      <c r="H8" s="74">
        <v>594</v>
      </c>
      <c r="I8" s="37">
        <v>0.436</v>
      </c>
      <c r="J8" s="76" t="s">
        <v>7</v>
      </c>
      <c r="K8" s="74" t="s">
        <v>7</v>
      </c>
      <c r="L8" s="76" t="s">
        <v>11</v>
      </c>
      <c r="M8" s="76">
        <v>2025</v>
      </c>
      <c r="N8" s="110" t="s">
        <v>73</v>
      </c>
      <c r="O8" s="87">
        <f t="shared" si="2"/>
        <v>6.2219696969696967</v>
      </c>
      <c r="P8" s="92">
        <f t="shared" si="1"/>
        <v>0.27170173349212651</v>
      </c>
    </row>
    <row r="9" spans="1:18" ht="26.25" customHeight="1" x14ac:dyDescent="0.25">
      <c r="A9" s="7">
        <v>2636</v>
      </c>
      <c r="C9" s="40" t="s">
        <v>10</v>
      </c>
      <c r="D9" s="74">
        <f>5916</f>
        <v>5916</v>
      </c>
      <c r="E9" s="64">
        <f t="shared" si="0"/>
        <v>1.1204545454545454</v>
      </c>
      <c r="F9" s="75">
        <v>25035</v>
      </c>
      <c r="G9" s="74">
        <v>8.625</v>
      </c>
      <c r="H9" s="74">
        <v>594</v>
      </c>
      <c r="I9" s="37">
        <v>0.56799999999999995</v>
      </c>
      <c r="J9" s="76" t="s">
        <v>7</v>
      </c>
      <c r="K9" s="74" t="s">
        <v>7</v>
      </c>
      <c r="L9" s="76" t="s">
        <v>9</v>
      </c>
      <c r="M9" s="76">
        <v>2025</v>
      </c>
      <c r="N9" s="110" t="s">
        <v>73</v>
      </c>
      <c r="O9" s="87">
        <f t="shared" si="2"/>
        <v>7.3424242424242419</v>
      </c>
      <c r="P9" s="92">
        <f t="shared" si="1"/>
        <v>0.32062987958184463</v>
      </c>
    </row>
    <row r="10" spans="1:18" ht="26.25" customHeight="1" x14ac:dyDescent="0.25">
      <c r="A10" s="6">
        <v>2636</v>
      </c>
      <c r="B10" s="112"/>
      <c r="C10" s="39" t="s">
        <v>10</v>
      </c>
      <c r="D10" s="79">
        <v>5649.6</v>
      </c>
      <c r="E10" s="64">
        <f>D10/5280</f>
        <v>1.07</v>
      </c>
      <c r="F10" s="75">
        <v>23716</v>
      </c>
      <c r="G10" s="74">
        <v>6.625</v>
      </c>
      <c r="H10" s="74">
        <v>594</v>
      </c>
      <c r="I10" s="37">
        <v>0.29899999999999999</v>
      </c>
      <c r="J10" s="76" t="s">
        <v>7</v>
      </c>
      <c r="K10" s="74" t="s">
        <v>7</v>
      </c>
      <c r="L10" s="76" t="s">
        <v>11</v>
      </c>
      <c r="M10" s="76">
        <v>2026</v>
      </c>
      <c r="N10" s="106" t="s">
        <v>74</v>
      </c>
      <c r="O10" s="87">
        <f t="shared" si="2"/>
        <v>8.4124242424242421</v>
      </c>
      <c r="P10" s="92">
        <f t="shared" si="1"/>
        <v>0.36735477041153897</v>
      </c>
    </row>
    <row r="11" spans="1:18" ht="26.25" customHeight="1" x14ac:dyDescent="0.25">
      <c r="A11" s="7">
        <v>2634</v>
      </c>
      <c r="C11" s="40" t="s">
        <v>12</v>
      </c>
      <c r="D11" s="74">
        <v>6142</v>
      </c>
      <c r="E11" s="64">
        <f t="shared" ref="E11:E34" si="3">D11/5280</f>
        <v>1.1632575757575758</v>
      </c>
      <c r="F11" s="75"/>
      <c r="G11" s="74">
        <v>6.625</v>
      </c>
      <c r="H11" s="74">
        <v>594</v>
      </c>
      <c r="I11" s="37">
        <v>0.436</v>
      </c>
      <c r="J11" s="76" t="s">
        <v>13</v>
      </c>
      <c r="K11" s="74" t="s">
        <v>14</v>
      </c>
      <c r="L11" s="76" t="s">
        <v>11</v>
      </c>
      <c r="M11" s="76">
        <v>2026</v>
      </c>
      <c r="N11" s="106" t="s">
        <v>74</v>
      </c>
      <c r="O11" s="87">
        <f t="shared" si="2"/>
        <v>9.5756818181818186</v>
      </c>
      <c r="P11" s="92">
        <f t="shared" si="1"/>
        <v>0.4181520444620882</v>
      </c>
    </row>
    <row r="12" spans="1:18" ht="26.25" customHeight="1" x14ac:dyDescent="0.25">
      <c r="A12" s="7">
        <v>2634</v>
      </c>
      <c r="C12" s="40" t="s">
        <v>12</v>
      </c>
      <c r="D12" s="74">
        <v>4699</v>
      </c>
      <c r="E12" s="64">
        <f t="shared" si="3"/>
        <v>0.88996212121212126</v>
      </c>
      <c r="F12" s="75">
        <v>20418</v>
      </c>
      <c r="G12" s="74">
        <v>6.625</v>
      </c>
      <c r="H12" s="74">
        <v>425</v>
      </c>
      <c r="I12" s="37">
        <v>0.23499999999999999</v>
      </c>
      <c r="J12" s="76" t="s">
        <v>7</v>
      </c>
      <c r="K12" s="74" t="s">
        <v>7</v>
      </c>
      <c r="L12" s="76" t="s">
        <v>11</v>
      </c>
      <c r="M12" s="76">
        <v>2026</v>
      </c>
      <c r="N12" s="107" t="s">
        <v>73</v>
      </c>
      <c r="O12" s="87">
        <f>O11+(D12/5280)</f>
        <v>10.46564393939394</v>
      </c>
      <c r="P12" s="92">
        <f t="shared" si="1"/>
        <v>0.45701501918750836</v>
      </c>
    </row>
    <row r="13" spans="1:18" ht="26.25" customHeight="1" x14ac:dyDescent="0.25">
      <c r="A13" s="7"/>
      <c r="C13" s="95" t="s">
        <v>10</v>
      </c>
      <c r="D13" s="100">
        <v>5322</v>
      </c>
      <c r="E13" s="101">
        <f t="shared" si="3"/>
        <v>1.0079545454545455</v>
      </c>
      <c r="F13" s="102">
        <v>24426</v>
      </c>
      <c r="G13" s="100">
        <v>6.625</v>
      </c>
      <c r="H13" s="100">
        <v>500</v>
      </c>
      <c r="I13" s="96">
        <v>0.36699999999999999</v>
      </c>
      <c r="J13" s="103" t="s">
        <v>7</v>
      </c>
      <c r="K13" s="100" t="s">
        <v>7</v>
      </c>
      <c r="L13" s="103" t="s">
        <v>11</v>
      </c>
      <c r="M13" s="103">
        <v>2027</v>
      </c>
      <c r="N13" s="108">
        <v>2511740</v>
      </c>
      <c r="O13" s="104">
        <f>O12+(D13/5280)</f>
        <v>11.473598484848486</v>
      </c>
      <c r="P13" s="97">
        <f t="shared" si="1"/>
        <v>0.50103050152176798</v>
      </c>
      <c r="Q13" s="36"/>
    </row>
    <row r="14" spans="1:18" ht="26.25" customHeight="1" x14ac:dyDescent="0.25">
      <c r="A14" s="6">
        <v>2609</v>
      </c>
      <c r="B14" s="112"/>
      <c r="C14" s="98" t="s">
        <v>19</v>
      </c>
      <c r="D14" s="100">
        <v>2202</v>
      </c>
      <c r="E14" s="101">
        <f t="shared" si="3"/>
        <v>0.41704545454545455</v>
      </c>
      <c r="F14" s="102">
        <v>23590</v>
      </c>
      <c r="G14" s="100" t="s">
        <v>72</v>
      </c>
      <c r="H14" s="100">
        <v>529</v>
      </c>
      <c r="I14" s="96" t="s">
        <v>76</v>
      </c>
      <c r="J14" s="103" t="s">
        <v>7</v>
      </c>
      <c r="K14" s="100" t="s">
        <v>7</v>
      </c>
      <c r="L14" s="103" t="s">
        <v>11</v>
      </c>
      <c r="M14" s="103">
        <v>2027</v>
      </c>
      <c r="N14" s="108">
        <v>935802</v>
      </c>
      <c r="O14" s="104">
        <f>O13+(D14/5280)</f>
        <v>11.890643939393941</v>
      </c>
      <c r="P14" s="97">
        <f t="shared" si="1"/>
        <v>0.51924209342331629</v>
      </c>
    </row>
    <row r="15" spans="1:18" ht="26.25" customHeight="1" x14ac:dyDescent="0.25">
      <c r="A15" s="7">
        <v>2637</v>
      </c>
      <c r="C15" s="40" t="s">
        <v>15</v>
      </c>
      <c r="D15" s="74">
        <v>20333</v>
      </c>
      <c r="E15" s="64">
        <f t="shared" si="3"/>
        <v>3.8509469696969698</v>
      </c>
      <c r="F15" s="75">
        <v>20042</v>
      </c>
      <c r="G15" s="74">
        <v>8.625</v>
      </c>
      <c r="H15" s="74">
        <v>395</v>
      </c>
      <c r="I15" s="37">
        <v>0.28389999999999999</v>
      </c>
      <c r="J15" s="76" t="s">
        <v>7</v>
      </c>
      <c r="K15" s="74" t="s">
        <v>16</v>
      </c>
      <c r="L15" s="76" t="s">
        <v>11</v>
      </c>
      <c r="M15" s="76">
        <v>2028</v>
      </c>
      <c r="N15" s="107"/>
      <c r="O15" s="87">
        <f t="shared" si="2"/>
        <v>15.741590909090911</v>
      </c>
      <c r="P15" s="92">
        <f t="shared" si="1"/>
        <v>0.68740571655418836</v>
      </c>
    </row>
    <row r="16" spans="1:18" ht="26.25" customHeight="1" x14ac:dyDescent="0.25">
      <c r="A16" s="7">
        <v>2637</v>
      </c>
      <c r="C16" s="40" t="s">
        <v>15</v>
      </c>
      <c r="D16" s="74">
        <v>11508</v>
      </c>
      <c r="E16" s="64">
        <f t="shared" si="3"/>
        <v>2.1795454545454547</v>
      </c>
      <c r="F16" s="75">
        <v>25541</v>
      </c>
      <c r="G16" s="74">
        <v>8.625</v>
      </c>
      <c r="H16" s="74">
        <v>395</v>
      </c>
      <c r="I16" s="37">
        <v>0.378</v>
      </c>
      <c r="J16" s="76" t="s">
        <v>7</v>
      </c>
      <c r="K16" s="74" t="s">
        <v>7</v>
      </c>
      <c r="L16" s="76" t="s">
        <v>11</v>
      </c>
      <c r="M16" s="76">
        <v>2029</v>
      </c>
      <c r="N16" s="106"/>
      <c r="O16" s="87">
        <f t="shared" si="2"/>
        <v>17.921136363636364</v>
      </c>
      <c r="P16" s="92">
        <f t="shared" si="1"/>
        <v>0.78258237395791985</v>
      </c>
    </row>
    <row r="17" spans="1:17" ht="26.25" customHeight="1" x14ac:dyDescent="0.25">
      <c r="A17" s="7">
        <v>2637</v>
      </c>
      <c r="C17" s="40" t="s">
        <v>15</v>
      </c>
      <c r="D17" s="74">
        <v>5185</v>
      </c>
      <c r="E17" s="64">
        <f t="shared" si="3"/>
        <v>0.9820075757575758</v>
      </c>
      <c r="F17" s="75">
        <v>21444</v>
      </c>
      <c r="G17" s="74">
        <v>8.625</v>
      </c>
      <c r="H17" s="74">
        <v>395</v>
      </c>
      <c r="I17" s="37">
        <v>0.378</v>
      </c>
      <c r="J17" s="76" t="s">
        <v>7</v>
      </c>
      <c r="K17" s="74" t="s">
        <v>18</v>
      </c>
      <c r="L17" s="76" t="s">
        <v>11</v>
      </c>
      <c r="M17" s="76">
        <v>2030</v>
      </c>
      <c r="N17" s="106"/>
      <c r="O17" s="87">
        <f t="shared" si="2"/>
        <v>18.903143939393939</v>
      </c>
      <c r="P17" s="92">
        <f t="shared" si="1"/>
        <v>0.82546480084689688</v>
      </c>
    </row>
    <row r="18" spans="1:17" ht="26.25" customHeight="1" x14ac:dyDescent="0.25">
      <c r="A18" s="7">
        <v>2637</v>
      </c>
      <c r="C18" s="40" t="s">
        <v>15</v>
      </c>
      <c r="D18" s="74">
        <v>3860</v>
      </c>
      <c r="E18" s="64">
        <f t="shared" si="3"/>
        <v>0.73106060606060608</v>
      </c>
      <c r="F18" s="75">
        <v>20702</v>
      </c>
      <c r="G18" s="74">
        <v>8.625</v>
      </c>
      <c r="H18" s="74">
        <v>395</v>
      </c>
      <c r="I18" s="37">
        <v>0.378</v>
      </c>
      <c r="J18" s="76" t="s">
        <v>7</v>
      </c>
      <c r="K18" s="74" t="s">
        <v>7</v>
      </c>
      <c r="L18" s="76" t="s">
        <v>11</v>
      </c>
      <c r="M18" s="76">
        <v>2030</v>
      </c>
      <c r="N18" s="106"/>
      <c r="O18" s="87">
        <f t="shared" si="2"/>
        <v>19.634204545454544</v>
      </c>
      <c r="P18" s="92">
        <f t="shared" si="1"/>
        <v>0.85738884477967447</v>
      </c>
    </row>
    <row r="19" spans="1:17" ht="26.25" customHeight="1" x14ac:dyDescent="0.25">
      <c r="A19" s="7">
        <v>2637</v>
      </c>
      <c r="C19" s="40" t="s">
        <v>15</v>
      </c>
      <c r="D19" s="74">
        <v>16558</v>
      </c>
      <c r="E19" s="64">
        <f t="shared" si="3"/>
        <v>3.1359848484848483</v>
      </c>
      <c r="F19" s="75">
        <v>21835</v>
      </c>
      <c r="G19" s="74">
        <v>8.625</v>
      </c>
      <c r="H19" s="74">
        <v>395</v>
      </c>
      <c r="I19" s="37">
        <v>0.378</v>
      </c>
      <c r="J19" s="76" t="s">
        <v>7</v>
      </c>
      <c r="K19" s="74" t="s">
        <v>7</v>
      </c>
      <c r="L19" s="76" t="s">
        <v>11</v>
      </c>
      <c r="M19" s="76">
        <v>2031</v>
      </c>
      <c r="N19" s="106"/>
      <c r="O19" s="87">
        <f t="shared" si="2"/>
        <v>22.770189393939393</v>
      </c>
      <c r="P19" s="92">
        <f t="shared" si="1"/>
        <v>0.99433141458250629</v>
      </c>
    </row>
    <row r="20" spans="1:17" ht="26.25" customHeight="1" thickBot="1" x14ac:dyDescent="0.3">
      <c r="A20" s="7">
        <v>2637</v>
      </c>
      <c r="C20" s="41" t="s">
        <v>15</v>
      </c>
      <c r="D20" s="42">
        <v>667</v>
      </c>
      <c r="E20" s="65">
        <f t="shared" si="3"/>
        <v>0.12632575757575756</v>
      </c>
      <c r="F20" s="43">
        <v>25762</v>
      </c>
      <c r="G20" s="42">
        <v>6.625</v>
      </c>
      <c r="H20" s="42">
        <v>395</v>
      </c>
      <c r="I20" s="44">
        <v>0.28999999999999998</v>
      </c>
      <c r="J20" s="45" t="s">
        <v>13</v>
      </c>
      <c r="K20" s="42" t="s">
        <v>20</v>
      </c>
      <c r="L20" s="45" t="s">
        <v>11</v>
      </c>
      <c r="M20" s="45">
        <v>2032</v>
      </c>
      <c r="N20" s="109"/>
      <c r="O20" s="88">
        <f t="shared" si="2"/>
        <v>22.89651515151515</v>
      </c>
      <c r="P20" s="93">
        <f t="shared" si="1"/>
        <v>0.99984782321026866</v>
      </c>
      <c r="Q20" s="36"/>
    </row>
    <row r="21" spans="1:17" hidden="1" x14ac:dyDescent="0.25">
      <c r="C21" s="16"/>
      <c r="D21" s="17">
        <f>SUM(D3:D20)/5280</f>
        <v>22.896515151515153</v>
      </c>
      <c r="E21" s="64">
        <f t="shared" si="3"/>
        <v>4.3364612029384757E-3</v>
      </c>
      <c r="I21" s="18"/>
      <c r="M21" s="19"/>
      <c r="O21" s="15">
        <f t="shared" si="2"/>
        <v>22.900851612718089</v>
      </c>
      <c r="P21" s="48" t="e">
        <f t="shared" ref="P21:P34" si="4">O21/O37</f>
        <v>#DIV/0!</v>
      </c>
    </row>
    <row r="22" spans="1:17" hidden="1" x14ac:dyDescent="0.25">
      <c r="A22" s="4" t="s">
        <v>34</v>
      </c>
      <c r="B22" s="4"/>
      <c r="C22" s="20"/>
      <c r="D22" s="21">
        <v>24.306000000000001</v>
      </c>
      <c r="E22" s="64">
        <f t="shared" si="3"/>
        <v>4.6034090909090912E-3</v>
      </c>
      <c r="F22" s="21">
        <f>D22/2</f>
        <v>12.153</v>
      </c>
      <c r="I22" s="22"/>
      <c r="M22" s="19"/>
      <c r="O22" s="15">
        <f t="shared" si="2"/>
        <v>22.905455021808997</v>
      </c>
      <c r="P22" s="48" t="e">
        <f t="shared" si="4"/>
        <v>#DIV/0!</v>
      </c>
    </row>
    <row r="23" spans="1:17" hidden="1" x14ac:dyDescent="0.25">
      <c r="A23" s="1" t="s">
        <v>21</v>
      </c>
      <c r="C23" s="16"/>
      <c r="D23" s="23">
        <f>11919/5280</f>
        <v>2.2573863636363636</v>
      </c>
      <c r="E23" s="64">
        <f t="shared" si="3"/>
        <v>4.275352961432507E-4</v>
      </c>
      <c r="F23" s="23">
        <f>D22-D23</f>
        <v>22.048613636363637</v>
      </c>
      <c r="G23" s="24">
        <f>D23</f>
        <v>2.2573863636363636</v>
      </c>
      <c r="H23" s="25">
        <f>G23/D21</f>
        <v>9.8590826975125223E-2</v>
      </c>
      <c r="I23" s="18"/>
      <c r="M23" s="19"/>
      <c r="O23" s="15">
        <f t="shared" si="2"/>
        <v>22.905882557105141</v>
      </c>
      <c r="P23" s="48" t="e">
        <f t="shared" si="4"/>
        <v>#DIV/0!</v>
      </c>
    </row>
    <row r="24" spans="1:17" hidden="1" x14ac:dyDescent="0.25">
      <c r="A24" s="1" t="s">
        <v>22</v>
      </c>
      <c r="C24" s="16"/>
      <c r="D24" s="23">
        <f>10032/5280</f>
        <v>1.9</v>
      </c>
      <c r="E24" s="64">
        <f t="shared" si="3"/>
        <v>3.5984848484848483E-4</v>
      </c>
      <c r="F24" s="23">
        <f t="shared" ref="F24:F34" si="5">F23-D24</f>
        <v>20.148613636363638</v>
      </c>
      <c r="G24" s="24">
        <f>D23+D24</f>
        <v>4.1573863636363635</v>
      </c>
      <c r="H24" s="25">
        <f>G24/D21</f>
        <v>0.18157288723307105</v>
      </c>
      <c r="I24" s="18"/>
      <c r="M24" s="19"/>
      <c r="O24" s="15">
        <f t="shared" si="2"/>
        <v>22.906242405589989</v>
      </c>
      <c r="P24" s="48" t="e">
        <f t="shared" si="4"/>
        <v>#DIV/0!</v>
      </c>
    </row>
    <row r="25" spans="1:17" hidden="1" x14ac:dyDescent="0.25">
      <c r="A25" s="1" t="s">
        <v>23</v>
      </c>
      <c r="C25" s="16"/>
      <c r="D25" s="23">
        <f>11772/5280</f>
        <v>2.2295454545454545</v>
      </c>
      <c r="E25" s="64">
        <f t="shared" si="3"/>
        <v>4.2226239669421487E-4</v>
      </c>
      <c r="F25" s="23">
        <f t="shared" si="5"/>
        <v>17.919068181818183</v>
      </c>
      <c r="G25" s="26">
        <f>SUM(D23:D25)</f>
        <v>6.386931818181818</v>
      </c>
      <c r="H25" s="25">
        <f>G25/D21</f>
        <v>0.27894776894723955</v>
      </c>
      <c r="I25" s="18"/>
      <c r="M25" s="19"/>
      <c r="O25" s="15">
        <f t="shared" si="2"/>
        <v>22.906664667986682</v>
      </c>
      <c r="P25" s="48" t="e">
        <f t="shared" si="4"/>
        <v>#DIV/0!</v>
      </c>
    </row>
    <row r="26" spans="1:17" hidden="1" x14ac:dyDescent="0.25">
      <c r="A26" s="1" t="s">
        <v>24</v>
      </c>
      <c r="C26" s="16"/>
      <c r="D26" s="23">
        <f>(10695+6142)/5280</f>
        <v>3.1888257575757577</v>
      </c>
      <c r="E26" s="64">
        <f t="shared" si="3"/>
        <v>6.0394427226813591E-4</v>
      </c>
      <c r="F26" s="23">
        <f>F25-D26</f>
        <v>14.730242424242425</v>
      </c>
      <c r="G26" s="26">
        <f>SUM(D23:D26)</f>
        <v>9.5757575757575761</v>
      </c>
      <c r="H26" s="18">
        <f>G26/D21</f>
        <v>0.41821899587736655</v>
      </c>
      <c r="I26" s="1"/>
      <c r="J26" s="1"/>
      <c r="K26" s="3"/>
      <c r="M26" s="27"/>
      <c r="O26" s="15">
        <f t="shared" si="2"/>
        <v>22.90726861225895</v>
      </c>
      <c r="P26" s="48" t="e">
        <f t="shared" si="4"/>
        <v>#DIV/0!</v>
      </c>
    </row>
    <row r="27" spans="1:17" hidden="1" x14ac:dyDescent="0.25">
      <c r="A27" s="1" t="s">
        <v>25</v>
      </c>
      <c r="C27" s="16"/>
      <c r="D27" s="23">
        <f>4699/5280</f>
        <v>0.88996212121212126</v>
      </c>
      <c r="E27" s="64">
        <f t="shared" si="3"/>
        <v>1.6855343204775025E-4</v>
      </c>
      <c r="F27" s="23">
        <f t="shared" si="5"/>
        <v>13.840280303030303</v>
      </c>
      <c r="G27" s="26">
        <f>SUM(D23:D27)</f>
        <v>10.465719696969698</v>
      </c>
      <c r="H27" s="18">
        <f>G27/D22</f>
        <v>0.43058173689499291</v>
      </c>
      <c r="I27" s="18"/>
      <c r="M27" s="19"/>
      <c r="O27" s="15">
        <f t="shared" si="2"/>
        <v>22.907437165690997</v>
      </c>
      <c r="P27" s="48" t="e">
        <f t="shared" si="4"/>
        <v>#DIV/0!</v>
      </c>
    </row>
    <row r="28" spans="1:17" hidden="1" x14ac:dyDescent="0.25">
      <c r="A28" s="1" t="s">
        <v>26</v>
      </c>
      <c r="C28" s="16"/>
      <c r="D28" s="23">
        <f>20333/5280</f>
        <v>3.8509469696969698</v>
      </c>
      <c r="E28" s="64">
        <f t="shared" si="3"/>
        <v>7.2934601698806251E-4</v>
      </c>
      <c r="F28" s="23">
        <f t="shared" si="5"/>
        <v>9.9893333333333327</v>
      </c>
      <c r="G28" s="26">
        <f>SUM(D23:D28)</f>
        <v>14.316666666666668</v>
      </c>
      <c r="H28" s="18">
        <f>G28/D21</f>
        <v>0.6252771031717147</v>
      </c>
      <c r="I28" s="18"/>
      <c r="M28" s="19"/>
      <c r="O28" s="15">
        <f t="shared" si="2"/>
        <v>22.908166511707986</v>
      </c>
      <c r="P28" s="48" t="e">
        <f t="shared" si="4"/>
        <v>#DIV/0!</v>
      </c>
    </row>
    <row r="29" spans="1:17" hidden="1" x14ac:dyDescent="0.25">
      <c r="A29" s="1" t="s">
        <v>27</v>
      </c>
      <c r="C29" s="16"/>
      <c r="D29" s="23">
        <f>5322/5280</f>
        <v>1.0079545454545455</v>
      </c>
      <c r="E29" s="64">
        <f t="shared" si="3"/>
        <v>1.9090048209366393E-4</v>
      </c>
      <c r="F29" s="23">
        <f t="shared" si="5"/>
        <v>8.9813787878787874</v>
      </c>
      <c r="G29" s="26">
        <f>SUM(D23:D29)</f>
        <v>15.324621212121214</v>
      </c>
      <c r="H29" s="18">
        <f>G29/D21</f>
        <v>0.66929928466023014</v>
      </c>
      <c r="I29" s="18"/>
      <c r="M29" s="19"/>
      <c r="O29" s="15">
        <f t="shared" si="2"/>
        <v>22.908357412190078</v>
      </c>
      <c r="P29" s="48" t="e">
        <f t="shared" si="4"/>
        <v>#DIV/0!</v>
      </c>
    </row>
    <row r="30" spans="1:17" hidden="1" x14ac:dyDescent="0.25">
      <c r="A30" s="1" t="s">
        <v>28</v>
      </c>
      <c r="C30" s="16"/>
      <c r="D30" s="23">
        <f>10771/5280</f>
        <v>2.0399621212121213</v>
      </c>
      <c r="E30" s="64">
        <f t="shared" si="3"/>
        <v>3.8635646235078057E-4</v>
      </c>
      <c r="F30" s="23">
        <f t="shared" si="5"/>
        <v>6.9414166666666661</v>
      </c>
      <c r="G30" s="26">
        <f>SUM(D23:D30)</f>
        <v>17.364583333333336</v>
      </c>
      <c r="H30" s="18">
        <f>G30/D21</f>
        <v>0.75839415816883615</v>
      </c>
      <c r="I30" s="18"/>
      <c r="M30" s="19"/>
      <c r="O30" s="15">
        <f t="shared" si="2"/>
        <v>22.908743768652428</v>
      </c>
      <c r="P30" s="48" t="e">
        <f t="shared" si="4"/>
        <v>#DIV/0!</v>
      </c>
    </row>
    <row r="31" spans="1:17" hidden="1" x14ac:dyDescent="0.25">
      <c r="A31" s="1" t="s">
        <v>29</v>
      </c>
      <c r="C31" s="16"/>
      <c r="D31" s="23">
        <f>(8886)/5280</f>
        <v>1.6829545454545454</v>
      </c>
      <c r="E31" s="64">
        <f t="shared" si="3"/>
        <v>3.1874139118457301E-4</v>
      </c>
      <c r="F31" s="23">
        <f t="shared" si="5"/>
        <v>5.258462121212121</v>
      </c>
      <c r="G31" s="26">
        <f>SUM(D23:D31)</f>
        <v>19.047537878787882</v>
      </c>
      <c r="H31" s="18">
        <f>G31/D21</f>
        <v>0.8318968084332008</v>
      </c>
      <c r="I31" s="18"/>
      <c r="M31" s="19"/>
      <c r="O31" s="15">
        <f t="shared" si="2"/>
        <v>22.909062510043611</v>
      </c>
      <c r="P31" s="48" t="e">
        <f t="shared" si="4"/>
        <v>#DIV/0!</v>
      </c>
    </row>
    <row r="32" spans="1:17" hidden="1" x14ac:dyDescent="0.25">
      <c r="A32" s="1" t="s">
        <v>30</v>
      </c>
      <c r="C32" s="16"/>
      <c r="D32" s="23">
        <f>(3860+5185)/5280</f>
        <v>1.7130681818181819</v>
      </c>
      <c r="E32" s="64">
        <f t="shared" si="3"/>
        <v>3.2444473140495869E-4</v>
      </c>
      <c r="F32" s="23">
        <f t="shared" si="5"/>
        <v>3.5453939393939393</v>
      </c>
      <c r="G32" s="26">
        <f>SUM(D23:D32)</f>
        <v>20.760606060606065</v>
      </c>
      <c r="H32" s="18">
        <f>G32/D21</f>
        <v>0.90671466479615148</v>
      </c>
      <c r="I32" s="18"/>
      <c r="M32" s="19"/>
      <c r="O32" s="15">
        <f t="shared" si="2"/>
        <v>22.909386954775016</v>
      </c>
      <c r="P32" s="48" t="e">
        <f t="shared" si="4"/>
        <v>#DIV/0!</v>
      </c>
    </row>
    <row r="33" spans="1:16" hidden="1" x14ac:dyDescent="0.25">
      <c r="A33" s="1" t="s">
        <v>31</v>
      </c>
      <c r="C33" s="16"/>
      <c r="D33" s="23">
        <f>2202/5280</f>
        <v>0.41704545454545455</v>
      </c>
      <c r="E33" s="64">
        <f t="shared" si="3"/>
        <v>7.8985881542699722E-5</v>
      </c>
      <c r="F33" s="23">
        <f t="shared" si="5"/>
        <v>3.1283484848484848</v>
      </c>
      <c r="G33" s="26">
        <f>SUM(D23:D33)</f>
        <v>21.177651515151521</v>
      </c>
      <c r="H33" s="18">
        <f>G33/D21</f>
        <v>0.92492902850109537</v>
      </c>
      <c r="I33" s="18"/>
      <c r="M33" s="19"/>
      <c r="O33" s="15">
        <f t="shared" si="2"/>
        <v>22.90946594065656</v>
      </c>
      <c r="P33" s="48" t="e">
        <f t="shared" si="4"/>
        <v>#DIV/0!</v>
      </c>
    </row>
    <row r="34" spans="1:16" s="2" customFormat="1" ht="15.75" hidden="1" thickBot="1" x14ac:dyDescent="0.3">
      <c r="A34" s="1" t="s">
        <v>32</v>
      </c>
      <c r="B34" s="1"/>
      <c r="C34" s="28"/>
      <c r="D34" s="29">
        <f>(15850+667)/5280</f>
        <v>3.1282196969696972</v>
      </c>
      <c r="E34" s="64">
        <f t="shared" si="3"/>
        <v>5.9246585169880624E-4</v>
      </c>
      <c r="F34" s="29">
        <f t="shared" si="5"/>
        <v>1.2878787878767284E-4</v>
      </c>
      <c r="G34" s="30">
        <f>SUM(D23:D34)</f>
        <v>24.305871212121218</v>
      </c>
      <c r="H34" s="31">
        <f>G34/D21</f>
        <v>1.0615532997611123</v>
      </c>
      <c r="I34" s="31"/>
      <c r="J34" s="32"/>
      <c r="K34" s="33"/>
      <c r="L34" s="32"/>
      <c r="M34" s="34"/>
      <c r="N34" s="61"/>
      <c r="O34" s="15">
        <f t="shared" si="2"/>
        <v>22.910058406508259</v>
      </c>
      <c r="P34" s="48" t="e">
        <f t="shared" si="4"/>
        <v>#DIV/0!</v>
      </c>
    </row>
    <row r="35" spans="1:16" s="2" customFormat="1" hidden="1" x14ac:dyDescent="0.25">
      <c r="A35" s="1"/>
      <c r="B35" s="1"/>
      <c r="C35" s="5"/>
      <c r="D35" s="1"/>
      <c r="E35" s="1"/>
      <c r="F35" s="1"/>
      <c r="G35" s="5">
        <v>49492</v>
      </c>
      <c r="H35" s="1"/>
      <c r="J35" s="3"/>
      <c r="K35" s="1"/>
      <c r="L35" s="3"/>
      <c r="M35" s="3"/>
      <c r="N35" s="61"/>
      <c r="O35"/>
    </row>
    <row r="36" spans="1:16" x14ac:dyDescent="0.25">
      <c r="C36" s="113" t="s">
        <v>75</v>
      </c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</row>
    <row r="37" spans="1:16" x14ac:dyDescent="0.25">
      <c r="C37" s="113" t="s">
        <v>77</v>
      </c>
      <c r="D37" s="113"/>
      <c r="E37" s="113"/>
      <c r="F37" s="113"/>
      <c r="G37" s="113"/>
      <c r="H37" s="113"/>
      <c r="I37" s="113"/>
      <c r="J37" s="113"/>
      <c r="K37" s="113"/>
      <c r="L37" s="113"/>
      <c r="M37" s="113"/>
    </row>
  </sheetData>
  <mergeCells count="2">
    <mergeCell ref="C36:N36"/>
    <mergeCell ref="C37:M37"/>
  </mergeCells>
  <pageMargins left="0.7" right="0.7" top="0.75" bottom="0.75" header="0.3" footer="0.3"/>
  <pageSetup scale="39" orientation="landscape" r:id="rId1"/>
  <headerFooter>
    <oddHeader>&amp;R&amp;"Arial,Regular"CASE NO. 2026-00202
ATTACHMENT 1
TO STAFF DR 1-01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5139C-1DE7-4A1E-92C6-1E8D89641642}">
  <sheetPr>
    <pageSetUpPr fitToPage="1"/>
  </sheetPr>
  <dimension ref="A1:Q35"/>
  <sheetViews>
    <sheetView topLeftCell="B1" zoomScale="85" zoomScaleNormal="85" workbookViewId="0">
      <selection activeCell="B1" sqref="B1"/>
    </sheetView>
  </sheetViews>
  <sheetFormatPr defaultRowHeight="15" x14ac:dyDescent="0.25"/>
  <cols>
    <col min="1" max="1" width="8.7109375" style="1" hidden="1" customWidth="1"/>
    <col min="2" max="2" width="20.85546875" style="1" bestFit="1" customWidth="1"/>
    <col min="3" max="4" width="14" style="1" customWidth="1"/>
    <col min="5" max="5" width="14.28515625" style="1" customWidth="1"/>
    <col min="6" max="7" width="12.85546875" style="1" customWidth="1"/>
    <col min="8" max="8" width="18.42578125" style="2" customWidth="1"/>
    <col min="9" max="9" width="18" style="3" customWidth="1"/>
    <col min="10" max="10" width="17.140625" style="1" hidden="1" customWidth="1"/>
    <col min="11" max="11" width="22.7109375" style="3" customWidth="1"/>
    <col min="12" max="12" width="17" style="3" customWidth="1"/>
    <col min="13" max="13" width="21.7109375" customWidth="1"/>
    <col min="14" max="14" width="27.28515625" customWidth="1"/>
    <col min="15" max="15" width="11.7109375" customWidth="1"/>
    <col min="16" max="16" width="37.42578125" customWidth="1"/>
    <col min="17" max="17" width="31.85546875" customWidth="1"/>
  </cols>
  <sheetData>
    <row r="1" spans="1:17" ht="47.25" customHeight="1" thickBot="1" x14ac:dyDescent="0.3">
      <c r="A1" s="8" t="s">
        <v>0</v>
      </c>
      <c r="B1" s="11" t="s">
        <v>35</v>
      </c>
      <c r="C1" s="12" t="s">
        <v>37</v>
      </c>
      <c r="D1" s="12" t="s">
        <v>68</v>
      </c>
      <c r="E1" s="12" t="s">
        <v>38</v>
      </c>
      <c r="F1" s="12" t="s">
        <v>39</v>
      </c>
      <c r="G1" s="13" t="s">
        <v>40</v>
      </c>
      <c r="H1" s="14" t="s">
        <v>41</v>
      </c>
      <c r="I1" s="12" t="s">
        <v>42</v>
      </c>
      <c r="J1" s="12" t="s">
        <v>1</v>
      </c>
      <c r="K1" s="12" t="s">
        <v>43</v>
      </c>
      <c r="L1" s="12" t="s">
        <v>36</v>
      </c>
      <c r="M1" s="38" t="s">
        <v>44</v>
      </c>
      <c r="N1" s="12" t="s">
        <v>45</v>
      </c>
      <c r="O1" s="35" t="s">
        <v>47</v>
      </c>
      <c r="Q1" s="94" t="s">
        <v>71</v>
      </c>
    </row>
    <row r="2" spans="1:17" ht="26.25" customHeight="1" x14ac:dyDescent="0.25">
      <c r="A2" s="7">
        <v>8502</v>
      </c>
      <c r="B2" s="47" t="s">
        <v>2</v>
      </c>
      <c r="C2" s="68">
        <v>4788</v>
      </c>
      <c r="D2" s="69">
        <f t="shared" ref="D2:D8" si="0">C2/5280</f>
        <v>0.90681818181818186</v>
      </c>
      <c r="E2" s="70">
        <v>33909</v>
      </c>
      <c r="F2" s="68">
        <v>8.625</v>
      </c>
      <c r="G2" s="68">
        <v>900</v>
      </c>
      <c r="H2" s="51">
        <v>0.28699999999999998</v>
      </c>
      <c r="I2" s="71" t="s">
        <v>3</v>
      </c>
      <c r="J2" s="68" t="s">
        <v>4</v>
      </c>
      <c r="K2" s="71" t="s">
        <v>5</v>
      </c>
      <c r="L2" s="71">
        <v>2022</v>
      </c>
      <c r="M2" s="72"/>
      <c r="N2" s="86">
        <f>C2/5280</f>
        <v>0.90681818181818186</v>
      </c>
      <c r="O2" s="89">
        <f>N2/22.9</f>
        <v>3.9599047240968639E-2</v>
      </c>
    </row>
    <row r="3" spans="1:17" ht="26.25" customHeight="1" x14ac:dyDescent="0.25">
      <c r="A3" s="7">
        <v>8502</v>
      </c>
      <c r="B3" s="90" t="s">
        <v>2</v>
      </c>
      <c r="C3" s="68">
        <v>6138</v>
      </c>
      <c r="D3" s="69">
        <f t="shared" si="0"/>
        <v>1.1625000000000001</v>
      </c>
      <c r="E3" s="70">
        <v>23743</v>
      </c>
      <c r="F3" s="68">
        <v>4.5</v>
      </c>
      <c r="G3" s="68">
        <v>900</v>
      </c>
      <c r="H3" s="51">
        <v>0.308</v>
      </c>
      <c r="I3" s="71" t="s">
        <v>3</v>
      </c>
      <c r="J3" s="68" t="s">
        <v>6</v>
      </c>
      <c r="K3" s="71" t="s">
        <v>5</v>
      </c>
      <c r="L3" s="71">
        <v>2022</v>
      </c>
      <c r="M3" s="72"/>
      <c r="N3" s="86">
        <f>N2+(C3/5280)</f>
        <v>2.0693181818181818</v>
      </c>
      <c r="O3" s="89">
        <f t="shared" ref="O3:O19" si="1">N3/22.9</f>
        <v>9.0363239380706631E-2</v>
      </c>
    </row>
    <row r="4" spans="1:17" ht="26.25" customHeight="1" x14ac:dyDescent="0.25">
      <c r="A4" s="9">
        <v>8502</v>
      </c>
      <c r="B4" s="91" t="s">
        <v>2</v>
      </c>
      <c r="C4" s="68">
        <v>993</v>
      </c>
      <c r="D4" s="69">
        <f t="shared" si="0"/>
        <v>0.18806818181818183</v>
      </c>
      <c r="E4" s="70">
        <v>23743</v>
      </c>
      <c r="F4" s="68">
        <v>3.5</v>
      </c>
      <c r="G4" s="68">
        <v>900</v>
      </c>
      <c r="H4" s="51">
        <v>0.20799999999999999</v>
      </c>
      <c r="I4" s="71" t="s">
        <v>7</v>
      </c>
      <c r="J4" s="68" t="s">
        <v>7</v>
      </c>
      <c r="K4" s="71" t="s">
        <v>5</v>
      </c>
      <c r="L4" s="71">
        <v>2022</v>
      </c>
      <c r="M4" s="72"/>
      <c r="N4" s="86">
        <f t="shared" ref="N4:N33" si="2">N3+(C4/5280)</f>
        <v>2.2573863636363636</v>
      </c>
      <c r="O4" s="89">
        <f t="shared" si="1"/>
        <v>9.8575823739579196E-2</v>
      </c>
    </row>
    <row r="5" spans="1:17" ht="26.25" customHeight="1" x14ac:dyDescent="0.25">
      <c r="A5" s="10">
        <v>2609</v>
      </c>
      <c r="B5" s="84" t="s">
        <v>8</v>
      </c>
      <c r="C5" s="68">
        <v>10032</v>
      </c>
      <c r="D5" s="69">
        <f t="shared" si="0"/>
        <v>1.9</v>
      </c>
      <c r="E5" s="70">
        <v>25203</v>
      </c>
      <c r="F5" s="68">
        <v>8.625</v>
      </c>
      <c r="G5" s="68">
        <v>850</v>
      </c>
      <c r="H5" s="51">
        <v>0.46400000000000002</v>
      </c>
      <c r="I5" s="71" t="s">
        <v>7</v>
      </c>
      <c r="J5" s="68" t="s">
        <v>7</v>
      </c>
      <c r="K5" s="71" t="s">
        <v>9</v>
      </c>
      <c r="L5" s="71">
        <v>2023</v>
      </c>
      <c r="M5" s="72"/>
      <c r="N5" s="86">
        <f t="shared" si="2"/>
        <v>4.1573863636363635</v>
      </c>
      <c r="O5" s="89">
        <f t="shared" si="1"/>
        <v>0.18154525605398969</v>
      </c>
    </row>
    <row r="6" spans="1:17" ht="26.25" customHeight="1" x14ac:dyDescent="0.25">
      <c r="A6" s="10"/>
      <c r="B6" s="84" t="s">
        <v>46</v>
      </c>
      <c r="C6" s="68">
        <v>10695</v>
      </c>
      <c r="D6" s="69">
        <f t="shared" si="0"/>
        <v>2.0255681818181817</v>
      </c>
      <c r="E6" s="70">
        <v>35710</v>
      </c>
      <c r="F6" s="68">
        <v>8.625</v>
      </c>
      <c r="G6" s="68">
        <v>550</v>
      </c>
      <c r="H6" s="51">
        <v>0.3</v>
      </c>
      <c r="I6" s="71" t="s">
        <v>3</v>
      </c>
      <c r="J6" s="68"/>
      <c r="K6" s="71" t="s">
        <v>11</v>
      </c>
      <c r="L6" s="71">
        <v>2025</v>
      </c>
      <c r="M6" s="72"/>
      <c r="N6" s="86">
        <f t="shared" si="2"/>
        <v>6.1829545454545451</v>
      </c>
      <c r="O6" s="89">
        <f t="shared" si="1"/>
        <v>0.26999801508535132</v>
      </c>
    </row>
    <row r="7" spans="1:17" ht="26.25" customHeight="1" x14ac:dyDescent="0.25">
      <c r="A7" s="7">
        <v>2636</v>
      </c>
      <c r="B7" s="68" t="s">
        <v>10</v>
      </c>
      <c r="C7" s="68">
        <v>206</v>
      </c>
      <c r="D7" s="69">
        <f t="shared" si="0"/>
        <v>3.9015151515151517E-2</v>
      </c>
      <c r="E7" s="70">
        <v>25409</v>
      </c>
      <c r="F7" s="68">
        <v>6.625</v>
      </c>
      <c r="G7" s="68">
        <v>594</v>
      </c>
      <c r="H7" s="51">
        <v>0.436</v>
      </c>
      <c r="I7" s="71" t="s">
        <v>7</v>
      </c>
      <c r="J7" s="68" t="s">
        <v>7</v>
      </c>
      <c r="K7" s="71" t="s">
        <v>11</v>
      </c>
      <c r="L7" s="71">
        <v>2025</v>
      </c>
      <c r="M7" s="114">
        <v>2677220</v>
      </c>
      <c r="N7" s="86">
        <f t="shared" si="2"/>
        <v>6.2219696969696967</v>
      </c>
      <c r="O7" s="89">
        <f t="shared" si="1"/>
        <v>0.27170173349212651</v>
      </c>
    </row>
    <row r="8" spans="1:17" ht="26.25" customHeight="1" x14ac:dyDescent="0.25">
      <c r="A8" s="7">
        <v>2636</v>
      </c>
      <c r="B8" s="68" t="s">
        <v>10</v>
      </c>
      <c r="C8" s="68">
        <f>5916</f>
        <v>5916</v>
      </c>
      <c r="D8" s="69">
        <f t="shared" si="0"/>
        <v>1.1204545454545454</v>
      </c>
      <c r="E8" s="70">
        <v>25035</v>
      </c>
      <c r="F8" s="68">
        <v>8.625</v>
      </c>
      <c r="G8" s="68">
        <v>594</v>
      </c>
      <c r="H8" s="51">
        <v>0.56799999999999995</v>
      </c>
      <c r="I8" s="71" t="s">
        <v>7</v>
      </c>
      <c r="J8" s="68" t="s">
        <v>7</v>
      </c>
      <c r="K8" s="71" t="s">
        <v>9</v>
      </c>
      <c r="L8" s="71">
        <v>2025</v>
      </c>
      <c r="M8" s="114"/>
      <c r="N8" s="86">
        <f t="shared" si="2"/>
        <v>7.3424242424242419</v>
      </c>
      <c r="O8" s="89">
        <f t="shared" si="1"/>
        <v>0.32062987958184463</v>
      </c>
    </row>
    <row r="9" spans="1:17" ht="26.25" customHeight="1" x14ac:dyDescent="0.25">
      <c r="A9" s="6">
        <v>2636</v>
      </c>
      <c r="B9" s="79" t="s">
        <v>10</v>
      </c>
      <c r="C9" s="79">
        <v>5649.6</v>
      </c>
      <c r="D9" s="64">
        <f>C9/5280</f>
        <v>1.07</v>
      </c>
      <c r="E9" s="75">
        <v>23716</v>
      </c>
      <c r="F9" s="74">
        <v>6.625</v>
      </c>
      <c r="G9" s="74">
        <v>594</v>
      </c>
      <c r="H9" s="37">
        <v>0.29899999999999999</v>
      </c>
      <c r="I9" s="76" t="s">
        <v>7</v>
      </c>
      <c r="J9" s="74" t="s">
        <v>7</v>
      </c>
      <c r="K9" s="76" t="s">
        <v>11</v>
      </c>
      <c r="L9" s="76">
        <v>2026</v>
      </c>
      <c r="M9" s="80">
        <v>2064546</v>
      </c>
      <c r="N9" s="87">
        <f t="shared" si="2"/>
        <v>8.4124242424242421</v>
      </c>
      <c r="O9" s="92">
        <f t="shared" si="1"/>
        <v>0.36735477041153897</v>
      </c>
    </row>
    <row r="10" spans="1:17" ht="26.25" customHeight="1" x14ac:dyDescent="0.25">
      <c r="A10" s="7">
        <v>2634</v>
      </c>
      <c r="B10" s="40" t="s">
        <v>12</v>
      </c>
      <c r="C10" s="74">
        <v>6142</v>
      </c>
      <c r="D10" s="64">
        <f t="shared" ref="D10:D33" si="3">C10/5280</f>
        <v>1.1632575757575758</v>
      </c>
      <c r="E10" s="75"/>
      <c r="F10" s="74">
        <v>6.625</v>
      </c>
      <c r="G10" s="74">
        <v>594</v>
      </c>
      <c r="H10" s="37">
        <v>0.436</v>
      </c>
      <c r="I10" s="76" t="s">
        <v>13</v>
      </c>
      <c r="J10" s="74" t="s">
        <v>14</v>
      </c>
      <c r="K10" s="76" t="s">
        <v>11</v>
      </c>
      <c r="L10" s="76">
        <v>2026</v>
      </c>
      <c r="M10" s="80">
        <v>2456257</v>
      </c>
      <c r="N10" s="87">
        <f t="shared" si="2"/>
        <v>9.5756818181818186</v>
      </c>
      <c r="O10" s="92">
        <f t="shared" si="1"/>
        <v>0.4181520444620882</v>
      </c>
    </row>
    <row r="11" spans="1:17" ht="26.25" customHeight="1" x14ac:dyDescent="0.25">
      <c r="A11" s="7">
        <v>2634</v>
      </c>
      <c r="B11" s="40" t="s">
        <v>12</v>
      </c>
      <c r="C11" s="74">
        <v>4699</v>
      </c>
      <c r="D11" s="64">
        <f t="shared" si="3"/>
        <v>0.88996212121212126</v>
      </c>
      <c r="E11" s="75">
        <v>20418</v>
      </c>
      <c r="F11" s="74">
        <v>6.625</v>
      </c>
      <c r="G11" s="74">
        <v>425</v>
      </c>
      <c r="H11" s="37">
        <v>0.23499999999999999</v>
      </c>
      <c r="I11" s="76" t="s">
        <v>7</v>
      </c>
      <c r="J11" s="74" t="s">
        <v>7</v>
      </c>
      <c r="K11" s="76" t="s">
        <v>11</v>
      </c>
      <c r="L11" s="76">
        <v>2026</v>
      </c>
      <c r="M11" s="81">
        <v>1603894</v>
      </c>
      <c r="N11" s="87">
        <f>N10+(C11/5280)</f>
        <v>10.46564393939394</v>
      </c>
      <c r="O11" s="92">
        <f t="shared" si="1"/>
        <v>0.45701501918750836</v>
      </c>
    </row>
    <row r="12" spans="1:17" ht="26.25" customHeight="1" x14ac:dyDescent="0.25">
      <c r="A12" s="7"/>
      <c r="B12" s="40" t="s">
        <v>10</v>
      </c>
      <c r="C12" s="74">
        <v>5322</v>
      </c>
      <c r="D12" s="64">
        <f t="shared" si="3"/>
        <v>1.0079545454545455</v>
      </c>
      <c r="E12" s="75">
        <v>24426</v>
      </c>
      <c r="F12" s="74">
        <v>6.625</v>
      </c>
      <c r="G12" s="74">
        <v>500</v>
      </c>
      <c r="H12" s="37">
        <v>0.36699999999999999</v>
      </c>
      <c r="I12" s="76" t="s">
        <v>7</v>
      </c>
      <c r="J12" s="74" t="s">
        <v>7</v>
      </c>
      <c r="K12" s="76" t="s">
        <v>11</v>
      </c>
      <c r="L12" s="76">
        <v>2027</v>
      </c>
      <c r="M12" s="81">
        <v>2270348</v>
      </c>
      <c r="N12" s="87">
        <f>N11+(C12/5280)</f>
        <v>11.473598484848486</v>
      </c>
      <c r="O12" s="92">
        <f t="shared" si="1"/>
        <v>0.50103050152176798</v>
      </c>
      <c r="P12" s="36" t="s">
        <v>69</v>
      </c>
    </row>
    <row r="13" spans="1:17" ht="26.25" customHeight="1" x14ac:dyDescent="0.25">
      <c r="A13" s="6">
        <v>2609</v>
      </c>
      <c r="B13" s="39" t="s">
        <v>19</v>
      </c>
      <c r="C13" s="74">
        <v>2202</v>
      </c>
      <c r="D13" s="64">
        <f t="shared" si="3"/>
        <v>0.41704545454545455</v>
      </c>
      <c r="E13" s="75">
        <v>23590</v>
      </c>
      <c r="F13" s="74">
        <v>6.625</v>
      </c>
      <c r="G13" s="74">
        <v>529</v>
      </c>
      <c r="H13" s="37">
        <v>0.38800000000000001</v>
      </c>
      <c r="I13" s="76" t="s">
        <v>7</v>
      </c>
      <c r="J13" s="74" t="s">
        <v>7</v>
      </c>
      <c r="K13" s="76" t="s">
        <v>11</v>
      </c>
      <c r="L13" s="76">
        <v>2027</v>
      </c>
      <c r="M13" s="81">
        <v>849075</v>
      </c>
      <c r="N13" s="87">
        <f t="shared" si="2"/>
        <v>11.890643939393941</v>
      </c>
      <c r="O13" s="92">
        <f t="shared" si="1"/>
        <v>0.51924209342331629</v>
      </c>
    </row>
    <row r="14" spans="1:17" ht="26.25" customHeight="1" x14ac:dyDescent="0.25">
      <c r="A14" s="7">
        <v>2637</v>
      </c>
      <c r="B14" s="40" t="s">
        <v>15</v>
      </c>
      <c r="C14" s="74">
        <v>20333</v>
      </c>
      <c r="D14" s="64">
        <f t="shared" si="3"/>
        <v>3.8509469696969698</v>
      </c>
      <c r="E14" s="75">
        <v>20042</v>
      </c>
      <c r="F14" s="74">
        <v>8.625</v>
      </c>
      <c r="G14" s="74">
        <v>395</v>
      </c>
      <c r="H14" s="37">
        <v>0.28389999999999999</v>
      </c>
      <c r="I14" s="76" t="s">
        <v>7</v>
      </c>
      <c r="J14" s="74" t="s">
        <v>16</v>
      </c>
      <c r="K14" s="76" t="s">
        <v>11</v>
      </c>
      <c r="L14" s="76">
        <v>2028</v>
      </c>
      <c r="M14" s="81">
        <v>8410312</v>
      </c>
      <c r="N14" s="87">
        <f t="shared" si="2"/>
        <v>15.741590909090911</v>
      </c>
      <c r="O14" s="92">
        <f t="shared" si="1"/>
        <v>0.68740571655418836</v>
      </c>
    </row>
    <row r="15" spans="1:17" ht="26.25" customHeight="1" x14ac:dyDescent="0.25">
      <c r="A15" s="7">
        <v>2637</v>
      </c>
      <c r="B15" s="40" t="s">
        <v>15</v>
      </c>
      <c r="C15" s="74">
        <v>11508</v>
      </c>
      <c r="D15" s="64">
        <f t="shared" si="3"/>
        <v>2.1795454545454547</v>
      </c>
      <c r="E15" s="75">
        <v>25541</v>
      </c>
      <c r="F15" s="74">
        <v>8.625</v>
      </c>
      <c r="G15" s="74">
        <v>395</v>
      </c>
      <c r="H15" s="37">
        <v>0.378</v>
      </c>
      <c r="I15" s="76" t="s">
        <v>7</v>
      </c>
      <c r="J15" s="74" t="s">
        <v>7</v>
      </c>
      <c r="K15" s="76" t="s">
        <v>11</v>
      </c>
      <c r="L15" s="76">
        <v>2029</v>
      </c>
      <c r="M15" s="80"/>
      <c r="N15" s="87">
        <f t="shared" si="2"/>
        <v>17.921136363636364</v>
      </c>
      <c r="O15" s="92">
        <f t="shared" si="1"/>
        <v>0.78258237395791985</v>
      </c>
    </row>
    <row r="16" spans="1:17" ht="26.25" customHeight="1" x14ac:dyDescent="0.25">
      <c r="A16" s="7">
        <v>2637</v>
      </c>
      <c r="B16" s="40" t="s">
        <v>15</v>
      </c>
      <c r="C16" s="74">
        <v>5185</v>
      </c>
      <c r="D16" s="64">
        <f t="shared" si="3"/>
        <v>0.9820075757575758</v>
      </c>
      <c r="E16" s="75">
        <v>21444</v>
      </c>
      <c r="F16" s="74">
        <v>8.625</v>
      </c>
      <c r="G16" s="74">
        <v>395</v>
      </c>
      <c r="H16" s="37">
        <v>0.378</v>
      </c>
      <c r="I16" s="76" t="s">
        <v>7</v>
      </c>
      <c r="J16" s="74" t="s">
        <v>18</v>
      </c>
      <c r="K16" s="76" t="s">
        <v>11</v>
      </c>
      <c r="L16" s="76">
        <v>2030</v>
      </c>
      <c r="M16" s="80"/>
      <c r="N16" s="87">
        <f t="shared" si="2"/>
        <v>18.903143939393939</v>
      </c>
      <c r="O16" s="92">
        <f t="shared" si="1"/>
        <v>0.82546480084689688</v>
      </c>
    </row>
    <row r="17" spans="1:16" ht="26.25" customHeight="1" x14ac:dyDescent="0.25">
      <c r="A17" s="7">
        <v>2637</v>
      </c>
      <c r="B17" s="40" t="s">
        <v>15</v>
      </c>
      <c r="C17" s="74">
        <v>3860</v>
      </c>
      <c r="D17" s="64">
        <f t="shared" si="3"/>
        <v>0.73106060606060608</v>
      </c>
      <c r="E17" s="75">
        <v>20702</v>
      </c>
      <c r="F17" s="74">
        <v>8.625</v>
      </c>
      <c r="G17" s="74">
        <v>395</v>
      </c>
      <c r="H17" s="37">
        <v>0.378</v>
      </c>
      <c r="I17" s="76" t="s">
        <v>7</v>
      </c>
      <c r="J17" s="74" t="s">
        <v>7</v>
      </c>
      <c r="K17" s="76" t="s">
        <v>11</v>
      </c>
      <c r="L17" s="76">
        <v>2030</v>
      </c>
      <c r="M17" s="80"/>
      <c r="N17" s="87">
        <f t="shared" si="2"/>
        <v>19.634204545454544</v>
      </c>
      <c r="O17" s="92">
        <f t="shared" si="1"/>
        <v>0.85738884477967447</v>
      </c>
    </row>
    <row r="18" spans="1:16" ht="26.25" customHeight="1" x14ac:dyDescent="0.25">
      <c r="A18" s="7">
        <v>2637</v>
      </c>
      <c r="B18" s="40" t="s">
        <v>15</v>
      </c>
      <c r="C18" s="74">
        <v>16558</v>
      </c>
      <c r="D18" s="64">
        <f t="shared" si="3"/>
        <v>3.1359848484848483</v>
      </c>
      <c r="E18" s="75">
        <v>21835</v>
      </c>
      <c r="F18" s="74">
        <v>8.625</v>
      </c>
      <c r="G18" s="74">
        <v>395</v>
      </c>
      <c r="H18" s="37">
        <v>0.378</v>
      </c>
      <c r="I18" s="76" t="s">
        <v>7</v>
      </c>
      <c r="J18" s="74" t="s">
        <v>7</v>
      </c>
      <c r="K18" s="76" t="s">
        <v>11</v>
      </c>
      <c r="L18" s="76">
        <v>2031</v>
      </c>
      <c r="M18" s="80"/>
      <c r="N18" s="87">
        <f t="shared" si="2"/>
        <v>22.770189393939393</v>
      </c>
      <c r="O18" s="92">
        <f t="shared" si="1"/>
        <v>0.99433141458250629</v>
      </c>
    </row>
    <row r="19" spans="1:16" ht="26.25" customHeight="1" thickBot="1" x14ac:dyDescent="0.3">
      <c r="A19" s="7">
        <v>2637</v>
      </c>
      <c r="B19" s="41" t="s">
        <v>15</v>
      </c>
      <c r="C19" s="42">
        <v>667</v>
      </c>
      <c r="D19" s="65">
        <f t="shared" si="3"/>
        <v>0.12632575757575756</v>
      </c>
      <c r="E19" s="43">
        <v>25762</v>
      </c>
      <c r="F19" s="42">
        <v>6.625</v>
      </c>
      <c r="G19" s="42">
        <v>395</v>
      </c>
      <c r="H19" s="44">
        <v>0.28999999999999998</v>
      </c>
      <c r="I19" s="45" t="s">
        <v>13</v>
      </c>
      <c r="J19" s="42" t="s">
        <v>20</v>
      </c>
      <c r="K19" s="45" t="s">
        <v>11</v>
      </c>
      <c r="L19" s="45">
        <v>2032</v>
      </c>
      <c r="M19" s="50"/>
      <c r="N19" s="88">
        <f t="shared" si="2"/>
        <v>22.89651515151515</v>
      </c>
      <c r="O19" s="93">
        <f t="shared" si="1"/>
        <v>0.99984782321026866</v>
      </c>
      <c r="P19" s="36" t="s">
        <v>49</v>
      </c>
    </row>
    <row r="20" spans="1:16" hidden="1" x14ac:dyDescent="0.25">
      <c r="B20" s="16"/>
      <c r="C20" s="17">
        <f>SUM(C2:C19)/5280</f>
        <v>22.896515151515153</v>
      </c>
      <c r="D20" s="64">
        <f t="shared" si="3"/>
        <v>4.3364612029384757E-3</v>
      </c>
      <c r="H20" s="18"/>
      <c r="L20" s="19"/>
      <c r="N20" s="15">
        <f t="shared" si="2"/>
        <v>22.900851612718089</v>
      </c>
      <c r="O20" s="48" t="e">
        <f t="shared" ref="O20:O33" si="4">N20/N37</f>
        <v>#DIV/0!</v>
      </c>
    </row>
    <row r="21" spans="1:16" hidden="1" x14ac:dyDescent="0.25">
      <c r="A21" s="4" t="s">
        <v>34</v>
      </c>
      <c r="B21" s="20"/>
      <c r="C21" s="21">
        <v>24.306000000000001</v>
      </c>
      <c r="D21" s="64">
        <f t="shared" si="3"/>
        <v>4.6034090909090912E-3</v>
      </c>
      <c r="E21" s="21">
        <f>C21/2</f>
        <v>12.153</v>
      </c>
      <c r="H21" s="22"/>
      <c r="L21" s="19"/>
      <c r="N21" s="15">
        <f t="shared" si="2"/>
        <v>22.905455021808997</v>
      </c>
      <c r="O21" s="48" t="e">
        <f t="shared" si="4"/>
        <v>#DIV/0!</v>
      </c>
    </row>
    <row r="22" spans="1:16" hidden="1" x14ac:dyDescent="0.25">
      <c r="A22" s="1" t="s">
        <v>21</v>
      </c>
      <c r="B22" s="16"/>
      <c r="C22" s="23">
        <f>11919/5280</f>
        <v>2.2573863636363636</v>
      </c>
      <c r="D22" s="64">
        <f t="shared" si="3"/>
        <v>4.275352961432507E-4</v>
      </c>
      <c r="E22" s="23">
        <f>C21-C22</f>
        <v>22.048613636363637</v>
      </c>
      <c r="F22" s="24">
        <f>C22</f>
        <v>2.2573863636363636</v>
      </c>
      <c r="G22" s="25">
        <f>F22/C20</f>
        <v>9.8590826975125223E-2</v>
      </c>
      <c r="H22" s="18"/>
      <c r="L22" s="19"/>
      <c r="N22" s="15">
        <f t="shared" si="2"/>
        <v>22.905882557105141</v>
      </c>
      <c r="O22" s="48" t="e">
        <f t="shared" si="4"/>
        <v>#DIV/0!</v>
      </c>
    </row>
    <row r="23" spans="1:16" hidden="1" x14ac:dyDescent="0.25">
      <c r="A23" s="1" t="s">
        <v>22</v>
      </c>
      <c r="B23" s="16"/>
      <c r="C23" s="23">
        <f>10032/5280</f>
        <v>1.9</v>
      </c>
      <c r="D23" s="64">
        <f t="shared" si="3"/>
        <v>3.5984848484848483E-4</v>
      </c>
      <c r="E23" s="23">
        <f t="shared" ref="E23:E33" si="5">E22-C23</f>
        <v>20.148613636363638</v>
      </c>
      <c r="F23" s="24">
        <f>C22+C23</f>
        <v>4.1573863636363635</v>
      </c>
      <c r="G23" s="25">
        <f>F23/C20</f>
        <v>0.18157288723307105</v>
      </c>
      <c r="H23" s="18"/>
      <c r="L23" s="19"/>
      <c r="N23" s="15">
        <f t="shared" si="2"/>
        <v>22.906242405589989</v>
      </c>
      <c r="O23" s="48" t="e">
        <f t="shared" si="4"/>
        <v>#DIV/0!</v>
      </c>
    </row>
    <row r="24" spans="1:16" hidden="1" x14ac:dyDescent="0.25">
      <c r="A24" s="1" t="s">
        <v>23</v>
      </c>
      <c r="B24" s="16"/>
      <c r="C24" s="23">
        <f>11772/5280</f>
        <v>2.2295454545454545</v>
      </c>
      <c r="D24" s="64">
        <f t="shared" si="3"/>
        <v>4.2226239669421487E-4</v>
      </c>
      <c r="E24" s="23">
        <f t="shared" si="5"/>
        <v>17.919068181818183</v>
      </c>
      <c r="F24" s="26">
        <f>SUM(C22:C24)</f>
        <v>6.386931818181818</v>
      </c>
      <c r="G24" s="25">
        <f>F24/C20</f>
        <v>0.27894776894723955</v>
      </c>
      <c r="H24" s="18"/>
      <c r="L24" s="19"/>
      <c r="N24" s="15">
        <f t="shared" si="2"/>
        <v>22.906664667986682</v>
      </c>
      <c r="O24" s="48" t="e">
        <f t="shared" si="4"/>
        <v>#DIV/0!</v>
      </c>
    </row>
    <row r="25" spans="1:16" hidden="1" x14ac:dyDescent="0.25">
      <c r="A25" s="1" t="s">
        <v>24</v>
      </c>
      <c r="B25" s="16"/>
      <c r="C25" s="23">
        <f>(10695+6142)/5280</f>
        <v>3.1888257575757577</v>
      </c>
      <c r="D25" s="64">
        <f t="shared" si="3"/>
        <v>6.0394427226813591E-4</v>
      </c>
      <c r="E25" s="23">
        <f>E24-C25</f>
        <v>14.730242424242425</v>
      </c>
      <c r="F25" s="26">
        <f>SUM(C22:C25)</f>
        <v>9.5757575757575761</v>
      </c>
      <c r="G25" s="18">
        <f>F25/C20</f>
        <v>0.41821899587736655</v>
      </c>
      <c r="H25" s="1"/>
      <c r="I25" s="1"/>
      <c r="J25" s="3"/>
      <c r="L25" s="27"/>
      <c r="N25" s="15">
        <f t="shared" si="2"/>
        <v>22.90726861225895</v>
      </c>
      <c r="O25" s="48" t="e">
        <f t="shared" si="4"/>
        <v>#DIV/0!</v>
      </c>
    </row>
    <row r="26" spans="1:16" hidden="1" x14ac:dyDescent="0.25">
      <c r="A26" s="1" t="s">
        <v>25</v>
      </c>
      <c r="B26" s="16"/>
      <c r="C26" s="23">
        <f>4699/5280</f>
        <v>0.88996212121212126</v>
      </c>
      <c r="D26" s="64">
        <f t="shared" si="3"/>
        <v>1.6855343204775025E-4</v>
      </c>
      <c r="E26" s="23">
        <f t="shared" si="5"/>
        <v>13.840280303030303</v>
      </c>
      <c r="F26" s="26">
        <f>SUM(C22:C26)</f>
        <v>10.465719696969698</v>
      </c>
      <c r="G26" s="18">
        <f>F26/C21</f>
        <v>0.43058173689499291</v>
      </c>
      <c r="H26" s="18"/>
      <c r="L26" s="19"/>
      <c r="N26" s="15">
        <f t="shared" si="2"/>
        <v>22.907437165690997</v>
      </c>
      <c r="O26" s="48" t="e">
        <f t="shared" si="4"/>
        <v>#DIV/0!</v>
      </c>
    </row>
    <row r="27" spans="1:16" hidden="1" x14ac:dyDescent="0.25">
      <c r="A27" s="1" t="s">
        <v>26</v>
      </c>
      <c r="B27" s="16"/>
      <c r="C27" s="23">
        <f>20333/5280</f>
        <v>3.8509469696969698</v>
      </c>
      <c r="D27" s="64">
        <f t="shared" si="3"/>
        <v>7.2934601698806251E-4</v>
      </c>
      <c r="E27" s="23">
        <f t="shared" si="5"/>
        <v>9.9893333333333327</v>
      </c>
      <c r="F27" s="26">
        <f>SUM(C22:C27)</f>
        <v>14.316666666666668</v>
      </c>
      <c r="G27" s="18">
        <f>F27/C20</f>
        <v>0.6252771031717147</v>
      </c>
      <c r="H27" s="18"/>
      <c r="L27" s="19"/>
      <c r="N27" s="15">
        <f t="shared" si="2"/>
        <v>22.908166511707986</v>
      </c>
      <c r="O27" s="48" t="e">
        <f t="shared" si="4"/>
        <v>#DIV/0!</v>
      </c>
    </row>
    <row r="28" spans="1:16" hidden="1" x14ac:dyDescent="0.25">
      <c r="A28" s="1" t="s">
        <v>27</v>
      </c>
      <c r="B28" s="16"/>
      <c r="C28" s="23">
        <f>5322/5280</f>
        <v>1.0079545454545455</v>
      </c>
      <c r="D28" s="64">
        <f t="shared" si="3"/>
        <v>1.9090048209366393E-4</v>
      </c>
      <c r="E28" s="23">
        <f t="shared" si="5"/>
        <v>8.9813787878787874</v>
      </c>
      <c r="F28" s="26">
        <f>SUM(C22:C28)</f>
        <v>15.324621212121214</v>
      </c>
      <c r="G28" s="18">
        <f>F28/C20</f>
        <v>0.66929928466023014</v>
      </c>
      <c r="H28" s="18"/>
      <c r="L28" s="19"/>
      <c r="N28" s="15">
        <f t="shared" si="2"/>
        <v>22.908357412190078</v>
      </c>
      <c r="O28" s="48" t="e">
        <f t="shared" si="4"/>
        <v>#DIV/0!</v>
      </c>
    </row>
    <row r="29" spans="1:16" hidden="1" x14ac:dyDescent="0.25">
      <c r="A29" s="1" t="s">
        <v>28</v>
      </c>
      <c r="B29" s="16"/>
      <c r="C29" s="23">
        <f>10771/5280</f>
        <v>2.0399621212121213</v>
      </c>
      <c r="D29" s="64">
        <f t="shared" si="3"/>
        <v>3.8635646235078057E-4</v>
      </c>
      <c r="E29" s="23">
        <f t="shared" si="5"/>
        <v>6.9414166666666661</v>
      </c>
      <c r="F29" s="26">
        <f>SUM(C22:C29)</f>
        <v>17.364583333333336</v>
      </c>
      <c r="G29" s="18">
        <f>F29/C20</f>
        <v>0.75839415816883615</v>
      </c>
      <c r="H29" s="18"/>
      <c r="L29" s="19"/>
      <c r="N29" s="15">
        <f t="shared" si="2"/>
        <v>22.908743768652428</v>
      </c>
      <c r="O29" s="48" t="e">
        <f t="shared" si="4"/>
        <v>#DIV/0!</v>
      </c>
    </row>
    <row r="30" spans="1:16" hidden="1" x14ac:dyDescent="0.25">
      <c r="A30" s="1" t="s">
        <v>29</v>
      </c>
      <c r="B30" s="16"/>
      <c r="C30" s="23">
        <f>(8886)/5280</f>
        <v>1.6829545454545454</v>
      </c>
      <c r="D30" s="64">
        <f t="shared" si="3"/>
        <v>3.1874139118457301E-4</v>
      </c>
      <c r="E30" s="23">
        <f t="shared" si="5"/>
        <v>5.258462121212121</v>
      </c>
      <c r="F30" s="26">
        <f>SUM(C22:C30)</f>
        <v>19.047537878787882</v>
      </c>
      <c r="G30" s="18">
        <f>F30/C20</f>
        <v>0.8318968084332008</v>
      </c>
      <c r="H30" s="18"/>
      <c r="L30" s="19"/>
      <c r="N30" s="15">
        <f t="shared" si="2"/>
        <v>22.909062510043611</v>
      </c>
      <c r="O30" s="48" t="e">
        <f t="shared" si="4"/>
        <v>#DIV/0!</v>
      </c>
    </row>
    <row r="31" spans="1:16" hidden="1" x14ac:dyDescent="0.25">
      <c r="A31" s="1" t="s">
        <v>30</v>
      </c>
      <c r="B31" s="16"/>
      <c r="C31" s="23">
        <f>(3860+5185)/5280</f>
        <v>1.7130681818181819</v>
      </c>
      <c r="D31" s="64">
        <f t="shared" si="3"/>
        <v>3.2444473140495869E-4</v>
      </c>
      <c r="E31" s="23">
        <f t="shared" si="5"/>
        <v>3.5453939393939393</v>
      </c>
      <c r="F31" s="26">
        <f>SUM(C22:C31)</f>
        <v>20.760606060606065</v>
      </c>
      <c r="G31" s="18">
        <f>F31/C20</f>
        <v>0.90671466479615148</v>
      </c>
      <c r="H31" s="18"/>
      <c r="L31" s="19"/>
      <c r="N31" s="15">
        <f t="shared" si="2"/>
        <v>22.909386954775016</v>
      </c>
      <c r="O31" s="48" t="e">
        <f t="shared" si="4"/>
        <v>#DIV/0!</v>
      </c>
    </row>
    <row r="32" spans="1:16" hidden="1" x14ac:dyDescent="0.25">
      <c r="A32" s="1" t="s">
        <v>31</v>
      </c>
      <c r="B32" s="16"/>
      <c r="C32" s="23">
        <f>2202/5280</f>
        <v>0.41704545454545455</v>
      </c>
      <c r="D32" s="64">
        <f t="shared" si="3"/>
        <v>7.8985881542699722E-5</v>
      </c>
      <c r="E32" s="23">
        <f t="shared" si="5"/>
        <v>3.1283484848484848</v>
      </c>
      <c r="F32" s="26">
        <f>SUM(C22:C32)</f>
        <v>21.177651515151521</v>
      </c>
      <c r="G32" s="18">
        <f>F32/C20</f>
        <v>0.92492902850109537</v>
      </c>
      <c r="H32" s="18"/>
      <c r="L32" s="19"/>
      <c r="N32" s="15">
        <f t="shared" si="2"/>
        <v>22.90946594065656</v>
      </c>
      <c r="O32" s="48" t="e">
        <f t="shared" si="4"/>
        <v>#DIV/0!</v>
      </c>
    </row>
    <row r="33" spans="1:15" s="2" customFormat="1" ht="15.75" hidden="1" thickBot="1" x14ac:dyDescent="0.3">
      <c r="A33" s="1" t="s">
        <v>32</v>
      </c>
      <c r="B33" s="28"/>
      <c r="C33" s="29">
        <f>(15850+667)/5280</f>
        <v>3.1282196969696972</v>
      </c>
      <c r="D33" s="64">
        <f t="shared" si="3"/>
        <v>5.9246585169880624E-4</v>
      </c>
      <c r="E33" s="29">
        <f t="shared" si="5"/>
        <v>1.2878787878767284E-4</v>
      </c>
      <c r="F33" s="30">
        <f>SUM(C22:C33)</f>
        <v>24.305871212121218</v>
      </c>
      <c r="G33" s="31">
        <f>F33/C20</f>
        <v>1.0615532997611123</v>
      </c>
      <c r="H33" s="31"/>
      <c r="I33" s="32"/>
      <c r="J33" s="33"/>
      <c r="K33" s="32"/>
      <c r="L33" s="34"/>
      <c r="M33"/>
      <c r="N33" s="15">
        <f t="shared" si="2"/>
        <v>22.910058406508259</v>
      </c>
      <c r="O33" s="48" t="e">
        <f t="shared" si="4"/>
        <v>#DIV/0!</v>
      </c>
    </row>
    <row r="34" spans="1:15" s="2" customFormat="1" x14ac:dyDescent="0.25">
      <c r="A34" s="1" t="s">
        <v>33</v>
      </c>
      <c r="B34" s="1"/>
      <c r="C34" s="1"/>
      <c r="D34" s="1"/>
      <c r="E34" s="1"/>
      <c r="F34" s="1"/>
      <c r="G34" s="1"/>
      <c r="I34" s="3"/>
      <c r="J34" s="1"/>
      <c r="K34" s="3"/>
      <c r="L34" s="3"/>
      <c r="M34"/>
      <c r="N34"/>
    </row>
    <row r="35" spans="1:15" s="2" customFormat="1" hidden="1" x14ac:dyDescent="0.25">
      <c r="A35" s="1"/>
      <c r="B35" s="5"/>
      <c r="C35" s="1"/>
      <c r="D35" s="1"/>
      <c r="E35" s="1"/>
      <c r="F35" s="5">
        <v>49492</v>
      </c>
      <c r="G35" s="1"/>
      <c r="I35" s="3"/>
      <c r="J35" s="1"/>
      <c r="K35" s="3"/>
      <c r="L35" s="3"/>
      <c r="M35"/>
      <c r="N35"/>
    </row>
  </sheetData>
  <mergeCells count="1">
    <mergeCell ref="M7:M8"/>
  </mergeCells>
  <pageMargins left="0.7" right="0.7" top="0.75" bottom="0.75" header="0.3" footer="0.3"/>
  <pageSetup scale="41" orientation="landscape" r:id="rId1"/>
  <headerFooter>
    <oddHeader>&amp;R&amp;"Arial,Regular"CASE NO. 2026-00202
ATTACHMENT 1
TO STAFF DR 1-01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9A65-66E4-4B4A-9438-B24DBD5C3492}">
  <sheetPr>
    <pageSetUpPr fitToPage="1"/>
  </sheetPr>
  <dimension ref="A1:P38"/>
  <sheetViews>
    <sheetView topLeftCell="B1" zoomScale="85" zoomScaleNormal="85" workbookViewId="0">
      <selection activeCell="B1" sqref="B1"/>
    </sheetView>
  </sheetViews>
  <sheetFormatPr defaultRowHeight="15" x14ac:dyDescent="0.25"/>
  <cols>
    <col min="1" max="1" width="8.7109375" style="1" hidden="1" customWidth="1"/>
    <col min="2" max="2" width="20.85546875" style="1" bestFit="1" customWidth="1"/>
    <col min="3" max="4" width="14" style="1" customWidth="1"/>
    <col min="5" max="5" width="14.28515625" style="1" customWidth="1"/>
    <col min="6" max="7" width="12.85546875" style="1" customWidth="1"/>
    <col min="8" max="8" width="18.42578125" style="2" customWidth="1"/>
    <col min="9" max="9" width="18" style="3" customWidth="1"/>
    <col min="10" max="10" width="17.140625" style="1" hidden="1" customWidth="1"/>
    <col min="11" max="11" width="22.7109375" style="3" customWidth="1"/>
    <col min="12" max="12" width="17" style="3" customWidth="1"/>
    <col min="13" max="13" width="21.7109375" hidden="1" customWidth="1"/>
    <col min="14" max="14" width="27.28515625" customWidth="1"/>
    <col min="15" max="15" width="11.7109375" customWidth="1"/>
    <col min="16" max="16" width="37.42578125" customWidth="1"/>
  </cols>
  <sheetData>
    <row r="1" spans="1:16" ht="47.25" customHeight="1" thickBot="1" x14ac:dyDescent="0.3">
      <c r="A1" s="8" t="s">
        <v>0</v>
      </c>
      <c r="B1" s="11" t="s">
        <v>35</v>
      </c>
      <c r="C1" s="12" t="s">
        <v>37</v>
      </c>
      <c r="D1" s="12" t="s">
        <v>68</v>
      </c>
      <c r="E1" s="12" t="s">
        <v>38</v>
      </c>
      <c r="F1" s="12" t="s">
        <v>39</v>
      </c>
      <c r="G1" s="13" t="s">
        <v>40</v>
      </c>
      <c r="H1" s="14" t="s">
        <v>41</v>
      </c>
      <c r="I1" s="12" t="s">
        <v>42</v>
      </c>
      <c r="J1" s="12" t="s">
        <v>1</v>
      </c>
      <c r="K1" s="12" t="s">
        <v>43</v>
      </c>
      <c r="L1" s="12" t="s">
        <v>36</v>
      </c>
      <c r="M1" s="38" t="s">
        <v>44</v>
      </c>
      <c r="N1" s="12" t="s">
        <v>45</v>
      </c>
      <c r="O1" s="35" t="s">
        <v>47</v>
      </c>
    </row>
    <row r="2" spans="1:16" ht="26.25" customHeight="1" x14ac:dyDescent="0.25">
      <c r="A2" s="7">
        <v>8502</v>
      </c>
      <c r="B2" s="47" t="s">
        <v>2</v>
      </c>
      <c r="C2" s="68">
        <v>4788</v>
      </c>
      <c r="D2" s="69">
        <f t="shared" ref="D2:D8" si="0">C2/5280</f>
        <v>0.90681818181818186</v>
      </c>
      <c r="E2" s="70">
        <v>33909</v>
      </c>
      <c r="F2" s="68">
        <v>8.625</v>
      </c>
      <c r="G2" s="68">
        <v>900</v>
      </c>
      <c r="H2" s="51">
        <v>0.28699999999999998</v>
      </c>
      <c r="I2" s="71" t="s">
        <v>3</v>
      </c>
      <c r="J2" s="68" t="s">
        <v>4</v>
      </c>
      <c r="K2" s="71" t="s">
        <v>5</v>
      </c>
      <c r="L2" s="71">
        <v>2022</v>
      </c>
      <c r="M2" s="72"/>
      <c r="N2" s="73">
        <f>C2/5280</f>
        <v>0.90681818181818186</v>
      </c>
      <c r="O2" s="48">
        <f>N2/22.3</f>
        <v>4.0664492458214435E-2</v>
      </c>
    </row>
    <row r="3" spans="1:16" ht="26.25" customHeight="1" x14ac:dyDescent="0.25">
      <c r="A3" s="7">
        <v>8502</v>
      </c>
      <c r="B3" s="47" t="s">
        <v>2</v>
      </c>
      <c r="C3" s="68">
        <v>6138</v>
      </c>
      <c r="D3" s="69">
        <f t="shared" si="0"/>
        <v>1.1625000000000001</v>
      </c>
      <c r="E3" s="70">
        <v>23743</v>
      </c>
      <c r="F3" s="68">
        <v>4.5</v>
      </c>
      <c r="G3" s="68">
        <v>900</v>
      </c>
      <c r="H3" s="51">
        <v>0.308</v>
      </c>
      <c r="I3" s="71" t="s">
        <v>3</v>
      </c>
      <c r="J3" s="68" t="s">
        <v>6</v>
      </c>
      <c r="K3" s="71" t="s">
        <v>5</v>
      </c>
      <c r="L3" s="71">
        <v>2022</v>
      </c>
      <c r="M3" s="72"/>
      <c r="N3" s="73">
        <f>N2+(C3/5280)</f>
        <v>2.0693181818181818</v>
      </c>
      <c r="O3" s="48">
        <f t="shared" ref="O3:O20" si="1">N3/22.3</f>
        <v>9.279453730126376E-2</v>
      </c>
    </row>
    <row r="4" spans="1:16" ht="26.25" customHeight="1" x14ac:dyDescent="0.25">
      <c r="A4" s="9">
        <v>8502</v>
      </c>
      <c r="B4" s="49" t="s">
        <v>2</v>
      </c>
      <c r="C4" s="68">
        <v>993</v>
      </c>
      <c r="D4" s="69">
        <f t="shared" si="0"/>
        <v>0.18806818181818183</v>
      </c>
      <c r="E4" s="70">
        <v>23743</v>
      </c>
      <c r="F4" s="68">
        <v>3.5</v>
      </c>
      <c r="G4" s="68">
        <v>900</v>
      </c>
      <c r="H4" s="51">
        <v>0.20799999999999999</v>
      </c>
      <c r="I4" s="71" t="s">
        <v>7</v>
      </c>
      <c r="J4" s="68" t="s">
        <v>7</v>
      </c>
      <c r="K4" s="71" t="s">
        <v>5</v>
      </c>
      <c r="L4" s="71">
        <v>2022</v>
      </c>
      <c r="M4" s="72"/>
      <c r="N4" s="73">
        <f t="shared" ref="N4:N20" si="2">N3+(C4/5280)</f>
        <v>2.2573863636363636</v>
      </c>
      <c r="O4" s="48">
        <f t="shared" si="1"/>
        <v>0.10122808805544231</v>
      </c>
    </row>
    <row r="5" spans="1:16" ht="26.25" customHeight="1" x14ac:dyDescent="0.25">
      <c r="A5" s="10">
        <v>2609</v>
      </c>
      <c r="B5" s="52" t="s">
        <v>8</v>
      </c>
      <c r="C5" s="53">
        <v>10032</v>
      </c>
      <c r="D5" s="66">
        <f t="shared" si="0"/>
        <v>1.9</v>
      </c>
      <c r="E5" s="54">
        <v>25203</v>
      </c>
      <c r="F5" s="53">
        <v>8.625</v>
      </c>
      <c r="G5" s="53">
        <v>850</v>
      </c>
      <c r="H5" s="55">
        <v>0.46400000000000002</v>
      </c>
      <c r="I5" s="56" t="s">
        <v>7</v>
      </c>
      <c r="J5" s="53" t="s">
        <v>7</v>
      </c>
      <c r="K5" s="56" t="s">
        <v>9</v>
      </c>
      <c r="L5" s="56">
        <v>2023</v>
      </c>
      <c r="M5" s="57"/>
      <c r="N5" s="58">
        <f t="shared" si="2"/>
        <v>4.1573863636363635</v>
      </c>
      <c r="O5" s="59">
        <f t="shared" si="1"/>
        <v>0.1864298817774154</v>
      </c>
    </row>
    <row r="6" spans="1:16" ht="26.25" customHeight="1" x14ac:dyDescent="0.25">
      <c r="A6" s="10"/>
      <c r="B6" s="39" t="s">
        <v>46</v>
      </c>
      <c r="C6" s="74">
        <v>10695</v>
      </c>
      <c r="D6" s="64">
        <f t="shared" si="0"/>
        <v>2.0255681818181817</v>
      </c>
      <c r="E6" s="75">
        <v>35710</v>
      </c>
      <c r="F6" s="74">
        <v>8.625</v>
      </c>
      <c r="G6" s="74">
        <v>550</v>
      </c>
      <c r="H6" s="37">
        <v>0.3</v>
      </c>
      <c r="I6" s="76" t="s">
        <v>3</v>
      </c>
      <c r="J6" s="74"/>
      <c r="K6" s="76" t="s">
        <v>11</v>
      </c>
      <c r="L6" s="76">
        <v>2025</v>
      </c>
      <c r="M6" s="36"/>
      <c r="N6" s="77">
        <f t="shared" si="2"/>
        <v>6.1829545454545451</v>
      </c>
      <c r="O6" s="67">
        <f t="shared" si="1"/>
        <v>0.27726253567060738</v>
      </c>
    </row>
    <row r="7" spans="1:16" ht="26.25" customHeight="1" x14ac:dyDescent="0.25">
      <c r="A7" s="7">
        <v>2636</v>
      </c>
      <c r="B7" s="60" t="s">
        <v>10</v>
      </c>
      <c r="C7" s="68">
        <v>206</v>
      </c>
      <c r="D7" s="69">
        <f t="shared" si="0"/>
        <v>3.9015151515151517E-2</v>
      </c>
      <c r="E7" s="70">
        <v>25409</v>
      </c>
      <c r="F7" s="68">
        <v>6.625</v>
      </c>
      <c r="G7" s="68">
        <v>594</v>
      </c>
      <c r="H7" s="51">
        <v>0.436</v>
      </c>
      <c r="I7" s="71" t="s">
        <v>7</v>
      </c>
      <c r="J7" s="68" t="s">
        <v>7</v>
      </c>
      <c r="K7" s="71" t="s">
        <v>11</v>
      </c>
      <c r="L7" s="71">
        <v>2025</v>
      </c>
      <c r="M7" s="114">
        <v>2677220</v>
      </c>
      <c r="N7" s="73">
        <f t="shared" si="2"/>
        <v>6.2219696969696967</v>
      </c>
      <c r="O7" s="48">
        <f t="shared" si="1"/>
        <v>0.27901209403451555</v>
      </c>
    </row>
    <row r="8" spans="1:16" ht="26.25" customHeight="1" x14ac:dyDescent="0.25">
      <c r="A8" s="7">
        <v>2636</v>
      </c>
      <c r="B8" s="60" t="s">
        <v>10</v>
      </c>
      <c r="C8" s="68">
        <f>5916</f>
        <v>5916</v>
      </c>
      <c r="D8" s="69">
        <f t="shared" si="0"/>
        <v>1.1204545454545454</v>
      </c>
      <c r="E8" s="70">
        <v>25035</v>
      </c>
      <c r="F8" s="68">
        <v>8.625</v>
      </c>
      <c r="G8" s="68">
        <v>594</v>
      </c>
      <c r="H8" s="51">
        <v>0.56799999999999995</v>
      </c>
      <c r="I8" s="71" t="s">
        <v>7</v>
      </c>
      <c r="J8" s="68" t="s">
        <v>7</v>
      </c>
      <c r="K8" s="71" t="s">
        <v>9</v>
      </c>
      <c r="L8" s="71">
        <v>2025</v>
      </c>
      <c r="M8" s="114"/>
      <c r="N8" s="73">
        <f t="shared" si="2"/>
        <v>7.3424242424242419</v>
      </c>
      <c r="O8" s="48">
        <f t="shared" si="1"/>
        <v>0.32925669248539202</v>
      </c>
    </row>
    <row r="9" spans="1:16" ht="26.25" customHeight="1" x14ac:dyDescent="0.25">
      <c r="A9" s="6">
        <v>2636</v>
      </c>
      <c r="B9" s="83" t="s">
        <v>10</v>
      </c>
      <c r="C9" s="84">
        <v>5649.6</v>
      </c>
      <c r="D9" s="69">
        <f>C9/5280</f>
        <v>1.07</v>
      </c>
      <c r="E9" s="70">
        <v>23716</v>
      </c>
      <c r="F9" s="68">
        <v>6.625</v>
      </c>
      <c r="G9" s="68">
        <v>594</v>
      </c>
      <c r="H9" s="51">
        <v>0.29899999999999999</v>
      </c>
      <c r="I9" s="71" t="s">
        <v>7</v>
      </c>
      <c r="J9" s="68" t="s">
        <v>7</v>
      </c>
      <c r="K9" s="71" t="s">
        <v>11</v>
      </c>
      <c r="L9" s="71">
        <v>2026</v>
      </c>
      <c r="M9" s="78">
        <v>2064546</v>
      </c>
      <c r="N9" s="73">
        <f t="shared" si="2"/>
        <v>8.4124242424242421</v>
      </c>
      <c r="O9" s="48">
        <f t="shared" si="1"/>
        <v>0.37723875526566109</v>
      </c>
    </row>
    <row r="10" spans="1:16" ht="26.25" customHeight="1" x14ac:dyDescent="0.25">
      <c r="A10" s="7">
        <v>2634</v>
      </c>
      <c r="B10" s="40" t="s">
        <v>12</v>
      </c>
      <c r="C10" s="74">
        <v>6142</v>
      </c>
      <c r="D10" s="64">
        <f t="shared" ref="D10:D34" si="3">C10/5280</f>
        <v>1.1632575757575758</v>
      </c>
      <c r="E10" s="75"/>
      <c r="F10" s="74">
        <v>6.625</v>
      </c>
      <c r="G10" s="74">
        <v>594</v>
      </c>
      <c r="H10" s="37">
        <v>0.436</v>
      </c>
      <c r="I10" s="76" t="s">
        <v>13</v>
      </c>
      <c r="J10" s="74" t="s">
        <v>14</v>
      </c>
      <c r="K10" s="76" t="s">
        <v>11</v>
      </c>
      <c r="L10" s="76">
        <v>2026</v>
      </c>
      <c r="M10" s="80">
        <v>2456257</v>
      </c>
      <c r="N10" s="77">
        <f t="shared" si="2"/>
        <v>9.5756818181818186</v>
      </c>
      <c r="O10" s="67">
        <f t="shared" si="1"/>
        <v>0.4294027721157766</v>
      </c>
    </row>
    <row r="11" spans="1:16" ht="26.25" customHeight="1" x14ac:dyDescent="0.25">
      <c r="A11" s="7">
        <v>2634</v>
      </c>
      <c r="B11" s="40" t="s">
        <v>12</v>
      </c>
      <c r="C11" s="74">
        <v>4699</v>
      </c>
      <c r="D11" s="64">
        <f t="shared" si="3"/>
        <v>0.88996212121212126</v>
      </c>
      <c r="E11" s="75">
        <v>20418</v>
      </c>
      <c r="F11" s="74">
        <v>6.625</v>
      </c>
      <c r="G11" s="74">
        <v>425</v>
      </c>
      <c r="H11" s="37">
        <v>0.23499999999999999</v>
      </c>
      <c r="I11" s="76" t="s">
        <v>7</v>
      </c>
      <c r="J11" s="74" t="s">
        <v>7</v>
      </c>
      <c r="K11" s="76" t="s">
        <v>11</v>
      </c>
      <c r="L11" s="76">
        <v>2026</v>
      </c>
      <c r="M11" s="81">
        <v>1603894</v>
      </c>
      <c r="N11" s="77">
        <f t="shared" si="2"/>
        <v>10.46564393939394</v>
      </c>
      <c r="O11" s="67">
        <f t="shared" si="1"/>
        <v>0.46931138741676859</v>
      </c>
    </row>
    <row r="12" spans="1:16" ht="26.25" customHeight="1" x14ac:dyDescent="0.25">
      <c r="A12" s="7"/>
      <c r="B12" s="40" t="s">
        <v>10</v>
      </c>
      <c r="C12" s="74">
        <v>5322</v>
      </c>
      <c r="D12" s="64">
        <f t="shared" si="3"/>
        <v>1.0079545454545455</v>
      </c>
      <c r="E12" s="75">
        <v>24426</v>
      </c>
      <c r="F12" s="74">
        <v>6.625</v>
      </c>
      <c r="G12" s="74">
        <v>500</v>
      </c>
      <c r="H12" s="37">
        <v>0.36699999999999999</v>
      </c>
      <c r="I12" s="76" t="s">
        <v>7</v>
      </c>
      <c r="J12" s="74" t="s">
        <v>7</v>
      </c>
      <c r="K12" s="76" t="s">
        <v>11</v>
      </c>
      <c r="L12" s="76">
        <v>2027</v>
      </c>
      <c r="M12" s="81">
        <v>2270348</v>
      </c>
      <c r="N12" s="77">
        <f t="shared" si="2"/>
        <v>11.473598484848486</v>
      </c>
      <c r="O12" s="67">
        <f t="shared" si="1"/>
        <v>0.51451114281831778</v>
      </c>
      <c r="P12" s="36" t="s">
        <v>69</v>
      </c>
    </row>
    <row r="13" spans="1:16" ht="26.25" customHeight="1" x14ac:dyDescent="0.25">
      <c r="A13" s="6">
        <v>2609</v>
      </c>
      <c r="B13" s="39" t="s">
        <v>19</v>
      </c>
      <c r="C13" s="74">
        <v>2202</v>
      </c>
      <c r="D13" s="64">
        <f t="shared" si="3"/>
        <v>0.41704545454545455</v>
      </c>
      <c r="E13" s="75">
        <v>23590</v>
      </c>
      <c r="F13" s="74">
        <v>6.625</v>
      </c>
      <c r="G13" s="74">
        <v>529</v>
      </c>
      <c r="H13" s="37">
        <v>0.38800000000000001</v>
      </c>
      <c r="I13" s="76" t="s">
        <v>7</v>
      </c>
      <c r="J13" s="74" t="s">
        <v>7</v>
      </c>
      <c r="K13" s="76" t="s">
        <v>11</v>
      </c>
      <c r="L13" s="76">
        <v>2027</v>
      </c>
      <c r="M13" s="81">
        <v>849075</v>
      </c>
      <c r="N13" s="77">
        <f t="shared" si="2"/>
        <v>11.890643939393941</v>
      </c>
      <c r="O13" s="67">
        <f t="shared" si="1"/>
        <v>0.53321273270824843</v>
      </c>
    </row>
    <row r="14" spans="1:16" ht="26.25" customHeight="1" x14ac:dyDescent="0.25">
      <c r="A14" s="6">
        <v>2734</v>
      </c>
      <c r="B14" s="39" t="s">
        <v>17</v>
      </c>
      <c r="C14" s="79"/>
      <c r="D14" s="64">
        <f t="shared" si="3"/>
        <v>0</v>
      </c>
      <c r="E14" s="75">
        <v>34754</v>
      </c>
      <c r="F14" s="74">
        <v>8.625</v>
      </c>
      <c r="G14" s="74">
        <v>814</v>
      </c>
      <c r="H14" s="37">
        <v>0.44500000000000001</v>
      </c>
      <c r="I14" s="76" t="s">
        <v>7</v>
      </c>
      <c r="J14" s="74" t="s">
        <v>7</v>
      </c>
      <c r="K14" s="76" t="s">
        <v>11</v>
      </c>
      <c r="L14" s="76">
        <v>2028</v>
      </c>
      <c r="M14" s="81">
        <v>5022910</v>
      </c>
      <c r="N14" s="77">
        <f t="shared" si="2"/>
        <v>11.890643939393941</v>
      </c>
      <c r="O14" s="67">
        <f t="shared" si="1"/>
        <v>0.53321273270824843</v>
      </c>
      <c r="P14" s="85" t="s">
        <v>48</v>
      </c>
    </row>
    <row r="15" spans="1:16" ht="26.25" customHeight="1" x14ac:dyDescent="0.25">
      <c r="A15" s="7">
        <v>2637</v>
      </c>
      <c r="B15" s="40" t="s">
        <v>15</v>
      </c>
      <c r="C15" s="74">
        <v>20333</v>
      </c>
      <c r="D15" s="64">
        <f t="shared" si="3"/>
        <v>3.8509469696969698</v>
      </c>
      <c r="E15" s="75">
        <v>20042</v>
      </c>
      <c r="F15" s="74">
        <v>8.625</v>
      </c>
      <c r="G15" s="74">
        <v>395</v>
      </c>
      <c r="H15" s="37">
        <v>0.28389999999999999</v>
      </c>
      <c r="I15" s="76" t="s">
        <v>7</v>
      </c>
      <c r="J15" s="74" t="s">
        <v>16</v>
      </c>
      <c r="K15" s="76" t="s">
        <v>11</v>
      </c>
      <c r="L15" s="76">
        <v>2029</v>
      </c>
      <c r="M15" s="81">
        <v>8410312</v>
      </c>
      <c r="N15" s="77">
        <f t="shared" si="2"/>
        <v>15.741590909090911</v>
      </c>
      <c r="O15" s="67">
        <f t="shared" si="1"/>
        <v>0.70590093762739514</v>
      </c>
    </row>
    <row r="16" spans="1:16" ht="26.25" customHeight="1" x14ac:dyDescent="0.25">
      <c r="A16" s="7">
        <v>2637</v>
      </c>
      <c r="B16" s="40" t="s">
        <v>15</v>
      </c>
      <c r="C16" s="74">
        <v>8886</v>
      </c>
      <c r="D16" s="64">
        <f t="shared" si="3"/>
        <v>1.6829545454545454</v>
      </c>
      <c r="E16" s="75">
        <v>25541</v>
      </c>
      <c r="F16" s="74">
        <v>8.625</v>
      </c>
      <c r="G16" s="74">
        <v>395</v>
      </c>
      <c r="H16" s="37">
        <v>0.378</v>
      </c>
      <c r="I16" s="76" t="s">
        <v>7</v>
      </c>
      <c r="J16" s="74" t="s">
        <v>7</v>
      </c>
      <c r="K16" s="76" t="s">
        <v>11</v>
      </c>
      <c r="L16" s="76">
        <v>2030</v>
      </c>
      <c r="M16" s="80"/>
      <c r="N16" s="77">
        <f t="shared" si="2"/>
        <v>17.424545454545456</v>
      </c>
      <c r="O16" s="67">
        <f t="shared" si="1"/>
        <v>0.78136975132490827</v>
      </c>
      <c r="P16" t="s">
        <v>70</v>
      </c>
    </row>
    <row r="17" spans="1:16" ht="26.25" customHeight="1" x14ac:dyDescent="0.25">
      <c r="A17" s="7">
        <v>2637</v>
      </c>
      <c r="B17" s="40" t="s">
        <v>15</v>
      </c>
      <c r="C17" s="74">
        <v>5185</v>
      </c>
      <c r="D17" s="64">
        <f t="shared" si="3"/>
        <v>0.9820075757575758</v>
      </c>
      <c r="E17" s="75">
        <v>21444</v>
      </c>
      <c r="F17" s="74">
        <v>8.625</v>
      </c>
      <c r="G17" s="74">
        <v>395</v>
      </c>
      <c r="H17" s="37">
        <v>0.378</v>
      </c>
      <c r="I17" s="76" t="s">
        <v>7</v>
      </c>
      <c r="J17" s="74" t="s">
        <v>18</v>
      </c>
      <c r="K17" s="76" t="s">
        <v>11</v>
      </c>
      <c r="L17" s="76">
        <v>2031</v>
      </c>
      <c r="M17" s="80"/>
      <c r="N17" s="77">
        <f t="shared" si="2"/>
        <v>18.40655303030303</v>
      </c>
      <c r="O17" s="67">
        <f t="shared" si="1"/>
        <v>0.82540596548444078</v>
      </c>
    </row>
    <row r="18" spans="1:16" ht="26.25" customHeight="1" x14ac:dyDescent="0.25">
      <c r="A18" s="7">
        <v>2637</v>
      </c>
      <c r="B18" s="40" t="s">
        <v>15</v>
      </c>
      <c r="C18" s="74">
        <v>3860</v>
      </c>
      <c r="D18" s="64">
        <f t="shared" si="3"/>
        <v>0.73106060606060608</v>
      </c>
      <c r="E18" s="75">
        <v>20702</v>
      </c>
      <c r="F18" s="74">
        <v>8.625</v>
      </c>
      <c r="G18" s="74">
        <v>395</v>
      </c>
      <c r="H18" s="37">
        <v>0.378</v>
      </c>
      <c r="I18" s="76" t="s">
        <v>7</v>
      </c>
      <c r="J18" s="74" t="s">
        <v>7</v>
      </c>
      <c r="K18" s="76" t="s">
        <v>11</v>
      </c>
      <c r="L18" s="76">
        <v>2031</v>
      </c>
      <c r="M18" s="80"/>
      <c r="N18" s="77">
        <f t="shared" si="2"/>
        <v>19.137613636363636</v>
      </c>
      <c r="O18" s="67">
        <f t="shared" si="1"/>
        <v>0.85818895230330206</v>
      </c>
    </row>
    <row r="19" spans="1:16" ht="26.25" customHeight="1" x14ac:dyDescent="0.25">
      <c r="A19" s="7">
        <v>2637</v>
      </c>
      <c r="B19" s="40" t="s">
        <v>15</v>
      </c>
      <c r="C19" s="74">
        <v>15850</v>
      </c>
      <c r="D19" s="64">
        <f t="shared" si="3"/>
        <v>3.0018939393939394</v>
      </c>
      <c r="E19" s="75">
        <v>21835</v>
      </c>
      <c r="F19" s="74">
        <v>8.625</v>
      </c>
      <c r="G19" s="74">
        <v>395</v>
      </c>
      <c r="H19" s="37">
        <v>0.378</v>
      </c>
      <c r="I19" s="76" t="s">
        <v>7</v>
      </c>
      <c r="J19" s="74" t="s">
        <v>7</v>
      </c>
      <c r="K19" s="76" t="s">
        <v>11</v>
      </c>
      <c r="L19" s="76">
        <v>2032</v>
      </c>
      <c r="M19" s="80"/>
      <c r="N19" s="77">
        <f t="shared" si="2"/>
        <v>22.139507575757577</v>
      </c>
      <c r="O19" s="67">
        <f t="shared" si="1"/>
        <v>0.9928030303030303</v>
      </c>
    </row>
    <row r="20" spans="1:16" ht="26.25" customHeight="1" thickBot="1" x14ac:dyDescent="0.3">
      <c r="A20" s="7">
        <v>2637</v>
      </c>
      <c r="B20" s="41" t="s">
        <v>15</v>
      </c>
      <c r="C20" s="42">
        <v>667</v>
      </c>
      <c r="D20" s="65">
        <f t="shared" si="3"/>
        <v>0.12632575757575756</v>
      </c>
      <c r="E20" s="43">
        <v>25762</v>
      </c>
      <c r="F20" s="42">
        <v>6.625</v>
      </c>
      <c r="G20" s="42">
        <v>395</v>
      </c>
      <c r="H20" s="44">
        <v>0.28999999999999998</v>
      </c>
      <c r="I20" s="45" t="s">
        <v>13</v>
      </c>
      <c r="J20" s="42" t="s">
        <v>20</v>
      </c>
      <c r="K20" s="45" t="s">
        <v>11</v>
      </c>
      <c r="L20" s="45">
        <v>2033</v>
      </c>
      <c r="M20" s="50"/>
      <c r="N20" s="46">
        <f t="shared" si="2"/>
        <v>22.265833333333333</v>
      </c>
      <c r="O20" s="82">
        <f t="shared" si="1"/>
        <v>0.99846786248131536</v>
      </c>
      <c r="P20" s="36" t="s">
        <v>49</v>
      </c>
    </row>
    <row r="21" spans="1:16" hidden="1" x14ac:dyDescent="0.25">
      <c r="B21" s="16"/>
      <c r="C21" s="17">
        <f>SUM(C2:C20)/5280</f>
        <v>22.265833333333333</v>
      </c>
      <c r="D21" s="64">
        <f t="shared" si="3"/>
        <v>4.2170138888888891E-3</v>
      </c>
      <c r="H21" s="18"/>
      <c r="L21" s="19"/>
      <c r="N21" s="15">
        <f t="shared" ref="N21:N34" si="4">N20+(C21/5280)</f>
        <v>22.270050347222224</v>
      </c>
    </row>
    <row r="22" spans="1:16" hidden="1" x14ac:dyDescent="0.25">
      <c r="A22" s="4" t="s">
        <v>34</v>
      </c>
      <c r="B22" s="20"/>
      <c r="C22" s="21">
        <v>24.306000000000001</v>
      </c>
      <c r="D22" s="64">
        <f t="shared" si="3"/>
        <v>4.6034090909090912E-3</v>
      </c>
      <c r="E22" s="21">
        <f>C22/2</f>
        <v>12.153</v>
      </c>
      <c r="H22" s="22"/>
      <c r="L22" s="19"/>
      <c r="N22" s="15">
        <f t="shared" si="4"/>
        <v>22.274653756313132</v>
      </c>
    </row>
    <row r="23" spans="1:16" hidden="1" x14ac:dyDescent="0.25">
      <c r="A23" s="1" t="s">
        <v>21</v>
      </c>
      <c r="B23" s="16"/>
      <c r="C23" s="23">
        <f>11919/5280</f>
        <v>2.2573863636363636</v>
      </c>
      <c r="D23" s="64">
        <f t="shared" si="3"/>
        <v>4.275352961432507E-4</v>
      </c>
      <c r="E23" s="23">
        <f>C22-C23</f>
        <v>22.048613636363637</v>
      </c>
      <c r="F23" s="24">
        <f>C23</f>
        <v>2.2573863636363636</v>
      </c>
      <c r="G23" s="25">
        <f>F23/C21</f>
        <v>0.10138342139914056</v>
      </c>
      <c r="H23" s="18"/>
      <c r="L23" s="19"/>
      <c r="N23" s="15">
        <f t="shared" si="4"/>
        <v>22.275081291609276</v>
      </c>
    </row>
    <row r="24" spans="1:16" hidden="1" x14ac:dyDescent="0.25">
      <c r="A24" s="1" t="s">
        <v>22</v>
      </c>
      <c r="B24" s="16"/>
      <c r="C24" s="23">
        <f>10032/5280</f>
        <v>1.9</v>
      </c>
      <c r="D24" s="64">
        <f t="shared" si="3"/>
        <v>3.5984848484848483E-4</v>
      </c>
      <c r="E24" s="23">
        <f t="shared" ref="E24:E34" si="5">E23-C24</f>
        <v>20.148613636363638</v>
      </c>
      <c r="F24" s="24">
        <f>C23+C24</f>
        <v>4.1573863636363635</v>
      </c>
      <c r="G24" s="25">
        <f>F24/C21</f>
        <v>0.1867159562993988</v>
      </c>
      <c r="H24" s="18"/>
      <c r="L24" s="19"/>
      <c r="N24" s="15">
        <f t="shared" si="4"/>
        <v>22.275441140094124</v>
      </c>
    </row>
    <row r="25" spans="1:16" hidden="1" x14ac:dyDescent="0.25">
      <c r="A25" s="1" t="s">
        <v>23</v>
      </c>
      <c r="B25" s="16"/>
      <c r="C25" s="23">
        <f>11772/5280</f>
        <v>2.2295454545454545</v>
      </c>
      <c r="D25" s="64">
        <f t="shared" si="3"/>
        <v>4.2226239669421487E-4</v>
      </c>
      <c r="E25" s="23">
        <f t="shared" si="5"/>
        <v>17.919068181818183</v>
      </c>
      <c r="F25" s="26">
        <f>SUM(C23:C25)</f>
        <v>6.386931818181818</v>
      </c>
      <c r="G25" s="25">
        <f>F25/C21</f>
        <v>0.28684899067398412</v>
      </c>
      <c r="H25" s="18"/>
      <c r="L25" s="19"/>
      <c r="N25" s="15">
        <f t="shared" si="4"/>
        <v>22.275863402490817</v>
      </c>
    </row>
    <row r="26" spans="1:16" hidden="1" x14ac:dyDescent="0.25">
      <c r="A26" s="1" t="s">
        <v>24</v>
      </c>
      <c r="B26" s="16"/>
      <c r="C26" s="23">
        <f>(10695+6142)/5280</f>
        <v>3.1888257575757577</v>
      </c>
      <c r="D26" s="64">
        <f t="shared" si="3"/>
        <v>6.0394427226813591E-4</v>
      </c>
      <c r="E26" s="23">
        <f>E25-C26</f>
        <v>14.730242424242425</v>
      </c>
      <c r="F26" s="26">
        <f>SUM(C23:C26)</f>
        <v>9.5757575757575761</v>
      </c>
      <c r="G26" s="18">
        <f>F26/C21</f>
        <v>0.43006508817355033</v>
      </c>
      <c r="H26" s="1"/>
      <c r="I26" s="1"/>
      <c r="J26" s="3"/>
      <c r="L26" s="27"/>
      <c r="N26" s="15">
        <f t="shared" si="4"/>
        <v>22.276467346763084</v>
      </c>
    </row>
    <row r="27" spans="1:16" hidden="1" x14ac:dyDescent="0.25">
      <c r="A27" s="1" t="s">
        <v>25</v>
      </c>
      <c r="B27" s="16"/>
      <c r="C27" s="23">
        <f>4699/5280</f>
        <v>0.88996212121212126</v>
      </c>
      <c r="D27" s="64">
        <f t="shared" si="3"/>
        <v>1.6855343204775025E-4</v>
      </c>
      <c r="E27" s="23">
        <f t="shared" si="5"/>
        <v>13.840280303030303</v>
      </c>
      <c r="F27" s="26">
        <f>SUM(C23:C27)</f>
        <v>10.465719696969698</v>
      </c>
      <c r="G27" s="18">
        <f>F27/C22</f>
        <v>0.43058173689499291</v>
      </c>
      <c r="H27" s="18"/>
      <c r="L27" s="19"/>
      <c r="N27" s="15">
        <f t="shared" si="4"/>
        <v>22.276635900195132</v>
      </c>
    </row>
    <row r="28" spans="1:16" hidden="1" x14ac:dyDescent="0.25">
      <c r="A28" s="1" t="s">
        <v>26</v>
      </c>
      <c r="B28" s="16"/>
      <c r="C28" s="23">
        <f>20333/5280</f>
        <v>3.8509469696969698</v>
      </c>
      <c r="D28" s="64">
        <f t="shared" si="3"/>
        <v>7.2934601698806251E-4</v>
      </c>
      <c r="E28" s="23">
        <f t="shared" si="5"/>
        <v>9.9893333333333327</v>
      </c>
      <c r="F28" s="26">
        <f>SUM(C23:C28)</f>
        <v>14.316666666666668</v>
      </c>
      <c r="G28" s="18">
        <f>F28/C21</f>
        <v>0.64298813578352487</v>
      </c>
      <c r="H28" s="18"/>
      <c r="L28" s="19"/>
      <c r="N28" s="15">
        <f t="shared" si="4"/>
        <v>22.277365246212121</v>
      </c>
    </row>
    <row r="29" spans="1:16" hidden="1" x14ac:dyDescent="0.25">
      <c r="A29" s="1" t="s">
        <v>27</v>
      </c>
      <c r="B29" s="16"/>
      <c r="C29" s="23">
        <f>5322/5280</f>
        <v>1.0079545454545455</v>
      </c>
      <c r="D29" s="64">
        <f t="shared" si="3"/>
        <v>1.9090048209366393E-4</v>
      </c>
      <c r="E29" s="23">
        <f t="shared" si="5"/>
        <v>8.9813787878787874</v>
      </c>
      <c r="F29" s="26">
        <f>SUM(C23:C29)</f>
        <v>15.324621212121214</v>
      </c>
      <c r="G29" s="18">
        <f>F29/C21</f>
        <v>0.68825724969293223</v>
      </c>
      <c r="H29" s="18"/>
      <c r="L29" s="19"/>
      <c r="N29" s="15">
        <f t="shared" si="4"/>
        <v>22.277556146694213</v>
      </c>
    </row>
    <row r="30" spans="1:16" hidden="1" x14ac:dyDescent="0.25">
      <c r="A30" s="1" t="s">
        <v>28</v>
      </c>
      <c r="B30" s="16"/>
      <c r="C30" s="23">
        <f>10771/5280</f>
        <v>2.0399621212121213</v>
      </c>
      <c r="D30" s="64">
        <f t="shared" si="3"/>
        <v>3.8635646235078057E-4</v>
      </c>
      <c r="E30" s="23">
        <f t="shared" si="5"/>
        <v>6.9414166666666661</v>
      </c>
      <c r="F30" s="26">
        <f>SUM(C23:C30)</f>
        <v>17.364583333333336</v>
      </c>
      <c r="G30" s="18">
        <f>F30/C21</f>
        <v>0.77987574385268921</v>
      </c>
      <c r="H30" s="18"/>
      <c r="L30" s="19"/>
      <c r="N30" s="15">
        <f t="shared" si="4"/>
        <v>22.277942503156563</v>
      </c>
    </row>
    <row r="31" spans="1:16" hidden="1" x14ac:dyDescent="0.25">
      <c r="A31" s="1" t="s">
        <v>29</v>
      </c>
      <c r="B31" s="16"/>
      <c r="C31" s="23">
        <f>(8886)/5280</f>
        <v>1.6829545454545454</v>
      </c>
      <c r="D31" s="64">
        <f t="shared" si="3"/>
        <v>3.1874139118457301E-4</v>
      </c>
      <c r="E31" s="23">
        <f t="shared" si="5"/>
        <v>5.258462121212121</v>
      </c>
      <c r="F31" s="26">
        <f>SUM(C23:C31)</f>
        <v>19.047537878787882</v>
      </c>
      <c r="G31" s="18">
        <f>F31/C21</f>
        <v>0.85546036358192512</v>
      </c>
      <c r="H31" s="18"/>
      <c r="L31" s="19"/>
      <c r="N31" s="15">
        <f t="shared" si="4"/>
        <v>22.278261244547746</v>
      </c>
    </row>
    <row r="32" spans="1:16" hidden="1" x14ac:dyDescent="0.25">
      <c r="A32" s="1" t="s">
        <v>30</v>
      </c>
      <c r="B32" s="16"/>
      <c r="C32" s="23">
        <f>(3860+5185)/5280</f>
        <v>1.7130681818181819</v>
      </c>
      <c r="D32" s="64">
        <f t="shared" si="3"/>
        <v>3.2444473140495869E-4</v>
      </c>
      <c r="E32" s="23">
        <f t="shared" si="5"/>
        <v>3.5453939393939393</v>
      </c>
      <c r="F32" s="26">
        <f>SUM(C23:C32)</f>
        <v>20.760606060606065</v>
      </c>
      <c r="G32" s="18">
        <f>F32/C21</f>
        <v>0.9323974427458841</v>
      </c>
      <c r="H32" s="18"/>
      <c r="L32" s="19"/>
      <c r="N32" s="15">
        <f t="shared" si="4"/>
        <v>22.278585689279151</v>
      </c>
    </row>
    <row r="33" spans="1:14" hidden="1" x14ac:dyDescent="0.25">
      <c r="A33" s="1" t="s">
        <v>31</v>
      </c>
      <c r="B33" s="16"/>
      <c r="C33" s="23">
        <f>2202/5280</f>
        <v>0.41704545454545455</v>
      </c>
      <c r="D33" s="64">
        <f t="shared" si="3"/>
        <v>7.8985881542699722E-5</v>
      </c>
      <c r="E33" s="23">
        <f t="shared" si="5"/>
        <v>3.1283484848484848</v>
      </c>
      <c r="F33" s="26">
        <f>SUM(C23:C33)</f>
        <v>21.177651515151521</v>
      </c>
      <c r="G33" s="18">
        <f>F33/C21</f>
        <v>0.9511277300116705</v>
      </c>
      <c r="H33" s="18"/>
      <c r="L33" s="19"/>
      <c r="N33" s="15">
        <f t="shared" si="4"/>
        <v>22.278664675160694</v>
      </c>
    </row>
    <row r="34" spans="1:14" s="2" customFormat="1" ht="15.75" hidden="1" thickBot="1" x14ac:dyDescent="0.3">
      <c r="A34" s="1" t="s">
        <v>32</v>
      </c>
      <c r="B34" s="28"/>
      <c r="C34" s="29">
        <f>(15850+667)/5280</f>
        <v>3.1282196969696972</v>
      </c>
      <c r="D34" s="64">
        <f t="shared" si="3"/>
        <v>5.9246585169880624E-4</v>
      </c>
      <c r="E34" s="29">
        <f t="shared" si="5"/>
        <v>1.2878787878767284E-4</v>
      </c>
      <c r="F34" s="30">
        <f>SUM(C23:C34)</f>
        <v>24.305871212121218</v>
      </c>
      <c r="G34" s="31">
        <f>F34/C21</f>
        <v>1.0916218965734295</v>
      </c>
      <c r="H34" s="31"/>
      <c r="I34" s="32"/>
      <c r="J34" s="33"/>
      <c r="K34" s="32"/>
      <c r="L34" s="34"/>
      <c r="M34"/>
      <c r="N34" s="15">
        <f t="shared" si="4"/>
        <v>22.279257141012394</v>
      </c>
    </row>
    <row r="35" spans="1:14" s="2" customFormat="1" x14ac:dyDescent="0.25">
      <c r="A35" s="1" t="s">
        <v>33</v>
      </c>
      <c r="B35" s="1"/>
      <c r="C35" s="1"/>
      <c r="D35" s="1"/>
      <c r="E35" s="1"/>
      <c r="F35" s="1"/>
      <c r="G35" s="1"/>
      <c r="I35" s="3"/>
      <c r="J35" s="1"/>
      <c r="K35" s="3"/>
      <c r="L35" s="3"/>
      <c r="M35"/>
      <c r="N35"/>
    </row>
    <row r="36" spans="1:14" s="2" customFormat="1" hidden="1" x14ac:dyDescent="0.25">
      <c r="A36" s="1"/>
      <c r="B36" s="5"/>
      <c r="C36" s="1"/>
      <c r="D36" s="1"/>
      <c r="E36" s="1"/>
      <c r="F36" s="5">
        <v>49492</v>
      </c>
      <c r="G36" s="1"/>
      <c r="I36" s="3"/>
      <c r="J36" s="1"/>
      <c r="K36" s="3"/>
      <c r="L36" s="3"/>
      <c r="M36"/>
      <c r="N36"/>
    </row>
    <row r="38" spans="1:14" x14ac:dyDescent="0.25">
      <c r="C38" s="1">
        <v>10771</v>
      </c>
    </row>
  </sheetData>
  <mergeCells count="1">
    <mergeCell ref="M7:M8"/>
  </mergeCells>
  <pageMargins left="0.7" right="0.7" top="0.75" bottom="0.75" header="0.3" footer="0.3"/>
  <pageSetup scale="50" orientation="landscape" r:id="rId1"/>
  <headerFooter>
    <oddHeader>&amp;R&amp;"Arial,Regular"CASE NO. 2026-00202
ATTACHMENT 1
TO STAFF DR 1-01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6AE49-E8A4-414A-AEE1-4A0E0B5BB8EE}">
  <sheetPr>
    <pageSetUpPr fitToPage="1"/>
  </sheetPr>
  <dimension ref="B1:I33"/>
  <sheetViews>
    <sheetView zoomScale="81" workbookViewId="0">
      <selection activeCell="B1" sqref="B1"/>
    </sheetView>
  </sheetViews>
  <sheetFormatPr defaultRowHeight="15" x14ac:dyDescent="0.25"/>
  <cols>
    <col min="2" max="2" width="31.28515625" customWidth="1"/>
    <col min="4" max="4" width="12.85546875" bestFit="1" customWidth="1"/>
  </cols>
  <sheetData>
    <row r="1" spans="2:9" x14ac:dyDescent="0.25">
      <c r="B1" s="115" t="s">
        <v>50</v>
      </c>
      <c r="C1" s="115"/>
    </row>
    <row r="2" spans="2:9" x14ac:dyDescent="0.25">
      <c r="B2" s="62" t="s">
        <v>55</v>
      </c>
      <c r="C2">
        <v>13</v>
      </c>
    </row>
    <row r="3" spans="2:9" x14ac:dyDescent="0.25">
      <c r="B3" s="62" t="s">
        <v>51</v>
      </c>
      <c r="C3">
        <v>3</v>
      </c>
    </row>
    <row r="4" spans="2:9" x14ac:dyDescent="0.25">
      <c r="B4" s="62" t="s">
        <v>52</v>
      </c>
      <c r="C4">
        <v>13.9</v>
      </c>
    </row>
    <row r="5" spans="2:9" x14ac:dyDescent="0.25">
      <c r="B5" s="61"/>
    </row>
    <row r="6" spans="2:9" x14ac:dyDescent="0.25">
      <c r="B6" s="115" t="s">
        <v>53</v>
      </c>
      <c r="C6" s="115"/>
    </row>
    <row r="7" spans="2:9" x14ac:dyDescent="0.25">
      <c r="B7" s="62" t="s">
        <v>55</v>
      </c>
      <c r="C7">
        <v>6</v>
      </c>
    </row>
    <row r="8" spans="2:9" x14ac:dyDescent="0.25">
      <c r="B8" s="62" t="s">
        <v>54</v>
      </c>
      <c r="C8">
        <v>0</v>
      </c>
    </row>
    <row r="9" spans="2:9" x14ac:dyDescent="0.25">
      <c r="B9" s="62" t="s">
        <v>52</v>
      </c>
      <c r="C9">
        <v>10.4</v>
      </c>
    </row>
    <row r="13" spans="2:9" x14ac:dyDescent="0.25">
      <c r="B13" s="21" t="s">
        <v>56</v>
      </c>
      <c r="C13" s="21" t="s">
        <v>59</v>
      </c>
      <c r="D13" s="21" t="s">
        <v>60</v>
      </c>
      <c r="E13" s="21" t="s">
        <v>61</v>
      </c>
      <c r="F13" s="21" t="s">
        <v>62</v>
      </c>
      <c r="G13" s="21" t="s">
        <v>63</v>
      </c>
      <c r="H13" s="21" t="s">
        <v>64</v>
      </c>
    </row>
    <row r="14" spans="2:9" x14ac:dyDescent="0.25">
      <c r="B14" t="s">
        <v>57</v>
      </c>
      <c r="C14" s="61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t="s">
        <v>66</v>
      </c>
    </row>
    <row r="15" spans="2:9" x14ac:dyDescent="0.25">
      <c r="B15" t="s">
        <v>65</v>
      </c>
      <c r="C15" s="61">
        <v>1.2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</row>
    <row r="16" spans="2:9" x14ac:dyDescent="0.25">
      <c r="B16" t="s">
        <v>58</v>
      </c>
      <c r="C16" s="61">
        <v>3.2</v>
      </c>
      <c r="D16" s="61">
        <v>3.1</v>
      </c>
      <c r="E16" s="61">
        <v>1.4</v>
      </c>
      <c r="F16" s="61">
        <v>2</v>
      </c>
      <c r="G16" s="61">
        <v>3.9</v>
      </c>
      <c r="H16" s="61">
        <v>1.7</v>
      </c>
    </row>
    <row r="19" spans="3:4" x14ac:dyDescent="0.25">
      <c r="C19" s="21" t="s">
        <v>67</v>
      </c>
      <c r="D19" s="63" t="s">
        <v>47</v>
      </c>
    </row>
    <row r="20" spans="3:4" x14ac:dyDescent="0.25">
      <c r="C20" s="61">
        <v>22</v>
      </c>
      <c r="D20" s="61">
        <v>9.2899999999999991</v>
      </c>
    </row>
    <row r="21" spans="3:4" x14ac:dyDescent="0.25">
      <c r="C21" s="61">
        <v>23</v>
      </c>
      <c r="D21" s="61">
        <v>17.100000000000001</v>
      </c>
    </row>
    <row r="22" spans="3:4" x14ac:dyDescent="0.25">
      <c r="C22" s="61">
        <v>24</v>
      </c>
      <c r="D22" s="61">
        <v>17.100000000000001</v>
      </c>
    </row>
    <row r="23" spans="3:4" x14ac:dyDescent="0.25">
      <c r="C23" s="61">
        <v>25</v>
      </c>
      <c r="D23" s="61">
        <v>30.21</v>
      </c>
    </row>
    <row r="24" spans="3:4" x14ac:dyDescent="0.25">
      <c r="C24" s="61">
        <v>26</v>
      </c>
      <c r="D24" s="61">
        <v>43.06</v>
      </c>
    </row>
    <row r="25" spans="3:4" x14ac:dyDescent="0.25">
      <c r="C25" s="61">
        <v>27</v>
      </c>
      <c r="D25" s="61">
        <v>48.92</v>
      </c>
    </row>
    <row r="26" spans="3:4" x14ac:dyDescent="0.25">
      <c r="C26" s="61">
        <v>28</v>
      </c>
      <c r="D26" s="61">
        <v>57.31</v>
      </c>
    </row>
    <row r="27" spans="3:4" x14ac:dyDescent="0.25">
      <c r="C27" s="61">
        <v>29</v>
      </c>
      <c r="D27" s="61">
        <v>73.16</v>
      </c>
    </row>
    <row r="28" spans="3:4" x14ac:dyDescent="0.25">
      <c r="C28" s="61">
        <v>30</v>
      </c>
      <c r="D28" s="61">
        <v>80.08</v>
      </c>
    </row>
    <row r="29" spans="3:4" x14ac:dyDescent="0.25">
      <c r="C29" s="61">
        <v>31</v>
      </c>
      <c r="D29" s="61">
        <v>87.13</v>
      </c>
    </row>
    <row r="30" spans="3:4" x14ac:dyDescent="0.25">
      <c r="C30" s="61">
        <v>32</v>
      </c>
      <c r="D30" s="61">
        <v>99.48</v>
      </c>
    </row>
    <row r="31" spans="3:4" x14ac:dyDescent="0.25">
      <c r="C31" s="61">
        <v>33</v>
      </c>
      <c r="D31" s="61">
        <v>100</v>
      </c>
    </row>
    <row r="32" spans="3:4" x14ac:dyDescent="0.25">
      <c r="C32" s="61">
        <v>34</v>
      </c>
    </row>
    <row r="33" spans="3:3" x14ac:dyDescent="0.25">
      <c r="C33" s="61">
        <v>35</v>
      </c>
    </row>
  </sheetData>
  <mergeCells count="2">
    <mergeCell ref="B1:C1"/>
    <mergeCell ref="B6:C6"/>
  </mergeCells>
  <pageMargins left="0.7" right="0.7" top="0.75" bottom="0.75" header="0.3" footer="0.3"/>
  <pageSetup scale="46" orientation="landscape" r:id="rId1"/>
  <headerFooter>
    <oddHeader>&amp;R&amp;"Arial,Regular"CASE NO. 2026-00202
ATTACHMENT 1
TO STAFF DR 1-01</oddHeader>
  </headerFooter>
  <drawing r:id="rId2"/>
</worksheet>
</file>

<file path=docMetadata/LabelInfo.xml><?xml version="1.0" encoding="utf-8"?>
<clbl:labelList xmlns:clbl="http://schemas.microsoft.com/office/2020/mipLabelMetadata">
  <clbl:label id="{5c1ed7e6-714c-49e1-bb1a-51859f3a48fb}" enabled="0" method="" siteId="{5c1ed7e6-714c-49e1-bb1a-51859f3a48f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 DR-CPCN</vt:lpstr>
      <vt:lpstr>26 template 03062026</vt:lpstr>
      <vt:lpstr>24 template 08272024</vt:lpstr>
      <vt:lpstr>5 year plan slides</vt:lpstr>
    </vt:vector>
  </TitlesOfParts>
  <Company>Atmos Energy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H Arnold</dc:creator>
  <cp:lastModifiedBy>Wilen, Eric</cp:lastModifiedBy>
  <cp:lastPrinted>2026-09-30T21:53:43Z</cp:lastPrinted>
  <dcterms:created xsi:type="dcterms:W3CDTF">2024-02-06T21:47:14Z</dcterms:created>
  <dcterms:modified xsi:type="dcterms:W3CDTF">2026-09-30T21:53:53Z</dcterms:modified>
</cp:coreProperties>
</file>