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atlakescap-my.sharepoint.com/personal/dpfoster_glcap_org/Documents/Documents/Rate Cases/North Logan ARF/"/>
    </mc:Choice>
  </mc:AlternateContent>
  <xr:revisionPtr revIDLastSave="359" documentId="8_{91BD1EC6-CC22-4A89-8B54-6CEE4E7E4A93}" xr6:coauthVersionLast="47" xr6:coauthVersionMax="47" xr10:uidLastSave="{0E8C1C14-EAF5-4781-88D5-DEE8649578B8}"/>
  <bookViews>
    <workbookView xWindow="28680" yWindow="-2925" windowWidth="29040" windowHeight="15720" activeTab="1" xr2:uid="{B9571C84-D49D-4381-BE20-4BF24A1DB74A}"/>
  </bookViews>
  <sheets>
    <sheet name="SAO" sheetId="1" r:id="rId1"/>
    <sheet name="RR-OR" sheetId="10" r:id="rId2"/>
    <sheet name="Dep" sheetId="3" r:id="rId3"/>
    <sheet name="AvgDebt1" sheetId="9" r:id="rId4"/>
    <sheet name="Salaries" sheetId="5" r:id="rId5"/>
    <sheet name="BAE" sheetId="6" r:id="rId6"/>
    <sheet name="BAP" sheetId="7" r:id="rId7"/>
    <sheet name="ProposedRates" sheetId="8" r:id="rId8"/>
    <sheet name="Sheet1" sheetId="11" r:id="rId9"/>
  </sheets>
  <externalReferences>
    <externalReference r:id="rId10"/>
  </externalReferences>
  <definedNames>
    <definedName name="_xlnm.Print_Area" localSheetId="5">BAE!$A$1:$J$38</definedName>
    <definedName name="_xlnm.Print_Area" localSheetId="6">BAP!$A$1:$J$38</definedName>
    <definedName name="_xlnm.Print_Area" localSheetId="7">ProposedRates!$B$4:$S$13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J9" i="1"/>
  <c r="G14" i="6"/>
  <c r="G12" i="6"/>
  <c r="P32" i="1" l="1"/>
  <c r="B36" i="7"/>
  <c r="B35" i="7"/>
  <c r="B34" i="7"/>
  <c r="B33" i="7"/>
  <c r="C32" i="7"/>
  <c r="B32" i="7"/>
  <c r="D27" i="7"/>
  <c r="C27" i="7"/>
  <c r="G25" i="7"/>
  <c r="F25" i="7"/>
  <c r="G24" i="7"/>
  <c r="F24" i="7"/>
  <c r="E24" i="7"/>
  <c r="F23" i="7"/>
  <c r="E23" i="7"/>
  <c r="E22" i="7"/>
  <c r="E21" i="7"/>
  <c r="I20" i="7"/>
  <c r="H20" i="7"/>
  <c r="H25" i="7" s="1"/>
  <c r="G20" i="7"/>
  <c r="F20" i="7"/>
  <c r="E20" i="7"/>
  <c r="E25" i="7" s="1"/>
  <c r="F8" i="7"/>
  <c r="F11" i="7" s="1"/>
  <c r="E8" i="7"/>
  <c r="E11" i="7" s="1"/>
  <c r="W16" i="8"/>
  <c r="AC16" i="8"/>
  <c r="V16" i="8"/>
  <c r="J27" i="6"/>
  <c r="C27" i="6"/>
  <c r="L27" i="6"/>
  <c r="M9" i="8"/>
  <c r="M10" i="8"/>
  <c r="M11" i="8"/>
  <c r="M12" i="8"/>
  <c r="M8" i="8"/>
  <c r="E21" i="6"/>
  <c r="I25" i="7" l="1"/>
  <c r="I27" i="7" s="1"/>
  <c r="D36" i="7" s="1"/>
  <c r="E27" i="7"/>
  <c r="D32" i="7" s="1"/>
  <c r="J21" i="7"/>
  <c r="G23" i="7"/>
  <c r="G27" i="7" s="1"/>
  <c r="D34" i="7" s="1"/>
  <c r="C38" i="7"/>
  <c r="F22" i="7"/>
  <c r="F27" i="7" s="1"/>
  <c r="D33" i="7" s="1"/>
  <c r="H24" i="7"/>
  <c r="H27" i="7" s="1"/>
  <c r="D35" i="7" s="1"/>
  <c r="J23" i="7" l="1"/>
  <c r="D38" i="7"/>
  <c r="J24" i="7"/>
  <c r="J22" i="7"/>
  <c r="J27" i="7" s="1"/>
  <c r="L27" i="7" s="1"/>
  <c r="J25" i="7"/>
  <c r="B36" i="6" l="1"/>
  <c r="B35" i="6"/>
  <c r="B34" i="6"/>
  <c r="B33" i="6"/>
  <c r="B32" i="6"/>
  <c r="D27" i="6"/>
  <c r="F8" i="6" s="1"/>
  <c r="F11" i="6" s="1"/>
  <c r="C32" i="6"/>
  <c r="C38" i="6" s="1"/>
  <c r="J21" i="6"/>
  <c r="I20" i="6"/>
  <c r="H20" i="6"/>
  <c r="H25" i="6" s="1"/>
  <c r="G20" i="6"/>
  <c r="F20" i="6"/>
  <c r="E20" i="6"/>
  <c r="X33" i="1"/>
  <c r="F24" i="6" l="1"/>
  <c r="F23" i="6"/>
  <c r="F25" i="6"/>
  <c r="E24" i="6"/>
  <c r="E23" i="6"/>
  <c r="E22" i="6"/>
  <c r="E25" i="6"/>
  <c r="G25" i="6"/>
  <c r="G24" i="6"/>
  <c r="E8" i="6"/>
  <c r="E11" i="6" s="1"/>
  <c r="F32" i="6"/>
  <c r="N46" i="1"/>
  <c r="P41" i="1"/>
  <c r="T33" i="1"/>
  <c r="T30" i="1"/>
  <c r="P8" i="1"/>
  <c r="T23" i="1"/>
  <c r="J47" i="1"/>
  <c r="N12" i="3"/>
  <c r="N5" i="3"/>
  <c r="N6" i="3"/>
  <c r="N7" i="3"/>
  <c r="N8" i="3"/>
  <c r="N9" i="3"/>
  <c r="N10" i="3"/>
  <c r="N4" i="3"/>
  <c r="L6" i="3"/>
  <c r="L5" i="3"/>
  <c r="L7" i="3"/>
  <c r="L8" i="3"/>
  <c r="L9" i="3"/>
  <c r="L10" i="3"/>
  <c r="L4" i="3"/>
  <c r="I25" i="6" l="1"/>
  <c r="I27" i="6" s="1"/>
  <c r="D36" i="6" s="1"/>
  <c r="F36" i="6" s="1"/>
  <c r="J25" i="6"/>
  <c r="F22" i="6"/>
  <c r="F27" i="6" s="1"/>
  <c r="D33" i="6" s="1"/>
  <c r="F33" i="6" s="1"/>
  <c r="F38" i="6" s="1"/>
  <c r="G8" i="6" s="1"/>
  <c r="G11" i="6" s="1"/>
  <c r="E27" i="6"/>
  <c r="D32" i="6" s="1"/>
  <c r="G23" i="6"/>
  <c r="G27" i="6" s="1"/>
  <c r="D34" i="6" s="1"/>
  <c r="F34" i="6" s="1"/>
  <c r="H24" i="6"/>
  <c r="H27" i="6" s="1"/>
  <c r="D35" i="6" s="1"/>
  <c r="F35" i="6" s="1"/>
  <c r="J24" i="6"/>
  <c r="I10" i="3"/>
  <c r="I9" i="3"/>
  <c r="I8" i="3"/>
  <c r="I7" i="3"/>
  <c r="I6" i="3"/>
  <c r="I5" i="3"/>
  <c r="I4" i="3"/>
  <c r="J23" i="6" l="1"/>
  <c r="D38" i="6"/>
  <c r="J22" i="6"/>
  <c r="L7" i="10"/>
  <c r="N55" i="1"/>
  <c r="N56" i="1"/>
  <c r="N57" i="1"/>
  <c r="N54" i="1"/>
  <c r="N48" i="1"/>
  <c r="N47" i="1"/>
  <c r="N17" i="1"/>
  <c r="N16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23" i="1"/>
  <c r="N14" i="1"/>
  <c r="L11" i="10" s="1"/>
  <c r="N7" i="1"/>
  <c r="N8" i="1"/>
  <c r="N10" i="1"/>
  <c r="N11" i="1"/>
  <c r="N12" i="1"/>
  <c r="N13" i="1"/>
  <c r="N6" i="1"/>
  <c r="H58" i="1"/>
  <c r="H52" i="1"/>
  <c r="P55" i="1"/>
  <c r="L23" i="10"/>
  <c r="L21" i="10"/>
  <c r="L20" i="10"/>
  <c r="L8" i="10"/>
  <c r="H14" i="1"/>
  <c r="J14" i="1" l="1"/>
  <c r="N49" i="1"/>
  <c r="L2" i="10" s="1"/>
  <c r="J46" i="1"/>
  <c r="J49" i="1" s="1"/>
  <c r="H46" i="1"/>
  <c r="H49" i="1" s="1"/>
  <c r="J18" i="1"/>
  <c r="N18" i="1"/>
  <c r="H18" i="1"/>
  <c r="L4" i="10" l="1"/>
  <c r="H19" i="1"/>
  <c r="H50" i="1" s="1"/>
  <c r="N19" i="1"/>
  <c r="N50" i="1" s="1"/>
  <c r="N52" i="1" s="1"/>
  <c r="N58" i="1" s="1"/>
  <c r="J19" i="1"/>
  <c r="J50" i="1" s="1"/>
  <c r="L19" i="10" l="1"/>
  <c r="L6" i="10"/>
  <c r="L18" i="10" l="1"/>
  <c r="L22" i="10" s="1"/>
  <c r="L24" i="10" s="1"/>
  <c r="L10" i="10"/>
  <c r="L13" i="10" s="1"/>
  <c r="L14" i="10" s="1"/>
  <c r="U6" i="8" s="1"/>
  <c r="O9" i="8" l="1"/>
  <c r="O18" i="8"/>
  <c r="R18" i="8" s="1"/>
  <c r="S18" i="8" s="1"/>
  <c r="L8" i="6"/>
  <c r="M8" i="6" s="1"/>
  <c r="O17" i="8"/>
  <c r="R17" i="8" s="1"/>
  <c r="S17" i="8" s="1"/>
  <c r="O16" i="8"/>
  <c r="R16" i="8" s="1"/>
  <c r="S16" i="8" s="1"/>
  <c r="O15" i="8"/>
  <c r="R15" i="8" s="1"/>
  <c r="S15" i="8" s="1"/>
  <c r="O12" i="8"/>
  <c r="O11" i="8"/>
  <c r="O10" i="8"/>
  <c r="O8" i="8"/>
  <c r="O23" i="8"/>
  <c r="R23" i="8" s="1"/>
  <c r="S23" i="8" s="1"/>
  <c r="O22" i="8"/>
  <c r="R22" i="8" s="1"/>
  <c r="S22" i="8" s="1"/>
  <c r="O21" i="8"/>
  <c r="R21" i="8" s="1"/>
  <c r="S21" i="8" s="1"/>
  <c r="O30" i="8"/>
  <c r="R30" i="8" s="1"/>
  <c r="S30" i="8" s="1"/>
  <c r="O27" i="8"/>
  <c r="R27" i="8" s="1"/>
  <c r="S27" i="8" s="1"/>
  <c r="O26" i="8"/>
  <c r="R26" i="8" s="1"/>
  <c r="S26" i="8" s="1"/>
  <c r="R10" i="8" l="1"/>
  <c r="S10" i="8" s="1"/>
  <c r="E34" i="7"/>
  <c r="F34" i="7" s="1"/>
  <c r="R12" i="8"/>
  <c r="S12" i="8" s="1"/>
  <c r="E36" i="7"/>
  <c r="F36" i="7" s="1"/>
  <c r="E32" i="7"/>
  <c r="F32" i="7" s="1"/>
  <c r="X16" i="8"/>
  <c r="R8" i="8"/>
  <c r="S8" i="8" s="1"/>
  <c r="R11" i="8"/>
  <c r="S11" i="8" s="1"/>
  <c r="E35" i="7"/>
  <c r="F35" i="7" s="1"/>
  <c r="R9" i="8"/>
  <c r="S9" i="8" s="1"/>
  <c r="E33" i="7"/>
  <c r="F33" i="7" s="1"/>
  <c r="F38" i="7" l="1"/>
  <c r="G8" i="7" s="1"/>
  <c r="G11" i="7" s="1"/>
  <c r="Z16" i="8"/>
  <c r="Y16" i="8"/>
</calcChain>
</file>

<file path=xl/sharedStrings.xml><?xml version="1.0" encoding="utf-8"?>
<sst xmlns="http://schemas.openxmlformats.org/spreadsheetml/2006/main" count="263" uniqueCount="129">
  <si>
    <t>Test Year</t>
  </si>
  <si>
    <t>Adjustment</t>
  </si>
  <si>
    <t>Ref.</t>
  </si>
  <si>
    <t>Pro Forma</t>
  </si>
  <si>
    <t>Operating Revenues</t>
  </si>
  <si>
    <t>Sales to Residential Customers</t>
  </si>
  <si>
    <t>Sales to Commercial Customers</t>
  </si>
  <si>
    <t>Sales to Public Authorities</t>
  </si>
  <si>
    <t>Other Water Revenues</t>
  </si>
  <si>
    <t>Miscellaneous Service Revenues</t>
  </si>
  <si>
    <t>Total Other Water Revenues</t>
  </si>
  <si>
    <t>Total Operating Revenues</t>
  </si>
  <si>
    <t>Operating Expenses</t>
  </si>
  <si>
    <t>Salaries and Wages - Employees</t>
  </si>
  <si>
    <t>Salaries and Wages - Officers</t>
  </si>
  <si>
    <t>Employee Pensions and Benefits</t>
  </si>
  <si>
    <t>Purchased Water</t>
  </si>
  <si>
    <t>Purchased Power</t>
  </si>
  <si>
    <t>Materials and Supplies</t>
  </si>
  <si>
    <t>Contractual Services - Acct.</t>
  </si>
  <si>
    <t>Contractual Services - Legal</t>
  </si>
  <si>
    <t>Contractual Services - Other</t>
  </si>
  <si>
    <t>Insurance - General Liability</t>
  </si>
  <si>
    <t>Insurance - Other</t>
  </si>
  <si>
    <t>Bad Debt</t>
  </si>
  <si>
    <t>Miscellaneous Expenses</t>
  </si>
  <si>
    <t>Total Operation and Maintenance Expenses</t>
  </si>
  <si>
    <t>Depreciation Expense</t>
  </si>
  <si>
    <t>Taxes Other Than Income</t>
  </si>
  <si>
    <t>Total Operating Expenses</t>
  </si>
  <si>
    <t>Utility Operating Income</t>
  </si>
  <si>
    <t>Operating and Maintenance Expenses</t>
  </si>
  <si>
    <t>Insurance - Workers Compensation</t>
  </si>
  <si>
    <t>Pro Forma Operating Expenses</t>
  </si>
  <si>
    <t>Total Revenue Requirement</t>
  </si>
  <si>
    <t>Interest Income</t>
  </si>
  <si>
    <t>Revenue Required from Rates</t>
  </si>
  <si>
    <t>Required Revenue Increase</t>
  </si>
  <si>
    <t>Transportation Expenses</t>
  </si>
  <si>
    <t>SCHEDULE OF ADJUSTED OPERATIONS - (NORTH LOGAN WATER DISTRICT) - (2025)</t>
  </si>
  <si>
    <t>ALTERNATIVE RATE FILING</t>
  </si>
  <si>
    <t>Sales to Industrial Customers</t>
  </si>
  <si>
    <t>Sales to Multiple Family Dwellings</t>
  </si>
  <si>
    <t>Sales through Bulk Loading Stations</t>
  </si>
  <si>
    <t>Total Metered Sales of Water</t>
  </si>
  <si>
    <t>Metered Water Revenue</t>
  </si>
  <si>
    <t>Fuel for Power Production</t>
  </si>
  <si>
    <t>Chemicals</t>
  </si>
  <si>
    <t>Contractual Services - Eng.</t>
  </si>
  <si>
    <t>Contractual Services - Management Fees</t>
  </si>
  <si>
    <t>Contractual Services - Water Testing</t>
  </si>
  <si>
    <t>Rental of Bld./Real Property</t>
  </si>
  <si>
    <t>Rental of Equipment</t>
  </si>
  <si>
    <t>Insurance - Vehicle</t>
  </si>
  <si>
    <t>Unmetered Water Revenue</t>
  </si>
  <si>
    <t>Divide by:</t>
  </si>
  <si>
    <t>Operating Ratio</t>
  </si>
  <si>
    <t>Subtotal</t>
  </si>
  <si>
    <t>Add:  Average Annual Interest Expense</t>
  </si>
  <si>
    <t>Less:</t>
  </si>
  <si>
    <t>Other Operating Revenue</t>
  </si>
  <si>
    <t>Miscellaneous Nonutility Expenses</t>
  </si>
  <si>
    <t>Normalized Revenues from Water Sales</t>
  </si>
  <si>
    <t>Percentage Increase</t>
  </si>
  <si>
    <t>Cost of Excess Water Loss</t>
  </si>
  <si>
    <t>Average Debt Service</t>
  </si>
  <si>
    <t>Add:</t>
  </si>
  <si>
    <t>Non Cash Items:  Depreciation Exp.</t>
  </si>
  <si>
    <t>Working Capital</t>
  </si>
  <si>
    <t>WORKING CAPITAL</t>
  </si>
  <si>
    <t>Gains (Losses) Sale of Utility Property</t>
  </si>
  <si>
    <t>Total Utility Operating Income</t>
  </si>
  <si>
    <t>Other Income and Deductions</t>
  </si>
  <si>
    <t>Nonutiliy Income</t>
  </si>
  <si>
    <t>Interest Expense</t>
  </si>
  <si>
    <t>Net Income</t>
  </si>
  <si>
    <t>System Number</t>
  </si>
  <si>
    <t>Description</t>
  </si>
  <si>
    <t>Life</t>
  </si>
  <si>
    <t>Cost</t>
  </si>
  <si>
    <t>Current Depreciation</t>
  </si>
  <si>
    <t>Transmission Lines</t>
  </si>
  <si>
    <t>Thompson Chaps</t>
  </si>
  <si>
    <t>Kings Ford</t>
  </si>
  <si>
    <t>Dep. Expense</t>
  </si>
  <si>
    <t>Total</t>
  </si>
  <si>
    <t>SUMMARY</t>
  </si>
  <si>
    <t>Gallons</t>
  </si>
  <si>
    <t>No. of Bills</t>
  </si>
  <si>
    <t>Sold</t>
  </si>
  <si>
    <t>Revenue</t>
  </si>
  <si>
    <t>5/8" X 3/4" Meters - Rate 1</t>
  </si>
  <si>
    <t>Wholesale Rates</t>
  </si>
  <si>
    <t>Totals</t>
  </si>
  <si>
    <t>5/8" X 3/4" METERS - RATE 1</t>
  </si>
  <si>
    <t xml:space="preserve">First  </t>
  </si>
  <si>
    <t>Next</t>
  </si>
  <si>
    <t>Over</t>
  </si>
  <si>
    <t>Usage</t>
  </si>
  <si>
    <t>Bills</t>
  </si>
  <si>
    <t>First</t>
  </si>
  <si>
    <t>5/8" X 3/4" METERS - RATE 1 REVENUE BY RATE INCREMENT</t>
  </si>
  <si>
    <t>Rates</t>
  </si>
  <si>
    <t>CURRENT BILLING ANALYSIS - 2025 USAGE AND EXISTING RATES.</t>
  </si>
  <si>
    <t>CURRENT AND PROPOSED RATES</t>
  </si>
  <si>
    <t>Current Rates</t>
  </si>
  <si>
    <t>Proposed Rates</t>
  </si>
  <si>
    <t>Change ($)</t>
  </si>
  <si>
    <t>Change (%)</t>
  </si>
  <si>
    <t>5/8" x 3/4" Meter</t>
  </si>
  <si>
    <t>Minimum Bill</t>
  </si>
  <si>
    <t>per gallon</t>
  </si>
  <si>
    <t>1" Meter</t>
  </si>
  <si>
    <t>2" Meter</t>
  </si>
  <si>
    <t>3" Meter</t>
  </si>
  <si>
    <t>All</t>
  </si>
  <si>
    <t>Proposed Increase</t>
  </si>
  <si>
    <t>Customer</t>
  </si>
  <si>
    <t>Average Usage (gals)</t>
  </si>
  <si>
    <t>Monthly Bill at Current Rates</t>
  </si>
  <si>
    <t>Monthly Bill at Proposed Rates</t>
  </si>
  <si>
    <t>Monthly Bill Increase (%)</t>
  </si>
  <si>
    <t>$ Increase</t>
  </si>
  <si>
    <t>5/8" x 3/4" meter</t>
  </si>
  <si>
    <t>Average Bill</t>
  </si>
  <si>
    <t>NORTH LOGAN WATER DISTRICT #1</t>
  </si>
  <si>
    <t>CURRENT BILLING ANALYSIS - 2025 USAGE AND PROPOSED RATES.</t>
  </si>
  <si>
    <t>Water Sales From Annual Report</t>
  </si>
  <si>
    <t>Water Sales from Annual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</si>
</sst>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* #,##0.00000_);_(* \(#,##0.00000\);_(* &quot;-&quot;??_);_(@_)"/>
    <numFmt numFmtId="167" formatCode="_(&quot;$&quot;* #,##0.00000_);_(&quot;$&quot;* \(#,##0.00000\);_(&quot;$&quot;* &quot;-&quot;??_);_(@_)"/>
  </numFmts>
  <fonts count="15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name val="Aptos Narrow"/>
      <family val="2"/>
      <scheme val="minor"/>
    </font>
    <font>
      <sz val="12"/>
      <name val="Times New Roman"/>
      <family val="1"/>
    </font>
    <font>
      <u val="singleAccounting"/>
      <sz val="12"/>
      <name val="Arial"/>
      <family val="2"/>
    </font>
    <font>
      <b/>
      <sz val="12"/>
      <name val="Arial"/>
      <family val="2"/>
    </font>
    <font>
      <b/>
      <u/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0">
    <xf numFmtId="0" fontId="0" fillId="0" borderId="0" xfId="0"/>
    <xf numFmtId="0" fontId="0" fillId="0" borderId="3" xfId="0" applyBorder="1"/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/>
    <xf numFmtId="43" fontId="0" fillId="0" borderId="0" xfId="0" applyNumberFormat="1"/>
    <xf numFmtId="165" fontId="5" fillId="0" borderId="0" xfId="2" applyNumberFormat="1" applyFont="1" applyBorder="1" applyAlignment="1"/>
    <xf numFmtId="165" fontId="5" fillId="0" borderId="0" xfId="2" applyNumberFormat="1" applyFont="1" applyBorder="1" applyAlignment="1">
      <alignment vertical="center"/>
    </xf>
    <xf numFmtId="37" fontId="4" fillId="0" borderId="0" xfId="2" applyNumberFormat="1" applyFont="1" applyBorder="1" applyAlignment="1">
      <alignment vertical="center"/>
    </xf>
    <xf numFmtId="10" fontId="4" fillId="0" borderId="0" xfId="4" applyNumberFormat="1" applyFont="1" applyBorder="1"/>
    <xf numFmtId="0" fontId="4" fillId="0" borderId="0" xfId="0" applyFont="1"/>
    <xf numFmtId="164" fontId="4" fillId="0" borderId="0" xfId="0" applyNumberFormat="1" applyFont="1" applyAlignment="1">
      <alignment vertical="center"/>
    </xf>
    <xf numFmtId="9" fontId="4" fillId="0" borderId="0" xfId="0" applyNumberFormat="1" applyFont="1"/>
    <xf numFmtId="165" fontId="4" fillId="0" borderId="0" xfId="2" applyNumberFormat="1" applyFont="1" applyBorder="1"/>
    <xf numFmtId="165" fontId="7" fillId="0" borderId="0" xfId="2" applyNumberFormat="1" applyFont="1" applyBorder="1" applyAlignment="1">
      <alignment vertical="center"/>
    </xf>
    <xf numFmtId="37" fontId="4" fillId="0" borderId="0" xfId="0" applyNumberFormat="1" applyFont="1"/>
    <xf numFmtId="165" fontId="4" fillId="0" borderId="0" xfId="2" quotePrefix="1" applyNumberFormat="1" applyFont="1" applyBorder="1" applyAlignment="1">
      <alignment vertical="center"/>
    </xf>
    <xf numFmtId="42" fontId="4" fillId="0" borderId="0" xfId="0" applyNumberFormat="1" applyFont="1"/>
    <xf numFmtId="164" fontId="4" fillId="0" borderId="0" xfId="3" applyNumberFormat="1" applyFont="1" applyBorder="1" applyAlignment="1">
      <alignment vertical="center"/>
    </xf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6" fillId="0" borderId="0" xfId="0" applyNumberFormat="1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37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left" vertical="center"/>
    </xf>
    <xf numFmtId="0" fontId="0" fillId="0" borderId="5" xfId="0" applyBorder="1"/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/>
    <xf numFmtId="165" fontId="0" fillId="0" borderId="2" xfId="1" applyNumberFormat="1" applyFont="1" applyBorder="1"/>
    <xf numFmtId="165" fontId="0" fillId="0" borderId="3" xfId="1" applyNumberFormat="1" applyFont="1" applyBorder="1"/>
    <xf numFmtId="165" fontId="0" fillId="0" borderId="5" xfId="1" applyNumberFormat="1" applyFont="1" applyBorder="1"/>
    <xf numFmtId="165" fontId="0" fillId="0" borderId="0" xfId="1" applyNumberFormat="1" applyFont="1" applyBorder="1"/>
    <xf numFmtId="9" fontId="4" fillId="0" borderId="2" xfId="0" applyNumberFormat="1" applyFont="1" applyBorder="1"/>
    <xf numFmtId="37" fontId="4" fillId="0" borderId="2" xfId="2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37" fontId="4" fillId="0" borderId="2" xfId="0" applyNumberFormat="1" applyFont="1" applyBorder="1"/>
    <xf numFmtId="42" fontId="4" fillId="0" borderId="2" xfId="0" applyNumberFormat="1" applyFont="1" applyBorder="1"/>
    <xf numFmtId="10" fontId="4" fillId="0" borderId="5" xfId="4" applyNumberFormat="1" applyFont="1" applyBorder="1"/>
    <xf numFmtId="43" fontId="0" fillId="0" borderId="2" xfId="1" applyFont="1" applyBorder="1"/>
    <xf numFmtId="43" fontId="0" fillId="0" borderId="0" xfId="1" applyFont="1"/>
    <xf numFmtId="0" fontId="0" fillId="0" borderId="2" xfId="0" applyBorder="1" applyAlignment="1">
      <alignment horizontal="centerContinuous"/>
    </xf>
    <xf numFmtId="0" fontId="0" fillId="0" borderId="0" xfId="0" applyAlignment="1">
      <alignment horizontal="center"/>
    </xf>
    <xf numFmtId="43" fontId="0" fillId="0" borderId="2" xfId="0" applyNumberFormat="1" applyBorder="1"/>
    <xf numFmtId="165" fontId="0" fillId="0" borderId="0" xfId="0" applyNumberFormat="1"/>
    <xf numFmtId="37" fontId="8" fillId="0" borderId="0" xfId="0" applyNumberFormat="1" applyFont="1" applyAlignment="1">
      <alignment horizontal="left"/>
    </xf>
    <xf numFmtId="37" fontId="8" fillId="0" borderId="0" xfId="0" applyNumberFormat="1" applyFont="1"/>
    <xf numFmtId="10" fontId="0" fillId="0" borderId="0" xfId="0" applyNumberFormat="1"/>
    <xf numFmtId="0" fontId="1" fillId="0" borderId="0" xfId="0" applyFont="1" applyAlignment="1">
      <alignment horizontal="center"/>
    </xf>
    <xf numFmtId="0" fontId="0" fillId="0" borderId="1" xfId="0" applyBorder="1"/>
    <xf numFmtId="164" fontId="0" fillId="0" borderId="0" xfId="0" applyNumberFormat="1"/>
    <xf numFmtId="164" fontId="0" fillId="0" borderId="0" xfId="5" applyNumberFormat="1" applyFont="1"/>
    <xf numFmtId="164" fontId="0" fillId="0" borderId="0" xfId="5" applyNumberFormat="1" applyFont="1" applyBorder="1"/>
    <xf numFmtId="0" fontId="9" fillId="0" borderId="0" xfId="0" applyFont="1"/>
    <xf numFmtId="0" fontId="0" fillId="0" borderId="6" xfId="0" applyBorder="1"/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165" fontId="0" fillId="0" borderId="6" xfId="1" applyNumberFormat="1" applyFont="1" applyBorder="1"/>
    <xf numFmtId="165" fontId="0" fillId="0" borderId="6" xfId="0" applyNumberFormat="1" applyBorder="1"/>
    <xf numFmtId="3" fontId="0" fillId="0" borderId="6" xfId="0" applyNumberFormat="1" applyBorder="1"/>
    <xf numFmtId="44" fontId="0" fillId="0" borderId="6" xfId="5" applyFont="1" applyBorder="1"/>
    <xf numFmtId="43" fontId="0" fillId="0" borderId="6" xfId="1" applyFont="1" applyBorder="1"/>
    <xf numFmtId="164" fontId="0" fillId="0" borderId="6" xfId="5" applyNumberFormat="1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9" xfId="0" applyFont="1" applyBorder="1"/>
    <xf numFmtId="0" fontId="10" fillId="0" borderId="0" xfId="0" applyFont="1"/>
    <xf numFmtId="0" fontId="10" fillId="0" borderId="10" xfId="0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7" xfId="0" applyFont="1" applyBorder="1"/>
    <xf numFmtId="0" fontId="11" fillId="0" borderId="13" xfId="0" applyFont="1" applyBorder="1"/>
    <xf numFmtId="0" fontId="12" fillId="0" borderId="7" xfId="0" applyFont="1" applyBorder="1"/>
    <xf numFmtId="0" fontId="11" fillId="0" borderId="8" xfId="0" applyFont="1" applyBorder="1"/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9" xfId="0" applyFont="1" applyBorder="1"/>
    <xf numFmtId="0" fontId="11" fillId="0" borderId="0" xfId="0" applyFont="1"/>
    <xf numFmtId="0" fontId="11" fillId="0" borderId="10" xfId="0" applyFont="1" applyBorder="1"/>
    <xf numFmtId="0" fontId="11" fillId="0" borderId="15" xfId="0" applyFont="1" applyBorder="1"/>
    <xf numFmtId="0" fontId="12" fillId="0" borderId="9" xfId="0" applyFont="1" applyBorder="1"/>
    <xf numFmtId="0" fontId="12" fillId="0" borderId="0" xfId="0" applyFont="1"/>
    <xf numFmtId="165" fontId="11" fillId="0" borderId="0" xfId="1" applyNumberFormat="1" applyFont="1" applyBorder="1"/>
    <xf numFmtId="44" fontId="11" fillId="0" borderId="0" xfId="5" applyFont="1" applyBorder="1"/>
    <xf numFmtId="44" fontId="11" fillId="0" borderId="0" xfId="0" applyNumberFormat="1" applyFont="1" applyAlignment="1">
      <alignment horizontal="center"/>
    </xf>
    <xf numFmtId="10" fontId="11" fillId="0" borderId="15" xfId="6" applyNumberFormat="1" applyFont="1" applyBorder="1" applyAlignment="1">
      <alignment horizontal="center"/>
    </xf>
    <xf numFmtId="166" fontId="11" fillId="0" borderId="0" xfId="1" applyNumberFormat="1" applyFont="1" applyBorder="1"/>
    <xf numFmtId="167" fontId="11" fillId="0" borderId="0" xfId="0" applyNumberFormat="1" applyFont="1" applyAlignment="1">
      <alignment horizontal="center"/>
    </xf>
    <xf numFmtId="43" fontId="11" fillId="0" borderId="0" xfId="1" applyFont="1" applyBorder="1"/>
    <xf numFmtId="0" fontId="11" fillId="0" borderId="16" xfId="0" applyFont="1" applyBorder="1"/>
    <xf numFmtId="0" fontId="11" fillId="0" borderId="2" xfId="0" applyFont="1" applyBorder="1"/>
    <xf numFmtId="165" fontId="11" fillId="0" borderId="2" xfId="1" applyNumberFormat="1" applyFont="1" applyBorder="1"/>
    <xf numFmtId="43" fontId="11" fillId="0" borderId="2" xfId="1" applyFont="1" applyBorder="1"/>
    <xf numFmtId="0" fontId="11" fillId="0" borderId="17" xfId="0" applyFont="1" applyBorder="1"/>
    <xf numFmtId="0" fontId="11" fillId="0" borderId="18" xfId="0" applyFont="1" applyBorder="1"/>
    <xf numFmtId="0" fontId="0" fillId="0" borderId="13" xfId="0" applyBorder="1"/>
    <xf numFmtId="167" fontId="11" fillId="0" borderId="2" xfId="0" applyNumberFormat="1" applyFont="1" applyBorder="1" applyAlignment="1">
      <alignment horizontal="center"/>
    </xf>
    <xf numFmtId="10" fontId="11" fillId="0" borderId="18" xfId="6" applyNumberFormat="1" applyFont="1" applyBorder="1" applyAlignment="1">
      <alignment horizontal="center"/>
    </xf>
    <xf numFmtId="0" fontId="0" fillId="0" borderId="9" xfId="0" applyBorder="1"/>
    <xf numFmtId="0" fontId="0" fillId="0" borderId="16" xfId="0" applyBorder="1"/>
    <xf numFmtId="0" fontId="0" fillId="0" borderId="11" xfId="0" applyBorder="1"/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/>
    <xf numFmtId="0" fontId="14" fillId="0" borderId="6" xfId="0" applyFont="1" applyBorder="1"/>
    <xf numFmtId="165" fontId="14" fillId="0" borderId="6" xfId="1" applyNumberFormat="1" applyFont="1" applyBorder="1"/>
    <xf numFmtId="44" fontId="14" fillId="0" borderId="6" xfId="0" applyNumberFormat="1" applyFont="1" applyBorder="1"/>
    <xf numFmtId="10" fontId="14" fillId="0" borderId="6" xfId="6" applyNumberFormat="1" applyFont="1" applyBorder="1"/>
    <xf numFmtId="165" fontId="0" fillId="0" borderId="9" xfId="1" applyNumberFormat="1" applyFont="1" applyFill="1" applyBorder="1"/>
    <xf numFmtId="4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8" fillId="0" borderId="0" xfId="2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12" xfId="0" applyFont="1" applyBorder="1" applyAlignment="1">
      <alignment horizontal="center"/>
    </xf>
  </cellXfs>
  <cellStyles count="7">
    <cellStyle name="Comma" xfId="1" builtinId="3"/>
    <cellStyle name="Comma 2" xfId="2" xr:uid="{D91A62A2-0D8F-42CA-BC31-33FD31F5BC09}"/>
    <cellStyle name="Currency" xfId="5" builtinId="4"/>
    <cellStyle name="Currency 2" xfId="3" xr:uid="{FBB276B7-8547-460C-BD85-A47A53577F61}"/>
    <cellStyle name="Normal" xfId="0" builtinId="0"/>
    <cellStyle name="Percent" xfId="6" builtinId="5"/>
    <cellStyle name="Percent 2" xfId="4" xr:uid="{BEB0EE0C-95D0-4A80-B832-0CC43EFD9B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pfoster\Downloads\3_GCWA_Rate_Model%20(1).xlsx" TargetMode="External"/><Relationship Id="rId1" Type="http://schemas.openxmlformats.org/officeDocument/2006/relationships/externalLinkPath" Target="file:///C:\Users\dpfoster\Downloads\3_GCWA_Rate_Model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O"/>
      <sheetName val="Revenue Requirement - DSC"/>
      <sheetName val="Revenue Requirement - OR"/>
      <sheetName val="Sheet1"/>
      <sheetName val="A - BA Existing Rates"/>
      <sheetName val="Biling Adjustments"/>
      <sheetName val="B - BA PWA Rates CN 2024-00263"/>
      <sheetName val="C - BA PWA CN 2025-00326"/>
      <sheetName val="D &amp; E - Misclassified Rev"/>
      <sheetName val="F - Emp Sal &amp; Wages"/>
      <sheetName val="2026 Wmp Wage Rates"/>
      <sheetName val="G - Board of Directors"/>
      <sheetName val="H - Emp Medical"/>
      <sheetName val="Emp Mrd Premium 2026"/>
      <sheetName val="I - Emp Pension"/>
      <sheetName val="J - CN 2024-00263"/>
      <sheetName val="K - 2025-00326"/>
      <sheetName val="L - Excess Wate Loss"/>
      <sheetName val="Water Loss Surcharge"/>
      <sheetName val="M - Rate Case Exp Amt"/>
      <sheetName val="N &amp; O - Depreciation"/>
      <sheetName val="NARUC"/>
      <sheetName val="Debt Service"/>
      <sheetName val="KIA"/>
      <sheetName val="RD"/>
      <sheetName val="Rate Comparison"/>
      <sheetName val="BA Proposed Rates"/>
      <sheetName val="Table A"/>
      <sheetName val="Table A Detail"/>
      <sheetName val="Table B"/>
      <sheetName val="Table C"/>
      <sheetName val="Appendix A"/>
      <sheetName val="Table D"/>
      <sheetName val="34x58 Inch"/>
      <sheetName val="1-Inch Meter"/>
      <sheetName val="1 12-Inch Meter"/>
      <sheetName val="2-Inch Meter"/>
      <sheetName val="Customer Notice"/>
    </sheetNames>
    <sheetDataSet>
      <sheetData sheetId="0">
        <row r="31">
          <cell r="I31"/>
        </row>
        <row r="32">
          <cell r="I32">
            <v>3392</v>
          </cell>
        </row>
        <row r="48">
          <cell r="M48">
            <v>3112</v>
          </cell>
        </row>
        <row r="58">
          <cell r="M58"/>
        </row>
      </sheetData>
      <sheetData sheetId="1">
        <row r="4">
          <cell r="L4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08D5E-6358-4E22-B382-06D838B168CE}">
  <dimension ref="B1:X59"/>
  <sheetViews>
    <sheetView topLeftCell="A3" zoomScale="80" zoomScaleNormal="80" workbookViewId="0">
      <selection activeCell="AB13" sqref="AB13"/>
    </sheetView>
  </sheetViews>
  <sheetFormatPr defaultRowHeight="15" x14ac:dyDescent="0.2"/>
  <cols>
    <col min="2" max="3" width="2.33203125" customWidth="1"/>
    <col min="8" max="8" width="13.5546875" style="33" bestFit="1" customWidth="1"/>
    <col min="9" max="9" width="2.33203125" customWidth="1"/>
    <col min="10" max="10" width="10.5546875" bestFit="1" customWidth="1"/>
    <col min="11" max="11" width="2.33203125" customWidth="1"/>
    <col min="12" max="12" width="4.109375" bestFit="1" customWidth="1"/>
    <col min="13" max="13" width="2.33203125" customWidth="1"/>
    <col min="14" max="14" width="11" style="33" bestFit="1" customWidth="1"/>
    <col min="16" max="17" width="11" bestFit="1" customWidth="1"/>
  </cols>
  <sheetData>
    <row r="1" spans="2:17" ht="16.5" thickBot="1" x14ac:dyDescent="0.3">
      <c r="B1" s="115" t="s">
        <v>39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</row>
    <row r="2" spans="2:17" ht="15.75" x14ac:dyDescent="0.25">
      <c r="B2" s="116" t="s">
        <v>40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4" spans="2:17" x14ac:dyDescent="0.2">
      <c r="H4" s="32" t="s">
        <v>0</v>
      </c>
      <c r="J4" s="4" t="s">
        <v>1</v>
      </c>
      <c r="L4" s="4" t="s">
        <v>2</v>
      </c>
      <c r="N4" s="32" t="s">
        <v>3</v>
      </c>
    </row>
    <row r="5" spans="2:17" ht="15.75" x14ac:dyDescent="0.25">
      <c r="B5" s="3" t="s">
        <v>4</v>
      </c>
    </row>
    <row r="6" spans="2:17" ht="15.75" x14ac:dyDescent="0.25">
      <c r="B6" s="3"/>
      <c r="C6" t="s">
        <v>54</v>
      </c>
      <c r="H6" s="33">
        <v>70510</v>
      </c>
      <c r="N6" s="33">
        <f>H6+J6</f>
        <v>70510</v>
      </c>
    </row>
    <row r="7" spans="2:17" x14ac:dyDescent="0.2">
      <c r="C7" t="s">
        <v>45</v>
      </c>
      <c r="N7" s="33">
        <f t="shared" ref="N7:N13" si="0">H7+J7</f>
        <v>0</v>
      </c>
    </row>
    <row r="8" spans="2:17" x14ac:dyDescent="0.2">
      <c r="D8" t="s">
        <v>5</v>
      </c>
      <c r="H8" s="33">
        <v>270778</v>
      </c>
      <c r="N8" s="33">
        <f t="shared" si="0"/>
        <v>270778</v>
      </c>
      <c r="P8" s="49">
        <f>H8+H9</f>
        <v>415945</v>
      </c>
    </row>
    <row r="9" spans="2:17" x14ac:dyDescent="0.2">
      <c r="D9" t="s">
        <v>6</v>
      </c>
      <c r="H9" s="33">
        <v>145167</v>
      </c>
      <c r="J9" s="33">
        <f>BAE!G14</f>
        <v>-7200.1871000000392</v>
      </c>
      <c r="N9" s="33">
        <f>H9+J9</f>
        <v>137966.81289999996</v>
      </c>
    </row>
    <row r="10" spans="2:17" x14ac:dyDescent="0.2">
      <c r="D10" t="s">
        <v>41</v>
      </c>
      <c r="N10" s="33">
        <f t="shared" si="0"/>
        <v>0</v>
      </c>
    </row>
    <row r="11" spans="2:17" x14ac:dyDescent="0.2">
      <c r="D11" t="s">
        <v>7</v>
      </c>
      <c r="N11" s="33">
        <f t="shared" si="0"/>
        <v>0</v>
      </c>
    </row>
    <row r="12" spans="2:17" x14ac:dyDescent="0.2">
      <c r="D12" t="s">
        <v>42</v>
      </c>
      <c r="N12" s="33">
        <f t="shared" si="0"/>
        <v>0</v>
      </c>
    </row>
    <row r="13" spans="2:17" x14ac:dyDescent="0.2">
      <c r="D13" t="s">
        <v>43</v>
      </c>
      <c r="H13" s="34"/>
      <c r="J13" s="5"/>
      <c r="N13" s="34">
        <f t="shared" si="0"/>
        <v>0</v>
      </c>
    </row>
    <row r="14" spans="2:17" x14ac:dyDescent="0.2">
      <c r="C14" t="s">
        <v>44</v>
      </c>
      <c r="H14" s="34">
        <f>SUM(H6:H13)</f>
        <v>486455</v>
      </c>
      <c r="J14" s="5">
        <f>SUM(J8:J13)</f>
        <v>-7200.1871000000392</v>
      </c>
      <c r="N14" s="34">
        <f>SUM(N6:N13)</f>
        <v>479254.81289999996</v>
      </c>
      <c r="P14" s="6"/>
      <c r="Q14" s="6"/>
    </row>
    <row r="15" spans="2:17" x14ac:dyDescent="0.2">
      <c r="C15" t="s">
        <v>8</v>
      </c>
    </row>
    <row r="16" spans="2:17" x14ac:dyDescent="0.2">
      <c r="D16" t="s">
        <v>9</v>
      </c>
      <c r="N16" s="33">
        <f>H16+J16</f>
        <v>0</v>
      </c>
      <c r="P16" s="6"/>
    </row>
    <row r="17" spans="2:20" x14ac:dyDescent="0.2">
      <c r="D17" t="s">
        <v>8</v>
      </c>
      <c r="H17" s="34">
        <v>11544</v>
      </c>
      <c r="J17" s="5"/>
      <c r="N17" s="34">
        <f>H17+J17</f>
        <v>11544</v>
      </c>
    </row>
    <row r="18" spans="2:20" x14ac:dyDescent="0.2">
      <c r="C18" t="s">
        <v>10</v>
      </c>
      <c r="H18" s="34">
        <f>SUM(H16:H17)</f>
        <v>11544</v>
      </c>
      <c r="J18" s="5">
        <f t="shared" ref="J18:N18" si="1">SUM(J16:J17)</f>
        <v>0</v>
      </c>
      <c r="N18" s="34">
        <f t="shared" si="1"/>
        <v>11544</v>
      </c>
    </row>
    <row r="19" spans="2:20" ht="15.75" x14ac:dyDescent="0.25">
      <c r="B19" s="3" t="s">
        <v>11</v>
      </c>
      <c r="H19" s="34">
        <f>H14+H18</f>
        <v>497999</v>
      </c>
      <c r="J19" s="5">
        <f>J14+J18</f>
        <v>-7200.1871000000392</v>
      </c>
      <c r="N19" s="34">
        <f>N14+N18</f>
        <v>490798.81289999996</v>
      </c>
    </row>
    <row r="21" spans="2:20" ht="15.75" x14ac:dyDescent="0.25">
      <c r="B21" s="3" t="s">
        <v>12</v>
      </c>
    </row>
    <row r="22" spans="2:20" x14ac:dyDescent="0.2">
      <c r="C22" t="s">
        <v>31</v>
      </c>
    </row>
    <row r="23" spans="2:20" x14ac:dyDescent="0.2">
      <c r="D23" t="s">
        <v>13</v>
      </c>
      <c r="H23" s="33">
        <v>139184</v>
      </c>
      <c r="N23" s="33">
        <f>H23+J23</f>
        <v>139184</v>
      </c>
      <c r="R23">
        <v>84222.25</v>
      </c>
      <c r="S23">
        <v>54771.040000000001</v>
      </c>
      <c r="T23">
        <f>R23+S23</f>
        <v>138993.29</v>
      </c>
    </row>
    <row r="24" spans="2:20" x14ac:dyDescent="0.2">
      <c r="D24" t="s">
        <v>14</v>
      </c>
      <c r="H24" s="33">
        <v>17400</v>
      </c>
      <c r="J24" s="33">
        <v>6600</v>
      </c>
      <c r="N24" s="33">
        <f t="shared" ref="N24:N45" si="2">H24+J24</f>
        <v>24000</v>
      </c>
    </row>
    <row r="25" spans="2:20" x14ac:dyDescent="0.2">
      <c r="D25" t="s">
        <v>15</v>
      </c>
      <c r="H25" s="33">
        <v>6611</v>
      </c>
      <c r="N25" s="33">
        <f t="shared" si="2"/>
        <v>6611</v>
      </c>
    </row>
    <row r="26" spans="2:20" x14ac:dyDescent="0.2">
      <c r="D26" t="s">
        <v>16</v>
      </c>
      <c r="H26" s="33">
        <v>188325</v>
      </c>
      <c r="N26" s="33">
        <f t="shared" si="2"/>
        <v>188325</v>
      </c>
    </row>
    <row r="27" spans="2:20" x14ac:dyDescent="0.2">
      <c r="D27" t="s">
        <v>17</v>
      </c>
      <c r="H27" s="33">
        <v>6383</v>
      </c>
      <c r="N27" s="33">
        <f t="shared" si="2"/>
        <v>6383</v>
      </c>
    </row>
    <row r="28" spans="2:20" x14ac:dyDescent="0.2">
      <c r="D28" t="s">
        <v>46</v>
      </c>
      <c r="N28" s="33">
        <f t="shared" si="2"/>
        <v>0</v>
      </c>
      <c r="T28">
        <v>6000</v>
      </c>
    </row>
    <row r="29" spans="2:20" x14ac:dyDescent="0.2">
      <c r="D29" t="s">
        <v>47</v>
      </c>
      <c r="N29" s="33">
        <f t="shared" si="2"/>
        <v>0</v>
      </c>
    </row>
    <row r="30" spans="2:20" x14ac:dyDescent="0.2">
      <c r="D30" t="s">
        <v>18</v>
      </c>
      <c r="H30" s="33">
        <v>29375</v>
      </c>
      <c r="N30" s="33">
        <f t="shared" si="2"/>
        <v>29375</v>
      </c>
      <c r="T30">
        <f>T28*4</f>
        <v>24000</v>
      </c>
    </row>
    <row r="31" spans="2:20" x14ac:dyDescent="0.2">
      <c r="D31" t="s">
        <v>48</v>
      </c>
      <c r="N31" s="33">
        <f t="shared" si="2"/>
        <v>0</v>
      </c>
    </row>
    <row r="32" spans="2:20" x14ac:dyDescent="0.2">
      <c r="D32" t="s">
        <v>19</v>
      </c>
      <c r="H32" s="33">
        <v>35479</v>
      </c>
      <c r="N32" s="33">
        <f t="shared" si="2"/>
        <v>35479</v>
      </c>
      <c r="P32" s="49">
        <f>H32+H34</f>
        <v>51122</v>
      </c>
    </row>
    <row r="33" spans="3:24" x14ac:dyDescent="0.2">
      <c r="D33" t="s">
        <v>20</v>
      </c>
      <c r="N33" s="33">
        <f t="shared" si="2"/>
        <v>0</v>
      </c>
      <c r="T33" s="49">
        <f>T30-H24</f>
        <v>6600</v>
      </c>
      <c r="V33" s="52">
        <v>7.6499999999999999E-2</v>
      </c>
      <c r="X33" s="6">
        <f>T33*V33</f>
        <v>504.9</v>
      </c>
    </row>
    <row r="34" spans="3:24" x14ac:dyDescent="0.2">
      <c r="D34" t="s">
        <v>49</v>
      </c>
      <c r="H34" s="33">
        <v>15643</v>
      </c>
      <c r="N34" s="33">
        <f t="shared" si="2"/>
        <v>15643</v>
      </c>
    </row>
    <row r="35" spans="3:24" x14ac:dyDescent="0.2">
      <c r="D35" t="s">
        <v>50</v>
      </c>
      <c r="H35" s="33">
        <v>4224</v>
      </c>
      <c r="N35" s="33">
        <f t="shared" si="2"/>
        <v>4224</v>
      </c>
    </row>
    <row r="36" spans="3:24" x14ac:dyDescent="0.2">
      <c r="D36" t="s">
        <v>21</v>
      </c>
      <c r="N36" s="33">
        <f t="shared" si="2"/>
        <v>0</v>
      </c>
    </row>
    <row r="37" spans="3:24" x14ac:dyDescent="0.2">
      <c r="D37" t="s">
        <v>51</v>
      </c>
      <c r="N37" s="33">
        <f t="shared" si="2"/>
        <v>0</v>
      </c>
    </row>
    <row r="38" spans="3:24" x14ac:dyDescent="0.2">
      <c r="D38" t="s">
        <v>52</v>
      </c>
      <c r="N38" s="33">
        <f t="shared" si="2"/>
        <v>0</v>
      </c>
    </row>
    <row r="39" spans="3:24" x14ac:dyDescent="0.2">
      <c r="D39" t="s">
        <v>38</v>
      </c>
      <c r="H39" s="33">
        <v>11290</v>
      </c>
      <c r="N39" s="33">
        <f t="shared" si="2"/>
        <v>11290</v>
      </c>
    </row>
    <row r="40" spans="3:24" x14ac:dyDescent="0.2">
      <c r="D40" t="s">
        <v>53</v>
      </c>
      <c r="N40" s="33">
        <f t="shared" si="2"/>
        <v>0</v>
      </c>
    </row>
    <row r="41" spans="3:24" x14ac:dyDescent="0.2">
      <c r="D41" t="s">
        <v>22</v>
      </c>
      <c r="H41" s="33">
        <v>29750</v>
      </c>
      <c r="N41" s="33">
        <f t="shared" si="2"/>
        <v>29750</v>
      </c>
      <c r="P41" s="49">
        <f>H41+H42</f>
        <v>31428</v>
      </c>
    </row>
    <row r="42" spans="3:24" x14ac:dyDescent="0.2">
      <c r="D42" t="s">
        <v>32</v>
      </c>
      <c r="H42" s="33">
        <v>1678</v>
      </c>
      <c r="N42" s="33">
        <f t="shared" si="2"/>
        <v>1678</v>
      </c>
    </row>
    <row r="43" spans="3:24" x14ac:dyDescent="0.2">
      <c r="D43" t="s">
        <v>23</v>
      </c>
      <c r="N43" s="33">
        <f t="shared" si="2"/>
        <v>0</v>
      </c>
    </row>
    <row r="44" spans="3:24" x14ac:dyDescent="0.2">
      <c r="D44" t="s">
        <v>24</v>
      </c>
      <c r="N44" s="33">
        <f t="shared" si="2"/>
        <v>0</v>
      </c>
    </row>
    <row r="45" spans="3:24" x14ac:dyDescent="0.2">
      <c r="D45" t="s">
        <v>25</v>
      </c>
      <c r="H45" s="34"/>
      <c r="J45" s="5"/>
      <c r="N45" s="34">
        <f t="shared" si="2"/>
        <v>0</v>
      </c>
    </row>
    <row r="46" spans="3:24" x14ac:dyDescent="0.2">
      <c r="C46" t="s">
        <v>26</v>
      </c>
      <c r="H46" s="33">
        <f>SUM(H23:H45)</f>
        <v>485342</v>
      </c>
      <c r="J46" s="33">
        <f>SUM(J23:J45)</f>
        <v>6600</v>
      </c>
      <c r="N46" s="33">
        <f>SUM(N23:N45)</f>
        <v>491942</v>
      </c>
    </row>
    <row r="47" spans="3:24" x14ac:dyDescent="0.2">
      <c r="C47" t="s">
        <v>27</v>
      </c>
      <c r="H47" s="33">
        <v>82896</v>
      </c>
      <c r="J47" s="49">
        <f>Dep!N12</f>
        <v>-29468.862499999999</v>
      </c>
      <c r="N47" s="33">
        <f>H47+J47</f>
        <v>53427.137499999997</v>
      </c>
    </row>
    <row r="48" spans="3:24" x14ac:dyDescent="0.2">
      <c r="C48" t="s">
        <v>28</v>
      </c>
      <c r="H48" s="34">
        <v>12517</v>
      </c>
      <c r="J48" s="34">
        <v>504.9</v>
      </c>
      <c r="N48" s="33">
        <f>H48+J48</f>
        <v>13021.9</v>
      </c>
    </row>
    <row r="49" spans="2:16" ht="15.75" x14ac:dyDescent="0.25">
      <c r="B49" s="2" t="s">
        <v>29</v>
      </c>
      <c r="H49" s="35">
        <f>SUM(H46:H48)</f>
        <v>580755</v>
      </c>
      <c r="J49" s="35">
        <f>SUM(J46:J48)</f>
        <v>-22363.962499999998</v>
      </c>
      <c r="N49" s="35">
        <f>SUM(N46:N48)</f>
        <v>558391.03749999998</v>
      </c>
    </row>
    <row r="50" spans="2:16" ht="15.75" x14ac:dyDescent="0.25">
      <c r="B50" s="2" t="s">
        <v>30</v>
      </c>
      <c r="H50" s="37">
        <f>H19-H49</f>
        <v>-82756</v>
      </c>
      <c r="J50" s="33">
        <f>J19-J49</f>
        <v>15163.775399999959</v>
      </c>
      <c r="N50" s="33">
        <f>N19-N49</f>
        <v>-67592.224600000016</v>
      </c>
    </row>
    <row r="51" spans="2:16" x14ac:dyDescent="0.2">
      <c r="C51" t="s">
        <v>70</v>
      </c>
      <c r="H51" s="34"/>
      <c r="J51" s="5"/>
      <c r="N51" s="34"/>
    </row>
    <row r="52" spans="2:16" x14ac:dyDescent="0.2">
      <c r="B52" t="s">
        <v>71</v>
      </c>
      <c r="H52" s="33">
        <f>SUM(H50:H51)</f>
        <v>-82756</v>
      </c>
      <c r="N52" s="33">
        <f>SUM(N50:N51)</f>
        <v>-67592.224600000016</v>
      </c>
    </row>
    <row r="53" spans="2:16" x14ac:dyDescent="0.2">
      <c r="B53" t="s">
        <v>72</v>
      </c>
    </row>
    <row r="54" spans="2:16" x14ac:dyDescent="0.2">
      <c r="C54" t="s">
        <v>35</v>
      </c>
      <c r="H54" s="33">
        <v>11986</v>
      </c>
      <c r="N54" s="33">
        <f>H54+J54</f>
        <v>11986</v>
      </c>
    </row>
    <row r="55" spans="2:16" x14ac:dyDescent="0.2">
      <c r="C55" t="s">
        <v>73</v>
      </c>
      <c r="H55" s="33">
        <v>2694</v>
      </c>
      <c r="N55" s="33">
        <f t="shared" ref="N55:N57" si="3">H55+J55</f>
        <v>2694</v>
      </c>
      <c r="P55" s="6">
        <f>H54+H55</f>
        <v>14680</v>
      </c>
    </row>
    <row r="56" spans="2:16" x14ac:dyDescent="0.2">
      <c r="C56" t="s">
        <v>61</v>
      </c>
      <c r="N56" s="33">
        <f t="shared" si="3"/>
        <v>0</v>
      </c>
    </row>
    <row r="57" spans="2:16" x14ac:dyDescent="0.2">
      <c r="C57" t="s">
        <v>74</v>
      </c>
      <c r="H57" s="34"/>
      <c r="J57" s="5"/>
      <c r="N57" s="33">
        <f t="shared" si="3"/>
        <v>0</v>
      </c>
    </row>
    <row r="58" spans="2:16" ht="15.75" thickBot="1" x14ac:dyDescent="0.25">
      <c r="B58" t="s">
        <v>75</v>
      </c>
      <c r="H58" s="36">
        <f>SUM(H52:H57)</f>
        <v>-68076</v>
      </c>
      <c r="J58" s="31"/>
      <c r="N58" s="36">
        <f>SUM(N52:N57)</f>
        <v>-52912.224600000016</v>
      </c>
    </row>
    <row r="59" spans="2:16" ht="15.75" thickTop="1" x14ac:dyDescent="0.2"/>
  </sheetData>
  <mergeCells count="2">
    <mergeCell ref="B1:N1"/>
    <mergeCell ref="B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6EC26-76A1-430D-B00D-78F7CBB28561}">
  <dimension ref="B2:M25"/>
  <sheetViews>
    <sheetView tabSelected="1" zoomScale="80" zoomScaleNormal="80" workbookViewId="0">
      <selection activeCell="O28" sqref="O28"/>
    </sheetView>
  </sheetViews>
  <sheetFormatPr defaultRowHeight="15" x14ac:dyDescent="0.2"/>
  <cols>
    <col min="3" max="3" width="5.6640625" customWidth="1"/>
    <col min="4" max="4" width="3.44140625" customWidth="1"/>
    <col min="12" max="12" width="11" bestFit="1" customWidth="1"/>
  </cols>
  <sheetData>
    <row r="2" spans="2:13" ht="15.75" x14ac:dyDescent="0.25">
      <c r="B2" s="11"/>
      <c r="C2" s="51" t="s">
        <v>33</v>
      </c>
      <c r="D2" s="16"/>
      <c r="E2" s="22"/>
      <c r="F2" s="23"/>
      <c r="G2" s="24"/>
      <c r="H2" s="22"/>
      <c r="I2" s="22"/>
      <c r="J2" s="25"/>
      <c r="K2" s="25"/>
      <c r="L2" s="12">
        <f>SAO!N49</f>
        <v>558391.03749999998</v>
      </c>
      <c r="M2" s="12"/>
    </row>
    <row r="3" spans="2:13" ht="15.75" x14ac:dyDescent="0.25">
      <c r="B3" s="11"/>
      <c r="C3" s="16" t="s">
        <v>55</v>
      </c>
      <c r="D3" s="26"/>
      <c r="E3" s="16" t="s">
        <v>56</v>
      </c>
      <c r="F3" s="13"/>
      <c r="G3" s="24"/>
      <c r="H3" s="22"/>
      <c r="I3" s="22"/>
      <c r="J3" s="27"/>
      <c r="K3" s="27"/>
      <c r="L3" s="38">
        <v>0.88</v>
      </c>
      <c r="M3" s="14"/>
    </row>
    <row r="4" spans="2:13" ht="17.25" x14ac:dyDescent="0.25">
      <c r="B4" s="11"/>
      <c r="C4" s="28" t="s">
        <v>57</v>
      </c>
      <c r="D4" s="28"/>
      <c r="E4" s="22"/>
      <c r="F4" s="16"/>
      <c r="G4" s="24"/>
      <c r="H4" s="22"/>
      <c r="I4" s="22"/>
      <c r="J4" s="27"/>
      <c r="K4" s="27"/>
      <c r="L4" s="16">
        <f>ROUND(L2/L3,0)</f>
        <v>634535</v>
      </c>
      <c r="M4" s="15"/>
    </row>
    <row r="5" spans="2:13" ht="15.75" x14ac:dyDescent="0.25">
      <c r="B5" s="11"/>
      <c r="C5" s="28" t="s">
        <v>58</v>
      </c>
      <c r="D5" s="28"/>
      <c r="E5" s="28"/>
      <c r="F5" s="16"/>
      <c r="G5" s="24"/>
      <c r="H5" s="22"/>
      <c r="I5" s="22"/>
      <c r="J5" s="25"/>
      <c r="K5" s="25"/>
      <c r="L5" s="41">
        <v>0</v>
      </c>
      <c r="M5" s="12"/>
    </row>
    <row r="6" spans="2:13" ht="15.75" x14ac:dyDescent="0.25">
      <c r="B6" s="11"/>
      <c r="C6" s="50" t="s">
        <v>34</v>
      </c>
      <c r="D6" s="28"/>
      <c r="E6" s="22"/>
      <c r="F6" s="16"/>
      <c r="G6" s="24"/>
      <c r="H6" s="22"/>
      <c r="I6" s="22"/>
      <c r="J6" s="25"/>
      <c r="K6" s="25"/>
      <c r="L6" s="16">
        <f>SUM(L4:L5)</f>
        <v>634535</v>
      </c>
      <c r="M6" s="17"/>
    </row>
    <row r="7" spans="2:13" ht="15.75" x14ac:dyDescent="0.25">
      <c r="B7" s="11"/>
      <c r="C7" s="16" t="s">
        <v>59</v>
      </c>
      <c r="D7" s="24"/>
      <c r="E7" s="29" t="s">
        <v>60</v>
      </c>
      <c r="F7" s="16"/>
      <c r="G7" s="7"/>
      <c r="H7" s="8"/>
      <c r="I7" s="8"/>
      <c r="J7" s="25"/>
      <c r="K7" s="25"/>
      <c r="L7" s="9">
        <f>-SAO!N17</f>
        <v>-11544</v>
      </c>
      <c r="M7" s="17"/>
    </row>
    <row r="8" spans="2:13" ht="15.75" x14ac:dyDescent="0.25">
      <c r="B8" s="11"/>
      <c r="C8" s="16"/>
      <c r="D8" s="24"/>
      <c r="E8" s="29" t="s">
        <v>35</v>
      </c>
      <c r="F8" s="16"/>
      <c r="G8" s="24"/>
      <c r="H8" s="22"/>
      <c r="I8" s="22"/>
      <c r="J8" s="25"/>
      <c r="K8" s="25"/>
      <c r="L8" s="9">
        <f>-[1]SAO!M58</f>
        <v>0</v>
      </c>
      <c r="M8" s="17"/>
    </row>
    <row r="9" spans="2:13" ht="15.75" x14ac:dyDescent="0.25">
      <c r="B9" s="11"/>
      <c r="C9" s="16"/>
      <c r="D9" s="24"/>
      <c r="E9" s="30" t="s">
        <v>61</v>
      </c>
      <c r="F9" s="16"/>
      <c r="G9" s="24"/>
      <c r="H9" s="22"/>
      <c r="I9" s="22"/>
      <c r="J9" s="25"/>
      <c r="K9" s="25"/>
      <c r="L9" s="39"/>
      <c r="M9" s="17"/>
    </row>
    <row r="10" spans="2:13" ht="15.75" x14ac:dyDescent="0.25">
      <c r="B10" s="11"/>
      <c r="C10" s="16" t="s">
        <v>36</v>
      </c>
      <c r="D10" s="16"/>
      <c r="E10" s="26"/>
      <c r="F10" s="16"/>
      <c r="G10" s="24"/>
      <c r="H10" s="22"/>
      <c r="I10" s="22"/>
      <c r="J10" s="25"/>
      <c r="K10" s="25"/>
      <c r="L10" s="16">
        <f>SUM(L6:L9)</f>
        <v>622991</v>
      </c>
      <c r="M10" s="17"/>
    </row>
    <row r="11" spans="2:13" ht="17.25" x14ac:dyDescent="0.25">
      <c r="B11" s="11"/>
      <c r="C11" s="16" t="s">
        <v>59</v>
      </c>
      <c r="D11" s="16" t="s">
        <v>62</v>
      </c>
      <c r="E11" s="22"/>
      <c r="F11" s="16"/>
      <c r="G11" s="24"/>
      <c r="H11" s="22"/>
      <c r="I11" s="22"/>
      <c r="J11" s="25"/>
      <c r="K11" s="25"/>
      <c r="L11" s="41">
        <f>-SAO!N14</f>
        <v>-479254.81289999996</v>
      </c>
      <c r="M11" s="15"/>
    </row>
    <row r="12" spans="2:13" ht="17.25" x14ac:dyDescent="0.25">
      <c r="B12" s="11"/>
      <c r="C12" s="16"/>
      <c r="D12" s="16"/>
      <c r="E12" s="22"/>
      <c r="F12" s="16"/>
      <c r="G12" s="24"/>
      <c r="H12" s="22"/>
      <c r="I12" s="22"/>
      <c r="J12" s="25"/>
      <c r="K12" s="25"/>
      <c r="L12" s="16"/>
      <c r="M12" s="15"/>
    </row>
    <row r="13" spans="2:13" ht="15.75" x14ac:dyDescent="0.25">
      <c r="B13" s="11"/>
      <c r="C13" s="16" t="s">
        <v>37</v>
      </c>
      <c r="D13" s="16"/>
      <c r="E13" s="22"/>
      <c r="F13" s="18"/>
      <c r="G13" s="24"/>
      <c r="H13" s="22"/>
      <c r="I13" s="22"/>
      <c r="J13" s="25"/>
      <c r="K13" s="25"/>
      <c r="L13" s="42">
        <f>SUM(L10:L11)</f>
        <v>143736.18710000004</v>
      </c>
      <c r="M13" s="19"/>
    </row>
    <row r="14" spans="2:13" ht="18" thickBot="1" x14ac:dyDescent="0.3">
      <c r="B14" s="11"/>
      <c r="C14" s="16" t="s">
        <v>63</v>
      </c>
      <c r="D14" s="16"/>
      <c r="E14" s="22"/>
      <c r="F14" s="10"/>
      <c r="G14" s="24"/>
      <c r="H14" s="22"/>
      <c r="I14" s="22"/>
      <c r="J14" s="25"/>
      <c r="K14" s="25"/>
      <c r="L14" s="43">
        <f>ROUND(L13/(-L11),4)</f>
        <v>0.2999</v>
      </c>
      <c r="M14" s="15"/>
    </row>
    <row r="15" spans="2:13" ht="15.75" thickTop="1" x14ac:dyDescent="0.2">
      <c r="B15" s="11"/>
      <c r="C15" s="20"/>
      <c r="D15" s="20"/>
      <c r="E15" s="20"/>
      <c r="F15" s="20"/>
      <c r="G15" s="20"/>
      <c r="H15" s="20"/>
      <c r="I15" s="20"/>
      <c r="J15" s="21"/>
      <c r="K15" s="21"/>
      <c r="L15" s="20"/>
      <c r="M15" s="20"/>
    </row>
    <row r="16" spans="2:13" x14ac:dyDescent="0.2">
      <c r="B16" s="11"/>
      <c r="C16" s="20"/>
      <c r="D16" s="20"/>
      <c r="E16" s="20"/>
      <c r="F16" s="20"/>
      <c r="G16" s="20"/>
      <c r="H16" s="20"/>
      <c r="I16" s="20"/>
      <c r="J16" s="21"/>
      <c r="K16" s="21"/>
      <c r="L16" s="20"/>
      <c r="M16" s="20"/>
    </row>
    <row r="17" spans="2:13" ht="15.75" x14ac:dyDescent="0.2">
      <c r="B17" s="11"/>
      <c r="C17" s="117" t="s">
        <v>69</v>
      </c>
      <c r="D17" s="117"/>
      <c r="E17" s="117"/>
      <c r="F17" s="117"/>
      <c r="G17" s="117"/>
      <c r="H17" s="117"/>
      <c r="I17" s="117"/>
      <c r="J17" s="117"/>
      <c r="K17" s="117"/>
      <c r="L17" s="117"/>
      <c r="M17" s="20"/>
    </row>
    <row r="18" spans="2:13" x14ac:dyDescent="0.2">
      <c r="B18" s="11"/>
      <c r="C18" s="28" t="s">
        <v>34</v>
      </c>
      <c r="D18" s="20"/>
      <c r="E18" s="20"/>
      <c r="F18" s="20"/>
      <c r="G18" s="20"/>
      <c r="H18" s="20"/>
      <c r="I18" s="20"/>
      <c r="J18" s="21"/>
      <c r="K18" s="21"/>
      <c r="L18" s="18">
        <f>L6</f>
        <v>634535</v>
      </c>
      <c r="M18" s="20"/>
    </row>
    <row r="19" spans="2:13" x14ac:dyDescent="0.2">
      <c r="B19" s="11"/>
      <c r="C19" s="20" t="s">
        <v>59</v>
      </c>
      <c r="D19" s="20"/>
      <c r="E19" s="20" t="s">
        <v>33</v>
      </c>
      <c r="F19" s="20"/>
      <c r="G19" s="20"/>
      <c r="H19" s="20"/>
      <c r="I19" s="20"/>
      <c r="J19" s="21"/>
      <c r="K19" s="21"/>
      <c r="L19" s="16">
        <f>-L2</f>
        <v>-558391.03749999998</v>
      </c>
      <c r="M19" s="20"/>
    </row>
    <row r="20" spans="2:13" x14ac:dyDescent="0.2">
      <c r="B20" s="11"/>
      <c r="C20" s="20"/>
      <c r="D20" s="20"/>
      <c r="E20" s="20" t="s">
        <v>64</v>
      </c>
      <c r="F20" s="20"/>
      <c r="G20" s="20"/>
      <c r="H20" s="20"/>
      <c r="I20" s="20"/>
      <c r="J20" s="21"/>
      <c r="K20" s="21"/>
      <c r="L20" s="16">
        <f>[1]SAO!I31+[1]SAO!I32</f>
        <v>3392</v>
      </c>
      <c r="M20" s="20"/>
    </row>
    <row r="21" spans="2:13" x14ac:dyDescent="0.2">
      <c r="B21" s="11"/>
      <c r="C21" s="20"/>
      <c r="D21" s="20"/>
      <c r="E21" s="20" t="s">
        <v>65</v>
      </c>
      <c r="F21" s="20"/>
      <c r="G21" s="20"/>
      <c r="H21" s="20"/>
      <c r="I21" s="20"/>
      <c r="J21" s="21"/>
      <c r="K21" s="21"/>
      <c r="L21" s="16">
        <f>-'[1]Revenue Requirement - DSC'!L4</f>
        <v>0</v>
      </c>
      <c r="M21" s="20"/>
    </row>
    <row r="22" spans="2:13" x14ac:dyDescent="0.2">
      <c r="B22" s="11"/>
      <c r="C22" s="20" t="s">
        <v>57</v>
      </c>
      <c r="D22" s="20"/>
      <c r="E22" s="20"/>
      <c r="F22" s="20"/>
      <c r="G22" s="20"/>
      <c r="H22" s="20"/>
      <c r="I22" s="20"/>
      <c r="J22" s="21"/>
      <c r="K22" s="21"/>
      <c r="L22" s="16">
        <f>SUM(L18:L21)</f>
        <v>79535.962500000023</v>
      </c>
      <c r="M22" s="20"/>
    </row>
    <row r="23" spans="2:13" x14ac:dyDescent="0.2">
      <c r="B23" s="11"/>
      <c r="C23" s="20" t="s">
        <v>66</v>
      </c>
      <c r="D23" s="20"/>
      <c r="E23" s="20" t="s">
        <v>67</v>
      </c>
      <c r="F23" s="20"/>
      <c r="G23" s="20"/>
      <c r="H23" s="20"/>
      <c r="I23" s="20"/>
      <c r="J23" s="21"/>
      <c r="K23" s="21"/>
      <c r="L23" s="16">
        <f>[1]SAO!M48</f>
        <v>3112</v>
      </c>
      <c r="M23" s="20"/>
    </row>
    <row r="24" spans="2:13" x14ac:dyDescent="0.2">
      <c r="B24" s="11"/>
      <c r="C24" s="20" t="s">
        <v>68</v>
      </c>
      <c r="D24" s="20"/>
      <c r="E24" s="20"/>
      <c r="F24" s="20"/>
      <c r="G24" s="20"/>
      <c r="H24" s="20"/>
      <c r="I24" s="20"/>
      <c r="J24" s="21"/>
      <c r="K24" s="21"/>
      <c r="L24" s="12">
        <f>SUM(L22:L23)</f>
        <v>82647.962500000023</v>
      </c>
      <c r="M24" s="20"/>
    </row>
    <row r="25" spans="2:13" x14ac:dyDescent="0.2">
      <c r="B25" s="11"/>
      <c r="C25" s="20"/>
      <c r="D25" s="20"/>
      <c r="E25" s="20"/>
      <c r="F25" s="20"/>
      <c r="G25" s="20"/>
      <c r="H25" s="20"/>
      <c r="I25" s="20"/>
      <c r="J25" s="21"/>
      <c r="K25" s="21"/>
      <c r="L25" s="20"/>
      <c r="M25" s="20"/>
    </row>
  </sheetData>
  <mergeCells count="1">
    <mergeCell ref="C17:L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577B-B1EF-4C84-890C-F5E889DEBA5E}">
  <dimension ref="A1:N12"/>
  <sheetViews>
    <sheetView zoomScale="80" zoomScaleNormal="80" workbookViewId="0">
      <selection activeCell="N26" sqref="N26"/>
    </sheetView>
  </sheetViews>
  <sheetFormatPr defaultRowHeight="15" x14ac:dyDescent="0.2"/>
  <cols>
    <col min="1" max="1" width="14.109375" bestFit="1" customWidth="1"/>
    <col min="2" max="2" width="2.33203125" customWidth="1"/>
    <col min="3" max="3" width="16.77734375" bestFit="1" customWidth="1"/>
    <col min="4" max="4" width="2.33203125" customWidth="1"/>
    <col min="5" max="5" width="3.88671875" bestFit="1" customWidth="1"/>
    <col min="6" max="6" width="2.33203125" customWidth="1"/>
    <col min="7" max="7" width="11" style="45" bestFit="1" customWidth="1"/>
    <col min="8" max="8" width="2.33203125" customWidth="1"/>
    <col min="9" max="9" width="17.6640625" style="45" bestFit="1" customWidth="1"/>
    <col min="10" max="10" width="2.33203125" customWidth="1"/>
    <col min="12" max="12" width="12.33203125" bestFit="1" customWidth="1"/>
    <col min="13" max="13" width="2.33203125" customWidth="1"/>
    <col min="14" max="14" width="12.33203125" bestFit="1" customWidth="1"/>
  </cols>
  <sheetData>
    <row r="1" spans="1:14" x14ac:dyDescent="0.2">
      <c r="K1" s="46" t="s">
        <v>3</v>
      </c>
      <c r="L1" s="46"/>
      <c r="N1" s="47" t="s">
        <v>84</v>
      </c>
    </row>
    <row r="2" spans="1:14" x14ac:dyDescent="0.2">
      <c r="A2" s="5" t="s">
        <v>76</v>
      </c>
      <c r="C2" s="5" t="s">
        <v>77</v>
      </c>
      <c r="E2" s="5" t="s">
        <v>78</v>
      </c>
      <c r="G2" s="44" t="s">
        <v>79</v>
      </c>
      <c r="I2" s="44" t="s">
        <v>80</v>
      </c>
      <c r="K2" s="1" t="s">
        <v>78</v>
      </c>
      <c r="L2" s="1" t="s">
        <v>84</v>
      </c>
      <c r="N2" s="4" t="s">
        <v>1</v>
      </c>
    </row>
    <row r="4" spans="1:14" x14ac:dyDescent="0.2">
      <c r="A4">
        <v>25</v>
      </c>
      <c r="C4" t="s">
        <v>81</v>
      </c>
      <c r="E4">
        <v>20</v>
      </c>
      <c r="G4" s="45">
        <v>195734.75</v>
      </c>
      <c r="I4" s="45">
        <f t="shared" ref="I4:I10" si="0">G4/E4</f>
        <v>9786.7374999999993</v>
      </c>
      <c r="K4">
        <v>62.5</v>
      </c>
      <c r="L4" s="6">
        <f>G4/K4</f>
        <v>3131.7559999999999</v>
      </c>
      <c r="N4" s="6">
        <f>L4-I4</f>
        <v>-6654.9814999999999</v>
      </c>
    </row>
    <row r="5" spans="1:14" x14ac:dyDescent="0.2">
      <c r="A5">
        <v>28</v>
      </c>
      <c r="C5" t="s">
        <v>81</v>
      </c>
      <c r="E5">
        <v>20</v>
      </c>
      <c r="G5" s="45">
        <v>224493.39</v>
      </c>
      <c r="I5" s="45">
        <f t="shared" si="0"/>
        <v>11224.6695</v>
      </c>
      <c r="K5">
        <v>62.5</v>
      </c>
      <c r="L5" s="6">
        <f>G5/K5</f>
        <v>3591.8942400000001</v>
      </c>
      <c r="N5" s="6">
        <f t="shared" ref="N5:N10" si="1">L5-I5</f>
        <v>-7632.7752600000003</v>
      </c>
    </row>
    <row r="6" spans="1:14" x14ac:dyDescent="0.2">
      <c r="A6">
        <v>29</v>
      </c>
      <c r="C6" t="s">
        <v>81</v>
      </c>
      <c r="E6">
        <v>20</v>
      </c>
      <c r="G6" s="45">
        <v>271573.18</v>
      </c>
      <c r="I6" s="45">
        <f t="shared" si="0"/>
        <v>13578.659</v>
      </c>
      <c r="K6">
        <v>62.5</v>
      </c>
      <c r="L6" s="6">
        <f>G6/K6</f>
        <v>4345.1708799999997</v>
      </c>
      <c r="N6" s="6">
        <f t="shared" si="1"/>
        <v>-9233.48812</v>
      </c>
    </row>
    <row r="7" spans="1:14" x14ac:dyDescent="0.2">
      <c r="A7">
        <v>31</v>
      </c>
      <c r="C7" t="s">
        <v>82</v>
      </c>
      <c r="E7">
        <v>20</v>
      </c>
      <c r="G7" s="45">
        <v>34673.35</v>
      </c>
      <c r="I7" s="45">
        <f t="shared" si="0"/>
        <v>1733.6675</v>
      </c>
      <c r="K7">
        <v>62.5</v>
      </c>
      <c r="L7" s="6">
        <f t="shared" ref="L7:L10" si="2">G7/K7</f>
        <v>554.77359999999999</v>
      </c>
      <c r="N7" s="6">
        <f t="shared" si="1"/>
        <v>-1178.8939</v>
      </c>
    </row>
    <row r="8" spans="1:14" x14ac:dyDescent="0.2">
      <c r="A8">
        <v>32</v>
      </c>
      <c r="C8" t="s">
        <v>82</v>
      </c>
      <c r="E8">
        <v>20</v>
      </c>
      <c r="G8" s="45">
        <v>40840</v>
      </c>
      <c r="I8" s="45">
        <f t="shared" si="0"/>
        <v>2042</v>
      </c>
      <c r="K8">
        <v>62.5</v>
      </c>
      <c r="L8" s="6">
        <f t="shared" si="2"/>
        <v>653.44000000000005</v>
      </c>
      <c r="N8" s="6">
        <f t="shared" si="1"/>
        <v>-1388.56</v>
      </c>
    </row>
    <row r="9" spans="1:14" x14ac:dyDescent="0.2">
      <c r="A9">
        <v>33</v>
      </c>
      <c r="C9" t="s">
        <v>83</v>
      </c>
      <c r="E9">
        <v>20</v>
      </c>
      <c r="G9" s="45">
        <v>90716.58</v>
      </c>
      <c r="I9" s="45">
        <f t="shared" si="0"/>
        <v>4535.8289999999997</v>
      </c>
      <c r="K9">
        <v>62.5</v>
      </c>
      <c r="L9" s="6">
        <f t="shared" si="2"/>
        <v>1451.4652800000001</v>
      </c>
      <c r="N9" s="6">
        <f t="shared" si="1"/>
        <v>-3084.3637199999994</v>
      </c>
    </row>
    <row r="10" spans="1:14" x14ac:dyDescent="0.2">
      <c r="A10">
        <v>34</v>
      </c>
      <c r="C10" t="s">
        <v>81</v>
      </c>
      <c r="E10">
        <v>20</v>
      </c>
      <c r="G10" s="45">
        <v>8700</v>
      </c>
      <c r="I10" s="45">
        <f t="shared" si="0"/>
        <v>435</v>
      </c>
      <c r="K10">
        <v>62.5</v>
      </c>
      <c r="L10" s="6">
        <f t="shared" si="2"/>
        <v>139.19999999999999</v>
      </c>
      <c r="N10" s="48">
        <f t="shared" si="1"/>
        <v>-295.8</v>
      </c>
    </row>
    <row r="12" spans="1:14" x14ac:dyDescent="0.2">
      <c r="L12" t="s">
        <v>85</v>
      </c>
      <c r="N12" s="6">
        <f>SUM(N4:N11)</f>
        <v>-29468.862499999999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5B5CD-1140-4CC1-82CB-1503F38B1832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2E14B-2EFC-444B-949A-0386648A896C}">
  <dimension ref="A1"/>
  <sheetViews>
    <sheetView workbookViewId="0">
      <selection activeCell="K23" sqref="K23"/>
    </sheetView>
  </sheetViews>
  <sheetFormatPr defaultRowHeight="1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D8E18-236F-4A72-9619-8D29630865CF}">
  <sheetPr>
    <pageSetUpPr fitToPage="1"/>
  </sheetPr>
  <dimension ref="A1:M38"/>
  <sheetViews>
    <sheetView showGridLines="0" zoomScale="80" zoomScaleNormal="80" workbookViewId="0">
      <selection activeCell="J39" sqref="J39"/>
    </sheetView>
  </sheetViews>
  <sheetFormatPr defaultRowHeight="15" x14ac:dyDescent="0.2"/>
  <cols>
    <col min="4" max="4" width="26.44140625" customWidth="1"/>
    <col min="5" max="5" width="11" bestFit="1" customWidth="1"/>
    <col min="6" max="6" width="12" bestFit="1" customWidth="1"/>
    <col min="7" max="7" width="11" bestFit="1" customWidth="1"/>
    <col min="8" max="8" width="10" bestFit="1" customWidth="1"/>
    <col min="9" max="9" width="11" bestFit="1" customWidth="1"/>
    <col min="10" max="10" width="12" bestFit="1" customWidth="1"/>
    <col min="12" max="13" width="12" bestFit="1" customWidth="1"/>
  </cols>
  <sheetData>
    <row r="1" spans="1:13" ht="15.75" x14ac:dyDescent="0.25">
      <c r="A1" s="2" t="s">
        <v>103</v>
      </c>
    </row>
    <row r="2" spans="1:13" ht="15.75" x14ac:dyDescent="0.25">
      <c r="A2" s="2" t="s">
        <v>125</v>
      </c>
    </row>
    <row r="4" spans="1:13" ht="15.75" x14ac:dyDescent="0.25">
      <c r="A4" s="2" t="s">
        <v>86</v>
      </c>
    </row>
    <row r="6" spans="1:13" ht="15.75" x14ac:dyDescent="0.25">
      <c r="E6" s="47"/>
      <c r="F6" s="53" t="s">
        <v>87</v>
      </c>
      <c r="G6" s="47"/>
      <c r="H6" s="47"/>
    </row>
    <row r="7" spans="1:13" ht="16.5" thickBot="1" x14ac:dyDescent="0.3">
      <c r="A7" s="54"/>
      <c r="B7" s="54"/>
      <c r="C7" s="54"/>
      <c r="D7" s="54"/>
      <c r="E7" s="40" t="s">
        <v>88</v>
      </c>
      <c r="F7" s="40" t="s">
        <v>89</v>
      </c>
      <c r="G7" s="40" t="s">
        <v>90</v>
      </c>
      <c r="H7" s="53"/>
    </row>
    <row r="8" spans="1:13" x14ac:dyDescent="0.2">
      <c r="A8" t="s">
        <v>91</v>
      </c>
      <c r="E8" s="49">
        <f>C27</f>
        <v>7028</v>
      </c>
      <c r="F8" s="49">
        <f>D27</f>
        <v>49575180</v>
      </c>
      <c r="G8" s="55">
        <f>F38</f>
        <v>479254.81289999996</v>
      </c>
      <c r="L8" s="114">
        <f>G11*ProposedRates!U6</f>
        <v>143728.51838870998</v>
      </c>
      <c r="M8" s="114">
        <f>G11+L8</f>
        <v>622983.33128871</v>
      </c>
    </row>
    <row r="9" spans="1:13" x14ac:dyDescent="0.2">
      <c r="E9" s="34"/>
      <c r="F9" s="34"/>
      <c r="G9" s="34"/>
    </row>
    <row r="11" spans="1:13" x14ac:dyDescent="0.2">
      <c r="D11" t="s">
        <v>93</v>
      </c>
      <c r="E11" s="33">
        <f>SUM(E8:E9)</f>
        <v>7028</v>
      </c>
      <c r="F11" s="33">
        <f>SUM(F8:F9)</f>
        <v>49575180</v>
      </c>
      <c r="G11" s="56">
        <f>SUM(G8:G9)</f>
        <v>479254.81289999996</v>
      </c>
    </row>
    <row r="12" spans="1:13" x14ac:dyDescent="0.2">
      <c r="D12" t="s">
        <v>127</v>
      </c>
      <c r="G12" s="34">
        <f>SAO!H14</f>
        <v>486455</v>
      </c>
    </row>
    <row r="14" spans="1:13" x14ac:dyDescent="0.2">
      <c r="D14" t="s">
        <v>128</v>
      </c>
      <c r="G14" s="57">
        <f>G11-G12</f>
        <v>-7200.1871000000392</v>
      </c>
    </row>
    <row r="17" spans="1:12" ht="15.75" x14ac:dyDescent="0.25">
      <c r="A17" s="58" t="s">
        <v>94</v>
      </c>
    </row>
    <row r="19" spans="1:12" x14ac:dyDescent="0.2">
      <c r="A19" s="59"/>
      <c r="B19" s="59"/>
      <c r="C19" s="59"/>
      <c r="D19" s="59"/>
      <c r="E19" s="60" t="s">
        <v>95</v>
      </c>
      <c r="F19" s="60" t="s">
        <v>96</v>
      </c>
      <c r="G19" s="60" t="s">
        <v>96</v>
      </c>
      <c r="H19" s="60" t="s">
        <v>96</v>
      </c>
      <c r="I19" s="60" t="s">
        <v>97</v>
      </c>
      <c r="J19" s="59"/>
    </row>
    <row r="20" spans="1:12" x14ac:dyDescent="0.2">
      <c r="A20" s="59"/>
      <c r="B20" s="60" t="s">
        <v>98</v>
      </c>
      <c r="C20" s="60" t="s">
        <v>99</v>
      </c>
      <c r="D20" s="60" t="s">
        <v>87</v>
      </c>
      <c r="E20" s="61">
        <f>B21</f>
        <v>2000</v>
      </c>
      <c r="F20" s="61">
        <f>B22</f>
        <v>2000</v>
      </c>
      <c r="G20" s="61">
        <f>B23</f>
        <v>6000</v>
      </c>
      <c r="H20" s="61">
        <f>B24</f>
        <v>15000</v>
      </c>
      <c r="I20" s="61">
        <f>B25</f>
        <v>25000</v>
      </c>
      <c r="J20" s="60" t="s">
        <v>85</v>
      </c>
    </row>
    <row r="21" spans="1:12" x14ac:dyDescent="0.2">
      <c r="A21" s="59" t="s">
        <v>100</v>
      </c>
      <c r="B21" s="62">
        <v>2000</v>
      </c>
      <c r="C21" s="62">
        <v>2274</v>
      </c>
      <c r="D21" s="62">
        <v>2552200</v>
      </c>
      <c r="E21" s="62">
        <f>D21</f>
        <v>2552200</v>
      </c>
      <c r="F21" s="62"/>
      <c r="G21" s="62"/>
      <c r="H21" s="62"/>
      <c r="I21" s="62"/>
      <c r="J21" s="63">
        <f>SUM(E21:I21)</f>
        <v>2552200</v>
      </c>
    </row>
    <row r="22" spans="1:12" x14ac:dyDescent="0.2">
      <c r="A22" s="59" t="s">
        <v>96</v>
      </c>
      <c r="B22" s="62">
        <v>2000</v>
      </c>
      <c r="C22" s="62">
        <v>2672</v>
      </c>
      <c r="D22" s="62">
        <v>7737810</v>
      </c>
      <c r="E22" s="62">
        <f>C22*E20</f>
        <v>5344000</v>
      </c>
      <c r="F22" s="62">
        <f>D22-E22</f>
        <v>2393810</v>
      </c>
      <c r="G22" s="62"/>
      <c r="H22" s="62"/>
      <c r="I22" s="62"/>
      <c r="J22" s="63">
        <f>SUM(E22:I22)</f>
        <v>7737810</v>
      </c>
    </row>
    <row r="23" spans="1:12" x14ac:dyDescent="0.2">
      <c r="A23" s="59" t="s">
        <v>96</v>
      </c>
      <c r="B23" s="62">
        <v>6000</v>
      </c>
      <c r="C23" s="62">
        <v>1717</v>
      </c>
      <c r="D23" s="62">
        <v>10076710</v>
      </c>
      <c r="E23" s="62">
        <f>C23*E20</f>
        <v>3434000</v>
      </c>
      <c r="F23" s="62">
        <f>C23*F20</f>
        <v>3434000</v>
      </c>
      <c r="G23" s="62">
        <f>D23-E23-F23</f>
        <v>3208710</v>
      </c>
      <c r="H23" s="62"/>
      <c r="I23" s="62"/>
      <c r="J23" s="63">
        <f>SUM(E23:I23)</f>
        <v>10076710</v>
      </c>
    </row>
    <row r="24" spans="1:12" x14ac:dyDescent="0.2">
      <c r="A24" s="59" t="s">
        <v>96</v>
      </c>
      <c r="B24" s="62">
        <v>15000</v>
      </c>
      <c r="C24" s="62">
        <v>314</v>
      </c>
      <c r="D24" s="62">
        <v>4337970</v>
      </c>
      <c r="E24" s="62">
        <f>C24*E20</f>
        <v>628000</v>
      </c>
      <c r="F24" s="62">
        <f>C24*F20</f>
        <v>628000</v>
      </c>
      <c r="G24" s="62">
        <f>C24*G20</f>
        <v>1884000</v>
      </c>
      <c r="H24" s="62">
        <f>D24-E24-F24-G24</f>
        <v>1197970</v>
      </c>
      <c r="I24" s="62"/>
      <c r="J24" s="63">
        <f>SUM(E24:I24)</f>
        <v>4337970</v>
      </c>
    </row>
    <row r="25" spans="1:12" x14ac:dyDescent="0.2">
      <c r="A25" s="59" t="s">
        <v>97</v>
      </c>
      <c r="B25" s="62">
        <v>25000</v>
      </c>
      <c r="C25" s="62">
        <v>51</v>
      </c>
      <c r="D25" s="62">
        <v>24870490</v>
      </c>
      <c r="E25" s="62">
        <f>C25*E20</f>
        <v>102000</v>
      </c>
      <c r="F25" s="62">
        <f>C25*F20</f>
        <v>102000</v>
      </c>
      <c r="G25" s="62">
        <f>C25*G20</f>
        <v>306000</v>
      </c>
      <c r="H25" s="62">
        <f>C25*H20</f>
        <v>765000</v>
      </c>
      <c r="I25" s="62">
        <f>D25-E25-F25-G25-H25</f>
        <v>23595490</v>
      </c>
      <c r="J25" s="63">
        <f>SUM(E25:I25)</f>
        <v>24870490</v>
      </c>
    </row>
    <row r="26" spans="1:12" x14ac:dyDescent="0.2">
      <c r="A26" s="59"/>
      <c r="B26" s="59"/>
      <c r="C26" s="59"/>
      <c r="D26" s="59"/>
      <c r="E26" s="59"/>
      <c r="F26" s="59"/>
      <c r="G26" s="59"/>
      <c r="H26" s="59"/>
      <c r="I26" s="59"/>
      <c r="J26" s="59"/>
      <c r="L26" t="s">
        <v>124</v>
      </c>
    </row>
    <row r="27" spans="1:12" x14ac:dyDescent="0.2">
      <c r="A27" s="59" t="s">
        <v>93</v>
      </c>
      <c r="B27" s="59"/>
      <c r="C27" s="62">
        <f>SUM(C21:C25)</f>
        <v>7028</v>
      </c>
      <c r="D27" s="62">
        <f t="shared" ref="D27:I27" si="0">SUM(D21:D25)</f>
        <v>49575180</v>
      </c>
      <c r="E27" s="62">
        <f t="shared" si="0"/>
        <v>12060200</v>
      </c>
      <c r="F27" s="62">
        <f t="shared" si="0"/>
        <v>6557810</v>
      </c>
      <c r="G27" s="62">
        <f t="shared" si="0"/>
        <v>5398710</v>
      </c>
      <c r="H27" s="62">
        <f t="shared" si="0"/>
        <v>1962970</v>
      </c>
      <c r="I27" s="62">
        <f t="shared" si="0"/>
        <v>23595490</v>
      </c>
      <c r="J27" s="62">
        <f>SUM(J21:J25)</f>
        <v>49575180</v>
      </c>
      <c r="L27" s="113">
        <f>J27/C27</f>
        <v>7053.9527603870238</v>
      </c>
    </row>
    <row r="29" spans="1:12" ht="15.75" x14ac:dyDescent="0.25">
      <c r="A29" s="58" t="s">
        <v>101</v>
      </c>
    </row>
    <row r="31" spans="1:12" x14ac:dyDescent="0.2">
      <c r="A31" s="59"/>
      <c r="B31" s="60" t="s">
        <v>98</v>
      </c>
      <c r="C31" s="60" t="s">
        <v>99</v>
      </c>
      <c r="D31" s="60" t="s">
        <v>87</v>
      </c>
      <c r="E31" s="60" t="s">
        <v>102</v>
      </c>
      <c r="F31" s="60" t="s">
        <v>90</v>
      </c>
    </row>
    <row r="32" spans="1:12" x14ac:dyDescent="0.2">
      <c r="A32" s="59" t="s">
        <v>100</v>
      </c>
      <c r="B32" s="64">
        <f>B21</f>
        <v>2000</v>
      </c>
      <c r="C32" s="62">
        <f>C27</f>
        <v>7028</v>
      </c>
      <c r="D32" s="63">
        <f>E27</f>
        <v>12060200</v>
      </c>
      <c r="E32" s="65">
        <v>26.15</v>
      </c>
      <c r="F32" s="65">
        <f>C32*E32</f>
        <v>183782.19999999998</v>
      </c>
    </row>
    <row r="33" spans="1:6" x14ac:dyDescent="0.2">
      <c r="A33" s="59" t="s">
        <v>96</v>
      </c>
      <c r="B33" s="64">
        <f>B22</f>
        <v>2000</v>
      </c>
      <c r="C33" s="62"/>
      <c r="D33" s="63">
        <f>F27</f>
        <v>6557810</v>
      </c>
      <c r="E33" s="66">
        <v>11.95</v>
      </c>
      <c r="F33" s="66">
        <f>(D33*E33)/1000</f>
        <v>78365.829500000007</v>
      </c>
    </row>
    <row r="34" spans="1:6" x14ac:dyDescent="0.2">
      <c r="A34" s="59" t="s">
        <v>96</v>
      </c>
      <c r="B34" s="64">
        <f>B23</f>
        <v>6000</v>
      </c>
      <c r="C34" s="62"/>
      <c r="D34" s="63">
        <f>G27</f>
        <v>5398710</v>
      </c>
      <c r="E34" s="66">
        <v>7.64</v>
      </c>
      <c r="F34" s="66">
        <f>(D34*E34)/1000</f>
        <v>41246.144399999997</v>
      </c>
    </row>
    <row r="35" spans="1:6" x14ac:dyDescent="0.2">
      <c r="A35" s="59" t="s">
        <v>96</v>
      </c>
      <c r="B35" s="64">
        <f>B24</f>
        <v>15000</v>
      </c>
      <c r="C35" s="62"/>
      <c r="D35" s="63">
        <f>H27</f>
        <v>1962970</v>
      </c>
      <c r="E35" s="66">
        <v>7.25</v>
      </c>
      <c r="F35" s="66">
        <f>(D35*E35)/1000</f>
        <v>14231.532499999999</v>
      </c>
    </row>
    <row r="36" spans="1:6" x14ac:dyDescent="0.2">
      <c r="A36" s="59" t="s">
        <v>97</v>
      </c>
      <c r="B36" s="64">
        <f>B25</f>
        <v>25000</v>
      </c>
      <c r="C36" s="62"/>
      <c r="D36" s="63">
        <f>I27</f>
        <v>23595490</v>
      </c>
      <c r="E36" s="66">
        <v>6.85</v>
      </c>
      <c r="F36" s="66">
        <f>(D36*E36)/1000</f>
        <v>161629.10649999999</v>
      </c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 t="s">
        <v>93</v>
      </c>
      <c r="B38" s="59"/>
      <c r="C38" s="62">
        <f>SUM(C32:C36)</f>
        <v>7028</v>
      </c>
      <c r="D38" s="62">
        <f>SUM(D32:D36)</f>
        <v>49575180</v>
      </c>
      <c r="E38" s="59"/>
      <c r="F38" s="67">
        <f>SUM(F32:F36)</f>
        <v>479254.81289999996</v>
      </c>
    </row>
  </sheetData>
  <pageMargins left="0.7" right="0.7" top="0.75" bottom="0.75" header="0.3" footer="0.3"/>
  <pageSetup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15A55-551A-450A-AD5F-11D59679C596}">
  <sheetPr>
    <pageSetUpPr fitToPage="1"/>
  </sheetPr>
  <dimension ref="A1:L38"/>
  <sheetViews>
    <sheetView showGridLines="0" zoomScale="80" zoomScaleNormal="80" workbookViewId="0">
      <selection activeCell="N16" sqref="N16"/>
    </sheetView>
  </sheetViews>
  <sheetFormatPr defaultRowHeight="15" x14ac:dyDescent="0.2"/>
  <cols>
    <col min="4" max="4" width="12" bestFit="1" customWidth="1"/>
    <col min="5" max="5" width="11" bestFit="1" customWidth="1"/>
    <col min="6" max="6" width="12" bestFit="1" customWidth="1"/>
    <col min="7" max="7" width="11" bestFit="1" customWidth="1"/>
    <col min="8" max="8" width="10" bestFit="1" customWidth="1"/>
    <col min="9" max="9" width="11" bestFit="1" customWidth="1"/>
    <col min="10" max="10" width="12" bestFit="1" customWidth="1"/>
    <col min="12" max="12" width="10.44140625" bestFit="1" customWidth="1"/>
  </cols>
  <sheetData>
    <row r="1" spans="1:8" ht="15.75" x14ac:dyDescent="0.25">
      <c r="A1" s="2" t="s">
        <v>126</v>
      </c>
    </row>
    <row r="2" spans="1:8" ht="15.75" x14ac:dyDescent="0.25">
      <c r="A2" s="2" t="s">
        <v>125</v>
      </c>
    </row>
    <row r="4" spans="1:8" ht="15.75" x14ac:dyDescent="0.25">
      <c r="A4" s="2" t="s">
        <v>86</v>
      </c>
    </row>
    <row r="6" spans="1:8" ht="15.75" x14ac:dyDescent="0.25">
      <c r="E6" s="47"/>
      <c r="F6" s="53" t="s">
        <v>87</v>
      </c>
      <c r="G6" s="47"/>
      <c r="H6" s="47"/>
    </row>
    <row r="7" spans="1:8" ht="16.5" thickBot="1" x14ac:dyDescent="0.3">
      <c r="A7" s="54"/>
      <c r="B7" s="54"/>
      <c r="C7" s="54"/>
      <c r="D7" s="54"/>
      <c r="E7" s="40" t="s">
        <v>88</v>
      </c>
      <c r="F7" s="40" t="s">
        <v>89</v>
      </c>
      <c r="G7" s="40" t="s">
        <v>90</v>
      </c>
      <c r="H7" s="53"/>
    </row>
    <row r="8" spans="1:8" x14ac:dyDescent="0.2">
      <c r="A8" t="s">
        <v>91</v>
      </c>
      <c r="E8" s="49">
        <f>C27</f>
        <v>7028</v>
      </c>
      <c r="F8" s="49">
        <f>D27</f>
        <v>49575180</v>
      </c>
      <c r="G8" s="55">
        <f>F38</f>
        <v>622824.73800000001</v>
      </c>
    </row>
    <row r="9" spans="1:8" x14ac:dyDescent="0.2">
      <c r="E9" s="34"/>
      <c r="F9" s="34"/>
      <c r="G9" s="34"/>
    </row>
    <row r="11" spans="1:8" x14ac:dyDescent="0.2">
      <c r="D11" t="s">
        <v>93</v>
      </c>
      <c r="E11" s="33">
        <f>SUM(E8:E9)</f>
        <v>7028</v>
      </c>
      <c r="F11" s="33">
        <f>SUM(F8:F9)</f>
        <v>49575180</v>
      </c>
      <c r="G11" s="56">
        <f>SUM(G8:G9)</f>
        <v>622824.73800000001</v>
      </c>
    </row>
    <row r="12" spans="1:8" x14ac:dyDescent="0.2">
      <c r="G12" s="37"/>
    </row>
    <row r="14" spans="1:8" x14ac:dyDescent="0.2">
      <c r="G14" s="57"/>
    </row>
    <row r="17" spans="1:12" ht="15.75" x14ac:dyDescent="0.25">
      <c r="A17" s="58" t="s">
        <v>94</v>
      </c>
    </row>
    <row r="19" spans="1:12" x14ac:dyDescent="0.2">
      <c r="A19" s="59"/>
      <c r="B19" s="59"/>
      <c r="C19" s="59"/>
      <c r="D19" s="59"/>
      <c r="E19" s="60" t="s">
        <v>95</v>
      </c>
      <c r="F19" s="60" t="s">
        <v>96</v>
      </c>
      <c r="G19" s="60" t="s">
        <v>96</v>
      </c>
      <c r="H19" s="60" t="s">
        <v>96</v>
      </c>
      <c r="I19" s="60" t="s">
        <v>97</v>
      </c>
      <c r="J19" s="59"/>
    </row>
    <row r="20" spans="1:12" x14ac:dyDescent="0.2">
      <c r="A20" s="59"/>
      <c r="B20" s="60" t="s">
        <v>98</v>
      </c>
      <c r="C20" s="60" t="s">
        <v>99</v>
      </c>
      <c r="D20" s="60" t="s">
        <v>87</v>
      </c>
      <c r="E20" s="61">
        <f>B21</f>
        <v>2000</v>
      </c>
      <c r="F20" s="61">
        <f>B22</f>
        <v>2000</v>
      </c>
      <c r="G20" s="61">
        <f>B23</f>
        <v>6000</v>
      </c>
      <c r="H20" s="61">
        <f>B24</f>
        <v>15000</v>
      </c>
      <c r="I20" s="61">
        <f>B25</f>
        <v>25000</v>
      </c>
      <c r="J20" s="60" t="s">
        <v>85</v>
      </c>
    </row>
    <row r="21" spans="1:12" x14ac:dyDescent="0.2">
      <c r="A21" s="59" t="s">
        <v>100</v>
      </c>
      <c r="B21" s="62">
        <v>2000</v>
      </c>
      <c r="C21" s="62">
        <v>2274</v>
      </c>
      <c r="D21" s="62">
        <v>2552200</v>
      </c>
      <c r="E21" s="62">
        <f>D21</f>
        <v>2552200</v>
      </c>
      <c r="F21" s="62"/>
      <c r="G21" s="62"/>
      <c r="H21" s="62"/>
      <c r="I21" s="62"/>
      <c r="J21" s="63">
        <f>SUM(E21:I21)</f>
        <v>2552200</v>
      </c>
    </row>
    <row r="22" spans="1:12" x14ac:dyDescent="0.2">
      <c r="A22" s="59" t="s">
        <v>96</v>
      </c>
      <c r="B22" s="62">
        <v>2000</v>
      </c>
      <c r="C22" s="62">
        <v>2672</v>
      </c>
      <c r="D22" s="62">
        <v>7737810</v>
      </c>
      <c r="E22" s="62">
        <f>C22*E20</f>
        <v>5344000</v>
      </c>
      <c r="F22" s="62">
        <f>D22-E22</f>
        <v>2393810</v>
      </c>
      <c r="G22" s="62"/>
      <c r="H22" s="62"/>
      <c r="I22" s="62"/>
      <c r="J22" s="63">
        <f>SUM(E22:I22)</f>
        <v>7737810</v>
      </c>
    </row>
    <row r="23" spans="1:12" x14ac:dyDescent="0.2">
      <c r="A23" s="59" t="s">
        <v>96</v>
      </c>
      <c r="B23" s="62">
        <v>6000</v>
      </c>
      <c r="C23" s="62">
        <v>1717</v>
      </c>
      <c r="D23" s="62">
        <v>10076710</v>
      </c>
      <c r="E23" s="62">
        <f>C23*E20</f>
        <v>3434000</v>
      </c>
      <c r="F23" s="62">
        <f>C23*F20</f>
        <v>3434000</v>
      </c>
      <c r="G23" s="62">
        <f>D23-E23-F23</f>
        <v>3208710</v>
      </c>
      <c r="H23" s="62"/>
      <c r="I23" s="62"/>
      <c r="J23" s="63">
        <f>SUM(E23:I23)</f>
        <v>10076710</v>
      </c>
    </row>
    <row r="24" spans="1:12" x14ac:dyDescent="0.2">
      <c r="A24" s="59" t="s">
        <v>96</v>
      </c>
      <c r="B24" s="62">
        <v>15000</v>
      </c>
      <c r="C24" s="62">
        <v>314</v>
      </c>
      <c r="D24" s="62">
        <v>4337970</v>
      </c>
      <c r="E24" s="62">
        <f>C24*E20</f>
        <v>628000</v>
      </c>
      <c r="F24" s="62">
        <f>C24*F20</f>
        <v>628000</v>
      </c>
      <c r="G24" s="62">
        <f>C24*G20</f>
        <v>1884000</v>
      </c>
      <c r="H24" s="62">
        <f>D24-E24-F24-G24</f>
        <v>1197970</v>
      </c>
      <c r="I24" s="62"/>
      <c r="J24" s="63">
        <f>SUM(E24:I24)</f>
        <v>4337970</v>
      </c>
    </row>
    <row r="25" spans="1:12" x14ac:dyDescent="0.2">
      <c r="A25" s="59" t="s">
        <v>97</v>
      </c>
      <c r="B25" s="62">
        <v>25000</v>
      </c>
      <c r="C25" s="62">
        <v>51</v>
      </c>
      <c r="D25" s="62">
        <v>24870490</v>
      </c>
      <c r="E25" s="62">
        <f>C25*E20</f>
        <v>102000</v>
      </c>
      <c r="F25" s="62">
        <f>C25*F20</f>
        <v>102000</v>
      </c>
      <c r="G25" s="62">
        <f>C25*G20</f>
        <v>306000</v>
      </c>
      <c r="H25" s="62">
        <f>C25*H20</f>
        <v>765000</v>
      </c>
      <c r="I25" s="62">
        <f>D25-E25-F25-G25-H25</f>
        <v>23595490</v>
      </c>
      <c r="J25" s="63">
        <f>SUM(E25:I25)</f>
        <v>24870490</v>
      </c>
    </row>
    <row r="26" spans="1:12" x14ac:dyDescent="0.2">
      <c r="A26" s="59"/>
      <c r="B26" s="59"/>
      <c r="C26" s="59"/>
      <c r="D26" s="59"/>
      <c r="E26" s="59"/>
      <c r="F26" s="59"/>
      <c r="G26" s="59"/>
      <c r="H26" s="59"/>
      <c r="I26" s="59"/>
      <c r="J26" s="59"/>
      <c r="L26" t="s">
        <v>124</v>
      </c>
    </row>
    <row r="27" spans="1:12" x14ac:dyDescent="0.2">
      <c r="A27" s="59" t="s">
        <v>93</v>
      </c>
      <c r="B27" s="59"/>
      <c r="C27" s="62">
        <f>SUM(C21:C25)</f>
        <v>7028</v>
      </c>
      <c r="D27" s="62">
        <f t="shared" ref="D27:I27" si="0">SUM(D21:D25)</f>
        <v>49575180</v>
      </c>
      <c r="E27" s="62">
        <f t="shared" si="0"/>
        <v>12060200</v>
      </c>
      <c r="F27" s="62">
        <f t="shared" si="0"/>
        <v>6557810</v>
      </c>
      <c r="G27" s="62">
        <f t="shared" si="0"/>
        <v>5398710</v>
      </c>
      <c r="H27" s="62">
        <f t="shared" si="0"/>
        <v>1962970</v>
      </c>
      <c r="I27" s="62">
        <f t="shared" si="0"/>
        <v>23595490</v>
      </c>
      <c r="J27" s="62">
        <f>SUM(J21:J25)</f>
        <v>49575180</v>
      </c>
      <c r="L27" s="113">
        <f>J27/C27</f>
        <v>7053.9527603870238</v>
      </c>
    </row>
    <row r="29" spans="1:12" ht="15.75" x14ac:dyDescent="0.25">
      <c r="A29" s="58" t="s">
        <v>101</v>
      </c>
    </row>
    <row r="31" spans="1:12" x14ac:dyDescent="0.2">
      <c r="A31" s="59"/>
      <c r="B31" s="60" t="s">
        <v>98</v>
      </c>
      <c r="C31" s="60" t="s">
        <v>99</v>
      </c>
      <c r="D31" s="60" t="s">
        <v>87</v>
      </c>
      <c r="E31" s="60" t="s">
        <v>102</v>
      </c>
      <c r="F31" s="60" t="s">
        <v>90</v>
      </c>
    </row>
    <row r="32" spans="1:12" x14ac:dyDescent="0.2">
      <c r="A32" s="59" t="s">
        <v>100</v>
      </c>
      <c r="B32" s="64">
        <f>B21</f>
        <v>2000</v>
      </c>
      <c r="C32" s="62">
        <f>C27</f>
        <v>7028</v>
      </c>
      <c r="D32" s="63">
        <f>E27</f>
        <v>12060200</v>
      </c>
      <c r="E32" s="65">
        <f>ProposedRates!O8</f>
        <v>33.99</v>
      </c>
      <c r="F32" s="65">
        <f>C32*E32</f>
        <v>238881.72</v>
      </c>
    </row>
    <row r="33" spans="1:6" x14ac:dyDescent="0.2">
      <c r="A33" s="59" t="s">
        <v>96</v>
      </c>
      <c r="B33" s="64">
        <f>B22</f>
        <v>2000</v>
      </c>
      <c r="C33" s="62"/>
      <c r="D33" s="63">
        <f>F27</f>
        <v>6557810</v>
      </c>
      <c r="E33" s="66">
        <f>ProposedRates!O9*1000</f>
        <v>15.530000000000001</v>
      </c>
      <c r="F33" s="66">
        <f>(D33*E33)/1000</f>
        <v>101842.78930000002</v>
      </c>
    </row>
    <row r="34" spans="1:6" x14ac:dyDescent="0.2">
      <c r="A34" s="59" t="s">
        <v>96</v>
      </c>
      <c r="B34" s="64">
        <f>B23</f>
        <v>6000</v>
      </c>
      <c r="C34" s="62"/>
      <c r="D34" s="63">
        <f>G27</f>
        <v>5398710</v>
      </c>
      <c r="E34" s="66">
        <f>ProposedRates!O10*1000</f>
        <v>9.93</v>
      </c>
      <c r="F34" s="66">
        <f>(D34*E34)/1000</f>
        <v>53609.190299999995</v>
      </c>
    </row>
    <row r="35" spans="1:6" x14ac:dyDescent="0.2">
      <c r="A35" s="59" t="s">
        <v>96</v>
      </c>
      <c r="B35" s="64">
        <f>B24</f>
        <v>15000</v>
      </c>
      <c r="C35" s="62"/>
      <c r="D35" s="63">
        <f>H27</f>
        <v>1962970</v>
      </c>
      <c r="E35" s="66">
        <f>ProposedRates!O11*1000</f>
        <v>9.42</v>
      </c>
      <c r="F35" s="66">
        <f>(D35*E35)/1000</f>
        <v>18491.177399999997</v>
      </c>
    </row>
    <row r="36" spans="1:6" x14ac:dyDescent="0.2">
      <c r="A36" s="59" t="s">
        <v>97</v>
      </c>
      <c r="B36" s="64">
        <f>B25</f>
        <v>25000</v>
      </c>
      <c r="C36" s="62"/>
      <c r="D36" s="63">
        <f>I27</f>
        <v>23595490</v>
      </c>
      <c r="E36" s="66">
        <f>ProposedRates!O12*1000</f>
        <v>8.9</v>
      </c>
      <c r="F36" s="66">
        <f>(D36*E36)/1000</f>
        <v>209999.861</v>
      </c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 t="s">
        <v>93</v>
      </c>
      <c r="B38" s="59"/>
      <c r="C38" s="62">
        <f>SUM(C32:C36)</f>
        <v>7028</v>
      </c>
      <c r="D38" s="62">
        <f>SUM(D32:D36)</f>
        <v>49575180</v>
      </c>
      <c r="E38" s="59"/>
      <c r="F38" s="67">
        <f>SUM(F32:F36)</f>
        <v>622824.73800000001</v>
      </c>
    </row>
  </sheetData>
  <pageMargins left="0.7" right="0.7" top="0.75" bottom="0.75" header="0.3" footer="0.3"/>
  <pageSetup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3E8D-AD2C-41CB-86C6-5995A927713D}">
  <sheetPr>
    <pageSetUpPr fitToPage="1"/>
  </sheetPr>
  <dimension ref="B2:AC31"/>
  <sheetViews>
    <sheetView showGridLines="0" topLeftCell="A8" zoomScale="80" zoomScaleNormal="80" workbookViewId="0">
      <selection activeCell="B4" sqref="B4:S13"/>
    </sheetView>
  </sheetViews>
  <sheetFormatPr defaultRowHeight="15" x14ac:dyDescent="0.2"/>
  <cols>
    <col min="2" max="2" width="2.33203125" customWidth="1"/>
    <col min="4" max="4" width="2.33203125" customWidth="1"/>
    <col min="6" max="6" width="2.33203125" customWidth="1"/>
    <col min="9" max="9" width="3.77734375" customWidth="1"/>
    <col min="10" max="10" width="2.33203125" customWidth="1"/>
    <col min="12" max="12" width="2.33203125" customWidth="1"/>
    <col min="14" max="14" width="2.33203125" customWidth="1"/>
    <col min="17" max="17" width="3.77734375" customWidth="1"/>
    <col min="18" max="18" width="11" bestFit="1" customWidth="1"/>
    <col min="19" max="19" width="11.88671875" bestFit="1" customWidth="1"/>
    <col min="21" max="21" width="16.109375" bestFit="1" customWidth="1"/>
  </cols>
  <sheetData>
    <row r="2" spans="2:29" ht="18.75" x14ac:dyDescent="0.3">
      <c r="C2" s="100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9"/>
      <c r="R2" s="68"/>
      <c r="S2" s="69"/>
    </row>
    <row r="3" spans="2:29" ht="18.75" x14ac:dyDescent="0.3">
      <c r="C3" s="70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2"/>
      <c r="R3" s="71"/>
      <c r="S3" s="72"/>
    </row>
    <row r="4" spans="2:29" ht="18.75" x14ac:dyDescent="0.3">
      <c r="B4" s="105"/>
      <c r="C4" s="118" t="s">
        <v>104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9"/>
      <c r="R4" s="73"/>
      <c r="S4" s="74"/>
    </row>
    <row r="5" spans="2:29" ht="18.75" x14ac:dyDescent="0.3">
      <c r="B5" s="100"/>
      <c r="C5" s="77" t="s">
        <v>105</v>
      </c>
      <c r="D5" s="75"/>
      <c r="E5" s="75"/>
      <c r="F5" s="75"/>
      <c r="G5" s="75"/>
      <c r="H5" s="75"/>
      <c r="I5" s="75"/>
      <c r="J5" s="76"/>
      <c r="K5" s="77" t="s">
        <v>106</v>
      </c>
      <c r="L5" s="75"/>
      <c r="M5" s="75"/>
      <c r="N5" s="75"/>
      <c r="O5" s="75"/>
      <c r="P5" s="75"/>
      <c r="Q5" s="78"/>
      <c r="R5" s="79" t="s">
        <v>107</v>
      </c>
      <c r="S5" s="80" t="s">
        <v>108</v>
      </c>
      <c r="U5" t="s">
        <v>116</v>
      </c>
    </row>
    <row r="6" spans="2:29" ht="18.75" x14ac:dyDescent="0.3">
      <c r="B6" s="103"/>
      <c r="C6" s="82"/>
      <c r="D6" s="82"/>
      <c r="E6" s="82"/>
      <c r="F6" s="82"/>
      <c r="G6" s="82"/>
      <c r="H6" s="82"/>
      <c r="I6" s="82"/>
      <c r="J6" s="81"/>
      <c r="K6" s="82"/>
      <c r="L6" s="82"/>
      <c r="M6" s="82"/>
      <c r="N6" s="82"/>
      <c r="O6" s="82"/>
      <c r="P6" s="82"/>
      <c r="Q6" s="83"/>
      <c r="R6" s="82"/>
      <c r="S6" s="84"/>
      <c r="U6" s="52">
        <f>'RR-OR'!L14</f>
        <v>0.2999</v>
      </c>
    </row>
    <row r="7" spans="2:29" ht="18.75" x14ac:dyDescent="0.3">
      <c r="B7" s="103"/>
      <c r="C7" s="86" t="s">
        <v>109</v>
      </c>
      <c r="D7" s="82"/>
      <c r="E7" s="82"/>
      <c r="F7" s="82"/>
      <c r="G7" s="82"/>
      <c r="H7" s="82"/>
      <c r="I7" s="82"/>
      <c r="J7" s="81"/>
      <c r="K7" s="86" t="s">
        <v>109</v>
      </c>
      <c r="L7" s="82"/>
      <c r="M7" s="82"/>
      <c r="N7" s="82"/>
      <c r="O7" s="82"/>
      <c r="P7" s="82"/>
      <c r="Q7" s="83"/>
      <c r="R7" s="82"/>
      <c r="S7" s="84"/>
    </row>
    <row r="8" spans="2:29" ht="18.75" x14ac:dyDescent="0.3">
      <c r="B8" s="103"/>
      <c r="C8" s="82" t="s">
        <v>100</v>
      </c>
      <c r="D8" s="82"/>
      <c r="E8" s="87">
        <v>2000</v>
      </c>
      <c r="F8" s="82"/>
      <c r="G8" s="88">
        <v>26.15</v>
      </c>
      <c r="H8" s="82" t="s">
        <v>110</v>
      </c>
      <c r="I8" s="82"/>
      <c r="J8" s="81"/>
      <c r="K8" s="82" t="s">
        <v>100</v>
      </c>
      <c r="L8" s="82"/>
      <c r="M8" s="87">
        <f>E8</f>
        <v>2000</v>
      </c>
      <c r="N8" s="82"/>
      <c r="O8" s="88">
        <f>ROUND(G8*(1+$U$6),2)</f>
        <v>33.99</v>
      </c>
      <c r="P8" s="82" t="s">
        <v>110</v>
      </c>
      <c r="Q8" s="83"/>
      <c r="R8" s="89">
        <f>O8-G8</f>
        <v>7.8400000000000034</v>
      </c>
      <c r="S8" s="90">
        <f>R8/G8</f>
        <v>0.29980879541109001</v>
      </c>
    </row>
    <row r="9" spans="2:29" ht="18.75" x14ac:dyDescent="0.3">
      <c r="B9" s="103"/>
      <c r="C9" s="82" t="s">
        <v>96</v>
      </c>
      <c r="D9" s="82"/>
      <c r="E9" s="87">
        <v>2000</v>
      </c>
      <c r="F9" s="82"/>
      <c r="G9" s="91">
        <v>1.1950000000000001E-2</v>
      </c>
      <c r="H9" s="82" t="s">
        <v>111</v>
      </c>
      <c r="I9" s="82"/>
      <c r="J9" s="81"/>
      <c r="K9" s="82" t="s">
        <v>96</v>
      </c>
      <c r="L9" s="82"/>
      <c r="M9" s="87">
        <f t="shared" ref="M9:M12" si="0">E9</f>
        <v>2000</v>
      </c>
      <c r="N9" s="82"/>
      <c r="O9" s="91">
        <f>ROUND(G9*(1+$U$6),5)</f>
        <v>1.553E-2</v>
      </c>
      <c r="P9" s="82" t="s">
        <v>111</v>
      </c>
      <c r="Q9" s="83"/>
      <c r="R9" s="92">
        <f t="shared" ref="R9:R30" si="1">O9-G9</f>
        <v>3.5799999999999998E-3</v>
      </c>
      <c r="S9" s="90">
        <f>R9/G9</f>
        <v>0.29958158995815898</v>
      </c>
    </row>
    <row r="10" spans="2:29" ht="18.75" x14ac:dyDescent="0.3">
      <c r="B10" s="103"/>
      <c r="C10" s="82" t="s">
        <v>96</v>
      </c>
      <c r="D10" s="82"/>
      <c r="E10" s="87">
        <v>6000</v>
      </c>
      <c r="F10" s="82"/>
      <c r="G10" s="91">
        <v>7.6400000000000001E-3</v>
      </c>
      <c r="H10" s="82" t="s">
        <v>111</v>
      </c>
      <c r="I10" s="82"/>
      <c r="J10" s="81"/>
      <c r="K10" s="82" t="s">
        <v>96</v>
      </c>
      <c r="L10" s="82"/>
      <c r="M10" s="87">
        <f t="shared" si="0"/>
        <v>6000</v>
      </c>
      <c r="N10" s="82"/>
      <c r="O10" s="91">
        <f>ROUND(G10*(1+$U$6),5)</f>
        <v>9.9299999999999996E-3</v>
      </c>
      <c r="P10" s="82" t="s">
        <v>111</v>
      </c>
      <c r="Q10" s="83"/>
      <c r="R10" s="92">
        <f t="shared" si="1"/>
        <v>2.2899999999999995E-3</v>
      </c>
      <c r="S10" s="90">
        <f>R10/G10</f>
        <v>0.29973821989528787</v>
      </c>
    </row>
    <row r="11" spans="2:29" ht="18.75" x14ac:dyDescent="0.3">
      <c r="B11" s="103"/>
      <c r="C11" s="82" t="s">
        <v>96</v>
      </c>
      <c r="D11" s="82"/>
      <c r="E11" s="87">
        <v>15000</v>
      </c>
      <c r="F11" s="82"/>
      <c r="G11" s="91">
        <v>7.2500000000000004E-3</v>
      </c>
      <c r="H11" s="82" t="s">
        <v>111</v>
      </c>
      <c r="I11" s="82"/>
      <c r="J11" s="81"/>
      <c r="K11" s="82" t="s">
        <v>96</v>
      </c>
      <c r="L11" s="82"/>
      <c r="M11" s="87">
        <f t="shared" si="0"/>
        <v>15000</v>
      </c>
      <c r="N11" s="82"/>
      <c r="O11" s="91">
        <f>ROUND(G11*(1+$U$6),5)</f>
        <v>9.4199999999999996E-3</v>
      </c>
      <c r="P11" s="82" t="s">
        <v>111</v>
      </c>
      <c r="Q11" s="83"/>
      <c r="R11" s="92">
        <f t="shared" si="1"/>
        <v>2.1699999999999992E-3</v>
      </c>
      <c r="S11" s="90">
        <f>R11/G11</f>
        <v>0.29931034482758606</v>
      </c>
    </row>
    <row r="12" spans="2:29" ht="18.75" x14ac:dyDescent="0.3">
      <c r="B12" s="103"/>
      <c r="C12" s="82" t="s">
        <v>97</v>
      </c>
      <c r="D12" s="82"/>
      <c r="E12" s="87">
        <v>25000</v>
      </c>
      <c r="F12" s="82"/>
      <c r="G12" s="91">
        <v>6.8500000000000002E-3</v>
      </c>
      <c r="H12" s="82" t="s">
        <v>111</v>
      </c>
      <c r="I12" s="82"/>
      <c r="J12" s="81"/>
      <c r="K12" s="82" t="s">
        <v>97</v>
      </c>
      <c r="L12" s="82"/>
      <c r="M12" s="87">
        <f t="shared" si="0"/>
        <v>25000</v>
      </c>
      <c r="N12" s="82"/>
      <c r="O12" s="91">
        <f>ROUND(G12*(1+$U$6),5)</f>
        <v>8.8999999999999999E-3</v>
      </c>
      <c r="P12" s="82" t="s">
        <v>111</v>
      </c>
      <c r="Q12" s="83"/>
      <c r="R12" s="92">
        <f t="shared" si="1"/>
        <v>2.0499999999999997E-3</v>
      </c>
      <c r="S12" s="90">
        <f>R12/G12</f>
        <v>0.2992700729927007</v>
      </c>
    </row>
    <row r="13" spans="2:29" ht="18.75" x14ac:dyDescent="0.3">
      <c r="B13" s="104"/>
      <c r="C13" s="95"/>
      <c r="D13" s="95"/>
      <c r="E13" s="95"/>
      <c r="F13" s="95"/>
      <c r="G13" s="95"/>
      <c r="H13" s="95"/>
      <c r="I13" s="95"/>
      <c r="J13" s="94"/>
      <c r="K13" s="95"/>
      <c r="L13" s="95"/>
      <c r="M13" s="95"/>
      <c r="N13" s="95"/>
      <c r="O13" s="97"/>
      <c r="P13" s="95"/>
      <c r="Q13" s="98"/>
      <c r="R13" s="101"/>
      <c r="S13" s="102"/>
    </row>
    <row r="14" spans="2:29" ht="63.75" x14ac:dyDescent="0.3">
      <c r="C14" s="85" t="s">
        <v>112</v>
      </c>
      <c r="D14" s="82"/>
      <c r="E14" s="82"/>
      <c r="F14" s="82"/>
      <c r="G14" s="82"/>
      <c r="H14" s="82"/>
      <c r="I14" s="82"/>
      <c r="J14" s="81"/>
      <c r="K14" s="86" t="s">
        <v>112</v>
      </c>
      <c r="L14" s="82"/>
      <c r="M14" s="82"/>
      <c r="N14" s="82"/>
      <c r="O14" s="93"/>
      <c r="P14" s="82"/>
      <c r="Q14" s="83"/>
      <c r="R14" s="92"/>
      <c r="S14" s="90"/>
      <c r="U14" s="106" t="s">
        <v>117</v>
      </c>
      <c r="V14" s="107" t="s">
        <v>118</v>
      </c>
      <c r="W14" s="107" t="s">
        <v>119</v>
      </c>
      <c r="X14" s="107" t="s">
        <v>120</v>
      </c>
      <c r="Y14" s="107" t="s">
        <v>121</v>
      </c>
      <c r="Z14" s="108" t="s">
        <v>122</v>
      </c>
    </row>
    <row r="15" spans="2:29" ht="18.75" x14ac:dyDescent="0.3">
      <c r="C15" s="81" t="s">
        <v>100</v>
      </c>
      <c r="D15" s="82"/>
      <c r="E15" s="87">
        <v>10000</v>
      </c>
      <c r="F15" s="82"/>
      <c r="G15" s="88">
        <v>91.26</v>
      </c>
      <c r="H15" s="82" t="s">
        <v>110</v>
      </c>
      <c r="I15" s="82"/>
      <c r="J15" s="81"/>
      <c r="K15" s="82" t="s">
        <v>100</v>
      </c>
      <c r="L15" s="82"/>
      <c r="M15" s="87">
        <v>10000</v>
      </c>
      <c r="N15" s="82"/>
      <c r="O15" s="93">
        <f>ROUND(G15*(1+$U$6),5)</f>
        <v>118.62887000000001</v>
      </c>
      <c r="P15" s="82" t="s">
        <v>110</v>
      </c>
      <c r="Q15" s="83"/>
      <c r="R15" s="89">
        <f t="shared" si="1"/>
        <v>27.368870000000001</v>
      </c>
      <c r="S15" s="90">
        <f>R15/G15</f>
        <v>0.29989995616918691</v>
      </c>
      <c r="U15" s="109"/>
      <c r="V15" s="109"/>
      <c r="W15" s="109"/>
      <c r="X15" s="109"/>
      <c r="Y15" s="109"/>
      <c r="Z15" s="59"/>
    </row>
    <row r="16" spans="2:29" ht="18.75" x14ac:dyDescent="0.3">
      <c r="C16" s="81" t="s">
        <v>96</v>
      </c>
      <c r="D16" s="82"/>
      <c r="E16" s="87">
        <v>10000</v>
      </c>
      <c r="F16" s="82"/>
      <c r="G16" s="91">
        <v>8.0400000000000003E-3</v>
      </c>
      <c r="H16" s="82" t="s">
        <v>111</v>
      </c>
      <c r="I16" s="82"/>
      <c r="J16" s="81"/>
      <c r="K16" s="82" t="s">
        <v>96</v>
      </c>
      <c r="L16" s="82"/>
      <c r="M16" s="87">
        <v>10000</v>
      </c>
      <c r="N16" s="82"/>
      <c r="O16" s="91">
        <f>ROUND(G16*(1+$U$6),5)</f>
        <v>1.0449999999999999E-2</v>
      </c>
      <c r="P16" s="82" t="s">
        <v>111</v>
      </c>
      <c r="Q16" s="83"/>
      <c r="R16" s="92">
        <f t="shared" si="1"/>
        <v>2.4099999999999989E-3</v>
      </c>
      <c r="S16" s="90">
        <f>R16/G16</f>
        <v>0.29975124378109441</v>
      </c>
      <c r="U16" s="109" t="s">
        <v>123</v>
      </c>
      <c r="V16" s="110">
        <f>BAE!L27</f>
        <v>7053.9527603870238</v>
      </c>
      <c r="W16" s="111">
        <f>G8+(G9*2000)+(G10*AC16)</f>
        <v>73.382559999999998</v>
      </c>
      <c r="X16" s="111">
        <f>O8+(O9*2000)+(O10*AC16)</f>
        <v>95.376220000000018</v>
      </c>
      <c r="Y16" s="112">
        <f>(X16-W16)/W16</f>
        <v>0.29971235672345065</v>
      </c>
      <c r="Z16" s="111">
        <f>X16-W16</f>
        <v>21.99366000000002</v>
      </c>
      <c r="AB16">
        <v>7054</v>
      </c>
      <c r="AC16">
        <f>AB16-4000</f>
        <v>3054</v>
      </c>
    </row>
    <row r="17" spans="3:19" ht="18.75" x14ac:dyDescent="0.3">
      <c r="C17" s="81" t="s">
        <v>96</v>
      </c>
      <c r="D17" s="82"/>
      <c r="E17" s="87">
        <v>30000</v>
      </c>
      <c r="F17" s="82"/>
      <c r="G17" s="91">
        <v>7.5500000000000003E-3</v>
      </c>
      <c r="H17" s="82" t="s">
        <v>111</v>
      </c>
      <c r="I17" s="82"/>
      <c r="J17" s="81"/>
      <c r="K17" s="82" t="s">
        <v>96</v>
      </c>
      <c r="L17" s="82"/>
      <c r="M17" s="87">
        <v>30000</v>
      </c>
      <c r="N17" s="82"/>
      <c r="O17" s="91">
        <f>ROUND(G17*(1+$U$6),5)</f>
        <v>9.8099999999999993E-3</v>
      </c>
      <c r="P17" s="82" t="s">
        <v>111</v>
      </c>
      <c r="Q17" s="83"/>
      <c r="R17" s="92">
        <f t="shared" si="1"/>
        <v>2.259999999999999E-3</v>
      </c>
      <c r="S17" s="90">
        <f>R17/G17</f>
        <v>0.29933774834437071</v>
      </c>
    </row>
    <row r="18" spans="3:19" ht="18.75" x14ac:dyDescent="0.3">
      <c r="C18" s="81" t="s">
        <v>97</v>
      </c>
      <c r="D18" s="82"/>
      <c r="E18" s="87">
        <v>50000</v>
      </c>
      <c r="F18" s="82"/>
      <c r="G18" s="91">
        <v>6.6400000000000001E-3</v>
      </c>
      <c r="H18" s="82" t="s">
        <v>111</v>
      </c>
      <c r="I18" s="82"/>
      <c r="J18" s="81"/>
      <c r="K18" s="82" t="s">
        <v>97</v>
      </c>
      <c r="L18" s="82"/>
      <c r="M18" s="87">
        <v>50000</v>
      </c>
      <c r="N18" s="82"/>
      <c r="O18" s="91">
        <f>ROUND(G18*(1+$U$6),5)</f>
        <v>8.6300000000000005E-3</v>
      </c>
      <c r="P18" s="82" t="s">
        <v>111</v>
      </c>
      <c r="Q18" s="83"/>
      <c r="R18" s="92">
        <f t="shared" si="1"/>
        <v>1.9900000000000004E-3</v>
      </c>
      <c r="S18" s="90">
        <f>R18/G18</f>
        <v>0.29969879518072295</v>
      </c>
    </row>
    <row r="19" spans="3:19" ht="18.75" x14ac:dyDescent="0.3">
      <c r="C19" s="81"/>
      <c r="D19" s="82"/>
      <c r="E19" s="82"/>
      <c r="F19" s="82"/>
      <c r="G19" s="82"/>
      <c r="H19" s="82"/>
      <c r="I19" s="82"/>
      <c r="J19" s="81"/>
      <c r="K19" s="82"/>
      <c r="L19" s="82"/>
      <c r="M19" s="82"/>
      <c r="N19" s="82"/>
      <c r="O19" s="93"/>
      <c r="P19" s="82"/>
      <c r="Q19" s="83"/>
      <c r="R19" s="92"/>
      <c r="S19" s="90"/>
    </row>
    <row r="20" spans="3:19" ht="18.75" x14ac:dyDescent="0.3">
      <c r="C20" s="85" t="s">
        <v>113</v>
      </c>
      <c r="D20" s="82"/>
      <c r="E20" s="82"/>
      <c r="F20" s="82"/>
      <c r="G20" s="82"/>
      <c r="H20" s="82"/>
      <c r="I20" s="82"/>
      <c r="J20" s="81"/>
      <c r="K20" s="86" t="s">
        <v>113</v>
      </c>
      <c r="L20" s="82"/>
      <c r="M20" s="82"/>
      <c r="N20" s="82"/>
      <c r="O20" s="93"/>
      <c r="P20" s="82"/>
      <c r="Q20" s="83"/>
      <c r="R20" s="92"/>
      <c r="S20" s="90"/>
    </row>
    <row r="21" spans="3:19" ht="18.75" x14ac:dyDescent="0.3">
      <c r="C21" s="81" t="s">
        <v>100</v>
      </c>
      <c r="D21" s="82"/>
      <c r="E21" s="87">
        <v>20000</v>
      </c>
      <c r="F21" s="82"/>
      <c r="G21" s="88">
        <v>171.58</v>
      </c>
      <c r="H21" s="82" t="s">
        <v>110</v>
      </c>
      <c r="I21" s="82"/>
      <c r="J21" s="81"/>
      <c r="K21" s="82" t="s">
        <v>100</v>
      </c>
      <c r="L21" s="82"/>
      <c r="M21" s="87">
        <v>20000</v>
      </c>
      <c r="N21" s="82"/>
      <c r="O21" s="93">
        <f>ROUND(G21*(1+$U$6),5)</f>
        <v>223.03684000000001</v>
      </c>
      <c r="P21" s="82" t="s">
        <v>110</v>
      </c>
      <c r="Q21" s="83"/>
      <c r="R21" s="89">
        <f t="shared" si="1"/>
        <v>51.45684</v>
      </c>
      <c r="S21" s="90">
        <f>R21/G21</f>
        <v>0.2998999883436298</v>
      </c>
    </row>
    <row r="22" spans="3:19" ht="18.75" x14ac:dyDescent="0.3">
      <c r="C22" s="81" t="s">
        <v>96</v>
      </c>
      <c r="D22" s="82"/>
      <c r="E22" s="87">
        <v>30000</v>
      </c>
      <c r="F22" s="82"/>
      <c r="G22" s="91">
        <v>7.5500000000000003E-3</v>
      </c>
      <c r="H22" s="82" t="s">
        <v>111</v>
      </c>
      <c r="I22" s="82"/>
      <c r="J22" s="81"/>
      <c r="K22" s="82" t="s">
        <v>96</v>
      </c>
      <c r="L22" s="82"/>
      <c r="M22" s="87">
        <v>30000</v>
      </c>
      <c r="N22" s="82"/>
      <c r="O22" s="91">
        <f>ROUND(G22*(1+$U$6),5)</f>
        <v>9.8099999999999993E-3</v>
      </c>
      <c r="P22" s="82" t="s">
        <v>111</v>
      </c>
      <c r="Q22" s="83"/>
      <c r="R22" s="92">
        <f t="shared" si="1"/>
        <v>2.259999999999999E-3</v>
      </c>
      <c r="S22" s="90">
        <f>R22/G22</f>
        <v>0.29933774834437071</v>
      </c>
    </row>
    <row r="23" spans="3:19" ht="18.75" x14ac:dyDescent="0.3">
      <c r="C23" s="81" t="s">
        <v>97</v>
      </c>
      <c r="D23" s="82"/>
      <c r="E23" s="87">
        <v>50000</v>
      </c>
      <c r="F23" s="82"/>
      <c r="G23" s="91">
        <v>6.6400000000000001E-3</v>
      </c>
      <c r="H23" s="82" t="s">
        <v>111</v>
      </c>
      <c r="I23" s="82"/>
      <c r="J23" s="81"/>
      <c r="K23" s="82" t="s">
        <v>97</v>
      </c>
      <c r="L23" s="82"/>
      <c r="M23" s="87">
        <v>50000</v>
      </c>
      <c r="N23" s="82"/>
      <c r="O23" s="91">
        <f>ROUND(G23*(1+$U$6),5)</f>
        <v>8.6300000000000005E-3</v>
      </c>
      <c r="P23" s="82" t="s">
        <v>111</v>
      </c>
      <c r="Q23" s="83"/>
      <c r="R23" s="92">
        <f t="shared" si="1"/>
        <v>1.9900000000000004E-3</v>
      </c>
      <c r="S23" s="90">
        <f>R23/G23</f>
        <v>0.29969879518072295</v>
      </c>
    </row>
    <row r="24" spans="3:19" ht="18.75" x14ac:dyDescent="0.3">
      <c r="C24" s="81"/>
      <c r="D24" s="82"/>
      <c r="E24" s="87"/>
      <c r="F24" s="82"/>
      <c r="G24" s="93"/>
      <c r="H24" s="82"/>
      <c r="I24" s="82"/>
      <c r="J24" s="81"/>
      <c r="K24" s="82"/>
      <c r="L24" s="82"/>
      <c r="M24" s="87"/>
      <c r="N24" s="82"/>
      <c r="O24" s="93"/>
      <c r="P24" s="82"/>
      <c r="Q24" s="83"/>
      <c r="R24" s="92"/>
      <c r="S24" s="90"/>
    </row>
    <row r="25" spans="3:19" ht="18.75" x14ac:dyDescent="0.3">
      <c r="C25" s="85" t="s">
        <v>114</v>
      </c>
      <c r="D25" s="82"/>
      <c r="E25" s="82"/>
      <c r="F25" s="82"/>
      <c r="G25" s="82"/>
      <c r="H25" s="82"/>
      <c r="I25" s="82"/>
      <c r="J25" s="81"/>
      <c r="K25" s="86" t="s">
        <v>114</v>
      </c>
      <c r="L25" s="82"/>
      <c r="M25" s="82"/>
      <c r="N25" s="82"/>
      <c r="O25" s="93"/>
      <c r="P25" s="82"/>
      <c r="Q25" s="83"/>
      <c r="R25" s="92"/>
      <c r="S25" s="90"/>
    </row>
    <row r="26" spans="3:19" ht="18.75" x14ac:dyDescent="0.3">
      <c r="C26" s="81" t="s">
        <v>100</v>
      </c>
      <c r="D26" s="82"/>
      <c r="E26" s="87">
        <v>50000</v>
      </c>
      <c r="F26" s="82"/>
      <c r="G26" s="88">
        <v>398.13</v>
      </c>
      <c r="H26" s="82" t="s">
        <v>110</v>
      </c>
      <c r="I26" s="82"/>
      <c r="J26" s="81"/>
      <c r="K26" s="82" t="s">
        <v>100</v>
      </c>
      <c r="L26" s="82"/>
      <c r="M26" s="87">
        <v>50000</v>
      </c>
      <c r="N26" s="82"/>
      <c r="O26" s="93">
        <f>ROUND(G26*(1+$U$6),5)</f>
        <v>517.52918999999997</v>
      </c>
      <c r="P26" s="82" t="s">
        <v>110</v>
      </c>
      <c r="Q26" s="83"/>
      <c r="R26" s="89">
        <f t="shared" si="1"/>
        <v>119.39918999999998</v>
      </c>
      <c r="S26" s="90">
        <f>R26/G26</f>
        <v>0.29990000753522711</v>
      </c>
    </row>
    <row r="27" spans="3:19" ht="18.75" x14ac:dyDescent="0.3">
      <c r="C27" s="81" t="s">
        <v>97</v>
      </c>
      <c r="D27" s="82"/>
      <c r="E27" s="87">
        <v>50000</v>
      </c>
      <c r="F27" s="82"/>
      <c r="G27" s="82">
        <v>6.6400000000000001E-3</v>
      </c>
      <c r="H27" s="82" t="s">
        <v>111</v>
      </c>
      <c r="I27" s="82"/>
      <c r="J27" s="81"/>
      <c r="K27" s="82" t="s">
        <v>97</v>
      </c>
      <c r="L27" s="82"/>
      <c r="M27" s="87">
        <v>50000</v>
      </c>
      <c r="N27" s="82"/>
      <c r="O27" s="91">
        <f>ROUND(G27*(1+$U$6),5)</f>
        <v>8.6300000000000005E-3</v>
      </c>
      <c r="P27" s="82" t="s">
        <v>111</v>
      </c>
      <c r="Q27" s="83"/>
      <c r="R27" s="92">
        <f t="shared" si="1"/>
        <v>1.9900000000000004E-3</v>
      </c>
      <c r="S27" s="90">
        <f>R27/G27</f>
        <v>0.29969879518072295</v>
      </c>
    </row>
    <row r="28" spans="3:19" ht="18.75" x14ac:dyDescent="0.3">
      <c r="C28" s="81"/>
      <c r="D28" s="82"/>
      <c r="E28" s="87"/>
      <c r="F28" s="82"/>
      <c r="G28" s="82"/>
      <c r="H28" s="82"/>
      <c r="I28" s="82"/>
      <c r="J28" s="81"/>
      <c r="K28" s="82"/>
      <c r="L28" s="82"/>
      <c r="M28" s="87"/>
      <c r="N28" s="82"/>
      <c r="O28" s="91"/>
      <c r="P28" s="82"/>
      <c r="Q28" s="83"/>
      <c r="R28" s="92"/>
      <c r="S28" s="90"/>
    </row>
    <row r="29" spans="3:19" ht="18.75" x14ac:dyDescent="0.3">
      <c r="C29" s="85" t="s">
        <v>92</v>
      </c>
      <c r="D29" s="82"/>
      <c r="E29" s="87"/>
      <c r="F29" s="82"/>
      <c r="G29" s="82"/>
      <c r="H29" s="82"/>
      <c r="I29" s="82"/>
      <c r="J29" s="81"/>
      <c r="K29" s="86" t="s">
        <v>92</v>
      </c>
      <c r="L29" s="82"/>
      <c r="M29" s="87"/>
      <c r="N29" s="82"/>
      <c r="O29" s="91"/>
      <c r="P29" s="82"/>
      <c r="Q29" s="83"/>
      <c r="R29" s="92"/>
      <c r="S29" s="90"/>
    </row>
    <row r="30" spans="3:19" ht="18.75" x14ac:dyDescent="0.3">
      <c r="C30" s="81" t="s">
        <v>115</v>
      </c>
      <c r="D30" s="82"/>
      <c r="E30" s="87"/>
      <c r="F30" s="82"/>
      <c r="G30" s="82">
        <v>4.4600000000000004E-3</v>
      </c>
      <c r="H30" s="82" t="s">
        <v>111</v>
      </c>
      <c r="I30" s="82"/>
      <c r="J30" s="81"/>
      <c r="K30" s="82" t="s">
        <v>115</v>
      </c>
      <c r="L30" s="82"/>
      <c r="M30" s="87"/>
      <c r="N30" s="82"/>
      <c r="O30" s="91">
        <f t="shared" ref="O30" si="2">ROUND(G30*(1+$U$6),5)</f>
        <v>5.7999999999999996E-3</v>
      </c>
      <c r="P30" s="82" t="s">
        <v>111</v>
      </c>
      <c r="Q30" s="83"/>
      <c r="R30" s="92">
        <f t="shared" si="1"/>
        <v>1.3399999999999992E-3</v>
      </c>
      <c r="S30" s="90">
        <f t="shared" ref="S30" si="3">R30/G30</f>
        <v>0.30044843049327336</v>
      </c>
    </row>
    <row r="31" spans="3:19" ht="18.75" x14ac:dyDescent="0.3">
      <c r="C31" s="94"/>
      <c r="D31" s="95"/>
      <c r="E31" s="96"/>
      <c r="F31" s="95"/>
      <c r="G31" s="95"/>
      <c r="H31" s="95"/>
      <c r="I31" s="95"/>
      <c r="J31" s="94"/>
      <c r="K31" s="95"/>
      <c r="L31" s="95"/>
      <c r="M31" s="96"/>
      <c r="N31" s="95"/>
      <c r="O31" s="97"/>
      <c r="P31" s="95"/>
      <c r="Q31" s="98"/>
      <c r="R31" s="94"/>
      <c r="S31" s="99"/>
    </row>
  </sheetData>
  <mergeCells count="1">
    <mergeCell ref="C4:Q4"/>
  </mergeCells>
  <pageMargins left="0.7" right="0.7" top="0.75" bottom="0.75" header="0.3" footer="0.3"/>
  <pageSetup scale="3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9D628-DA6B-41D4-992A-051FD157D148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SAO</vt:lpstr>
      <vt:lpstr>RR-OR</vt:lpstr>
      <vt:lpstr>Dep</vt:lpstr>
      <vt:lpstr>AvgDebt1</vt:lpstr>
      <vt:lpstr>Salaries</vt:lpstr>
      <vt:lpstr>BAE</vt:lpstr>
      <vt:lpstr>BAP</vt:lpstr>
      <vt:lpstr>ProposedRates</vt:lpstr>
      <vt:lpstr>Sheet1</vt:lpstr>
      <vt:lpstr>BAE!Print_Area</vt:lpstr>
      <vt:lpstr>BAP!Print_Area</vt:lpstr>
      <vt:lpstr>ProposedRates!Print_Area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P. Foster</dc:creator>
  <cp:lastModifiedBy>David P. Foster</cp:lastModifiedBy>
  <cp:lastPrinted>2026-07-31T19:28:44Z</cp:lastPrinted>
  <dcterms:created xsi:type="dcterms:W3CDTF">2025-06-05T14:42:58Z</dcterms:created>
  <dcterms:modified xsi:type="dcterms:W3CDTF">2026-10-12T18:56:11Z</dcterms:modified>
</cp:coreProperties>
</file>