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79E48913-2E02-4540-806C-62B0FC0E9480}" xr6:coauthVersionLast="47" xr6:coauthVersionMax="47" xr10:uidLastSave="{00000000-0000-0000-0000-000000000000}"/>
  <bookViews>
    <workbookView xWindow="-120" yWindow="-120" windowWidth="29040" windowHeight="15720" tabRatio="813" activeTab="2" xr2:uid="{B9571C84-D49D-4381-BE20-4BF24A1DB74A}"/>
  </bookViews>
  <sheets>
    <sheet name="SAO" sheetId="1" r:id="rId1"/>
    <sheet name="RR-DC" sheetId="2" r:id="rId2"/>
    <sheet name="RR-OR" sheetId="12" r:id="rId3"/>
    <sheet name="Dep" sheetId="3" r:id="rId4"/>
    <sheet name="AvgDebt" sheetId="4" r:id="rId5"/>
    <sheet name="Salaries" sheetId="5" r:id="rId6"/>
    <sheet name="WaterLoss" sheetId="13" r:id="rId7"/>
    <sheet name="BAE" sheetId="6" r:id="rId8"/>
    <sheet name="BAP" sheetId="7" r:id="rId9"/>
    <sheet name="ProposedRates" sheetId="8" r:id="rId10"/>
    <sheet name="USDALoan" sheetId="10" r:id="rId11"/>
    <sheet name="KIA#B17-011" sheetId="11" r:id="rId12"/>
  </sheets>
  <definedNames>
    <definedName name="_xlnm.Print_Area" localSheetId="7">BAE!$A$1:$J$127</definedName>
    <definedName name="_xlnm.Print_Area" localSheetId="8">BAP!$A$1:$J$128</definedName>
    <definedName name="_xlnm.Print_Area" localSheetId="9">ProposedRates!$B$4:$R$31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bbf6afb9-bb2f-4458-a692-7b0b22ea2805" name="Table001  Page 1" connection="Query - Table001 (Page 1)"/>
          <x15:modelTable id="Page001_d81d8e76-891e-4d68-a725-1f4b56506b0f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J7" i="1"/>
  <c r="G18" i="6"/>
  <c r="Y15" i="8" l="1"/>
  <c r="L31" i="6"/>
  <c r="N47" i="1"/>
  <c r="N8" i="1"/>
  <c r="N7" i="1"/>
  <c r="Y17" i="8"/>
  <c r="Y16" i="8"/>
  <c r="X15" i="8"/>
  <c r="E8" i="6" l="1"/>
  <c r="E15" i="6" s="1"/>
  <c r="F8" i="6"/>
  <c r="F15" i="6" s="1"/>
  <c r="E9" i="6"/>
  <c r="F9" i="6"/>
  <c r="G9" i="6"/>
  <c r="E10" i="6"/>
  <c r="F10" i="6"/>
  <c r="G10" i="6"/>
  <c r="E11" i="6"/>
  <c r="F11" i="6"/>
  <c r="G11" i="6"/>
  <c r="E12" i="6"/>
  <c r="F12" i="6"/>
  <c r="G12" i="6"/>
  <c r="F13" i="6"/>
  <c r="G13" i="6"/>
  <c r="E24" i="6"/>
  <c r="F24" i="6"/>
  <c r="G24" i="6"/>
  <c r="H24" i="6"/>
  <c r="I24" i="6"/>
  <c r="J25" i="6"/>
  <c r="J26" i="6"/>
  <c r="J27" i="6"/>
  <c r="J28" i="6"/>
  <c r="J29" i="6"/>
  <c r="C31" i="6"/>
  <c r="D31" i="6"/>
  <c r="E31" i="6"/>
  <c r="F31" i="6"/>
  <c r="G31" i="6"/>
  <c r="H31" i="6"/>
  <c r="I31" i="6"/>
  <c r="J31" i="6"/>
  <c r="B36" i="6"/>
  <c r="C36" i="6"/>
  <c r="D36" i="6"/>
  <c r="F36" i="6"/>
  <c r="B37" i="6"/>
  <c r="D37" i="6"/>
  <c r="F37" i="6"/>
  <c r="B38" i="6"/>
  <c r="D38" i="6"/>
  <c r="F38" i="6"/>
  <c r="B39" i="6"/>
  <c r="D39" i="6"/>
  <c r="D42" i="6" s="1"/>
  <c r="F39" i="6"/>
  <c r="F42" i="6" s="1"/>
  <c r="G8" i="6" s="1"/>
  <c r="G15" i="6" s="1"/>
  <c r="B40" i="6"/>
  <c r="D40" i="6"/>
  <c r="F40" i="6"/>
  <c r="C42" i="6"/>
  <c r="AC18" i="8" l="1"/>
  <c r="Y19" i="8" l="1"/>
  <c r="Y18" i="8"/>
  <c r="X19" i="8"/>
  <c r="X18" i="8"/>
  <c r="X17" i="8"/>
  <c r="X16" i="8"/>
  <c r="L126" i="6"/>
  <c r="L114" i="6"/>
  <c r="L96" i="6"/>
  <c r="L76" i="6"/>
  <c r="K11" i="12" l="1"/>
  <c r="G8" i="12"/>
  <c r="K5" i="12"/>
  <c r="K7" i="12" s="1"/>
  <c r="K10" i="12" s="1"/>
  <c r="K13" i="12" s="1"/>
  <c r="K14" i="12" s="1"/>
  <c r="K7" i="2"/>
  <c r="E126" i="6"/>
  <c r="I72" i="7" l="1"/>
  <c r="I71" i="7"/>
  <c r="P59" i="7"/>
  <c r="K9" i="3" l="1"/>
  <c r="K7" i="3"/>
  <c r="G7" i="3"/>
  <c r="K6" i="3"/>
  <c r="P41" i="1" l="1"/>
  <c r="P33" i="1"/>
  <c r="Q8" i="1"/>
  <c r="V11" i="4"/>
  <c r="T8" i="4"/>
  <c r="S8" i="4"/>
  <c r="Q8" i="4"/>
  <c r="P8" i="4"/>
  <c r="M8" i="4"/>
  <c r="N8" i="4"/>
  <c r="N9" i="6"/>
  <c r="P33" i="10"/>
  <c r="J26" i="1"/>
  <c r="N49" i="1"/>
  <c r="J49" i="1"/>
  <c r="J24" i="1"/>
  <c r="P34" i="5"/>
  <c r="P33" i="5"/>
  <c r="P5" i="5"/>
  <c r="P4" i="5"/>
  <c r="P13" i="5"/>
  <c r="P32" i="5"/>
  <c r="P34" i="10"/>
  <c r="P35" i="10"/>
  <c r="AA26" i="5"/>
  <c r="AA23" i="5"/>
  <c r="P20" i="5"/>
  <c r="P30" i="5"/>
  <c r="P25" i="5"/>
  <c r="P17" i="5"/>
  <c r="P22" i="5"/>
  <c r="P27" i="5"/>
  <c r="P18" i="5"/>
  <c r="P8" i="5"/>
  <c r="P6" i="5"/>
  <c r="P7" i="5"/>
  <c r="P9" i="5"/>
  <c r="P10" i="5"/>
  <c r="P11" i="5"/>
  <c r="G3" i="4"/>
  <c r="P41" i="10"/>
  <c r="P39" i="10"/>
  <c r="P37" i="10"/>
  <c r="K33" i="10"/>
  <c r="P28" i="10"/>
  <c r="Q27" i="10"/>
  <c r="Q28" i="10"/>
  <c r="Q26" i="10"/>
  <c r="P27" i="10"/>
  <c r="P26" i="10"/>
  <c r="P22" i="10"/>
  <c r="Q22" i="10"/>
  <c r="Q21" i="10"/>
  <c r="P21" i="10"/>
  <c r="Q20" i="10"/>
  <c r="P20" i="10"/>
  <c r="Q19" i="6" l="1"/>
  <c r="Q18" i="6"/>
  <c r="N4" i="5"/>
  <c r="L6" i="5"/>
  <c r="L8" i="5"/>
  <c r="L9" i="5"/>
  <c r="L10" i="5"/>
  <c r="L11" i="5"/>
  <c r="L5" i="5"/>
  <c r="K9" i="5"/>
  <c r="N9" i="5" s="1"/>
  <c r="K10" i="5"/>
  <c r="N10" i="5" s="1"/>
  <c r="K11" i="5"/>
  <c r="N11" i="5" s="1"/>
  <c r="K8" i="5"/>
  <c r="N8" i="5" s="1"/>
  <c r="K7" i="5"/>
  <c r="N7" i="5" s="1"/>
  <c r="K6" i="5"/>
  <c r="N6" i="5" s="1"/>
  <c r="K5" i="5"/>
  <c r="N5" i="5" s="1"/>
  <c r="K4" i="5"/>
  <c r="I6" i="5"/>
  <c r="I8" i="5"/>
  <c r="I9" i="5"/>
  <c r="I10" i="5"/>
  <c r="I11" i="5"/>
  <c r="I5" i="5"/>
  <c r="N13" i="5" l="1"/>
  <c r="V7" i="4"/>
  <c r="Z8" i="4"/>
  <c r="Y8" i="4"/>
  <c r="V8" i="4"/>
  <c r="V10" i="4" s="1"/>
  <c r="Z7" i="4"/>
  <c r="T7" i="4"/>
  <c r="S7" i="4"/>
  <c r="Y7" i="4"/>
  <c r="Q7" i="4"/>
  <c r="P7" i="4"/>
  <c r="X7" i="4"/>
  <c r="N7" i="4"/>
  <c r="M7" i="4"/>
  <c r="K3" i="2" l="1"/>
  <c r="V12" i="4"/>
  <c r="K4" i="2" s="1"/>
  <c r="X8" i="4"/>
  <c r="B120" i="7"/>
  <c r="B119" i="7"/>
  <c r="F114" i="7"/>
  <c r="D120" i="7" s="1"/>
  <c r="E114" i="7"/>
  <c r="D119" i="7" s="1"/>
  <c r="D122" i="7" s="1"/>
  <c r="D114" i="7"/>
  <c r="F12" i="7" s="1"/>
  <c r="C114" i="7"/>
  <c r="C119" i="7" s="1"/>
  <c r="G112" i="7"/>
  <c r="G111" i="7"/>
  <c r="G114" i="7" s="1"/>
  <c r="E110" i="7"/>
  <c r="D103" i="7"/>
  <c r="B103" i="7"/>
  <c r="B102" i="7"/>
  <c r="B101" i="7"/>
  <c r="G96" i="7"/>
  <c r="F96" i="7"/>
  <c r="D102" i="7" s="1"/>
  <c r="E96" i="7"/>
  <c r="D101" i="7" s="1"/>
  <c r="D105" i="7" s="1"/>
  <c r="D96" i="7"/>
  <c r="C96" i="7"/>
  <c r="C101" i="7" s="1"/>
  <c r="H94" i="7"/>
  <c r="H93" i="7"/>
  <c r="H92" i="7"/>
  <c r="H96" i="7" s="1"/>
  <c r="G91" i="7"/>
  <c r="F91" i="7"/>
  <c r="E91" i="7"/>
  <c r="D84" i="7"/>
  <c r="B84" i="7"/>
  <c r="B83" i="7"/>
  <c r="B82" i="7"/>
  <c r="B81" i="7"/>
  <c r="H76" i="7"/>
  <c r="G76" i="7"/>
  <c r="D83" i="7" s="1"/>
  <c r="F76" i="7"/>
  <c r="D82" i="7" s="1"/>
  <c r="E76" i="7"/>
  <c r="D81" i="7" s="1"/>
  <c r="D86" i="7" s="1"/>
  <c r="D76" i="7"/>
  <c r="F10" i="7" s="1"/>
  <c r="C76" i="7"/>
  <c r="C81" i="7" s="1"/>
  <c r="I74" i="7"/>
  <c r="I73" i="7"/>
  <c r="I76" i="7"/>
  <c r="H70" i="7"/>
  <c r="G70" i="7"/>
  <c r="F70" i="7"/>
  <c r="E70" i="7"/>
  <c r="B63" i="7"/>
  <c r="B62" i="7"/>
  <c r="D61" i="7"/>
  <c r="B61" i="7"/>
  <c r="D60" i="7"/>
  <c r="B60" i="7"/>
  <c r="D59" i="7"/>
  <c r="C59" i="7"/>
  <c r="C65" i="7" s="1"/>
  <c r="B59" i="7"/>
  <c r="J54" i="7"/>
  <c r="I54" i="7"/>
  <c r="D63" i="7" s="1"/>
  <c r="H54" i="7"/>
  <c r="D62" i="7" s="1"/>
  <c r="G54" i="7"/>
  <c r="F54" i="7"/>
  <c r="E54" i="7"/>
  <c r="D54" i="7"/>
  <c r="C54" i="7"/>
  <c r="J52" i="7"/>
  <c r="J51" i="7"/>
  <c r="J50" i="7"/>
  <c r="J49" i="7"/>
  <c r="J48" i="7"/>
  <c r="I47" i="7"/>
  <c r="H47" i="7"/>
  <c r="G47" i="7"/>
  <c r="F47" i="7"/>
  <c r="E47" i="7"/>
  <c r="D40" i="7"/>
  <c r="B40" i="7"/>
  <c r="D39" i="7"/>
  <c r="B39" i="7"/>
  <c r="B38" i="7"/>
  <c r="B37" i="7"/>
  <c r="B36" i="7"/>
  <c r="I31" i="7"/>
  <c r="H31" i="7"/>
  <c r="G31" i="7"/>
  <c r="D38" i="7" s="1"/>
  <c r="F31" i="7"/>
  <c r="D37" i="7" s="1"/>
  <c r="E31" i="7"/>
  <c r="D36" i="7" s="1"/>
  <c r="D42" i="7" s="1"/>
  <c r="D31" i="7"/>
  <c r="C31" i="7"/>
  <c r="C36" i="7" s="1"/>
  <c r="J29" i="7"/>
  <c r="J28" i="7"/>
  <c r="J27" i="7"/>
  <c r="J26" i="7"/>
  <c r="J25" i="7"/>
  <c r="J31" i="7" s="1"/>
  <c r="I24" i="7"/>
  <c r="H24" i="7"/>
  <c r="G24" i="7"/>
  <c r="F24" i="7"/>
  <c r="E24" i="7"/>
  <c r="F11" i="7"/>
  <c r="E11" i="7"/>
  <c r="F9" i="7"/>
  <c r="E9" i="7"/>
  <c r="F8" i="7"/>
  <c r="E8" i="7"/>
  <c r="C105" i="7" l="1"/>
  <c r="C42" i="7"/>
  <c r="C86" i="7"/>
  <c r="C122" i="7"/>
  <c r="F15" i="7"/>
  <c r="D65" i="7"/>
  <c r="E10" i="7"/>
  <c r="E15" i="7" s="1"/>
  <c r="E12" i="7"/>
  <c r="N18" i="6" l="1"/>
  <c r="C119" i="6"/>
  <c r="B120" i="6"/>
  <c r="B119" i="6"/>
  <c r="G112" i="6"/>
  <c r="G111" i="6"/>
  <c r="G114" i="6" s="1"/>
  <c r="F114" i="6"/>
  <c r="D120" i="6" s="1"/>
  <c r="F120" i="6" s="1"/>
  <c r="E114" i="6"/>
  <c r="D119" i="6" s="1"/>
  <c r="D122" i="6" s="1"/>
  <c r="D114" i="6"/>
  <c r="C114" i="6"/>
  <c r="E110" i="6"/>
  <c r="C101" i="6"/>
  <c r="C105" i="6" s="1"/>
  <c r="B103" i="6"/>
  <c r="B102" i="6"/>
  <c r="B101" i="6"/>
  <c r="H93" i="6"/>
  <c r="H94" i="6"/>
  <c r="H92" i="6"/>
  <c r="G91" i="6"/>
  <c r="G96" i="6"/>
  <c r="D103" i="6" s="1"/>
  <c r="F96" i="6"/>
  <c r="D102" i="6" s="1"/>
  <c r="F102" i="6" s="1"/>
  <c r="E96" i="6"/>
  <c r="D101" i="6" s="1"/>
  <c r="D96" i="6"/>
  <c r="C96" i="6"/>
  <c r="F91" i="6"/>
  <c r="E91" i="6"/>
  <c r="B82" i="6"/>
  <c r="B83" i="6"/>
  <c r="B81" i="6"/>
  <c r="B84" i="6"/>
  <c r="H70" i="6"/>
  <c r="I72" i="6"/>
  <c r="I73" i="6"/>
  <c r="I74" i="6"/>
  <c r="I71" i="6"/>
  <c r="H76" i="6"/>
  <c r="D84" i="6" s="1"/>
  <c r="G76" i="6"/>
  <c r="D83" i="6" s="1"/>
  <c r="F83" i="6" s="1"/>
  <c r="F76" i="6"/>
  <c r="D82" i="6" s="1"/>
  <c r="F82" i="6" s="1"/>
  <c r="E76" i="6"/>
  <c r="D81" i="6" s="1"/>
  <c r="D76" i="6"/>
  <c r="C76" i="6"/>
  <c r="C81" i="6" s="1"/>
  <c r="C86" i="6" s="1"/>
  <c r="G70" i="6"/>
  <c r="F70" i="6"/>
  <c r="E70" i="6"/>
  <c r="B60" i="6"/>
  <c r="B63" i="6"/>
  <c r="B62" i="6"/>
  <c r="B61" i="6"/>
  <c r="B59" i="6"/>
  <c r="D54" i="6"/>
  <c r="E54" i="6"/>
  <c r="D59" i="6" s="1"/>
  <c r="I54" i="6"/>
  <c r="D63" i="6" s="1"/>
  <c r="F63" i="6" s="1"/>
  <c r="H54" i="6"/>
  <c r="D62" i="6" s="1"/>
  <c r="F62" i="6" s="1"/>
  <c r="G54" i="6"/>
  <c r="D61" i="6" s="1"/>
  <c r="F61" i="6" s="1"/>
  <c r="F54" i="6"/>
  <c r="D60" i="6" s="1"/>
  <c r="F60" i="6" s="1"/>
  <c r="C54" i="6"/>
  <c r="C59" i="6" s="1"/>
  <c r="C65" i="6" s="1"/>
  <c r="J52" i="6"/>
  <c r="J51" i="6"/>
  <c r="J50" i="6"/>
  <c r="J49" i="6"/>
  <c r="J48" i="6"/>
  <c r="I47" i="6"/>
  <c r="H47" i="6"/>
  <c r="G47" i="6"/>
  <c r="F47" i="6"/>
  <c r="E47" i="6"/>
  <c r="C122" i="6" l="1"/>
  <c r="F119" i="6"/>
  <c r="F122" i="6" s="1"/>
  <c r="I76" i="6"/>
  <c r="F101" i="6"/>
  <c r="H96" i="6"/>
  <c r="F103" i="6" s="1"/>
  <c r="J54" i="6"/>
  <c r="D86" i="6"/>
  <c r="F84" i="6"/>
  <c r="F81" i="6"/>
  <c r="D65" i="6"/>
  <c r="F59" i="6"/>
  <c r="F65" i="6" s="1"/>
  <c r="F105" i="6" l="1"/>
  <c r="D105" i="6"/>
  <c r="F86" i="6"/>
  <c r="N27" i="11" l="1"/>
  <c r="N25" i="11"/>
  <c r="K37" i="10"/>
  <c r="K39" i="10" s="1"/>
  <c r="G7" i="4" s="1"/>
  <c r="G6" i="4" l="1"/>
  <c r="G9" i="4" s="1"/>
  <c r="K34" i="10"/>
  <c r="K35" i="10"/>
  <c r="P19" i="11"/>
  <c r="P20" i="11"/>
  <c r="P21" i="11"/>
  <c r="P22" i="11"/>
  <c r="P23" i="11"/>
  <c r="N23" i="11"/>
  <c r="N21" i="11"/>
  <c r="N19" i="11"/>
  <c r="N48" i="1" l="1"/>
  <c r="N25" i="1"/>
  <c r="N26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24" i="1"/>
  <c r="N16" i="1"/>
  <c r="N17" i="1"/>
  <c r="N18" i="1"/>
  <c r="N15" i="1"/>
  <c r="N19" i="1" s="1"/>
  <c r="N9" i="1"/>
  <c r="N10" i="1"/>
  <c r="N11" i="1"/>
  <c r="N12" i="1"/>
  <c r="F22" i="13"/>
  <c r="D22" i="13"/>
  <c r="M7" i="13"/>
  <c r="M11" i="13"/>
  <c r="F16" i="13"/>
  <c r="D16" i="13"/>
  <c r="M2" i="13" s="1"/>
  <c r="H19" i="1"/>
  <c r="H22" i="13" l="1"/>
  <c r="O11" i="13"/>
  <c r="M13" i="13"/>
  <c r="M16" i="13" s="1"/>
  <c r="M18" i="13" s="1"/>
  <c r="M3" i="13"/>
  <c r="C14" i="10"/>
  <c r="E14" i="10" s="1"/>
  <c r="G14" i="10" s="1"/>
  <c r="C12" i="10"/>
  <c r="C5" i="10"/>
  <c r="E5" i="10" s="1"/>
  <c r="G5" i="10" s="1"/>
  <c r="C6" i="10"/>
  <c r="C7" i="10"/>
  <c r="C8" i="10"/>
  <c r="C9" i="10"/>
  <c r="C10" i="10"/>
  <c r="E10" i="10" s="1"/>
  <c r="G10" i="10" s="1"/>
  <c r="C11" i="10"/>
  <c r="C13" i="10"/>
  <c r="C15" i="10"/>
  <c r="C16" i="10"/>
  <c r="C17" i="10"/>
  <c r="E17" i="10" s="1"/>
  <c r="G17" i="10" s="1"/>
  <c r="C18" i="10"/>
  <c r="E18" i="10" s="1"/>
  <c r="G18" i="10" s="1"/>
  <c r="C19" i="10"/>
  <c r="E19" i="10" s="1"/>
  <c r="G19" i="10" s="1"/>
  <c r="C20" i="10"/>
  <c r="E20" i="10" s="1"/>
  <c r="G20" i="10" s="1"/>
  <c r="C21" i="10"/>
  <c r="E21" i="10" s="1"/>
  <c r="G21" i="10" s="1"/>
  <c r="C22" i="10"/>
  <c r="E22" i="10" s="1"/>
  <c r="G22" i="10" s="1"/>
  <c r="C23" i="10"/>
  <c r="E23" i="10" s="1"/>
  <c r="G23" i="10" s="1"/>
  <c r="C24" i="10"/>
  <c r="E24" i="10" s="1"/>
  <c r="G24" i="10" s="1"/>
  <c r="C25" i="10"/>
  <c r="E25" i="10" s="1"/>
  <c r="G25" i="10" s="1"/>
  <c r="C26" i="10"/>
  <c r="E26" i="10" s="1"/>
  <c r="G26" i="10" s="1"/>
  <c r="C27" i="10"/>
  <c r="E27" i="10" s="1"/>
  <c r="G27" i="10" s="1"/>
  <c r="C28" i="10"/>
  <c r="E28" i="10" s="1"/>
  <c r="G28" i="10" s="1"/>
  <c r="C29" i="10"/>
  <c r="E29" i="10" s="1"/>
  <c r="G29" i="10" s="1"/>
  <c r="C30" i="10"/>
  <c r="C31" i="10"/>
  <c r="C32" i="10"/>
  <c r="C33" i="10"/>
  <c r="E33" i="10" s="1"/>
  <c r="G33" i="10" s="1"/>
  <c r="C34" i="10"/>
  <c r="E34" i="10" s="1"/>
  <c r="G34" i="10" s="1"/>
  <c r="C35" i="10"/>
  <c r="E35" i="10" s="1"/>
  <c r="G35" i="10" s="1"/>
  <c r="C36" i="10"/>
  <c r="E36" i="10" s="1"/>
  <c r="G36" i="10" s="1"/>
  <c r="C37" i="10"/>
  <c r="E37" i="10" s="1"/>
  <c r="G37" i="10" s="1"/>
  <c r="C38" i="10"/>
  <c r="E38" i="10" s="1"/>
  <c r="G38" i="10" s="1"/>
  <c r="C39" i="10"/>
  <c r="E39" i="10" s="1"/>
  <c r="G39" i="10" s="1"/>
  <c r="C40" i="10"/>
  <c r="E40" i="10" s="1"/>
  <c r="G40" i="10" s="1"/>
  <c r="C41" i="10"/>
  <c r="E41" i="10" s="1"/>
  <c r="G41" i="10" s="1"/>
  <c r="C4" i="10"/>
  <c r="E4" i="10" s="1"/>
  <c r="G4" i="10" s="1"/>
  <c r="E6" i="10"/>
  <c r="G6" i="10" s="1"/>
  <c r="E13" i="10"/>
  <c r="G13" i="10" s="1"/>
  <c r="E15" i="10"/>
  <c r="G15" i="10" s="1"/>
  <c r="E16" i="10"/>
  <c r="G16" i="10" s="1"/>
  <c r="E7" i="10"/>
  <c r="G7" i="10" s="1"/>
  <c r="B5" i="10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E8" i="10"/>
  <c r="G8" i="10" s="1"/>
  <c r="E9" i="10"/>
  <c r="G9" i="10" s="1"/>
  <c r="E11" i="10"/>
  <c r="G11" i="10" s="1"/>
  <c r="E12" i="10"/>
  <c r="G12" i="10" s="1"/>
  <c r="E30" i="10"/>
  <c r="G30" i="10" s="1"/>
  <c r="E31" i="10"/>
  <c r="G31" i="10" s="1"/>
  <c r="E32" i="10"/>
  <c r="G32" i="10" s="1"/>
  <c r="E3" i="10"/>
  <c r="G3" i="10" s="1"/>
  <c r="F23" i="13" l="1"/>
  <c r="F25" i="13" s="1"/>
  <c r="J28" i="1" s="1"/>
  <c r="N28" i="1" s="1"/>
  <c r="D23" i="13"/>
  <c r="D25" i="13" s="1"/>
  <c r="H23" i="13"/>
  <c r="H25" i="13"/>
  <c r="H13" i="1"/>
  <c r="H20" i="1" s="1"/>
  <c r="J13" i="1"/>
  <c r="N13" i="1"/>
  <c r="H47" i="1"/>
  <c r="H50" i="1" s="1"/>
  <c r="J19" i="1"/>
  <c r="K12" i="2" l="1"/>
  <c r="G11" i="12"/>
  <c r="I25" i="13"/>
  <c r="J27" i="1"/>
  <c r="H51" i="1"/>
  <c r="N20" i="1"/>
  <c r="J20" i="1"/>
  <c r="N27" i="1" l="1"/>
  <c r="N50" i="1" s="1"/>
  <c r="J47" i="1"/>
  <c r="J50" i="1" s="1"/>
  <c r="J51" i="1" s="1"/>
  <c r="N51" i="1" l="1"/>
  <c r="G3" i="12"/>
  <c r="G5" i="12" s="1"/>
  <c r="G7" i="12"/>
  <c r="G10" i="12" s="1"/>
  <c r="G13" i="12" s="1"/>
  <c r="G14" i="12" s="1"/>
  <c r="T6" i="8" s="1"/>
  <c r="N8" i="8" s="1"/>
  <c r="E36" i="7" s="1"/>
  <c r="K2" i="2"/>
  <c r="K6" i="2" s="1"/>
  <c r="K11" i="2" l="1"/>
  <c r="K14" i="2" s="1"/>
  <c r="K17" i="2" s="1"/>
  <c r="N27" i="8" s="1"/>
  <c r="N12" i="8"/>
  <c r="N22" i="8"/>
  <c r="N16" i="8"/>
  <c r="Q16" i="8" s="1"/>
  <c r="N9" i="8"/>
  <c r="E37" i="7" s="1"/>
  <c r="N21" i="8"/>
  <c r="N23" i="8"/>
  <c r="N10" i="8"/>
  <c r="N26" i="8"/>
  <c r="N11" i="8"/>
  <c r="N18" i="8"/>
  <c r="N15" i="8"/>
  <c r="N17" i="8"/>
  <c r="N30" i="8"/>
  <c r="Z19" i="8" s="1"/>
  <c r="E120" i="7" l="1"/>
  <c r="F120" i="7" s="1"/>
  <c r="Q27" i="8"/>
  <c r="R27" i="8" s="1"/>
  <c r="Z18" i="8"/>
  <c r="AB19" i="8"/>
  <c r="AA19" i="8"/>
  <c r="Z16" i="8"/>
  <c r="AA18" i="8"/>
  <c r="AB18" i="8"/>
  <c r="Z17" i="8"/>
  <c r="Z15" i="8"/>
  <c r="Q10" i="8"/>
  <c r="R10" i="8" s="1"/>
  <c r="E38" i="7"/>
  <c r="R16" i="8"/>
  <c r="E82" i="7"/>
  <c r="F82" i="7" s="1"/>
  <c r="Q22" i="8"/>
  <c r="R22" i="8" s="1"/>
  <c r="E102" i="7"/>
  <c r="F102" i="7" s="1"/>
  <c r="Q30" i="8"/>
  <c r="R30" i="8" s="1"/>
  <c r="D126" i="7"/>
  <c r="E126" i="7" s="1"/>
  <c r="G13" i="7" s="1"/>
  <c r="Q15" i="8"/>
  <c r="R15" i="8" s="1"/>
  <c r="E81" i="7"/>
  <c r="F81" i="7" s="1"/>
  <c r="Q18" i="8"/>
  <c r="R18" i="8" s="1"/>
  <c r="E84" i="7"/>
  <c r="F84" i="7" s="1"/>
  <c r="Q11" i="8"/>
  <c r="R11" i="8" s="1"/>
  <c r="E39" i="7"/>
  <c r="Q23" i="8"/>
  <c r="R23" i="8" s="1"/>
  <c r="E103" i="7"/>
  <c r="F103" i="7" s="1"/>
  <c r="Q8" i="8"/>
  <c r="R8" i="8" s="1"/>
  <c r="Q17" i="8"/>
  <c r="R17" i="8" s="1"/>
  <c r="E83" i="7"/>
  <c r="F83" i="7" s="1"/>
  <c r="Q26" i="8"/>
  <c r="R26" i="8" s="1"/>
  <c r="E119" i="7"/>
  <c r="F119" i="7" s="1"/>
  <c r="F122" i="7" s="1"/>
  <c r="G12" i="7" s="1"/>
  <c r="Q21" i="8"/>
  <c r="R21" i="8" s="1"/>
  <c r="E101" i="7"/>
  <c r="F101" i="7" s="1"/>
  <c r="Q9" i="8"/>
  <c r="R9" i="8" s="1"/>
  <c r="Q12" i="8"/>
  <c r="R12" i="8" s="1"/>
  <c r="E40" i="7"/>
  <c r="AB17" i="8" l="1"/>
  <c r="AA17" i="8"/>
  <c r="AB15" i="8"/>
  <c r="AA15" i="8"/>
  <c r="AB16" i="8"/>
  <c r="AA16" i="8"/>
  <c r="F105" i="7"/>
  <c r="G11" i="7" s="1"/>
  <c r="E59" i="7"/>
  <c r="F59" i="7" s="1"/>
  <c r="F36" i="7"/>
  <c r="F86" i="7"/>
  <c r="G10" i="7" s="1"/>
  <c r="E62" i="7"/>
  <c r="F62" i="7" s="1"/>
  <c r="F39" i="7"/>
  <c r="E63" i="7"/>
  <c r="F63" i="7" s="1"/>
  <c r="F40" i="7"/>
  <c r="E61" i="7"/>
  <c r="F61" i="7" s="1"/>
  <c r="F38" i="7"/>
  <c r="E60" i="7"/>
  <c r="F60" i="7" s="1"/>
  <c r="F37" i="7"/>
  <c r="F42" i="7" l="1"/>
  <c r="G8" i="7" s="1"/>
  <c r="F65" i="7"/>
  <c r="G9" i="7" s="1"/>
  <c r="G15" i="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B156B4-1D81-47EC-8CC3-C178E42B7573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61d18b50-0041-457b-a196-58b32b8662fa"/>
      </ext>
    </extLst>
  </connection>
  <connection id="2" xr16:uid="{AAD91275-46DE-4D1B-B331-624C5719C5AF}" keepAlive="1" name="Query - Page001 (2)" description="Connection to the 'Page001 (2)' query in the workbook.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760D15DE-21C7-4A01-9167-B8591BF76D9F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afd691d2-a921-4502-817d-681487718d72"/>
      </ext>
    </extLst>
  </connection>
  <connection id="4" xr16:uid="{115574C2-ABCB-4C56-B831-785747EBC52E}" keepAlive="1" name="Query - Table001 (Page 1) (2)" description="Connection to the 'Table001 (Page 1) (2)' query in the workbook." type="5" refreshedVersion="0" background="1" saveData="1">
    <dbPr connection="Provider=Microsoft.Mashup.OleDb.1;Data Source=$Workbook$;Location=&quot;Table001 (Page 1) (2)&quot;;Extended Properties=&quot;&quot;" command="SELECT * FROM [Table001 (Page 1) (2)]"/>
  </connection>
  <connection id="5" xr16:uid="{3C2D160F-BD0F-452E-8E9F-EA682F954F97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<sst xmlns="http://schemas.openxmlformats.org/spreadsheetml/2006/main" count="663" uniqueCount="309">
  <si>
    <t>Test Year</t>
  </si>
  <si>
    <t>Adjustment</t>
  </si>
  <si>
    <t>Ref.</t>
  </si>
  <si>
    <t>Pro Forma</t>
  </si>
  <si>
    <t>Operating Revenues</t>
  </si>
  <si>
    <t>Sales to Residential Customers</t>
  </si>
  <si>
    <t>Sales to Commercial Customers</t>
  </si>
  <si>
    <t>Sales to Public Authorities</t>
  </si>
  <si>
    <t>Other Water Revenues</t>
  </si>
  <si>
    <t>Miscellaneous Service Revenues</t>
  </si>
  <si>
    <t>Total Other Water Revenues</t>
  </si>
  <si>
    <t>Total Operating Revenues</t>
  </si>
  <si>
    <t>Operating Expenses</t>
  </si>
  <si>
    <t>Salaries and Wages - Employees</t>
  </si>
  <si>
    <t>Salaries and Wages - Officers</t>
  </si>
  <si>
    <t>Employee Pensions and Benefits</t>
  </si>
  <si>
    <t>Purchased Water</t>
  </si>
  <si>
    <t>Purchased Power</t>
  </si>
  <si>
    <t>Materials and Supplies</t>
  </si>
  <si>
    <t>Contractual Services - Acct.</t>
  </si>
  <si>
    <t>Contractual Services - Legal</t>
  </si>
  <si>
    <t>Contractual Services - Other</t>
  </si>
  <si>
    <t>Insurance - General Liability</t>
  </si>
  <si>
    <t>Insurance - Other</t>
  </si>
  <si>
    <t>Bad Debt</t>
  </si>
  <si>
    <t>Miscellaneous Expenses</t>
  </si>
  <si>
    <t>Total Operation and Maintenance Expenses</t>
  </si>
  <si>
    <t>Depreciation Expense</t>
  </si>
  <si>
    <t>Taxes Other Than Income</t>
  </si>
  <si>
    <t>Total Operating Expenses</t>
  </si>
  <si>
    <t>Utility Operating Income</t>
  </si>
  <si>
    <t>Operating and Maintenance Expenses</t>
  </si>
  <si>
    <t>Insurance - Workers Compensation</t>
  </si>
  <si>
    <t>Pro Forma Operating Expenses</t>
  </si>
  <si>
    <t>Plus: Average Annual Debt Principal and Interest Payments</t>
  </si>
  <si>
    <t>Debt Coverage Requirement</t>
  </si>
  <si>
    <t>Total Revenue Requirement</t>
  </si>
  <si>
    <t>Less: Other Operating Revenue</t>
  </si>
  <si>
    <t>Non-operating Revenue</t>
  </si>
  <si>
    <t>Interest Income</t>
  </si>
  <si>
    <t>Revenue Required from Rates</t>
  </si>
  <si>
    <t>Less: Revenue from Sales at Present Rates</t>
  </si>
  <si>
    <t>Required Revenue Increase</t>
  </si>
  <si>
    <t>Required Revenue Increase Stated as a Percentage of Revenue at Present Rates</t>
  </si>
  <si>
    <t>Transportation Expenses</t>
  </si>
  <si>
    <t>ALTERNATIVE RATE FILING</t>
  </si>
  <si>
    <t>Sales to Industrial Customers</t>
  </si>
  <si>
    <t>Sales to Multiple Family Dwellings</t>
  </si>
  <si>
    <t>Sales through Bulk Loading Stations</t>
  </si>
  <si>
    <t>Total Metered Sales of Water</t>
  </si>
  <si>
    <t>Metered Water Revenue</t>
  </si>
  <si>
    <t>Fuel for Power Production</t>
  </si>
  <si>
    <t>Chemicals</t>
  </si>
  <si>
    <t>Contractual Services - Eng.</t>
  </si>
  <si>
    <t>Contractual Services - Management Fees</t>
  </si>
  <si>
    <t>Contractual Services - Water Testing</t>
  </si>
  <si>
    <t>Rental of Bld./Real Property</t>
  </si>
  <si>
    <t>Rental of Equipment</t>
  </si>
  <si>
    <t>Insurance - Vehicle</t>
  </si>
  <si>
    <t>Debt Coverage Requirement:</t>
  </si>
  <si>
    <t>Average Annual Debt Principal and Interest Payments</t>
  </si>
  <si>
    <t>Times :DSC Coverage Ratio</t>
  </si>
  <si>
    <t>Less: Average Annual Principal and Interest Payments</t>
  </si>
  <si>
    <t>Additional Working Capital</t>
  </si>
  <si>
    <t>3-Year</t>
  </si>
  <si>
    <t>5-Year</t>
  </si>
  <si>
    <t>SCHEDULE OF ADJUSTED OPERATIONS - (SOUTH HOPKINS WATER DISTRICT) - (TY2025)</t>
  </si>
  <si>
    <t>PMT YEAR</t>
  </si>
  <si>
    <t>UNPAID BALANCE</t>
  </si>
  <si>
    <t>INT DUE</t>
  </si>
  <si>
    <t>PRINCIPAL DUE</t>
  </si>
  <si>
    <t>TOTAL PAYMENT</t>
  </si>
  <si>
    <t>TOTAL DEBT SERVICE</t>
  </si>
  <si>
    <t>INTEREST DUE 7/1</t>
  </si>
  <si>
    <t>12/01/21</t>
  </si>
  <si>
    <t>06/01/22</t>
  </si>
  <si>
    <t>12/01/22</t>
  </si>
  <si>
    <t>06/01/23</t>
  </si>
  <si>
    <t>12/01/23</t>
  </si>
  <si>
    <t>06/01/24</t>
  </si>
  <si>
    <t>12/01/24</t>
  </si>
  <si>
    <t>06/01/25</t>
  </si>
  <si>
    <t>12/01/25</t>
  </si>
  <si>
    <t>06/01/26</t>
  </si>
  <si>
    <t>12/01/26</t>
  </si>
  <si>
    <t>06/01/27</t>
  </si>
  <si>
    <t>12/01/27</t>
  </si>
  <si>
    <t>06/01/28</t>
  </si>
  <si>
    <t>12/01/28</t>
  </si>
  <si>
    <t>06/01/29</t>
  </si>
  <si>
    <t>12/01/29</t>
  </si>
  <si>
    <t>06/01/30</t>
  </si>
  <si>
    <t>12/01/30</t>
  </si>
  <si>
    <t>06/01/31</t>
  </si>
  <si>
    <t>12/01/31</t>
  </si>
  <si>
    <t>06/01/32</t>
  </si>
  <si>
    <t>12/01/32</t>
  </si>
  <si>
    <t>06/01/33</t>
  </si>
  <si>
    <t>12/01/33</t>
  </si>
  <si>
    <t>06/01/34</t>
  </si>
  <si>
    <t>12/01/34</t>
  </si>
  <si>
    <t>06/01/35</t>
  </si>
  <si>
    <t>12/01/35</t>
  </si>
  <si>
    <t>06/01/36</t>
  </si>
  <si>
    <t>12/01/36</t>
  </si>
  <si>
    <t>06/01/37</t>
  </si>
  <si>
    <t>12/01/37</t>
  </si>
  <si>
    <t>06/01/38</t>
  </si>
  <si>
    <t>12/01/38</t>
  </si>
  <si>
    <t>06/01/39</t>
  </si>
  <si>
    <t>12/01/39</t>
  </si>
  <si>
    <t>06/01/40</t>
  </si>
  <si>
    <t>12/01/40</t>
  </si>
  <si>
    <t>06/01/41</t>
  </si>
  <si>
    <t>Totals</t>
  </si>
  <si>
    <t>KENTUCKY INFRASTRUCTURE AUTHORITY</t>
  </si>
  <si>
    <t>REPAYMENT SCHEDULE</t>
  </si>
  <si>
    <t>LOAN #B17-011</t>
  </si>
  <si>
    <t>SOUTH HOPKINS WATER DISTRICT</t>
  </si>
  <si>
    <t>1.75% Interest</t>
  </si>
  <si>
    <t>FINAL</t>
  </si>
  <si>
    <t>P &amp; I Calculation</t>
  </si>
  <si>
    <t>Payment
Date</t>
  </si>
  <si>
    <t>Principal
Due</t>
  </si>
  <si>
    <t>Interest
Due</t>
  </si>
  <si>
    <t>Interest
Rate</t>
  </si>
  <si>
    <t>Principal
&amp; Interest</t>
  </si>
  <si>
    <t>Servicing
Fee</t>
  </si>
  <si>
    <t>Credit
Due</t>
  </si>
  <si>
    <t>Total
Payment</t>
  </si>
  <si>
    <t>Principal
Balance</t>
  </si>
  <si>
    <t>R &amp; M
Reserve</t>
  </si>
  <si>
    <t>Total
Reserve</t>
  </si>
  <si>
    <t>Created by KIA on</t>
  </si>
  <si>
    <t>12/02/2025</t>
  </si>
  <si>
    <t>The principal balance of the loan increased by $29,458 on 12/15/21 to include an additional draw</t>
  </si>
  <si>
    <t>Divided by:  Operating Ratio</t>
  </si>
  <si>
    <t xml:space="preserve">  Subtotal</t>
  </si>
  <si>
    <t>Plus:</t>
  </si>
  <si>
    <t>Interest Expense</t>
  </si>
  <si>
    <t>Less:</t>
  </si>
  <si>
    <t>Other Operating Revenue</t>
  </si>
  <si>
    <t>Non-Utility Income</t>
  </si>
  <si>
    <t>Revenue Required From Sales of Water</t>
  </si>
  <si>
    <t>Percent Increase</t>
  </si>
  <si>
    <t>Revenue from Metered Sales with Present Rates</t>
  </si>
  <si>
    <t>Sales for Resale</t>
  </si>
  <si>
    <t>Forfeited Discounts</t>
  </si>
  <si>
    <t>Annual Report - 2025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</si>
  <si>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</si>
  <si>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</si>
  <si>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</si>
  <si>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</si>
  <si>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</si>
  <si>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</si>
  <si>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</si>
  <si>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</si>
  <si>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</si>
  <si>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</si>
  <si>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</si>
  <si>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</si>
  <si>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Pumped and/or Purchased</t>
  </si>
  <si>
    <t>Water Sold to Customers</t>
  </si>
  <si>
    <t>Total</t>
  </si>
  <si>
    <t>Produced and/or Purchased</t>
  </si>
  <si>
    <t>Gallons Sold</t>
  </si>
  <si>
    <t>Other Water Used</t>
  </si>
  <si>
    <t>System Flushing</t>
  </si>
  <si>
    <t>Fire Department</t>
  </si>
  <si>
    <t>Total: Other Water Used</t>
  </si>
  <si>
    <t>Line Leaks</t>
  </si>
  <si>
    <t>Other Loss</t>
  </si>
  <si>
    <t>Total Water Loss</t>
  </si>
  <si>
    <t>Water Loss Percentage</t>
  </si>
  <si>
    <t>Allowable in Rates</t>
  </si>
  <si>
    <t>Realized Water Loss Percentage</t>
  </si>
  <si>
    <t>Excess Water Expense Adjustment</t>
  </si>
  <si>
    <t>Reported Purchased Water Expense</t>
  </si>
  <si>
    <t>Purchased</t>
  </si>
  <si>
    <t>Water</t>
  </si>
  <si>
    <t>Power</t>
  </si>
  <si>
    <t>Adjustment Percentage</t>
  </si>
  <si>
    <t>Adjustment Excess Water Expense</t>
  </si>
  <si>
    <t>South Hopkins Water District</t>
  </si>
  <si>
    <t>Depreciation History Report - 2025</t>
  </si>
  <si>
    <t>Asset Group</t>
  </si>
  <si>
    <t>Dep From Date</t>
  </si>
  <si>
    <t>Service Life</t>
  </si>
  <si>
    <t>Item Cost</t>
  </si>
  <si>
    <t>Prior Dep. Amount</t>
  </si>
  <si>
    <t>Beginning ValueTotal Selected Dep. Amount</t>
  </si>
  <si>
    <t>Ending Value</t>
  </si>
  <si>
    <t>3 - Year Principle &amp; Interest Payments</t>
  </si>
  <si>
    <t>3-Year Average</t>
  </si>
  <si>
    <t>CURRENT BILLING ANALYSIS - 2025 USAGE AND EXISTING RATES.</t>
  </si>
  <si>
    <t>SUMMARY</t>
  </si>
  <si>
    <t>5/8" X 3/4" Meters - Rate 1</t>
  </si>
  <si>
    <t>5/8" X 3/4" Meters - Rate 2</t>
  </si>
  <si>
    <t>1" Meters</t>
  </si>
  <si>
    <t>2" Meters</t>
  </si>
  <si>
    <t>3" Meters</t>
  </si>
  <si>
    <t>Wholesale Rates</t>
  </si>
  <si>
    <t>No. of Bills</t>
  </si>
  <si>
    <t>Gallons</t>
  </si>
  <si>
    <t>Sold</t>
  </si>
  <si>
    <t>Revenue</t>
  </si>
  <si>
    <t xml:space="preserve">First  </t>
  </si>
  <si>
    <t>Next</t>
  </si>
  <si>
    <t>Over</t>
  </si>
  <si>
    <t>Usage</t>
  </si>
  <si>
    <t>Bills</t>
  </si>
  <si>
    <t>First</t>
  </si>
  <si>
    <t>5/8" X 3/4" METERS - RATE 1</t>
  </si>
  <si>
    <t>5/8" X 3/4" METERS - RATE 1 REVENUE BY RATE INCREMENT</t>
  </si>
  <si>
    <t>Rates</t>
  </si>
  <si>
    <t>5/8" X 3/4" METERS - RATE 2</t>
  </si>
  <si>
    <t>5/8" X 3/4" METERS - RATE 2 REVENUE BY RATE INCREMENT</t>
  </si>
  <si>
    <t>1" METERS</t>
  </si>
  <si>
    <t>1" METERS - REVENUE BY RATE INCREMENT</t>
  </si>
  <si>
    <t xml:space="preserve">2" METERS </t>
  </si>
  <si>
    <t>2" METERS - REVENUE BY RATE INCREMENT</t>
  </si>
  <si>
    <t>3" METERS</t>
  </si>
  <si>
    <t>3" METERS - REVENUE BY RATE INCREMENT</t>
  </si>
  <si>
    <t>CURRENT BILLING ANALYSIS - 2025 USAGE AND PROPOSED RATES.</t>
  </si>
  <si>
    <t>KIA B17-011</t>
  </si>
  <si>
    <t>USDA-RD</t>
  </si>
  <si>
    <t>Principal</t>
  </si>
  <si>
    <t>Interest &amp; Fees</t>
  </si>
  <si>
    <t>Average Principal &amp; Interest</t>
  </si>
  <si>
    <t>Debt Service Coverage</t>
  </si>
  <si>
    <t>Salaries and Wages</t>
  </si>
  <si>
    <t>Employees</t>
  </si>
  <si>
    <t>Position</t>
  </si>
  <si>
    <t>Alexis Morris</t>
  </si>
  <si>
    <t>Front Office Clerk</t>
  </si>
  <si>
    <t>Christina Norris</t>
  </si>
  <si>
    <t>Donald Terry</t>
  </si>
  <si>
    <t>James Kilkenny</t>
  </si>
  <si>
    <t>Laborer/Maintenance</t>
  </si>
  <si>
    <t>Jon Blalock</t>
  </si>
  <si>
    <t>Superintendent</t>
  </si>
  <si>
    <t>Kayla Goodaker</t>
  </si>
  <si>
    <t>Office Manager</t>
  </si>
  <si>
    <t>2025 Hours</t>
  </si>
  <si>
    <t>Regular</t>
  </si>
  <si>
    <t>Overtime</t>
  </si>
  <si>
    <t>2026 Pro Forma Wage Rates</t>
  </si>
  <si>
    <t>2026 Pro Forma Wages</t>
  </si>
  <si>
    <t>Total Pro Forma Wages</t>
  </si>
  <si>
    <t>Pro Forma Pension Contribution</t>
  </si>
  <si>
    <t>Employee #7</t>
  </si>
  <si>
    <t>Employee #8</t>
  </si>
  <si>
    <t>Salary</t>
  </si>
  <si>
    <t>Revised Amortization  Payment Schedule</t>
  </si>
  <si>
    <t>Loan #91-01(WEP-1-1)</t>
  </si>
  <si>
    <t>Interest</t>
  </si>
  <si>
    <t>Total Payment</t>
  </si>
  <si>
    <t>Loan #91-05(WEP-2-1)</t>
  </si>
  <si>
    <t>Difference</t>
  </si>
  <si>
    <t>% Rate</t>
  </si>
  <si>
    <t>CERS Pension Rate Date</t>
  </si>
  <si>
    <t>(Pro Forma Pension Contribution)</t>
  </si>
  <si>
    <t>Pro Forma Salaries and Wages Expense</t>
  </si>
  <si>
    <t>Adjustments</t>
  </si>
  <si>
    <t>Less:Test Year Salaries and Wages Expense</t>
  </si>
  <si>
    <t>Pro Forma Salaries and Wages Adjustment</t>
  </si>
  <si>
    <t>Commissioner Salaries</t>
  </si>
  <si>
    <t>Total Wages</t>
  </si>
  <si>
    <t>Times: FICA Rate</t>
  </si>
  <si>
    <t>Pro Forma Payroll Taxes</t>
  </si>
  <si>
    <t>Less: Test Year Payroll Taxes</t>
  </si>
  <si>
    <t>Payroll Tax Adjustment</t>
  </si>
  <si>
    <t>Kentucky Retirement Systems General Ledger</t>
  </si>
  <si>
    <t>Test Year Salaries</t>
  </si>
  <si>
    <t>FICA Rate</t>
  </si>
  <si>
    <t>Test Year Payroll Taxes</t>
  </si>
  <si>
    <t>Total Pro Forma Pension Contribution</t>
  </si>
  <si>
    <t>Less: Test Year Pension Contribution</t>
  </si>
  <si>
    <t>Pensions and Benefits Adjustment</t>
  </si>
  <si>
    <t>Group 04 Trans &amp; Dist. Mains</t>
  </si>
  <si>
    <t>Current depreciation rate</t>
  </si>
  <si>
    <t>CURRENT AND PROPOSED RATES</t>
  </si>
  <si>
    <t>Current Rates</t>
  </si>
  <si>
    <t>Proposed Rates</t>
  </si>
  <si>
    <t>Change ($)</t>
  </si>
  <si>
    <t>Change (%)</t>
  </si>
  <si>
    <t>5/8" x 3/4" Meter</t>
  </si>
  <si>
    <t>Minimum Bill</t>
  </si>
  <si>
    <t>per gallon</t>
  </si>
  <si>
    <t>1" Meter</t>
  </si>
  <si>
    <t>2" Meter</t>
  </si>
  <si>
    <t>3" Meter</t>
  </si>
  <si>
    <t>All</t>
  </si>
  <si>
    <t>Proposed Increase</t>
  </si>
  <si>
    <t>Wholesale</t>
  </si>
  <si>
    <t>Rate</t>
  </si>
  <si>
    <t>Avg</t>
  </si>
  <si>
    <t>Customer</t>
  </si>
  <si>
    <t>Average Usage (gals)</t>
  </si>
  <si>
    <t>Monthly Bill at Current Rates</t>
  </si>
  <si>
    <t>Monthly Bill at Proposed Rates</t>
  </si>
  <si>
    <t>Monthly Bill Increase (%)</t>
  </si>
  <si>
    <t>5/8" x 3/4" meter</t>
  </si>
  <si>
    <t>1" meter</t>
  </si>
  <si>
    <t>2" meter</t>
  </si>
  <si>
    <t>3" meter</t>
  </si>
  <si>
    <t>$ Increase</t>
  </si>
  <si>
    <t>Water Sales from Annual Report</t>
  </si>
  <si>
    <t>Revenue PWA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</si>
</sst>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%"/>
    <numFmt numFmtId="167" formatCode="_(* #,##0.00000_);_(* \(#,##0.00000\);_(* &quot;-&quot;??_);_(@_)"/>
    <numFmt numFmtId="168" formatCode="_(&quot;$&quot;* #,##0.00000_);_(&quot;$&quot;* \(#,##0.00000\);_(&quot;$&quot;* &quot;-&quot;??_);_(@_)"/>
    <numFmt numFmtId="169" formatCode="0.000%"/>
  </numFmts>
  <fonts count="1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rial"/>
      <family val="2"/>
    </font>
    <font>
      <b/>
      <sz val="16"/>
      <color theme="1"/>
      <name val="Arial"/>
      <family val="2"/>
    </font>
    <font>
      <b/>
      <u/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0" xfId="2" applyNumberFormat="1" applyFont="1"/>
    <xf numFmtId="165" fontId="0" fillId="0" borderId="2" xfId="1" applyNumberFormat="1" applyFont="1" applyBorder="1"/>
    <xf numFmtId="165" fontId="0" fillId="0" borderId="0" xfId="1" applyNumberFormat="1" applyFont="1"/>
    <xf numFmtId="0" fontId="0" fillId="0" borderId="5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4" fontId="0" fillId="0" borderId="0" xfId="0" applyNumberFormat="1"/>
    <xf numFmtId="8" fontId="0" fillId="0" borderId="0" xfId="0" applyNumberFormat="1"/>
    <xf numFmtId="10" fontId="0" fillId="0" borderId="0" xfId="0" applyNumberFormat="1"/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left" vertical="center"/>
    </xf>
    <xf numFmtId="9" fontId="0" fillId="0" borderId="0" xfId="0" applyNumberFormat="1"/>
    <xf numFmtId="43" fontId="4" fillId="0" borderId="0" xfId="1" applyFont="1" applyBorder="1" applyAlignment="1">
      <alignment vertical="center"/>
    </xf>
    <xf numFmtId="43" fontId="0" fillId="0" borderId="0" xfId="1" applyFont="1"/>
    <xf numFmtId="0" fontId="0" fillId="0" borderId="2" xfId="0" applyBorder="1" applyAlignment="1">
      <alignment horizontal="centerContinuous"/>
    </xf>
    <xf numFmtId="0" fontId="0" fillId="0" borderId="0" xfId="0" applyAlignment="1">
      <alignment horizontal="centerContinuous"/>
    </xf>
    <xf numFmtId="165" fontId="0" fillId="0" borderId="2" xfId="1" applyNumberFormat="1" applyFont="1" applyBorder="1" applyAlignment="1">
      <alignment horizontal="centerContinuous"/>
    </xf>
    <xf numFmtId="165" fontId="0" fillId="0" borderId="3" xfId="1" applyNumberFormat="1" applyFont="1" applyBorder="1" applyAlignment="1"/>
    <xf numFmtId="165" fontId="0" fillId="0" borderId="3" xfId="1" applyNumberFormat="1" applyFont="1" applyBorder="1" applyAlignment="1">
      <alignment horizontal="centerContinuous"/>
    </xf>
    <xf numFmtId="165" fontId="0" fillId="0" borderId="0" xfId="0" applyNumberFormat="1"/>
    <xf numFmtId="166" fontId="0" fillId="0" borderId="0" xfId="3" applyNumberFormat="1" applyFont="1"/>
    <xf numFmtId="166" fontId="0" fillId="0" borderId="2" xfId="3" applyNumberFormat="1" applyFont="1" applyBorder="1"/>
    <xf numFmtId="165" fontId="0" fillId="0" borderId="0" xfId="1" applyNumberFormat="1" applyFont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6" fontId="0" fillId="0" borderId="2" xfId="0" applyNumberFormat="1" applyBorder="1"/>
    <xf numFmtId="43" fontId="0" fillId="0" borderId="0" xfId="0" applyNumberFormat="1"/>
    <xf numFmtId="10" fontId="0" fillId="0" borderId="5" xfId="3" applyNumberFormat="1" applyFont="1" applyBorder="1"/>
    <xf numFmtId="165" fontId="0" fillId="0" borderId="5" xfId="1" applyNumberFormat="1" applyFont="1" applyBorder="1"/>
    <xf numFmtId="0" fontId="8" fillId="0" borderId="0" xfId="0" applyFont="1"/>
    <xf numFmtId="0" fontId="1" fillId="0" borderId="2" xfId="0" applyFont="1" applyBorder="1" applyAlignment="1">
      <alignment horizontal="center" wrapText="1"/>
    </xf>
    <xf numFmtId="0" fontId="0" fillId="2" borderId="0" xfId="0" applyFill="1"/>
    <xf numFmtId="8" fontId="0" fillId="2" borderId="0" xfId="0" applyNumberFormat="1" applyFill="1"/>
    <xf numFmtId="10" fontId="0" fillId="2" borderId="0" xfId="0" applyNumberFormat="1" applyFill="1"/>
    <xf numFmtId="0" fontId="1" fillId="0" borderId="1" xfId="0" applyFont="1" applyBorder="1" applyAlignment="1">
      <alignment horizontal="centerContinuous"/>
    </xf>
    <xf numFmtId="9" fontId="0" fillId="0" borderId="2" xfId="0" applyNumberFormat="1" applyBorder="1"/>
    <xf numFmtId="165" fontId="0" fillId="0" borderId="2" xfId="0" applyNumberFormat="1" applyBorder="1"/>
    <xf numFmtId="164" fontId="0" fillId="0" borderId="5" xfId="2" applyNumberFormat="1" applyFont="1" applyBorder="1"/>
    <xf numFmtId="8" fontId="0" fillId="0" borderId="2" xfId="0" applyNumberFormat="1" applyBorder="1"/>
    <xf numFmtId="6" fontId="0" fillId="0" borderId="5" xfId="0" applyNumberFormat="1" applyBorder="1"/>
    <xf numFmtId="164" fontId="0" fillId="0" borderId="0" xfId="0" applyNumberFormat="1"/>
    <xf numFmtId="6" fontId="0" fillId="0" borderId="0" xfId="0" applyNumberFormat="1"/>
    <xf numFmtId="164" fontId="0" fillId="0" borderId="2" xfId="0" applyNumberFormat="1" applyBorder="1"/>
    <xf numFmtId="164" fontId="0" fillId="0" borderId="5" xfId="0" applyNumberFormat="1" applyBorder="1"/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1" applyNumberFormat="1" applyFont="1" applyFill="1"/>
    <xf numFmtId="0" fontId="1" fillId="0" borderId="0" xfId="0" applyFont="1" applyAlignment="1">
      <alignment horizontal="center"/>
    </xf>
    <xf numFmtId="0" fontId="0" fillId="0" borderId="1" xfId="0" applyBorder="1"/>
    <xf numFmtId="0" fontId="9" fillId="0" borderId="0" xfId="0" applyFont="1"/>
    <xf numFmtId="0" fontId="0" fillId="0" borderId="7" xfId="0" applyBorder="1"/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165" fontId="0" fillId="0" borderId="7" xfId="1" applyNumberFormat="1" applyFont="1" applyBorder="1"/>
    <xf numFmtId="165" fontId="0" fillId="0" borderId="7" xfId="0" applyNumberFormat="1" applyBorder="1"/>
    <xf numFmtId="3" fontId="0" fillId="0" borderId="7" xfId="0" applyNumberFormat="1" applyBorder="1"/>
    <xf numFmtId="44" fontId="0" fillId="0" borderId="7" xfId="2" applyFont="1" applyBorder="1"/>
    <xf numFmtId="43" fontId="0" fillId="0" borderId="7" xfId="1" applyFont="1" applyBorder="1"/>
    <xf numFmtId="164" fontId="0" fillId="0" borderId="7" xfId="2" applyNumberFormat="1" applyFont="1" applyBorder="1"/>
    <xf numFmtId="165" fontId="0" fillId="0" borderId="0" xfId="1" applyNumberFormat="1" applyFont="1" applyBorder="1"/>
    <xf numFmtId="165" fontId="0" fillId="0" borderId="8" xfId="1" applyNumberFormat="1" applyFont="1" applyFill="1" applyBorder="1"/>
    <xf numFmtId="44" fontId="0" fillId="0" borderId="0" xfId="0" applyNumberFormat="1"/>
    <xf numFmtId="0" fontId="0" fillId="0" borderId="2" xfId="0" applyBorder="1" applyAlignment="1">
      <alignment horizontal="centerContinuous" vertical="top"/>
    </xf>
    <xf numFmtId="0" fontId="0" fillId="0" borderId="0" xfId="0" applyAlignment="1">
      <alignment vertical="top"/>
    </xf>
    <xf numFmtId="44" fontId="0" fillId="0" borderId="0" xfId="2" applyFont="1"/>
    <xf numFmtId="44" fontId="0" fillId="0" borderId="2" xfId="0" applyNumberFormat="1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Continuous" wrapText="1"/>
    </xf>
    <xf numFmtId="44" fontId="0" fillId="0" borderId="2" xfId="2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Continuous"/>
    </xf>
    <xf numFmtId="14" fontId="0" fillId="0" borderId="0" xfId="0" applyNumberFormat="1"/>
    <xf numFmtId="10" fontId="0" fillId="0" borderId="2" xfId="0" applyNumberFormat="1" applyBorder="1"/>
    <xf numFmtId="164" fontId="0" fillId="0" borderId="2" xfId="2" applyNumberFormat="1" applyFont="1" applyBorder="1"/>
    <xf numFmtId="43" fontId="0" fillId="0" borderId="2" xfId="0" applyNumberFormat="1" applyBorder="1"/>
    <xf numFmtId="44" fontId="0" fillId="0" borderId="6" xfId="0" applyNumberFormat="1" applyBorder="1"/>
    <xf numFmtId="165" fontId="0" fillId="0" borderId="3" xfId="1" applyNumberFormat="1" applyFont="1" applyBorder="1"/>
    <xf numFmtId="10" fontId="0" fillId="0" borderId="0" xfId="3" applyNumberFormat="1" applyFont="1"/>
    <xf numFmtId="0" fontId="10" fillId="0" borderId="10" xfId="0" applyFont="1" applyBorder="1"/>
    <xf numFmtId="0" fontId="10" fillId="0" borderId="11" xfId="0" applyFont="1" applyBorder="1"/>
    <xf numFmtId="0" fontId="10" fillId="0" borderId="0" xfId="0" applyFont="1"/>
    <xf numFmtId="0" fontId="10" fillId="0" borderId="13" xfId="0" applyFont="1" applyBorder="1"/>
    <xf numFmtId="0" fontId="12" fillId="0" borderId="9" xfId="0" applyFont="1" applyBorder="1"/>
    <xf numFmtId="0" fontId="11" fillId="0" borderId="10" xfId="0" applyFont="1" applyBorder="1"/>
    <xf numFmtId="0" fontId="11" fillId="0" borderId="9" xfId="0" applyFont="1" applyBorder="1"/>
    <xf numFmtId="0" fontId="12" fillId="0" borderId="10" xfId="0" applyFont="1" applyBorder="1"/>
    <xf numFmtId="0" fontId="11" fillId="0" borderId="11" xfId="0" applyFont="1" applyBorder="1"/>
    <xf numFmtId="0" fontId="12" fillId="0" borderId="9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1" fillId="0" borderId="12" xfId="0" applyFont="1" applyBorder="1"/>
    <xf numFmtId="0" fontId="11" fillId="0" borderId="0" xfId="0" applyFont="1"/>
    <xf numFmtId="0" fontId="11" fillId="0" borderId="13" xfId="0" applyFont="1" applyBorder="1"/>
    <xf numFmtId="0" fontId="11" fillId="0" borderId="8" xfId="0" applyFont="1" applyBorder="1"/>
    <xf numFmtId="0" fontId="12" fillId="0" borderId="12" xfId="0" applyFont="1" applyBorder="1"/>
    <xf numFmtId="0" fontId="12" fillId="0" borderId="0" xfId="0" applyFont="1"/>
    <xf numFmtId="165" fontId="11" fillId="0" borderId="0" xfId="1" applyNumberFormat="1" applyFont="1" applyBorder="1"/>
    <xf numFmtId="44" fontId="11" fillId="0" borderId="0" xfId="2" applyFont="1" applyBorder="1"/>
    <xf numFmtId="44" fontId="11" fillId="0" borderId="0" xfId="0" applyNumberFormat="1" applyFont="1" applyAlignment="1">
      <alignment horizontal="center"/>
    </xf>
    <xf numFmtId="10" fontId="11" fillId="0" borderId="8" xfId="3" applyNumberFormat="1" applyFont="1" applyBorder="1" applyAlignment="1">
      <alignment horizontal="center"/>
    </xf>
    <xf numFmtId="167" fontId="11" fillId="0" borderId="0" xfId="1" applyNumberFormat="1" applyFont="1" applyBorder="1"/>
    <xf numFmtId="168" fontId="11" fillId="0" borderId="0" xfId="0" applyNumberFormat="1" applyFont="1" applyAlignment="1">
      <alignment horizontal="center"/>
    </xf>
    <xf numFmtId="43" fontId="11" fillId="0" borderId="0" xfId="1" applyFont="1" applyBorder="1"/>
    <xf numFmtId="0" fontId="11" fillId="0" borderId="14" xfId="0" applyFont="1" applyBorder="1"/>
    <xf numFmtId="0" fontId="11" fillId="0" borderId="2" xfId="0" applyFont="1" applyBorder="1"/>
    <xf numFmtId="165" fontId="11" fillId="0" borderId="2" xfId="1" applyNumberFormat="1" applyFont="1" applyBorder="1"/>
    <xf numFmtId="43" fontId="11" fillId="0" borderId="2" xfId="1" applyFont="1" applyBorder="1"/>
    <xf numFmtId="0" fontId="11" fillId="0" borderId="15" xfId="0" applyFont="1" applyBorder="1"/>
    <xf numFmtId="0" fontId="11" fillId="0" borderId="17" xfId="0" applyFont="1" applyBorder="1"/>
    <xf numFmtId="10" fontId="0" fillId="0" borderId="0" xfId="0" applyNumberFormat="1" applyAlignment="1">
      <alignment horizontal="center"/>
    </xf>
    <xf numFmtId="164" fontId="0" fillId="0" borderId="0" xfId="2" applyNumberFormat="1" applyFont="1" applyBorder="1"/>
    <xf numFmtId="43" fontId="0" fillId="0" borderId="7" xfId="0" applyNumberFormat="1" applyBorder="1"/>
    <xf numFmtId="169" fontId="0" fillId="0" borderId="6" xfId="3" applyNumberFormat="1" applyFont="1" applyBorder="1"/>
    <xf numFmtId="165" fontId="0" fillId="0" borderId="12" xfId="1" applyNumberFormat="1" applyFont="1" applyFill="1" applyBorder="1"/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4" fillId="0" borderId="7" xfId="0" applyFont="1" applyBorder="1"/>
    <xf numFmtId="165" fontId="14" fillId="0" borderId="7" xfId="1" applyNumberFormat="1" applyFont="1" applyBorder="1"/>
    <xf numFmtId="44" fontId="14" fillId="0" borderId="7" xfId="0" applyNumberFormat="1" applyFont="1" applyBorder="1"/>
    <xf numFmtId="10" fontId="14" fillId="0" borderId="7" xfId="3" applyNumberFormat="1" applyFont="1" applyBorder="1"/>
    <xf numFmtId="0" fontId="10" fillId="0" borderId="12" xfId="0" applyFont="1" applyBorder="1"/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43" fontId="14" fillId="0" borderId="7" xfId="0" applyNumberFormat="1" applyFont="1" applyBorder="1"/>
    <xf numFmtId="43" fontId="14" fillId="0" borderId="7" xfId="1" applyFont="1" applyBorder="1"/>
    <xf numFmtId="0" fontId="13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9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8D5E-6358-4E22-B382-06D838B168CE}">
  <dimension ref="B1:Q51"/>
  <sheetViews>
    <sheetView zoomScale="80" zoomScaleNormal="80" workbookViewId="0">
      <selection activeCell="S23" sqref="S23"/>
    </sheetView>
  </sheetViews>
  <sheetFormatPr defaultRowHeight="15" x14ac:dyDescent="0.2"/>
  <cols>
    <col min="2" max="3" width="2.33203125" customWidth="1"/>
    <col min="8" max="8" width="13.5546875" style="7" bestFit="1" customWidth="1"/>
    <col min="9" max="9" width="2.33203125" customWidth="1"/>
    <col min="10" max="10" width="11.5546875" style="7" bestFit="1" customWidth="1"/>
    <col min="11" max="11" width="2.33203125" customWidth="1"/>
    <col min="12" max="12" width="4.109375" bestFit="1" customWidth="1"/>
    <col min="13" max="13" width="2.33203125" customWidth="1"/>
    <col min="14" max="14" width="12.44140625" style="7" bestFit="1" customWidth="1"/>
    <col min="15" max="15" width="12.44140625" bestFit="1" customWidth="1"/>
    <col min="17" max="17" width="11" bestFit="1" customWidth="1"/>
  </cols>
  <sheetData>
    <row r="1" spans="2:17" ht="16.5" thickBot="1" x14ac:dyDescent="0.3">
      <c r="B1" s="138" t="s">
        <v>66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2:17" ht="15.75" x14ac:dyDescent="0.25">
      <c r="B2" s="139" t="s">
        <v>45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4" spans="2:17" x14ac:dyDescent="0.2">
      <c r="H4" s="34" t="s">
        <v>0</v>
      </c>
      <c r="J4" s="34" t="s">
        <v>1</v>
      </c>
      <c r="L4" s="3" t="s">
        <v>2</v>
      </c>
      <c r="N4" s="34" t="s">
        <v>3</v>
      </c>
    </row>
    <row r="5" spans="2:17" ht="15.75" x14ac:dyDescent="0.25">
      <c r="B5" s="2" t="s">
        <v>4</v>
      </c>
    </row>
    <row r="6" spans="2:17" x14ac:dyDescent="0.2">
      <c r="C6" t="s">
        <v>50</v>
      </c>
    </row>
    <row r="7" spans="2:17" x14ac:dyDescent="0.2">
      <c r="D7" t="s">
        <v>5</v>
      </c>
      <c r="H7" s="7">
        <v>1230943</v>
      </c>
      <c r="J7" s="7">
        <f>BAE!G18</f>
        <v>146107.60171999992</v>
      </c>
      <c r="N7" s="7">
        <f>SUM(H7,J7)</f>
        <v>1377050.6017199999</v>
      </c>
    </row>
    <row r="8" spans="2:17" x14ac:dyDescent="0.2">
      <c r="D8" t="s">
        <v>6</v>
      </c>
      <c r="H8" s="7">
        <v>275290</v>
      </c>
      <c r="N8" s="7">
        <f>SUM(H8,J8)</f>
        <v>275290</v>
      </c>
      <c r="Q8" s="36">
        <f>N8+N9+N10</f>
        <v>343081</v>
      </c>
    </row>
    <row r="9" spans="2:17" x14ac:dyDescent="0.2">
      <c r="D9" t="s">
        <v>46</v>
      </c>
      <c r="H9" s="7">
        <v>12248</v>
      </c>
      <c r="N9" s="7">
        <f t="shared" ref="N9:N12" si="0">SUM(H9,J9)</f>
        <v>12248</v>
      </c>
    </row>
    <row r="10" spans="2:17" x14ac:dyDescent="0.2">
      <c r="D10" t="s">
        <v>7</v>
      </c>
      <c r="H10" s="7">
        <v>55543</v>
      </c>
      <c r="N10" s="7">
        <f t="shared" si="0"/>
        <v>55543</v>
      </c>
    </row>
    <row r="11" spans="2:17" x14ac:dyDescent="0.2">
      <c r="D11" t="s">
        <v>47</v>
      </c>
      <c r="N11" s="7">
        <f t="shared" si="0"/>
        <v>0</v>
      </c>
    </row>
    <row r="12" spans="2:17" x14ac:dyDescent="0.2">
      <c r="D12" t="s">
        <v>48</v>
      </c>
      <c r="H12" s="6"/>
      <c r="J12" s="6"/>
      <c r="N12" s="6">
        <f t="shared" si="0"/>
        <v>0</v>
      </c>
    </row>
    <row r="13" spans="2:17" x14ac:dyDescent="0.2">
      <c r="C13" t="s">
        <v>49</v>
      </c>
      <c r="H13" s="6">
        <f>SUM(H7:H12)</f>
        <v>1574024</v>
      </c>
      <c r="J13" s="6">
        <f>SUM(J7:J12)</f>
        <v>146107.60171999992</v>
      </c>
      <c r="N13" s="6">
        <f>SUM(N7:N12)</f>
        <v>1720131.6017199999</v>
      </c>
    </row>
    <row r="14" spans="2:17" x14ac:dyDescent="0.2">
      <c r="C14" t="s">
        <v>8</v>
      </c>
    </row>
    <row r="15" spans="2:17" x14ac:dyDescent="0.2">
      <c r="D15" t="s">
        <v>146</v>
      </c>
      <c r="H15" s="7">
        <v>318933</v>
      </c>
      <c r="N15" s="7">
        <f>SUM(H15,J15)</f>
        <v>318933</v>
      </c>
      <c r="Q15" s="30">
        <f>N13+N15</f>
        <v>2039064.6017199999</v>
      </c>
    </row>
    <row r="16" spans="2:17" x14ac:dyDescent="0.2">
      <c r="D16" t="s">
        <v>147</v>
      </c>
      <c r="H16" s="7">
        <v>30682</v>
      </c>
      <c r="N16" s="7">
        <f>SUM(H16,J16)</f>
        <v>30682</v>
      </c>
    </row>
    <row r="17" spans="2:14" x14ac:dyDescent="0.2">
      <c r="D17" t="s">
        <v>9</v>
      </c>
      <c r="H17" s="7">
        <v>8639</v>
      </c>
      <c r="N17" s="7">
        <f>SUM(H17,J17)</f>
        <v>8639</v>
      </c>
    </row>
    <row r="18" spans="2:14" x14ac:dyDescent="0.2">
      <c r="D18" t="s">
        <v>8</v>
      </c>
      <c r="H18" s="6"/>
      <c r="J18" s="6"/>
      <c r="N18" s="6">
        <f>SUM(H18,J18)</f>
        <v>0</v>
      </c>
    </row>
    <row r="19" spans="2:14" x14ac:dyDescent="0.2">
      <c r="C19" t="s">
        <v>10</v>
      </c>
      <c r="H19" s="6">
        <f>SUM(H15:H18)</f>
        <v>358254</v>
      </c>
      <c r="J19" s="6">
        <f>SUM(J16:J18)</f>
        <v>0</v>
      </c>
      <c r="N19" s="6">
        <f>SUM(N15:N18)</f>
        <v>358254</v>
      </c>
    </row>
    <row r="20" spans="2:14" ht="15.75" x14ac:dyDescent="0.25">
      <c r="B20" s="2" t="s">
        <v>11</v>
      </c>
      <c r="H20" s="6">
        <f>H13+H19</f>
        <v>1932278</v>
      </c>
      <c r="J20" s="6">
        <f>J13+J19</f>
        <v>146107.60171999992</v>
      </c>
      <c r="N20" s="6">
        <f>N13+N19</f>
        <v>2078385.6017199999</v>
      </c>
    </row>
    <row r="22" spans="2:14" ht="15.75" x14ac:dyDescent="0.25">
      <c r="B22" s="2" t="s">
        <v>12</v>
      </c>
    </row>
    <row r="23" spans="2:14" x14ac:dyDescent="0.2">
      <c r="C23" t="s">
        <v>31</v>
      </c>
    </row>
    <row r="24" spans="2:14" x14ac:dyDescent="0.2">
      <c r="D24" t="s">
        <v>13</v>
      </c>
      <c r="H24" s="7">
        <v>360865</v>
      </c>
      <c r="J24" s="7">
        <f>Salaries!P20</f>
        <v>31940</v>
      </c>
      <c r="N24" s="7">
        <f>SUM(H24,J24)</f>
        <v>392805</v>
      </c>
    </row>
    <row r="25" spans="2:14" x14ac:dyDescent="0.2">
      <c r="D25" t="s">
        <v>14</v>
      </c>
      <c r="H25" s="7">
        <v>11162</v>
      </c>
      <c r="N25" s="7">
        <f t="shared" ref="N25:N46" si="1">SUM(H25,J25)</f>
        <v>11162</v>
      </c>
    </row>
    <row r="26" spans="2:14" x14ac:dyDescent="0.2">
      <c r="D26" t="s">
        <v>15</v>
      </c>
      <c r="H26" s="7">
        <v>99321</v>
      </c>
      <c r="J26" s="7">
        <f>Salaries!P34</f>
        <v>1272.8485000000073</v>
      </c>
      <c r="N26" s="7">
        <f t="shared" si="1"/>
        <v>100593.84850000001</v>
      </c>
    </row>
    <row r="27" spans="2:14" x14ac:dyDescent="0.2">
      <c r="D27" t="s">
        <v>16</v>
      </c>
      <c r="H27" s="7">
        <v>1181206</v>
      </c>
      <c r="J27" s="7">
        <f>WaterLoss!D25</f>
        <v>-329027.98130025528</v>
      </c>
      <c r="N27" s="7">
        <f t="shared" si="1"/>
        <v>852178.01869974472</v>
      </c>
    </row>
    <row r="28" spans="2:14" x14ac:dyDescent="0.2">
      <c r="D28" t="s">
        <v>17</v>
      </c>
      <c r="H28" s="7">
        <v>79640</v>
      </c>
      <c r="J28" s="7">
        <f>WaterLoss!F25</f>
        <v>-22183.927638999743</v>
      </c>
      <c r="N28" s="7">
        <f t="shared" si="1"/>
        <v>57456.072361000261</v>
      </c>
    </row>
    <row r="29" spans="2:14" x14ac:dyDescent="0.2">
      <c r="D29" t="s">
        <v>51</v>
      </c>
      <c r="N29" s="7">
        <f t="shared" si="1"/>
        <v>0</v>
      </c>
    </row>
    <row r="30" spans="2:14" x14ac:dyDescent="0.2">
      <c r="D30" t="s">
        <v>52</v>
      </c>
      <c r="N30" s="7">
        <f t="shared" si="1"/>
        <v>0</v>
      </c>
    </row>
    <row r="31" spans="2:14" x14ac:dyDescent="0.2">
      <c r="D31" t="s">
        <v>18</v>
      </c>
      <c r="H31" s="7">
        <v>98051</v>
      </c>
      <c r="N31" s="7">
        <f t="shared" si="1"/>
        <v>98051</v>
      </c>
    </row>
    <row r="32" spans="2:14" x14ac:dyDescent="0.2">
      <c r="D32" t="s">
        <v>53</v>
      </c>
      <c r="N32" s="7">
        <f t="shared" si="1"/>
        <v>0</v>
      </c>
    </row>
    <row r="33" spans="3:16" x14ac:dyDescent="0.2">
      <c r="D33" t="s">
        <v>19</v>
      </c>
      <c r="H33" s="7">
        <v>12200</v>
      </c>
      <c r="N33" s="7">
        <f t="shared" si="1"/>
        <v>12200</v>
      </c>
      <c r="P33" s="30">
        <f>SUM(H33:H36)</f>
        <v>27012</v>
      </c>
    </row>
    <row r="34" spans="3:16" x14ac:dyDescent="0.2">
      <c r="D34" t="s">
        <v>20</v>
      </c>
      <c r="H34" s="7">
        <v>3934</v>
      </c>
      <c r="N34" s="7">
        <f t="shared" si="1"/>
        <v>3934</v>
      </c>
    </row>
    <row r="35" spans="3:16" x14ac:dyDescent="0.2">
      <c r="D35" t="s">
        <v>54</v>
      </c>
      <c r="N35" s="7">
        <f t="shared" si="1"/>
        <v>0</v>
      </c>
    </row>
    <row r="36" spans="3:16" x14ac:dyDescent="0.2">
      <c r="D36" t="s">
        <v>55</v>
      </c>
      <c r="H36" s="7">
        <v>10878</v>
      </c>
      <c r="N36" s="7">
        <f t="shared" si="1"/>
        <v>10878</v>
      </c>
    </row>
    <row r="37" spans="3:16" x14ac:dyDescent="0.2">
      <c r="D37" t="s">
        <v>21</v>
      </c>
      <c r="N37" s="7">
        <f t="shared" si="1"/>
        <v>0</v>
      </c>
    </row>
    <row r="38" spans="3:16" x14ac:dyDescent="0.2">
      <c r="D38" t="s">
        <v>56</v>
      </c>
      <c r="N38" s="7">
        <f t="shared" si="1"/>
        <v>0</v>
      </c>
    </row>
    <row r="39" spans="3:16" x14ac:dyDescent="0.2">
      <c r="D39" t="s">
        <v>57</v>
      </c>
      <c r="N39" s="7">
        <f t="shared" si="1"/>
        <v>0</v>
      </c>
    </row>
    <row r="40" spans="3:16" x14ac:dyDescent="0.2">
      <c r="D40" t="s">
        <v>44</v>
      </c>
      <c r="H40" s="7">
        <v>24399</v>
      </c>
      <c r="N40" s="7">
        <f t="shared" si="1"/>
        <v>24399</v>
      </c>
    </row>
    <row r="41" spans="3:16" x14ac:dyDescent="0.2">
      <c r="D41" t="s">
        <v>58</v>
      </c>
      <c r="H41" s="7">
        <v>15177</v>
      </c>
      <c r="N41" s="7">
        <f t="shared" si="1"/>
        <v>15177</v>
      </c>
      <c r="P41" s="30">
        <f>SUM(H41:H44)</f>
        <v>44016</v>
      </c>
    </row>
    <row r="42" spans="3:16" x14ac:dyDescent="0.2">
      <c r="D42" t="s">
        <v>22</v>
      </c>
      <c r="H42" s="7">
        <v>13133</v>
      </c>
      <c r="N42" s="7">
        <f t="shared" si="1"/>
        <v>13133</v>
      </c>
    </row>
    <row r="43" spans="3:16" x14ac:dyDescent="0.2">
      <c r="D43" t="s">
        <v>32</v>
      </c>
      <c r="H43" s="7">
        <v>8726</v>
      </c>
      <c r="N43" s="7">
        <f t="shared" si="1"/>
        <v>8726</v>
      </c>
    </row>
    <row r="44" spans="3:16" x14ac:dyDescent="0.2">
      <c r="D44" t="s">
        <v>23</v>
      </c>
      <c r="H44" s="7">
        <v>6980</v>
      </c>
      <c r="N44" s="7">
        <f t="shared" si="1"/>
        <v>6980</v>
      </c>
    </row>
    <row r="45" spans="3:16" x14ac:dyDescent="0.2">
      <c r="D45" t="s">
        <v>24</v>
      </c>
      <c r="H45" s="7">
        <v>11536</v>
      </c>
      <c r="N45" s="7">
        <f t="shared" si="1"/>
        <v>11536</v>
      </c>
    </row>
    <row r="46" spans="3:16" x14ac:dyDescent="0.2">
      <c r="D46" t="s">
        <v>25</v>
      </c>
      <c r="H46" s="6">
        <v>37934</v>
      </c>
      <c r="J46" s="6"/>
      <c r="N46" s="6">
        <f t="shared" si="1"/>
        <v>37934</v>
      </c>
    </row>
    <row r="47" spans="3:16" x14ac:dyDescent="0.2">
      <c r="C47" t="s">
        <v>26</v>
      </c>
      <c r="H47" s="7">
        <f>SUM(H24:H46)</f>
        <v>1975142</v>
      </c>
      <c r="J47" s="7">
        <f>SUM(J24:J46)</f>
        <v>-317999.06043925503</v>
      </c>
      <c r="N47" s="7">
        <f>SUM(N24:N46)</f>
        <v>1657142.9395607451</v>
      </c>
      <c r="O47" s="36"/>
    </row>
    <row r="48" spans="3:16" x14ac:dyDescent="0.2">
      <c r="C48" t="s">
        <v>27</v>
      </c>
      <c r="H48" s="7">
        <v>138159</v>
      </c>
      <c r="N48" s="7">
        <f>SUM(H48,J48)</f>
        <v>138159</v>
      </c>
    </row>
    <row r="49" spans="2:14" x14ac:dyDescent="0.2">
      <c r="C49" t="s">
        <v>28</v>
      </c>
      <c r="H49" s="6">
        <v>37445</v>
      </c>
      <c r="J49" s="6">
        <f>Salaries!P30</f>
        <v>3177.6425000000017</v>
      </c>
      <c r="N49" s="6">
        <f>SUM(H49,J49)</f>
        <v>40622.642500000002</v>
      </c>
    </row>
    <row r="50" spans="2:14" ht="15.75" x14ac:dyDescent="0.25">
      <c r="B50" s="1" t="s">
        <v>29</v>
      </c>
      <c r="H50" s="6">
        <f>SUM(H47:H49)</f>
        <v>2150746</v>
      </c>
      <c r="J50" s="6">
        <f>SUM(J47:J49)</f>
        <v>-314821.41793925501</v>
      </c>
      <c r="N50" s="6">
        <f>SUM(N47:N49)</f>
        <v>1835924.5820607452</v>
      </c>
    </row>
    <row r="51" spans="2:14" ht="15.75" x14ac:dyDescent="0.25">
      <c r="B51" s="1" t="s">
        <v>30</v>
      </c>
      <c r="H51" s="89">
        <f>H20-H50</f>
        <v>-218468</v>
      </c>
      <c r="J51" s="89">
        <f>J20-J50</f>
        <v>460929.01965925493</v>
      </c>
      <c r="N51" s="89">
        <f>N20-N50</f>
        <v>242461.0196592547</v>
      </c>
    </row>
  </sheetData>
  <mergeCells count="2">
    <mergeCell ref="B1:N1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597E-7780-4442-A720-9D01B5911A46}">
  <dimension ref="A2:K18"/>
  <sheetViews>
    <sheetView zoomScale="80" zoomScaleNormal="80" workbookViewId="0">
      <selection activeCell="K13" sqref="K13"/>
    </sheetView>
  </sheetViews>
  <sheetFormatPr defaultRowHeight="15" x14ac:dyDescent="0.2"/>
  <cols>
    <col min="2" max="3" width="2.33203125" customWidth="1"/>
    <col min="11" max="11" width="13.21875" style="7" bestFit="1" customWidth="1"/>
  </cols>
  <sheetData>
    <row r="2" spans="2:11" x14ac:dyDescent="0.2">
      <c r="B2" t="s">
        <v>33</v>
      </c>
      <c r="K2" s="7">
        <f>SAO!N50</f>
        <v>1835924.5820607452</v>
      </c>
    </row>
    <row r="3" spans="2:11" x14ac:dyDescent="0.2">
      <c r="B3" t="s">
        <v>34</v>
      </c>
      <c r="K3" s="7">
        <f>AvgDebt!V11</f>
        <v>79837.67333333334</v>
      </c>
    </row>
    <row r="4" spans="2:11" x14ac:dyDescent="0.2">
      <c r="D4" t="s">
        <v>35</v>
      </c>
      <c r="K4" s="6">
        <f>AvgDebt!V12</f>
        <v>15967.534666666668</v>
      </c>
    </row>
    <row r="6" spans="2:11" x14ac:dyDescent="0.2">
      <c r="B6" t="s">
        <v>36</v>
      </c>
      <c r="K6" s="7">
        <f>SUM(K2:K4)</f>
        <v>1931729.7900607453</v>
      </c>
    </row>
    <row r="7" spans="2:11" x14ac:dyDescent="0.2">
      <c r="B7" t="s">
        <v>37</v>
      </c>
      <c r="K7" s="7">
        <f>-(SAO!H16+SAO!H17)</f>
        <v>-39321</v>
      </c>
    </row>
    <row r="8" spans="2:11" x14ac:dyDescent="0.2">
      <c r="D8" t="s">
        <v>38</v>
      </c>
    </row>
    <row r="9" spans="2:11" x14ac:dyDescent="0.2">
      <c r="D9" t="s">
        <v>39</v>
      </c>
      <c r="K9" s="6">
        <v>-462</v>
      </c>
    </row>
    <row r="11" spans="2:11" x14ac:dyDescent="0.2">
      <c r="B11" t="s">
        <v>40</v>
      </c>
      <c r="K11" s="7">
        <f>SUM(K6:K9)</f>
        <v>1891946.7900607453</v>
      </c>
    </row>
    <row r="12" spans="2:11" x14ac:dyDescent="0.2">
      <c r="B12" t="s">
        <v>41</v>
      </c>
      <c r="K12" s="6">
        <f>-SAO!Q15</f>
        <v>-2039064.6017199999</v>
      </c>
    </row>
    <row r="14" spans="2:11" ht="15.75" thickBot="1" x14ac:dyDescent="0.25">
      <c r="B14" t="s">
        <v>42</v>
      </c>
      <c r="K14" s="38">
        <f>SUM(K11:K12)</f>
        <v>-147117.8116592546</v>
      </c>
    </row>
    <row r="15" spans="2:11" ht="15.75" thickTop="1" x14ac:dyDescent="0.2"/>
    <row r="17" spans="1:11" ht="15.75" thickBot="1" x14ac:dyDescent="0.25">
      <c r="A17" t="s">
        <v>43</v>
      </c>
      <c r="K17" s="37">
        <f>(K14/-K12)</f>
        <v>-7.2149657021732996E-2</v>
      </c>
    </row>
    <row r="18" spans="1:11" ht="15.7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1A82-7F4C-4D2A-B741-C284357A729E}">
  <dimension ref="B1:K15"/>
  <sheetViews>
    <sheetView tabSelected="1" zoomScale="80" zoomScaleNormal="80" workbookViewId="0">
      <selection activeCell="G11" sqref="G11"/>
    </sheetView>
  </sheetViews>
  <sheetFormatPr defaultRowHeight="15" x14ac:dyDescent="0.2"/>
  <cols>
    <col min="3" max="3" width="2.33203125" customWidth="1"/>
    <col min="4" max="4" width="26.6640625" customWidth="1"/>
    <col min="7" max="7" width="13.21875" bestFit="1" customWidth="1"/>
    <col min="9" max="9" width="13.21875" bestFit="1" customWidth="1"/>
    <col min="11" max="11" width="10.5546875" bestFit="1" customWidth="1"/>
  </cols>
  <sheetData>
    <row r="1" spans="2:11" ht="15.75" x14ac:dyDescent="0.2">
      <c r="B1" s="15"/>
      <c r="C1" s="16"/>
      <c r="D1" s="16"/>
    </row>
    <row r="3" spans="2:11" x14ac:dyDescent="0.2">
      <c r="B3" s="17" t="s">
        <v>33</v>
      </c>
      <c r="C3" s="17"/>
      <c r="D3" s="17"/>
      <c r="G3" s="7">
        <f>SAO!N50</f>
        <v>1835924.5820607452</v>
      </c>
      <c r="K3" s="7">
        <v>1506148</v>
      </c>
    </row>
    <row r="4" spans="2:11" x14ac:dyDescent="0.2">
      <c r="B4" s="17" t="s">
        <v>136</v>
      </c>
      <c r="C4" s="17"/>
      <c r="D4" s="17"/>
      <c r="G4" s="22">
        <v>0.88</v>
      </c>
      <c r="K4" s="7"/>
    </row>
    <row r="5" spans="2:11" x14ac:dyDescent="0.2">
      <c r="B5" s="17" t="s">
        <v>137</v>
      </c>
      <c r="C5" s="18"/>
      <c r="D5" s="18"/>
      <c r="G5" s="7">
        <f>G3/G4</f>
        <v>2086277.9341599378</v>
      </c>
      <c r="K5" s="7">
        <f>K3/G4</f>
        <v>1711531.8181818181</v>
      </c>
    </row>
    <row r="6" spans="2:11" x14ac:dyDescent="0.2">
      <c r="B6" s="17" t="s">
        <v>138</v>
      </c>
      <c r="C6" s="17"/>
      <c r="D6" s="17" t="s">
        <v>139</v>
      </c>
      <c r="G6" s="6">
        <v>29272</v>
      </c>
      <c r="K6" s="6">
        <v>20952</v>
      </c>
    </row>
    <row r="7" spans="2:11" x14ac:dyDescent="0.2">
      <c r="B7" s="17" t="s">
        <v>36</v>
      </c>
      <c r="C7" s="17"/>
      <c r="D7" s="17"/>
      <c r="G7" s="7">
        <f>G5+G6</f>
        <v>2115549.9341599378</v>
      </c>
      <c r="K7" s="30">
        <f>SUM(K5:K6)</f>
        <v>1732483.8181818181</v>
      </c>
    </row>
    <row r="8" spans="2:11" x14ac:dyDescent="0.2">
      <c r="B8" s="17" t="s">
        <v>140</v>
      </c>
      <c r="C8" s="17"/>
      <c r="D8" s="19" t="s">
        <v>141</v>
      </c>
      <c r="G8" s="7">
        <f>-SUM(SAO!N16:N18)</f>
        <v>-39321</v>
      </c>
      <c r="K8" s="7">
        <v>-40602</v>
      </c>
    </row>
    <row r="9" spans="2:11" x14ac:dyDescent="0.2">
      <c r="B9" s="17"/>
      <c r="C9" s="17"/>
      <c r="D9" s="20" t="s">
        <v>142</v>
      </c>
      <c r="G9" s="4"/>
      <c r="K9" s="4"/>
    </row>
    <row r="10" spans="2:11" x14ac:dyDescent="0.2">
      <c r="B10" s="17" t="s">
        <v>143</v>
      </c>
      <c r="C10" s="17"/>
      <c r="D10" s="17"/>
      <c r="G10" s="30">
        <f>SUM(G7:G8)</f>
        <v>2076228.9341599378</v>
      </c>
      <c r="K10" s="30">
        <f>SUM(K7:K9)</f>
        <v>1691881.8181818181</v>
      </c>
    </row>
    <row r="11" spans="2:11" x14ac:dyDescent="0.2">
      <c r="B11" s="17" t="s">
        <v>140</v>
      </c>
      <c r="C11" s="17"/>
      <c r="D11" s="23" t="s">
        <v>145</v>
      </c>
      <c r="G11" s="6">
        <f>-SAO!Q15</f>
        <v>-2039064.6017199999</v>
      </c>
      <c r="K11" s="6">
        <f>-1617039</f>
        <v>-1617039</v>
      </c>
    </row>
    <row r="12" spans="2:11" x14ac:dyDescent="0.2">
      <c r="B12" s="17"/>
      <c r="C12" s="17"/>
      <c r="D12" s="21"/>
    </row>
    <row r="13" spans="2:11" x14ac:dyDescent="0.2">
      <c r="B13" s="17" t="s">
        <v>42</v>
      </c>
      <c r="C13" s="17"/>
      <c r="D13" s="17"/>
      <c r="G13" s="46">
        <f>SUM(G10:G11)</f>
        <v>37164.332439937862</v>
      </c>
      <c r="K13" s="46">
        <f>SUM(K10:K12)</f>
        <v>74842.818181818118</v>
      </c>
    </row>
    <row r="14" spans="2:11" ht="15.75" thickBot="1" x14ac:dyDescent="0.25">
      <c r="B14" s="17" t="s">
        <v>144</v>
      </c>
      <c r="C14" s="17"/>
      <c r="D14" s="17"/>
      <c r="G14" s="37">
        <f>G13/-G11</f>
        <v>1.8226167237952565E-2</v>
      </c>
      <c r="K14" s="124">
        <f>K13/-K11</f>
        <v>4.6283867106370419E-2</v>
      </c>
    </row>
    <row r="15" spans="2:11" ht="15.7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577B-B1EF-4C84-890C-F5E889DEBA5E}">
  <dimension ref="A1:N9"/>
  <sheetViews>
    <sheetView zoomScale="80" zoomScaleNormal="80" workbookViewId="0">
      <pane ySplit="4" topLeftCell="A5" activePane="bottomLeft" state="frozen"/>
      <selection pane="bottomLeft" activeCell="I10" sqref="I10"/>
    </sheetView>
  </sheetViews>
  <sheetFormatPr defaultRowHeight="15" x14ac:dyDescent="0.2"/>
  <cols>
    <col min="1" max="1" width="40" bestFit="1" customWidth="1"/>
    <col min="2" max="2" width="2.33203125" customWidth="1"/>
    <col min="4" max="4" width="2.33203125" customWidth="1"/>
    <col min="6" max="6" width="2.33203125" customWidth="1"/>
    <col min="8" max="8" width="2.33203125" customWidth="1"/>
    <col min="10" max="10" width="2.33203125" customWidth="1"/>
    <col min="11" max="11" width="10.6640625" customWidth="1"/>
    <col min="12" max="12" width="2.33203125" customWidth="1"/>
  </cols>
  <sheetData>
    <row r="1" spans="1:14" ht="20.25" x14ac:dyDescent="0.3">
      <c r="A1" s="39" t="s">
        <v>183</v>
      </c>
    </row>
    <row r="2" spans="1:14" ht="20.25" x14ac:dyDescent="0.3">
      <c r="A2" s="39" t="s">
        <v>184</v>
      </c>
    </row>
    <row r="4" spans="1:14" ht="78.75" x14ac:dyDescent="0.25">
      <c r="A4" s="40" t="s">
        <v>185</v>
      </c>
      <c r="C4" s="40" t="s">
        <v>186</v>
      </c>
      <c r="E4" s="40" t="s">
        <v>187</v>
      </c>
      <c r="G4" s="40" t="s">
        <v>188</v>
      </c>
      <c r="I4" s="40" t="s">
        <v>189</v>
      </c>
      <c r="K4" s="40" t="s">
        <v>190</v>
      </c>
      <c r="M4" s="40" t="s">
        <v>191</v>
      </c>
    </row>
    <row r="6" spans="1:14" x14ac:dyDescent="0.2">
      <c r="A6" t="s">
        <v>279</v>
      </c>
      <c r="E6">
        <v>65</v>
      </c>
      <c r="G6">
        <v>3775273.4</v>
      </c>
      <c r="K6">
        <f>G6/E6</f>
        <v>58081.129230769227</v>
      </c>
      <c r="N6" t="s">
        <v>280</v>
      </c>
    </row>
    <row r="7" spans="1:14" x14ac:dyDescent="0.2">
      <c r="E7">
        <v>62.5</v>
      </c>
      <c r="G7">
        <f>G6</f>
        <v>3775273.4</v>
      </c>
      <c r="K7">
        <f>G7/E7</f>
        <v>60404.374400000001</v>
      </c>
    </row>
    <row r="9" spans="1:14" x14ac:dyDescent="0.2">
      <c r="I9" t="s">
        <v>258</v>
      </c>
      <c r="K9">
        <f>K7-K6</f>
        <v>2323.2451692307732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0301-C0D0-4C77-9AC1-071DB069CF5D}">
  <dimension ref="A1:Z12"/>
  <sheetViews>
    <sheetView zoomScale="80" zoomScaleNormal="80" workbookViewId="0">
      <selection activeCell="U22" sqref="U22"/>
    </sheetView>
  </sheetViews>
  <sheetFormatPr defaultRowHeight="15" x14ac:dyDescent="0.2"/>
  <cols>
    <col min="6" max="6" width="2.33203125" customWidth="1"/>
    <col min="7" max="7" width="11" bestFit="1" customWidth="1"/>
    <col min="8" max="8" width="2.33203125" customWidth="1"/>
    <col min="12" max="12" width="13.109375" customWidth="1"/>
    <col min="13" max="14" width="13.44140625" customWidth="1"/>
    <col min="15" max="15" width="2.33203125" customWidth="1"/>
    <col min="16" max="17" width="13.44140625" customWidth="1"/>
    <col min="18" max="18" width="2.33203125" customWidth="1"/>
    <col min="19" max="20" width="13.44140625" customWidth="1"/>
    <col min="21" max="21" width="2.33203125" customWidth="1"/>
    <col min="22" max="22" width="12" bestFit="1" customWidth="1"/>
    <col min="24" max="26" width="11" bestFit="1" customWidth="1"/>
  </cols>
  <sheetData>
    <row r="1" spans="1:26" x14ac:dyDescent="0.2">
      <c r="G1" s="3" t="s">
        <v>64</v>
      </c>
      <c r="I1" s="3" t="s">
        <v>65</v>
      </c>
    </row>
    <row r="2" spans="1:26" x14ac:dyDescent="0.2">
      <c r="A2" t="s">
        <v>59</v>
      </c>
    </row>
    <row r="3" spans="1:26" x14ac:dyDescent="0.2">
      <c r="A3" t="s">
        <v>60</v>
      </c>
      <c r="G3" s="50">
        <f>USDALoan!P39+'KIA#B17-011'!N27</f>
        <v>79837.673333333325</v>
      </c>
      <c r="M3" s="72">
        <v>2027</v>
      </c>
      <c r="N3" s="72"/>
      <c r="O3" s="73"/>
      <c r="P3" s="72">
        <v>2028</v>
      </c>
      <c r="Q3" s="72"/>
      <c r="R3" s="73"/>
      <c r="S3" s="72">
        <v>2029</v>
      </c>
      <c r="T3" s="72"/>
    </row>
    <row r="4" spans="1:26" x14ac:dyDescent="0.2">
      <c r="A4" t="s">
        <v>61</v>
      </c>
      <c r="G4" s="45">
        <v>1.2</v>
      </c>
      <c r="I4" s="45">
        <v>1.2</v>
      </c>
    </row>
    <row r="5" spans="1:26" x14ac:dyDescent="0.2">
      <c r="M5" s="3" t="s">
        <v>226</v>
      </c>
      <c r="N5" s="3" t="s">
        <v>227</v>
      </c>
      <c r="P5" s="3" t="s">
        <v>226</v>
      </c>
      <c r="Q5" s="3" t="s">
        <v>227</v>
      </c>
      <c r="S5" s="3" t="s">
        <v>226</v>
      </c>
      <c r="T5" s="3" t="s">
        <v>227</v>
      </c>
      <c r="V5" s="3" t="s">
        <v>163</v>
      </c>
    </row>
    <row r="6" spans="1:26" x14ac:dyDescent="0.2">
      <c r="A6" t="s">
        <v>35</v>
      </c>
      <c r="G6" s="50">
        <f>G3*G4</f>
        <v>95805.207999999984</v>
      </c>
    </row>
    <row r="7" spans="1:26" x14ac:dyDescent="0.2">
      <c r="A7" t="s">
        <v>62</v>
      </c>
      <c r="G7" s="52">
        <f>-G3</f>
        <v>-79837.673333333325</v>
      </c>
      <c r="I7" s="4"/>
      <c r="L7" t="s">
        <v>224</v>
      </c>
      <c r="M7" s="71">
        <f>'KIA#B17-011'!B19+'KIA#B17-011'!B20</f>
        <v>28060.63</v>
      </c>
      <c r="N7" s="71">
        <f>'KIA#B17-011'!C19+'KIA#B17-011'!C20+'KIA#B17-011'!F19+'KIA#B17-011'!F20</f>
        <v>8811.83</v>
      </c>
      <c r="P7" s="71">
        <f>'KIA#B17-011'!B21+'KIA#B17-011'!B22</f>
        <v>28553.86</v>
      </c>
      <c r="Q7" s="71">
        <f>'KIA#B17-011'!C21+'KIA#B17-011'!C22+'KIA#B17-011'!F21+'KIA#B17-011'!F22</f>
        <v>8262.23</v>
      </c>
      <c r="S7" s="71">
        <f>'KIA#B17-011'!B23+'KIA#B17-011'!B24</f>
        <v>29055.73</v>
      </c>
      <c r="T7" s="71">
        <f>'KIA#B17-011'!C23+'KIA#B17-011'!C24+'KIA#B17-011'!F23+'KIA#B17-011'!F24</f>
        <v>7702.9900000000007</v>
      </c>
      <c r="V7" s="71">
        <f>SUM(M7:T7)</f>
        <v>110447.27</v>
      </c>
      <c r="X7" s="71">
        <f>M7+N7</f>
        <v>36872.46</v>
      </c>
      <c r="Y7" s="71">
        <f>P7+Q7</f>
        <v>36816.089999999997</v>
      </c>
      <c r="Z7" s="71">
        <f>S7+T7</f>
        <v>36758.720000000001</v>
      </c>
    </row>
    <row r="8" spans="1:26" x14ac:dyDescent="0.2">
      <c r="L8" t="s">
        <v>225</v>
      </c>
      <c r="M8" s="74">
        <f>USDALoan!O20+USDALoan!O26</f>
        <v>28700</v>
      </c>
      <c r="N8" s="74">
        <f>USDALoan!P20+USDALoan!P26</f>
        <v>13821.75</v>
      </c>
      <c r="P8" s="74">
        <f>USDALoan!O21+USDALoan!O27</f>
        <v>30900</v>
      </c>
      <c r="Q8" s="74">
        <f>USDALoan!P21+USDALoan!P27</f>
        <v>12480.75</v>
      </c>
      <c r="S8" s="74">
        <f>USDALoan!O22+USDALoan!O28</f>
        <v>32100</v>
      </c>
      <c r="T8" s="74">
        <f>USDALoan!P22+USDALoan!P28</f>
        <v>11063.25</v>
      </c>
      <c r="V8" s="75">
        <f>SUM(M8:T8)</f>
        <v>129065.75</v>
      </c>
      <c r="X8" s="71">
        <f>M8+N8</f>
        <v>42521.75</v>
      </c>
      <c r="Y8" s="71">
        <f>P8+Q8</f>
        <v>43380.75</v>
      </c>
      <c r="Z8" s="71">
        <f>S8+T8</f>
        <v>43163.25</v>
      </c>
    </row>
    <row r="9" spans="1:26" ht="15.75" thickBot="1" x14ac:dyDescent="0.25">
      <c r="A9" t="s">
        <v>63</v>
      </c>
      <c r="G9" s="53">
        <f>SUM(G6:G8)</f>
        <v>15967.534666666659</v>
      </c>
      <c r="I9" s="8"/>
    </row>
    <row r="10" spans="1:26" ht="15.75" thickTop="1" x14ac:dyDescent="0.2">
      <c r="T10" t="s">
        <v>163</v>
      </c>
      <c r="V10" s="71">
        <f>SUM(V7:V9)</f>
        <v>239513.02000000002</v>
      </c>
    </row>
    <row r="11" spans="1:26" x14ac:dyDescent="0.2">
      <c r="S11" t="s">
        <v>228</v>
      </c>
      <c r="V11" s="71">
        <f>V10/3</f>
        <v>79837.67333333334</v>
      </c>
    </row>
    <row r="12" spans="1:26" x14ac:dyDescent="0.2">
      <c r="S12" t="s">
        <v>229</v>
      </c>
      <c r="V12" s="71">
        <f>V11*0.2</f>
        <v>15967.534666666668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E14B-2EFC-444B-949A-0386648A896C}">
  <dimension ref="A1:AA35"/>
  <sheetViews>
    <sheetView zoomScale="80" zoomScaleNormal="80" workbookViewId="0">
      <selection activeCell="T28" sqref="T28"/>
    </sheetView>
  </sheetViews>
  <sheetFormatPr defaultRowHeight="15" x14ac:dyDescent="0.2"/>
  <cols>
    <col min="1" max="1" width="18.88671875" bestFit="1" customWidth="1"/>
    <col min="2" max="2" width="2.33203125" customWidth="1"/>
    <col min="3" max="3" width="18" bestFit="1" customWidth="1"/>
    <col min="4" max="4" width="2.33203125" customWidth="1"/>
    <col min="6" max="6" width="11" bestFit="1" customWidth="1"/>
    <col min="7" max="7" width="2.33203125" customWidth="1"/>
    <col min="8" max="8" width="8.88671875" customWidth="1"/>
    <col min="9" max="9" width="11" bestFit="1" customWidth="1"/>
    <col min="10" max="10" width="2.33203125" customWidth="1"/>
    <col min="11" max="12" width="11" bestFit="1" customWidth="1"/>
    <col min="13" max="13" width="2.33203125" customWidth="1"/>
    <col min="14" max="14" width="14.44140625" customWidth="1"/>
    <col min="15" max="15" width="2.33203125" customWidth="1"/>
    <col min="16" max="16" width="18.88671875" customWidth="1"/>
    <col min="19" max="19" width="2.33203125" customWidth="1"/>
    <col min="21" max="21" width="13.109375" customWidth="1"/>
    <col min="23" max="23" width="11" bestFit="1" customWidth="1"/>
    <col min="25" max="25" width="10" bestFit="1" customWidth="1"/>
    <col min="27" max="27" width="11" bestFit="1" customWidth="1"/>
  </cols>
  <sheetData>
    <row r="1" spans="1:20" ht="15.75" x14ac:dyDescent="0.25">
      <c r="A1" s="76" t="s">
        <v>230</v>
      </c>
    </row>
    <row r="2" spans="1:20" ht="30" x14ac:dyDescent="0.2">
      <c r="E2" s="25" t="s">
        <v>243</v>
      </c>
      <c r="F2" s="25"/>
      <c r="H2" s="80" t="s">
        <v>246</v>
      </c>
      <c r="I2" s="25"/>
      <c r="K2" s="80" t="s">
        <v>247</v>
      </c>
      <c r="L2" s="80"/>
    </row>
    <row r="3" spans="1:20" ht="45" x14ac:dyDescent="0.2">
      <c r="A3" s="4" t="s">
        <v>231</v>
      </c>
      <c r="C3" s="4" t="s">
        <v>232</v>
      </c>
      <c r="E3" s="77" t="s">
        <v>244</v>
      </c>
      <c r="F3" s="77" t="s">
        <v>245</v>
      </c>
      <c r="H3" s="77" t="s">
        <v>244</v>
      </c>
      <c r="I3" s="77" t="s">
        <v>245</v>
      </c>
      <c r="K3" s="77" t="s">
        <v>244</v>
      </c>
      <c r="L3" s="77" t="s">
        <v>245</v>
      </c>
      <c r="N3" s="79" t="s">
        <v>248</v>
      </c>
      <c r="P3" s="79" t="s">
        <v>249</v>
      </c>
      <c r="R3" s="79" t="s">
        <v>260</v>
      </c>
      <c r="T3" s="3" t="s">
        <v>259</v>
      </c>
    </row>
    <row r="4" spans="1:20" x14ac:dyDescent="0.2">
      <c r="A4" t="s">
        <v>241</v>
      </c>
      <c r="C4" t="s">
        <v>242</v>
      </c>
      <c r="E4" t="s">
        <v>252</v>
      </c>
      <c r="F4" s="5">
        <v>62400</v>
      </c>
      <c r="H4" t="s">
        <v>252</v>
      </c>
      <c r="I4" s="5">
        <v>62400</v>
      </c>
      <c r="K4" s="50">
        <f>F4</f>
        <v>62400</v>
      </c>
      <c r="N4" s="50">
        <f>K4+L4</f>
        <v>62400</v>
      </c>
      <c r="P4" s="71">
        <f>N4*$T$6</f>
        <v>10876.320000000002</v>
      </c>
    </row>
    <row r="5" spans="1:20" x14ac:dyDescent="0.2">
      <c r="A5" t="s">
        <v>235</v>
      </c>
      <c r="C5" t="s">
        <v>234</v>
      </c>
      <c r="E5">
        <v>2120</v>
      </c>
      <c r="H5" s="74">
        <v>19</v>
      </c>
      <c r="I5" s="74">
        <f>H5*1.5</f>
        <v>28.5</v>
      </c>
      <c r="K5" s="71">
        <f>E5*H5</f>
        <v>40280</v>
      </c>
      <c r="L5" s="71">
        <f>F5*I5</f>
        <v>0</v>
      </c>
      <c r="N5" s="50">
        <f t="shared" ref="N5:N11" si="0">K5+L5</f>
        <v>40280</v>
      </c>
      <c r="P5" s="71">
        <f>N5*$T$6</f>
        <v>7020.8040000000001</v>
      </c>
      <c r="R5" s="84">
        <v>45839</v>
      </c>
      <c r="T5" s="14">
        <v>0.1862</v>
      </c>
    </row>
    <row r="6" spans="1:20" x14ac:dyDescent="0.2">
      <c r="A6" t="s">
        <v>233</v>
      </c>
      <c r="C6" t="s">
        <v>234</v>
      </c>
      <c r="E6">
        <v>2960</v>
      </c>
      <c r="H6" s="74">
        <v>16</v>
      </c>
      <c r="I6" s="74">
        <f t="shared" ref="I6:I11" si="1">H6*1.5</f>
        <v>24</v>
      </c>
      <c r="K6" s="71">
        <f>E6*H6</f>
        <v>47360</v>
      </c>
      <c r="L6" s="71">
        <f t="shared" ref="L6:L11" si="2">F6*I6</f>
        <v>0</v>
      </c>
      <c r="N6" s="50">
        <f t="shared" si="0"/>
        <v>47360</v>
      </c>
      <c r="P6" s="71">
        <f t="shared" ref="P6:P11" si="3">N6*$T$6</f>
        <v>8254.848</v>
      </c>
      <c r="R6" s="84">
        <v>46204</v>
      </c>
      <c r="T6" s="14">
        <v>0.17430000000000001</v>
      </c>
    </row>
    <row r="7" spans="1:20" x14ac:dyDescent="0.2">
      <c r="A7" t="s">
        <v>239</v>
      </c>
      <c r="C7" t="s">
        <v>240</v>
      </c>
      <c r="E7" t="s">
        <v>252</v>
      </c>
      <c r="F7" s="5">
        <v>80000</v>
      </c>
      <c r="H7" t="s">
        <v>252</v>
      </c>
      <c r="I7" s="5">
        <v>80000</v>
      </c>
      <c r="K7" s="50">
        <f>F7</f>
        <v>80000</v>
      </c>
      <c r="L7" s="71"/>
      <c r="N7" s="50">
        <f t="shared" si="0"/>
        <v>80000</v>
      </c>
      <c r="P7" s="71">
        <f t="shared" si="3"/>
        <v>13944</v>
      </c>
    </row>
    <row r="8" spans="1:20" x14ac:dyDescent="0.2">
      <c r="A8" t="s">
        <v>237</v>
      </c>
      <c r="C8" t="s">
        <v>238</v>
      </c>
      <c r="E8">
        <v>2132</v>
      </c>
      <c r="F8">
        <v>134.5</v>
      </c>
      <c r="H8" s="74">
        <v>20</v>
      </c>
      <c r="I8" s="74">
        <f t="shared" si="1"/>
        <v>30</v>
      </c>
      <c r="K8" s="71">
        <f>E8*H8</f>
        <v>42640</v>
      </c>
      <c r="L8" s="71">
        <f t="shared" si="2"/>
        <v>4035</v>
      </c>
      <c r="N8" s="50">
        <f t="shared" si="0"/>
        <v>46675</v>
      </c>
      <c r="P8" s="71">
        <f>N8*$T$6</f>
        <v>8135.4525000000003</v>
      </c>
    </row>
    <row r="9" spans="1:20" x14ac:dyDescent="0.2">
      <c r="A9" t="s">
        <v>236</v>
      </c>
      <c r="C9" t="s">
        <v>238</v>
      </c>
      <c r="E9">
        <v>2096</v>
      </c>
      <c r="F9">
        <v>115</v>
      </c>
      <c r="H9" s="74">
        <v>20</v>
      </c>
      <c r="I9" s="74">
        <f t="shared" si="1"/>
        <v>30</v>
      </c>
      <c r="K9" s="71">
        <f>E9*H9</f>
        <v>41920</v>
      </c>
      <c r="L9" s="71">
        <f t="shared" si="2"/>
        <v>3450</v>
      </c>
      <c r="N9" s="50">
        <f t="shared" si="0"/>
        <v>45370</v>
      </c>
      <c r="P9" s="71">
        <f t="shared" si="3"/>
        <v>7907.9910000000009</v>
      </c>
    </row>
    <row r="10" spans="1:20" x14ac:dyDescent="0.2">
      <c r="A10" t="s">
        <v>250</v>
      </c>
      <c r="C10" t="s">
        <v>238</v>
      </c>
      <c r="E10">
        <v>2080</v>
      </c>
      <c r="H10" s="74">
        <v>17</v>
      </c>
      <c r="I10" s="74">
        <f t="shared" si="1"/>
        <v>25.5</v>
      </c>
      <c r="K10" s="71">
        <f>E10*H10</f>
        <v>35360</v>
      </c>
      <c r="L10" s="71">
        <f t="shared" si="2"/>
        <v>0</v>
      </c>
      <c r="N10" s="50">
        <f t="shared" si="0"/>
        <v>35360</v>
      </c>
      <c r="P10" s="71">
        <f t="shared" si="3"/>
        <v>6163.2480000000005</v>
      </c>
    </row>
    <row r="11" spans="1:20" x14ac:dyDescent="0.2">
      <c r="A11" t="s">
        <v>251</v>
      </c>
      <c r="C11" t="s">
        <v>238</v>
      </c>
      <c r="E11" s="4">
        <v>2080</v>
      </c>
      <c r="F11" s="4"/>
      <c r="H11" s="81">
        <v>17</v>
      </c>
      <c r="I11" s="81">
        <f t="shared" si="1"/>
        <v>25.5</v>
      </c>
      <c r="K11" s="75">
        <f>E11*H11</f>
        <v>35360</v>
      </c>
      <c r="L11" s="75">
        <f t="shared" si="2"/>
        <v>0</v>
      </c>
      <c r="N11" s="52">
        <f t="shared" si="0"/>
        <v>35360</v>
      </c>
      <c r="P11" s="75">
        <f t="shared" si="3"/>
        <v>6163.2480000000005</v>
      </c>
    </row>
    <row r="13" spans="1:20" x14ac:dyDescent="0.2">
      <c r="K13" s="82" t="s">
        <v>248</v>
      </c>
      <c r="N13" s="50">
        <f>SUM(N4:N12)</f>
        <v>392805</v>
      </c>
      <c r="P13" s="71">
        <f>SUM(P4:P12)</f>
        <v>68465.911500000002</v>
      </c>
      <c r="Q13" t="s">
        <v>261</v>
      </c>
    </row>
    <row r="16" spans="1:20" ht="16.5" thickBot="1" x14ac:dyDescent="0.3">
      <c r="P16" s="54" t="s">
        <v>263</v>
      </c>
    </row>
    <row r="17" spans="11:27" x14ac:dyDescent="0.2">
      <c r="K17" t="s">
        <v>262</v>
      </c>
      <c r="P17" s="50">
        <f>N13</f>
        <v>392805</v>
      </c>
    </row>
    <row r="18" spans="11:27" x14ac:dyDescent="0.2">
      <c r="K18" t="s">
        <v>264</v>
      </c>
      <c r="N18" s="78"/>
      <c r="P18" s="46">
        <f>-SAO!H24</f>
        <v>-360865</v>
      </c>
    </row>
    <row r="20" spans="11:27" ht="15.75" thickBot="1" x14ac:dyDescent="0.25">
      <c r="K20" s="41" t="s">
        <v>265</v>
      </c>
      <c r="L20" s="41"/>
      <c r="M20" s="41"/>
      <c r="N20" s="41"/>
      <c r="P20" s="53">
        <f>SUM(P17:P19)</f>
        <v>31940</v>
      </c>
    </row>
    <row r="21" spans="11:27" ht="15.75" thickTop="1" x14ac:dyDescent="0.2"/>
    <row r="22" spans="11:27" x14ac:dyDescent="0.2">
      <c r="K22" t="s">
        <v>262</v>
      </c>
      <c r="P22" s="50">
        <f>N13</f>
        <v>392805</v>
      </c>
    </row>
    <row r="23" spans="11:27" x14ac:dyDescent="0.2">
      <c r="K23" t="s">
        <v>266</v>
      </c>
      <c r="P23" s="86">
        <v>30000</v>
      </c>
      <c r="Y23" t="s">
        <v>273</v>
      </c>
      <c r="AA23" s="36">
        <f>SAO!H24</f>
        <v>360865</v>
      </c>
    </row>
    <row r="24" spans="11:27" x14ac:dyDescent="0.2">
      <c r="Y24" t="s">
        <v>274</v>
      </c>
      <c r="AA24" s="85">
        <v>7.6499999999999999E-2</v>
      </c>
    </row>
    <row r="25" spans="11:27" x14ac:dyDescent="0.2">
      <c r="N25" t="s">
        <v>267</v>
      </c>
      <c r="P25" s="50">
        <f>SUM(P22:P24)</f>
        <v>422805</v>
      </c>
    </row>
    <row r="26" spans="11:27" x14ac:dyDescent="0.2">
      <c r="K26" t="s">
        <v>268</v>
      </c>
      <c r="P26" s="85">
        <v>7.6499999999999999E-2</v>
      </c>
      <c r="Y26" t="s">
        <v>275</v>
      </c>
      <c r="AA26" s="36">
        <f>AA23*AA24</f>
        <v>27606.172500000001</v>
      </c>
    </row>
    <row r="27" spans="11:27" x14ac:dyDescent="0.2">
      <c r="K27" t="s">
        <v>269</v>
      </c>
      <c r="P27" s="5">
        <f>P25*P26</f>
        <v>32344.5825</v>
      </c>
    </row>
    <row r="28" spans="11:27" x14ac:dyDescent="0.2">
      <c r="K28" t="s">
        <v>270</v>
      </c>
      <c r="P28" s="86">
        <v>-29166.94</v>
      </c>
    </row>
    <row r="30" spans="11:27" ht="15.75" thickBot="1" x14ac:dyDescent="0.25">
      <c r="K30" s="41" t="s">
        <v>271</v>
      </c>
      <c r="L30" s="41"/>
      <c r="P30" s="47">
        <f>SUM(P27:P29)</f>
        <v>3177.6425000000017</v>
      </c>
    </row>
    <row r="31" spans="11:27" ht="15.75" thickTop="1" x14ac:dyDescent="0.2">
      <c r="T31" t="s">
        <v>272</v>
      </c>
      <c r="Y31" s="24">
        <v>70503.33</v>
      </c>
    </row>
    <row r="32" spans="11:27" x14ac:dyDescent="0.2">
      <c r="K32" t="s">
        <v>276</v>
      </c>
      <c r="P32" s="71">
        <f>P13</f>
        <v>68465.911500000002</v>
      </c>
    </row>
    <row r="33" spans="11:16" x14ac:dyDescent="0.2">
      <c r="K33" t="s">
        <v>277</v>
      </c>
      <c r="P33" s="87">
        <f>SAO!H24*Salaries!T5</f>
        <v>67193.062999999995</v>
      </c>
    </row>
    <row r="34" spans="11:16" ht="15.75" thickBot="1" x14ac:dyDescent="0.25">
      <c r="K34" s="41" t="s">
        <v>278</v>
      </c>
      <c r="L34" s="41"/>
      <c r="M34" s="41"/>
      <c r="N34" s="41"/>
      <c r="P34" s="88">
        <f>P32-P33</f>
        <v>1272.8485000000073</v>
      </c>
    </row>
    <row r="35" spans="11:16" ht="15.75" thickTop="1" x14ac:dyDescent="0.2"/>
  </sheetData>
  <pageMargins left="0.7" right="0.7" top="0.75" bottom="0.75" header="0.3" footer="0.3"/>
  <ignoredErrors>
    <ignoredError sqref="K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9C2A-55CE-4DB8-AF0A-9016097AA230}">
  <dimension ref="A1:O25"/>
  <sheetViews>
    <sheetView zoomScale="80" zoomScaleNormal="80" workbookViewId="0">
      <selection activeCell="I32" sqref="I32"/>
    </sheetView>
  </sheetViews>
  <sheetFormatPr defaultRowHeight="15" x14ac:dyDescent="0.2"/>
  <cols>
    <col min="1" max="1" width="9.6640625" bestFit="1" customWidth="1"/>
    <col min="3" max="3" width="10.88671875" customWidth="1"/>
    <col min="4" max="4" width="26.33203125" style="7" bestFit="1" customWidth="1"/>
    <col min="5" max="5" width="2.33203125" customWidth="1"/>
    <col min="6" max="6" width="20.6640625" style="7" bestFit="1" customWidth="1"/>
    <col min="7" max="7" width="2.33203125" customWidth="1"/>
    <col min="8" max="8" width="11.5546875" bestFit="1" customWidth="1"/>
    <col min="9" max="9" width="9.109375" bestFit="1" customWidth="1"/>
    <col min="10" max="10" width="2.33203125" customWidth="1"/>
    <col min="11" max="11" width="25.77734375" customWidth="1"/>
    <col min="12" max="12" width="2.33203125" customWidth="1"/>
    <col min="13" max="13" width="11" style="7" bestFit="1" customWidth="1"/>
  </cols>
  <sheetData>
    <row r="1" spans="1:15" x14ac:dyDescent="0.2">
      <c r="D1" s="27" t="s">
        <v>148</v>
      </c>
      <c r="E1" s="25"/>
      <c r="F1" s="27"/>
    </row>
    <row r="2" spans="1:15" x14ac:dyDescent="0.2">
      <c r="D2" s="28" t="s">
        <v>161</v>
      </c>
      <c r="E2" s="26"/>
      <c r="F2" s="29" t="s">
        <v>162</v>
      </c>
      <c r="J2" t="s">
        <v>164</v>
      </c>
      <c r="M2" s="7">
        <f>D16</f>
        <v>454803</v>
      </c>
    </row>
    <row r="3" spans="1:15" x14ac:dyDescent="0.2">
      <c r="A3" t="s">
        <v>149</v>
      </c>
      <c r="D3" s="7">
        <v>35453</v>
      </c>
      <c r="F3" s="7">
        <v>23760</v>
      </c>
      <c r="J3" t="s">
        <v>165</v>
      </c>
      <c r="M3" s="7">
        <f>-F16</f>
        <v>-257417</v>
      </c>
    </row>
    <row r="4" spans="1:15" x14ac:dyDescent="0.2">
      <c r="A4" t="s">
        <v>150</v>
      </c>
      <c r="D4" s="7">
        <v>37473</v>
      </c>
      <c r="F4" s="7">
        <v>17860</v>
      </c>
      <c r="J4" t="s">
        <v>166</v>
      </c>
    </row>
    <row r="5" spans="1:15" x14ac:dyDescent="0.2">
      <c r="A5" t="s">
        <v>151</v>
      </c>
      <c r="D5" s="7">
        <v>34511</v>
      </c>
      <c r="F5" s="7">
        <v>19541</v>
      </c>
      <c r="K5" t="s">
        <v>167</v>
      </c>
      <c r="M5" s="7">
        <v>2354</v>
      </c>
    </row>
    <row r="6" spans="1:15" x14ac:dyDescent="0.2">
      <c r="A6" t="s">
        <v>152</v>
      </c>
      <c r="D6" s="7">
        <v>37975</v>
      </c>
      <c r="F6" s="7">
        <v>17896</v>
      </c>
      <c r="K6" t="s">
        <v>168</v>
      </c>
      <c r="M6" s="6">
        <v>125</v>
      </c>
    </row>
    <row r="7" spans="1:15" x14ac:dyDescent="0.2">
      <c r="A7" t="s">
        <v>153</v>
      </c>
      <c r="D7" s="7">
        <v>44614</v>
      </c>
      <c r="F7" s="7">
        <v>21625</v>
      </c>
      <c r="J7" t="s">
        <v>169</v>
      </c>
      <c r="M7" s="7">
        <f>SUM(M5:M6)</f>
        <v>2479</v>
      </c>
    </row>
    <row r="8" spans="1:15" x14ac:dyDescent="0.2">
      <c r="A8" t="s">
        <v>154</v>
      </c>
      <c r="D8" s="7">
        <v>45288</v>
      </c>
      <c r="F8" s="7">
        <v>22432</v>
      </c>
    </row>
    <row r="9" spans="1:15" x14ac:dyDescent="0.2">
      <c r="A9" t="s">
        <v>155</v>
      </c>
      <c r="D9" s="7">
        <v>43796</v>
      </c>
      <c r="F9" s="7">
        <v>26505</v>
      </c>
      <c r="K9" t="s">
        <v>170</v>
      </c>
      <c r="M9" s="7">
        <v>8462</v>
      </c>
    </row>
    <row r="10" spans="1:15" x14ac:dyDescent="0.2">
      <c r="A10" t="s">
        <v>156</v>
      </c>
      <c r="D10" s="7">
        <v>43970</v>
      </c>
      <c r="F10" s="7">
        <v>24848</v>
      </c>
      <c r="K10" t="s">
        <v>171</v>
      </c>
      <c r="M10" s="6">
        <v>186445</v>
      </c>
    </row>
    <row r="11" spans="1:15" x14ac:dyDescent="0.2">
      <c r="A11" t="s">
        <v>157</v>
      </c>
      <c r="D11" s="7">
        <v>39971</v>
      </c>
      <c r="F11" s="7">
        <v>26463</v>
      </c>
      <c r="J11" t="s">
        <v>172</v>
      </c>
      <c r="M11" s="7">
        <f>SUM(M9:M10)</f>
        <v>194907</v>
      </c>
      <c r="O11" s="30">
        <f>F16+M7+M11</f>
        <v>454803</v>
      </c>
    </row>
    <row r="12" spans="1:15" x14ac:dyDescent="0.2">
      <c r="A12" t="s">
        <v>158</v>
      </c>
      <c r="D12" s="7">
        <v>36208</v>
      </c>
      <c r="F12" s="7">
        <v>19686</v>
      </c>
    </row>
    <row r="13" spans="1:15" x14ac:dyDescent="0.2">
      <c r="A13" t="s">
        <v>159</v>
      </c>
      <c r="D13" s="7">
        <v>26323</v>
      </c>
      <c r="F13" s="7">
        <v>19637</v>
      </c>
      <c r="J13" t="s">
        <v>173</v>
      </c>
      <c r="M13" s="31">
        <f>M11/M2</f>
        <v>0.42855258210697816</v>
      </c>
    </row>
    <row r="14" spans="1:15" x14ac:dyDescent="0.2">
      <c r="A14" t="s">
        <v>160</v>
      </c>
      <c r="D14" s="6">
        <v>29221</v>
      </c>
      <c r="F14" s="6">
        <v>17164</v>
      </c>
    </row>
    <row r="15" spans="1:15" x14ac:dyDescent="0.2">
      <c r="J15" t="s">
        <v>174</v>
      </c>
      <c r="M15" s="31">
        <v>0.15</v>
      </c>
    </row>
    <row r="16" spans="1:15" x14ac:dyDescent="0.2">
      <c r="A16" t="s">
        <v>163</v>
      </c>
      <c r="D16" s="7">
        <f>SUM(D3:D15)</f>
        <v>454803</v>
      </c>
      <c r="F16" s="7">
        <f>SUM(F3:F15)</f>
        <v>257417</v>
      </c>
      <c r="J16" t="s">
        <v>175</v>
      </c>
      <c r="M16" s="32">
        <f>M13</f>
        <v>0.42855258210697816</v>
      </c>
    </row>
    <row r="18" spans="1:13" x14ac:dyDescent="0.2">
      <c r="J18" t="s">
        <v>176</v>
      </c>
      <c r="M18" s="31">
        <f>M15-M16</f>
        <v>-0.2785525821069782</v>
      </c>
    </row>
    <row r="20" spans="1:13" x14ac:dyDescent="0.2">
      <c r="D20" s="33" t="s">
        <v>178</v>
      </c>
      <c r="F20" s="33" t="s">
        <v>178</v>
      </c>
    </row>
    <row r="21" spans="1:13" x14ac:dyDescent="0.2">
      <c r="D21" s="34" t="s">
        <v>179</v>
      </c>
      <c r="F21" s="34" t="s">
        <v>180</v>
      </c>
      <c r="H21" s="3" t="s">
        <v>163</v>
      </c>
    </row>
    <row r="22" spans="1:13" x14ac:dyDescent="0.2">
      <c r="A22" t="s">
        <v>177</v>
      </c>
      <c r="D22" s="7">
        <f>SAO!H27</f>
        <v>1181206</v>
      </c>
      <c r="F22" s="7">
        <f>SAO!H28</f>
        <v>79640</v>
      </c>
      <c r="H22" s="30">
        <f>SUM(D22:F22)</f>
        <v>1260846</v>
      </c>
    </row>
    <row r="23" spans="1:13" x14ac:dyDescent="0.2">
      <c r="A23" t="s">
        <v>181</v>
      </c>
      <c r="D23" s="32">
        <f>M18</f>
        <v>-0.2785525821069782</v>
      </c>
      <c r="F23" s="32">
        <f>M18</f>
        <v>-0.2785525821069782</v>
      </c>
      <c r="H23" s="35">
        <f>M18</f>
        <v>-0.2785525821069782</v>
      </c>
    </row>
    <row r="25" spans="1:13" x14ac:dyDescent="0.2">
      <c r="A25" t="s">
        <v>182</v>
      </c>
      <c r="D25" s="7">
        <f>D22*D23</f>
        <v>-329027.98130025528</v>
      </c>
      <c r="F25" s="7">
        <f>F22*F23</f>
        <v>-22183.927638999743</v>
      </c>
      <c r="H25" s="36">
        <f>H22*H23</f>
        <v>-351211.90893925505</v>
      </c>
      <c r="I25" s="30">
        <f>D25+F25</f>
        <v>-351211.90893925505</v>
      </c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8E18-236F-4A72-9619-8D29630865CF}">
  <sheetPr>
    <pageSetUpPr fitToPage="1"/>
  </sheetPr>
  <dimension ref="A1:Q128"/>
  <sheetViews>
    <sheetView zoomScale="80" zoomScaleNormal="80" workbookViewId="0">
      <selection activeCell="L20" sqref="L20"/>
    </sheetView>
  </sheetViews>
  <sheetFormatPr defaultRowHeight="15" x14ac:dyDescent="0.2"/>
  <cols>
    <col min="2" max="2" width="13.5546875" bestFit="1" customWidth="1"/>
    <col min="4" max="4" width="14.44140625" customWidth="1"/>
    <col min="5" max="5" width="11" bestFit="1" customWidth="1"/>
    <col min="6" max="6" width="14.5546875" bestFit="1" customWidth="1"/>
    <col min="7" max="7" width="13.5546875" bestFit="1" customWidth="1"/>
    <col min="8" max="9" width="11" bestFit="1" customWidth="1"/>
    <col min="10" max="10" width="13.5546875" bestFit="1" customWidth="1"/>
    <col min="12" max="12" width="12.44140625" bestFit="1" customWidth="1"/>
    <col min="14" max="14" width="12" bestFit="1" customWidth="1"/>
  </cols>
  <sheetData>
    <row r="1" spans="1:14" ht="15.75" x14ac:dyDescent="0.25">
      <c r="A1" s="1" t="s">
        <v>194</v>
      </c>
    </row>
    <row r="2" spans="1:14" ht="15.75" x14ac:dyDescent="0.25">
      <c r="A2" s="1" t="s">
        <v>118</v>
      </c>
    </row>
    <row r="4" spans="1:14" ht="15.75" x14ac:dyDescent="0.25">
      <c r="A4" s="1" t="s">
        <v>195</v>
      </c>
    </row>
    <row r="6" spans="1:14" ht="15.75" x14ac:dyDescent="0.25">
      <c r="E6" s="9"/>
      <c r="F6" s="57" t="s">
        <v>203</v>
      </c>
      <c r="G6" s="9"/>
      <c r="H6" s="9"/>
    </row>
    <row r="7" spans="1:14" ht="16.5" thickBot="1" x14ac:dyDescent="0.3">
      <c r="A7" s="58"/>
      <c r="B7" s="58"/>
      <c r="C7" s="58"/>
      <c r="D7" s="58"/>
      <c r="E7" s="54" t="s">
        <v>202</v>
      </c>
      <c r="F7" s="54" t="s">
        <v>204</v>
      </c>
      <c r="G7" s="54" t="s">
        <v>205</v>
      </c>
      <c r="H7" s="57"/>
    </row>
    <row r="8" spans="1:14" x14ac:dyDescent="0.2">
      <c r="A8" t="s">
        <v>196</v>
      </c>
      <c r="E8" s="30">
        <f>C31</f>
        <v>34972</v>
      </c>
      <c r="F8" s="30">
        <f>D31</f>
        <v>128493560</v>
      </c>
      <c r="G8" s="50">
        <f>F42</f>
        <v>1323724.3608599997</v>
      </c>
    </row>
    <row r="9" spans="1:14" x14ac:dyDescent="0.2">
      <c r="A9" t="s">
        <v>197</v>
      </c>
      <c r="E9" s="30">
        <f>C54</f>
        <v>180</v>
      </c>
      <c r="F9" s="30">
        <f>D54</f>
        <v>928020</v>
      </c>
      <c r="G9" s="7">
        <f>F65</f>
        <v>10337.951599999997</v>
      </c>
      <c r="N9" s="30">
        <f>G10+G11+G12</f>
        <v>344505.5246</v>
      </c>
    </row>
    <row r="10" spans="1:14" x14ac:dyDescent="0.2">
      <c r="A10" t="s">
        <v>198</v>
      </c>
      <c r="E10" s="30">
        <f>C76</f>
        <v>342</v>
      </c>
      <c r="F10" s="30">
        <f>D76</f>
        <v>16565030</v>
      </c>
      <c r="G10" s="7">
        <f>F86</f>
        <v>131389.6011</v>
      </c>
    </row>
    <row r="11" spans="1:14" x14ac:dyDescent="0.2">
      <c r="A11" t="s">
        <v>199</v>
      </c>
      <c r="E11" s="30">
        <f>C96</f>
        <v>146</v>
      </c>
      <c r="F11" s="30">
        <f>D96</f>
        <v>21278310</v>
      </c>
      <c r="G11" s="7">
        <f>F105</f>
        <v>153037.50165999998</v>
      </c>
    </row>
    <row r="12" spans="1:14" x14ac:dyDescent="0.2">
      <c r="A12" t="s">
        <v>200</v>
      </c>
      <c r="E12" s="30">
        <f>C114</f>
        <v>24</v>
      </c>
      <c r="F12" s="30">
        <f>D114</f>
        <v>8800531</v>
      </c>
      <c r="G12" s="7">
        <f>F122</f>
        <v>60078.421839999995</v>
      </c>
    </row>
    <row r="13" spans="1:14" x14ac:dyDescent="0.2">
      <c r="A13" t="s">
        <v>201</v>
      </c>
      <c r="E13" s="6">
        <v>12</v>
      </c>
      <c r="F13" s="6">
        <f>B126</f>
        <v>80828871</v>
      </c>
      <c r="G13" s="6">
        <f>E126</f>
        <v>360496.76466000004</v>
      </c>
    </row>
    <row r="15" spans="1:14" x14ac:dyDescent="0.2">
      <c r="D15" t="s">
        <v>114</v>
      </c>
      <c r="E15" s="7">
        <f>SUM(E8:E13)</f>
        <v>35676</v>
      </c>
      <c r="F15" s="7">
        <f>SUM(F8:F13)</f>
        <v>256894322</v>
      </c>
      <c r="G15" s="5">
        <f>SUM(G8:G13)</f>
        <v>2039064.6017199999</v>
      </c>
    </row>
    <row r="16" spans="1:14" x14ac:dyDescent="0.2">
      <c r="D16" t="s">
        <v>307</v>
      </c>
      <c r="G16" s="6">
        <v>1892957</v>
      </c>
    </row>
    <row r="18" spans="1:17" x14ac:dyDescent="0.2">
      <c r="G18" s="122">
        <f>G15-G16</f>
        <v>146107.60171999992</v>
      </c>
      <c r="H18" t="s">
        <v>308</v>
      </c>
      <c r="N18" s="71">
        <f>G18+SAO!H15</f>
        <v>465040.60171999992</v>
      </c>
      <c r="Q18" s="90">
        <f>G18/G15</f>
        <v>7.1654228903171899E-2</v>
      </c>
    </row>
    <row r="19" spans="1:17" x14ac:dyDescent="0.2">
      <c r="Q19">
        <f>G18/G16</f>
        <v>7.718484979848983E-2</v>
      </c>
    </row>
    <row r="21" spans="1:17" ht="15.75" x14ac:dyDescent="0.25">
      <c r="A21" s="59" t="s">
        <v>212</v>
      </c>
    </row>
    <row r="23" spans="1:17" x14ac:dyDescent="0.2">
      <c r="A23" s="60"/>
      <c r="B23" s="60"/>
      <c r="C23" s="60"/>
      <c r="D23" s="60"/>
      <c r="E23" s="61" t="s">
        <v>206</v>
      </c>
      <c r="F23" s="61" t="s">
        <v>207</v>
      </c>
      <c r="G23" s="61" t="s">
        <v>207</v>
      </c>
      <c r="H23" s="61" t="s">
        <v>207</v>
      </c>
      <c r="I23" s="61" t="s">
        <v>208</v>
      </c>
      <c r="J23" s="60"/>
    </row>
    <row r="24" spans="1:17" x14ac:dyDescent="0.2">
      <c r="A24" s="60"/>
      <c r="B24" s="61" t="s">
        <v>209</v>
      </c>
      <c r="C24" s="61" t="s">
        <v>210</v>
      </c>
      <c r="D24" s="61" t="s">
        <v>203</v>
      </c>
      <c r="E24" s="62">
        <f>B25</f>
        <v>1000</v>
      </c>
      <c r="F24" s="62">
        <f>B26</f>
        <v>9000</v>
      </c>
      <c r="G24" s="62">
        <f>B27</f>
        <v>10000</v>
      </c>
      <c r="H24" s="62">
        <f>B28</f>
        <v>30000</v>
      </c>
      <c r="I24" s="62">
        <f>B29</f>
        <v>50000</v>
      </c>
      <c r="J24" s="61" t="s">
        <v>163</v>
      </c>
    </row>
    <row r="25" spans="1:17" x14ac:dyDescent="0.2">
      <c r="A25" s="60" t="s">
        <v>211</v>
      </c>
      <c r="B25" s="63">
        <v>1000</v>
      </c>
      <c r="C25" s="63">
        <v>7585</v>
      </c>
      <c r="D25" s="63">
        <v>2664512</v>
      </c>
      <c r="E25" s="63">
        <v>2664512</v>
      </c>
      <c r="F25" s="63"/>
      <c r="G25" s="63"/>
      <c r="H25" s="63"/>
      <c r="I25" s="63"/>
      <c r="J25" s="64">
        <f>SUM(E25:I25)</f>
        <v>2664512</v>
      </c>
    </row>
    <row r="26" spans="1:17" x14ac:dyDescent="0.2">
      <c r="A26" s="60" t="s">
        <v>207</v>
      </c>
      <c r="B26" s="63">
        <v>9000</v>
      </c>
      <c r="C26" s="63">
        <v>25850</v>
      </c>
      <c r="D26" s="63">
        <v>89211995</v>
      </c>
      <c r="E26" s="63">
        <v>25850000</v>
      </c>
      <c r="F26" s="63">
        <v>63361995</v>
      </c>
      <c r="G26" s="63"/>
      <c r="H26" s="63"/>
      <c r="I26" s="63"/>
      <c r="J26" s="64">
        <f>SUM(E26:I26)</f>
        <v>89211995</v>
      </c>
    </row>
    <row r="27" spans="1:17" x14ac:dyDescent="0.2">
      <c r="A27" s="60" t="s">
        <v>207</v>
      </c>
      <c r="B27" s="63">
        <v>10000</v>
      </c>
      <c r="C27" s="63">
        <v>1119</v>
      </c>
      <c r="D27" s="63">
        <v>14892494</v>
      </c>
      <c r="E27" s="63">
        <v>1119000</v>
      </c>
      <c r="F27" s="63">
        <v>10071000</v>
      </c>
      <c r="G27" s="63">
        <v>3702494</v>
      </c>
      <c r="H27" s="63"/>
      <c r="I27" s="63"/>
      <c r="J27" s="64">
        <f>SUM(E27:I27)</f>
        <v>14892494</v>
      </c>
    </row>
    <row r="28" spans="1:17" x14ac:dyDescent="0.2">
      <c r="A28" s="60" t="s">
        <v>207</v>
      </c>
      <c r="B28" s="63">
        <v>30000</v>
      </c>
      <c r="C28" s="63">
        <v>315</v>
      </c>
      <c r="D28" s="63">
        <v>9079989</v>
      </c>
      <c r="E28" s="63">
        <v>315000</v>
      </c>
      <c r="F28" s="63">
        <v>2835000</v>
      </c>
      <c r="G28" s="63">
        <v>3150000</v>
      </c>
      <c r="H28" s="63">
        <v>2779989</v>
      </c>
      <c r="I28" s="63"/>
      <c r="J28" s="64">
        <f>SUM(E28:I28)</f>
        <v>9079989</v>
      </c>
    </row>
    <row r="29" spans="1:17" x14ac:dyDescent="0.2">
      <c r="A29" s="60" t="s">
        <v>208</v>
      </c>
      <c r="B29" s="63">
        <v>50000</v>
      </c>
      <c r="C29" s="63">
        <v>103</v>
      </c>
      <c r="D29" s="63">
        <v>12644570</v>
      </c>
      <c r="E29" s="63">
        <v>103000</v>
      </c>
      <c r="F29" s="63">
        <v>927000</v>
      </c>
      <c r="G29" s="63">
        <v>1030000</v>
      </c>
      <c r="H29" s="63">
        <v>3090000</v>
      </c>
      <c r="I29" s="63">
        <v>7494570</v>
      </c>
      <c r="J29" s="64">
        <f>SUM(E29:I29)</f>
        <v>12644570</v>
      </c>
    </row>
    <row r="30" spans="1:17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7" x14ac:dyDescent="0.2">
      <c r="A31" s="60" t="s">
        <v>114</v>
      </c>
      <c r="B31" s="60"/>
      <c r="C31" s="63">
        <f t="shared" ref="C31:I31" si="0">SUM(C25:C29)</f>
        <v>34972</v>
      </c>
      <c r="D31" s="63">
        <f t="shared" si="0"/>
        <v>128493560</v>
      </c>
      <c r="E31" s="63">
        <f t="shared" si="0"/>
        <v>30051512</v>
      </c>
      <c r="F31" s="63">
        <f t="shared" si="0"/>
        <v>77194995</v>
      </c>
      <c r="G31" s="63">
        <f t="shared" si="0"/>
        <v>7882494</v>
      </c>
      <c r="H31" s="63">
        <f t="shared" si="0"/>
        <v>5869989</v>
      </c>
      <c r="I31" s="63">
        <f t="shared" si="0"/>
        <v>7494570</v>
      </c>
      <c r="J31" s="63">
        <f>SUM(J25:J29)</f>
        <v>128493560</v>
      </c>
      <c r="L31" s="125">
        <f>J31/C31</f>
        <v>3674.1839185634221</v>
      </c>
      <c r="M31" t="s">
        <v>296</v>
      </c>
    </row>
    <row r="33" spans="1:10" ht="15.75" x14ac:dyDescent="0.25">
      <c r="A33" s="59" t="s">
        <v>213</v>
      </c>
    </row>
    <row r="35" spans="1:10" x14ac:dyDescent="0.2">
      <c r="A35" s="60"/>
      <c r="B35" s="61" t="s">
        <v>209</v>
      </c>
      <c r="C35" s="61" t="s">
        <v>210</v>
      </c>
      <c r="D35" s="61" t="s">
        <v>203</v>
      </c>
      <c r="E35" s="61" t="s">
        <v>214</v>
      </c>
      <c r="F35" s="61" t="s">
        <v>205</v>
      </c>
    </row>
    <row r="36" spans="1:10" x14ac:dyDescent="0.2">
      <c r="A36" s="60" t="s">
        <v>211</v>
      </c>
      <c r="B36" s="65">
        <f>B25</f>
        <v>1000</v>
      </c>
      <c r="C36" s="63">
        <f>C31</f>
        <v>34972</v>
      </c>
      <c r="D36" s="64">
        <f>E31</f>
        <v>30051512</v>
      </c>
      <c r="E36" s="66">
        <v>14.52</v>
      </c>
      <c r="F36" s="66">
        <f>C36*E36</f>
        <v>507793.44</v>
      </c>
    </row>
    <row r="37" spans="1:10" x14ac:dyDescent="0.2">
      <c r="A37" s="60" t="s">
        <v>207</v>
      </c>
      <c r="B37" s="65">
        <f>B26</f>
        <v>9000</v>
      </c>
      <c r="C37" s="63"/>
      <c r="D37" s="64">
        <f>F31</f>
        <v>77194995</v>
      </c>
      <c r="E37" s="67">
        <v>8.5299999999999994</v>
      </c>
      <c r="F37" s="67">
        <f>(D37*E37)/1000</f>
        <v>658473.3073499999</v>
      </c>
    </row>
    <row r="38" spans="1:10" x14ac:dyDescent="0.2">
      <c r="A38" s="60" t="s">
        <v>207</v>
      </c>
      <c r="B38" s="65">
        <f>B27</f>
        <v>10000</v>
      </c>
      <c r="C38" s="63"/>
      <c r="D38" s="64">
        <f>G31</f>
        <v>7882494</v>
      </c>
      <c r="E38" s="67">
        <v>8.0399999999999991</v>
      </c>
      <c r="F38" s="67">
        <f>(D38*E38)/1000</f>
        <v>63375.251759999992</v>
      </c>
    </row>
    <row r="39" spans="1:10" x14ac:dyDescent="0.2">
      <c r="A39" s="60" t="s">
        <v>207</v>
      </c>
      <c r="B39" s="65">
        <f>B28</f>
        <v>30000</v>
      </c>
      <c r="C39" s="63"/>
      <c r="D39" s="64">
        <f>H31</f>
        <v>5869989</v>
      </c>
      <c r="E39" s="67">
        <v>7.55</v>
      </c>
      <c r="F39" s="67">
        <f>(D39*E39)/1000</f>
        <v>44318.416949999999</v>
      </c>
    </row>
    <row r="40" spans="1:10" x14ac:dyDescent="0.2">
      <c r="A40" s="60" t="s">
        <v>208</v>
      </c>
      <c r="B40" s="65">
        <f>B29</f>
        <v>50000</v>
      </c>
      <c r="C40" s="63"/>
      <c r="D40" s="64">
        <f>I31</f>
        <v>7494570</v>
      </c>
      <c r="E40" s="67">
        <v>6.64</v>
      </c>
      <c r="F40" s="67">
        <f>(D40*E40)/1000</f>
        <v>49763.944799999997</v>
      </c>
    </row>
    <row r="41" spans="1:10" x14ac:dyDescent="0.2">
      <c r="A41" s="60"/>
      <c r="B41" s="60"/>
      <c r="C41" s="60"/>
      <c r="D41" s="60"/>
      <c r="E41" s="60"/>
      <c r="F41" s="60"/>
    </row>
    <row r="42" spans="1:10" x14ac:dyDescent="0.2">
      <c r="A42" s="60" t="s">
        <v>114</v>
      </c>
      <c r="B42" s="60"/>
      <c r="C42" s="63">
        <f>SUM(C36:C40)</f>
        <v>34972</v>
      </c>
      <c r="D42" s="63">
        <f>SUM(D36:D40)</f>
        <v>128493560</v>
      </c>
      <c r="E42" s="60"/>
      <c r="F42" s="68">
        <f>SUM(F36:F40)</f>
        <v>1323724.3608599997</v>
      </c>
    </row>
    <row r="44" spans="1:10" ht="15.75" x14ac:dyDescent="0.25">
      <c r="A44" s="59" t="s">
        <v>215</v>
      </c>
    </row>
    <row r="46" spans="1:10" x14ac:dyDescent="0.2">
      <c r="A46" s="60"/>
      <c r="B46" s="60"/>
      <c r="C46" s="60"/>
      <c r="D46" s="60"/>
      <c r="E46" s="61" t="s">
        <v>206</v>
      </c>
      <c r="F46" s="61" t="s">
        <v>207</v>
      </c>
      <c r="G46" s="61" t="s">
        <v>207</v>
      </c>
      <c r="H46" s="61" t="s">
        <v>207</v>
      </c>
      <c r="I46" s="61" t="s">
        <v>208</v>
      </c>
      <c r="J46" s="60"/>
    </row>
    <row r="47" spans="1:10" x14ac:dyDescent="0.2">
      <c r="A47" s="60"/>
      <c r="B47" s="61" t="s">
        <v>209</v>
      </c>
      <c r="C47" s="61" t="s">
        <v>210</v>
      </c>
      <c r="D47" s="61" t="s">
        <v>203</v>
      </c>
      <c r="E47" s="62">
        <f>B48</f>
        <v>1000</v>
      </c>
      <c r="F47" s="62">
        <f>B49</f>
        <v>8000</v>
      </c>
      <c r="G47" s="62">
        <f>B50</f>
        <v>10000</v>
      </c>
      <c r="H47" s="62">
        <f>B51</f>
        <v>30000</v>
      </c>
      <c r="I47" s="62">
        <f>B52</f>
        <v>50000</v>
      </c>
      <c r="J47" s="61" t="s">
        <v>163</v>
      </c>
    </row>
    <row r="48" spans="1:10" x14ac:dyDescent="0.2">
      <c r="A48" s="60" t="s">
        <v>211</v>
      </c>
      <c r="B48" s="63">
        <v>1000</v>
      </c>
      <c r="C48" s="63">
        <v>39</v>
      </c>
      <c r="D48" s="63">
        <v>41690</v>
      </c>
      <c r="E48" s="63">
        <v>41690</v>
      </c>
      <c r="F48" s="63"/>
      <c r="G48" s="63"/>
      <c r="H48" s="63"/>
      <c r="I48" s="63"/>
      <c r="J48" s="64">
        <f>SUM(E48:I48)</f>
        <v>41690</v>
      </c>
    </row>
    <row r="49" spans="1:10" x14ac:dyDescent="0.2">
      <c r="A49" s="60" t="s">
        <v>207</v>
      </c>
      <c r="B49" s="63">
        <v>8000</v>
      </c>
      <c r="C49" s="63">
        <v>117</v>
      </c>
      <c r="D49" s="63">
        <v>560340</v>
      </c>
      <c r="E49" s="63">
        <v>234000</v>
      </c>
      <c r="F49" s="63">
        <v>326340</v>
      </c>
      <c r="G49" s="63"/>
      <c r="H49" s="63"/>
      <c r="I49" s="63"/>
      <c r="J49" s="64">
        <f>SUM(E49:I49)</f>
        <v>560340</v>
      </c>
    </row>
    <row r="50" spans="1:10" x14ac:dyDescent="0.2">
      <c r="A50" s="60" t="s">
        <v>207</v>
      </c>
      <c r="B50" s="63">
        <v>10000</v>
      </c>
      <c r="C50" s="63">
        <v>22</v>
      </c>
      <c r="D50" s="63">
        <v>281810</v>
      </c>
      <c r="E50" s="63">
        <v>44000</v>
      </c>
      <c r="F50" s="63">
        <v>176000</v>
      </c>
      <c r="G50" s="63">
        <v>61810</v>
      </c>
      <c r="H50" s="63"/>
      <c r="I50" s="63"/>
      <c r="J50" s="64">
        <f>SUM(E50:I50)</f>
        <v>281810</v>
      </c>
    </row>
    <row r="51" spans="1:10" x14ac:dyDescent="0.2">
      <c r="A51" s="60" t="s">
        <v>207</v>
      </c>
      <c r="B51" s="63">
        <v>30000</v>
      </c>
      <c r="C51" s="63">
        <v>2</v>
      </c>
      <c r="D51" s="63">
        <v>44180</v>
      </c>
      <c r="E51" s="63">
        <v>4000</v>
      </c>
      <c r="F51" s="63">
        <v>16000</v>
      </c>
      <c r="G51" s="63">
        <v>20000</v>
      </c>
      <c r="H51" s="63">
        <v>4180</v>
      </c>
      <c r="I51" s="63"/>
      <c r="J51" s="64">
        <f>SUM(E51:I51)</f>
        <v>44180</v>
      </c>
    </row>
    <row r="52" spans="1:10" x14ac:dyDescent="0.2">
      <c r="A52" s="60" t="s">
        <v>208</v>
      </c>
      <c r="B52" s="63">
        <v>50000</v>
      </c>
      <c r="C52" s="63">
        <v>0</v>
      </c>
      <c r="D52" s="70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4">
        <f>SUM(E52:I52)</f>
        <v>0</v>
      </c>
    </row>
    <row r="53" spans="1:10" x14ac:dyDescent="0.2">
      <c r="A53" s="60"/>
      <c r="B53" s="60"/>
      <c r="C53" s="60"/>
      <c r="D53" s="60"/>
      <c r="E53" s="60"/>
      <c r="F53" s="60"/>
      <c r="G53" s="60"/>
      <c r="H53" s="60"/>
      <c r="I53" s="60"/>
      <c r="J53" s="60"/>
    </row>
    <row r="54" spans="1:10" x14ac:dyDescent="0.2">
      <c r="A54" s="60" t="s">
        <v>114</v>
      </c>
      <c r="B54" s="60"/>
      <c r="C54" s="63">
        <f t="shared" ref="C54:J54" si="1">SUM(C48:C52)</f>
        <v>180</v>
      </c>
      <c r="D54" s="63">
        <f t="shared" si="1"/>
        <v>928020</v>
      </c>
      <c r="E54" s="63">
        <f t="shared" si="1"/>
        <v>323690</v>
      </c>
      <c r="F54" s="63">
        <f t="shared" si="1"/>
        <v>518340</v>
      </c>
      <c r="G54" s="63">
        <f t="shared" si="1"/>
        <v>81810</v>
      </c>
      <c r="H54" s="63">
        <f t="shared" si="1"/>
        <v>4180</v>
      </c>
      <c r="I54" s="63">
        <f t="shared" si="1"/>
        <v>0</v>
      </c>
      <c r="J54" s="63">
        <f t="shared" si="1"/>
        <v>928020</v>
      </c>
    </row>
    <row r="56" spans="1:10" ht="15.75" x14ac:dyDescent="0.25">
      <c r="A56" s="59" t="s">
        <v>216</v>
      </c>
    </row>
    <row r="58" spans="1:10" x14ac:dyDescent="0.2">
      <c r="A58" s="60"/>
      <c r="B58" s="61" t="s">
        <v>209</v>
      </c>
      <c r="C58" s="61" t="s">
        <v>210</v>
      </c>
      <c r="D58" s="61" t="s">
        <v>203</v>
      </c>
      <c r="E58" s="61" t="s">
        <v>214</v>
      </c>
      <c r="F58" s="61" t="s">
        <v>205</v>
      </c>
    </row>
    <row r="59" spans="1:10" x14ac:dyDescent="0.2">
      <c r="A59" s="60" t="s">
        <v>211</v>
      </c>
      <c r="B59" s="65">
        <f>B48</f>
        <v>1000</v>
      </c>
      <c r="C59" s="63">
        <f>C54</f>
        <v>180</v>
      </c>
      <c r="D59" s="64">
        <f>E54</f>
        <v>323690</v>
      </c>
      <c r="E59" s="66">
        <v>29.04</v>
      </c>
      <c r="F59" s="66">
        <f>C59*E59</f>
        <v>5227.2</v>
      </c>
    </row>
    <row r="60" spans="1:10" x14ac:dyDescent="0.2">
      <c r="A60" s="60" t="s">
        <v>207</v>
      </c>
      <c r="B60" s="65">
        <f>B49</f>
        <v>8000</v>
      </c>
      <c r="C60" s="63"/>
      <c r="D60" s="64">
        <f>F54</f>
        <v>518340</v>
      </c>
      <c r="E60" s="67">
        <v>8.5299999999999994</v>
      </c>
      <c r="F60" s="67">
        <f>(D60*E60)/1000</f>
        <v>4421.4401999999991</v>
      </c>
    </row>
    <row r="61" spans="1:10" x14ac:dyDescent="0.2">
      <c r="A61" s="60" t="s">
        <v>207</v>
      </c>
      <c r="B61" s="65">
        <f>B50</f>
        <v>10000</v>
      </c>
      <c r="C61" s="63"/>
      <c r="D61" s="64">
        <f>G54</f>
        <v>81810</v>
      </c>
      <c r="E61" s="67">
        <v>8.0399999999999991</v>
      </c>
      <c r="F61" s="67">
        <f>(D61*E61)/1000</f>
        <v>657.75239999999985</v>
      </c>
    </row>
    <row r="62" spans="1:10" x14ac:dyDescent="0.2">
      <c r="A62" s="60" t="s">
        <v>207</v>
      </c>
      <c r="B62" s="65">
        <f>B51</f>
        <v>30000</v>
      </c>
      <c r="C62" s="63"/>
      <c r="D62" s="64">
        <f>H54</f>
        <v>4180</v>
      </c>
      <c r="E62" s="67">
        <v>7.55</v>
      </c>
      <c r="F62" s="67">
        <f>(D62*E62)/1000</f>
        <v>31.559000000000001</v>
      </c>
    </row>
    <row r="63" spans="1:10" x14ac:dyDescent="0.2">
      <c r="A63" s="60" t="s">
        <v>208</v>
      </c>
      <c r="B63" s="65">
        <f>B52</f>
        <v>50000</v>
      </c>
      <c r="C63" s="63"/>
      <c r="D63" s="64">
        <f>I54</f>
        <v>0</v>
      </c>
      <c r="E63" s="67">
        <v>6.64</v>
      </c>
      <c r="F63" s="67">
        <f>(D63*E63)/1000</f>
        <v>0</v>
      </c>
    </row>
    <row r="64" spans="1:10" x14ac:dyDescent="0.2">
      <c r="A64" s="60"/>
      <c r="B64" s="60"/>
      <c r="C64" s="60"/>
      <c r="D64" s="60"/>
      <c r="E64" s="60"/>
      <c r="F64" s="60"/>
    </row>
    <row r="65" spans="1:12" x14ac:dyDescent="0.2">
      <c r="A65" s="60" t="s">
        <v>114</v>
      </c>
      <c r="B65" s="60"/>
      <c r="C65" s="63">
        <f>SUM(C59:C63)</f>
        <v>180</v>
      </c>
      <c r="D65" s="63">
        <f>SUM(D59:D63)</f>
        <v>928020</v>
      </c>
      <c r="E65" s="60"/>
      <c r="F65" s="68">
        <f>SUM(F59:F63)</f>
        <v>10337.951599999997</v>
      </c>
    </row>
    <row r="67" spans="1:12" ht="15.75" x14ac:dyDescent="0.25">
      <c r="A67" s="2" t="s">
        <v>217</v>
      </c>
    </row>
    <row r="69" spans="1:12" x14ac:dyDescent="0.2">
      <c r="A69" s="60"/>
      <c r="B69" s="60"/>
      <c r="C69" s="60"/>
      <c r="D69" s="60"/>
      <c r="E69" s="61" t="s">
        <v>206</v>
      </c>
      <c r="F69" s="61" t="s">
        <v>207</v>
      </c>
      <c r="G69" s="61" t="s">
        <v>207</v>
      </c>
      <c r="H69" s="61" t="s">
        <v>208</v>
      </c>
      <c r="I69" s="61"/>
    </row>
    <row r="70" spans="1:12" x14ac:dyDescent="0.2">
      <c r="A70" s="60"/>
      <c r="B70" s="61" t="s">
        <v>209</v>
      </c>
      <c r="C70" s="61" t="s">
        <v>210</v>
      </c>
      <c r="D70" s="61" t="s">
        <v>203</v>
      </c>
      <c r="E70" s="62">
        <f>B71</f>
        <v>10000</v>
      </c>
      <c r="F70" s="62">
        <f>B72</f>
        <v>10000</v>
      </c>
      <c r="G70" s="62">
        <f>B73</f>
        <v>30000</v>
      </c>
      <c r="H70" s="62">
        <f>B74</f>
        <v>50000</v>
      </c>
      <c r="I70" s="61" t="s">
        <v>163</v>
      </c>
    </row>
    <row r="71" spans="1:12" x14ac:dyDescent="0.2">
      <c r="A71" s="60" t="s">
        <v>211</v>
      </c>
      <c r="B71" s="63">
        <v>10000</v>
      </c>
      <c r="C71" s="63">
        <v>152</v>
      </c>
      <c r="D71" s="63">
        <v>497770</v>
      </c>
      <c r="E71" s="63">
        <v>497770</v>
      </c>
      <c r="F71" s="63"/>
      <c r="G71" s="63"/>
      <c r="H71" s="63"/>
      <c r="I71" s="63">
        <f>SUM(E71:H71)</f>
        <v>497770</v>
      </c>
      <c r="J71" s="30"/>
    </row>
    <row r="72" spans="1:12" x14ac:dyDescent="0.2">
      <c r="A72" s="60" t="s">
        <v>207</v>
      </c>
      <c r="B72" s="63">
        <v>10000</v>
      </c>
      <c r="C72" s="63">
        <v>32</v>
      </c>
      <c r="D72" s="63">
        <v>434680</v>
      </c>
      <c r="E72" s="63">
        <v>320000</v>
      </c>
      <c r="F72" s="63">
        <v>114680</v>
      </c>
      <c r="G72" s="63"/>
      <c r="H72" s="63"/>
      <c r="I72" s="63">
        <f>SUM(E72:H72)</f>
        <v>434680</v>
      </c>
      <c r="J72" s="30"/>
    </row>
    <row r="73" spans="1:12" x14ac:dyDescent="0.2">
      <c r="A73" s="60" t="s">
        <v>207</v>
      </c>
      <c r="B73" s="63">
        <v>30000</v>
      </c>
      <c r="C73" s="63">
        <v>47</v>
      </c>
      <c r="D73" s="63">
        <v>1714970</v>
      </c>
      <c r="E73" s="63">
        <v>470000</v>
      </c>
      <c r="F73" s="63">
        <v>470000</v>
      </c>
      <c r="G73" s="63">
        <v>774970</v>
      </c>
      <c r="H73" s="63"/>
      <c r="I73" s="63">
        <f>SUM(E73:H73)</f>
        <v>1714970</v>
      </c>
      <c r="J73" s="30"/>
    </row>
    <row r="74" spans="1:12" x14ac:dyDescent="0.2">
      <c r="A74" s="60" t="s">
        <v>208</v>
      </c>
      <c r="B74" s="63">
        <v>50000</v>
      </c>
      <c r="C74" s="63">
        <v>111</v>
      </c>
      <c r="D74" s="70">
        <v>13917610</v>
      </c>
      <c r="E74" s="63">
        <v>1110000</v>
      </c>
      <c r="F74" s="63">
        <v>1110000</v>
      </c>
      <c r="G74" s="63">
        <v>3330000</v>
      </c>
      <c r="H74" s="63">
        <v>8367610</v>
      </c>
      <c r="I74" s="63">
        <f>SUM(E74:H74)</f>
        <v>13917610</v>
      </c>
      <c r="J74" s="30"/>
    </row>
    <row r="75" spans="1:12" x14ac:dyDescent="0.2">
      <c r="A75" s="60"/>
      <c r="B75" s="60"/>
      <c r="C75" s="60"/>
      <c r="D75" s="60"/>
      <c r="E75" s="60"/>
      <c r="F75" s="60"/>
      <c r="G75" s="60"/>
      <c r="H75" s="60"/>
      <c r="I75" s="60"/>
    </row>
    <row r="76" spans="1:12" x14ac:dyDescent="0.2">
      <c r="A76" s="60" t="s">
        <v>114</v>
      </c>
      <c r="B76" s="60"/>
      <c r="C76" s="63">
        <f t="shared" ref="C76:I76" si="2">SUM(C71:C74)</f>
        <v>342</v>
      </c>
      <c r="D76" s="63">
        <f t="shared" si="2"/>
        <v>16565030</v>
      </c>
      <c r="E76" s="63">
        <f t="shared" si="2"/>
        <v>2397770</v>
      </c>
      <c r="F76" s="63">
        <f t="shared" si="2"/>
        <v>1694680</v>
      </c>
      <c r="G76" s="63">
        <f t="shared" si="2"/>
        <v>4104970</v>
      </c>
      <c r="H76" s="63">
        <f t="shared" si="2"/>
        <v>8367610</v>
      </c>
      <c r="I76" s="63">
        <f t="shared" si="2"/>
        <v>16565030</v>
      </c>
      <c r="J76" s="69"/>
      <c r="L76" s="7">
        <f>I76/C76</f>
        <v>48435.760233918132</v>
      </c>
    </row>
    <row r="78" spans="1:12" ht="15.75" x14ac:dyDescent="0.25">
      <c r="A78" s="2" t="s">
        <v>218</v>
      </c>
    </row>
    <row r="80" spans="1:12" x14ac:dyDescent="0.2">
      <c r="A80" s="60"/>
      <c r="B80" s="61" t="s">
        <v>209</v>
      </c>
      <c r="C80" s="61" t="s">
        <v>210</v>
      </c>
      <c r="D80" s="61" t="s">
        <v>203</v>
      </c>
      <c r="E80" s="61" t="s">
        <v>214</v>
      </c>
      <c r="F80" s="61" t="s">
        <v>205</v>
      </c>
    </row>
    <row r="81" spans="1:12" x14ac:dyDescent="0.2">
      <c r="A81" s="60" t="s">
        <v>211</v>
      </c>
      <c r="B81" s="65">
        <f>B71</f>
        <v>10000</v>
      </c>
      <c r="C81" s="63">
        <f>C76</f>
        <v>342</v>
      </c>
      <c r="D81" s="64">
        <f>E76</f>
        <v>2397770</v>
      </c>
      <c r="E81" s="66">
        <v>91.26</v>
      </c>
      <c r="F81" s="66">
        <f>C81*E81</f>
        <v>31210.920000000002</v>
      </c>
    </row>
    <row r="82" spans="1:12" x14ac:dyDescent="0.2">
      <c r="A82" s="60" t="s">
        <v>207</v>
      </c>
      <c r="B82" s="65">
        <f>B72</f>
        <v>10000</v>
      </c>
      <c r="C82" s="63"/>
      <c r="D82" s="64">
        <f>F76</f>
        <v>1694680</v>
      </c>
      <c r="E82" s="67">
        <v>8.0399999999999991</v>
      </c>
      <c r="F82" s="67">
        <f>(D82*E82)/1000</f>
        <v>13625.227199999999</v>
      </c>
    </row>
    <row r="83" spans="1:12" x14ac:dyDescent="0.2">
      <c r="A83" s="60" t="s">
        <v>207</v>
      </c>
      <c r="B83" s="65">
        <f>B73</f>
        <v>30000</v>
      </c>
      <c r="C83" s="63"/>
      <c r="D83" s="64">
        <f>G76</f>
        <v>4104970</v>
      </c>
      <c r="E83" s="67">
        <v>7.55</v>
      </c>
      <c r="F83" s="67">
        <f>(D83*E83)/1000</f>
        <v>30992.523499999999</v>
      </c>
    </row>
    <row r="84" spans="1:12" x14ac:dyDescent="0.2">
      <c r="A84" s="60" t="s">
        <v>208</v>
      </c>
      <c r="B84" s="65">
        <f>B74</f>
        <v>50000</v>
      </c>
      <c r="C84" s="63"/>
      <c r="D84" s="64">
        <f>H76</f>
        <v>8367610</v>
      </c>
      <c r="E84" s="67">
        <v>6.64</v>
      </c>
      <c r="F84" s="67">
        <f>(D84*E84)/1000</f>
        <v>55560.930399999997</v>
      </c>
    </row>
    <row r="85" spans="1:12" x14ac:dyDescent="0.2">
      <c r="A85" s="60"/>
      <c r="B85" s="60"/>
      <c r="C85" s="60"/>
      <c r="D85" s="60"/>
      <c r="E85" s="60"/>
      <c r="F85" s="60"/>
    </row>
    <row r="86" spans="1:12" x14ac:dyDescent="0.2">
      <c r="A86" s="60" t="s">
        <v>114</v>
      </c>
      <c r="B86" s="60"/>
      <c r="C86" s="63">
        <f>SUM(C81:C84)</f>
        <v>342</v>
      </c>
      <c r="D86" s="63">
        <f>SUM(D81:D84)</f>
        <v>16565030</v>
      </c>
      <c r="E86" s="60"/>
      <c r="F86" s="68">
        <f>SUM(F81:F84)</f>
        <v>131389.6011</v>
      </c>
    </row>
    <row r="88" spans="1:12" ht="15.75" x14ac:dyDescent="0.25">
      <c r="A88" s="2" t="s">
        <v>219</v>
      </c>
    </row>
    <row r="90" spans="1:12" x14ac:dyDescent="0.2">
      <c r="A90" s="60"/>
      <c r="B90" s="60"/>
      <c r="C90" s="60"/>
      <c r="D90" s="60"/>
      <c r="E90" s="61" t="s">
        <v>206</v>
      </c>
      <c r="F90" s="61" t="s">
        <v>207</v>
      </c>
      <c r="G90" s="61" t="s">
        <v>207</v>
      </c>
      <c r="H90" s="61"/>
      <c r="I90" s="9"/>
    </row>
    <row r="91" spans="1:12" x14ac:dyDescent="0.2">
      <c r="A91" s="60"/>
      <c r="B91" s="61" t="s">
        <v>209</v>
      </c>
      <c r="C91" s="61" t="s">
        <v>210</v>
      </c>
      <c r="D91" s="61" t="s">
        <v>203</v>
      </c>
      <c r="E91" s="62">
        <f>B92</f>
        <v>20000</v>
      </c>
      <c r="F91" s="62">
        <f>B93</f>
        <v>30000</v>
      </c>
      <c r="G91" s="62">
        <f>B94</f>
        <v>50000</v>
      </c>
      <c r="H91" s="61" t="s">
        <v>163</v>
      </c>
    </row>
    <row r="92" spans="1:12" x14ac:dyDescent="0.2">
      <c r="A92" s="60" t="s">
        <v>211</v>
      </c>
      <c r="B92" s="63">
        <v>20000</v>
      </c>
      <c r="C92" s="63">
        <v>39</v>
      </c>
      <c r="D92" s="63">
        <v>247883</v>
      </c>
      <c r="E92" s="63">
        <v>247883</v>
      </c>
      <c r="F92" s="63"/>
      <c r="G92" s="63"/>
      <c r="H92" s="63">
        <f>SUM(E92:G92)</f>
        <v>247883</v>
      </c>
      <c r="I92" s="69"/>
    </row>
    <row r="93" spans="1:12" x14ac:dyDescent="0.2">
      <c r="A93" s="60" t="s">
        <v>207</v>
      </c>
      <c r="B93" s="63">
        <v>30000</v>
      </c>
      <c r="C93" s="63">
        <v>28</v>
      </c>
      <c r="D93" s="63">
        <v>997018</v>
      </c>
      <c r="E93" s="63">
        <v>560000</v>
      </c>
      <c r="F93" s="63">
        <v>437018</v>
      </c>
      <c r="G93" s="63"/>
      <c r="H93" s="63">
        <f>SUM(E93:G93)</f>
        <v>997018</v>
      </c>
      <c r="I93" s="69"/>
    </row>
    <row r="94" spans="1:12" x14ac:dyDescent="0.2">
      <c r="A94" s="60" t="s">
        <v>208</v>
      </c>
      <c r="B94" s="63">
        <v>50000</v>
      </c>
      <c r="C94" s="63">
        <v>79</v>
      </c>
      <c r="D94" s="70">
        <v>20033409</v>
      </c>
      <c r="E94" s="63">
        <v>1580000</v>
      </c>
      <c r="F94" s="63">
        <v>2370000</v>
      </c>
      <c r="G94" s="63">
        <v>16083409</v>
      </c>
      <c r="H94" s="63">
        <f>SUM(E94:G94)</f>
        <v>20033409</v>
      </c>
      <c r="I94" s="69"/>
    </row>
    <row r="95" spans="1:12" x14ac:dyDescent="0.2">
      <c r="A95" s="60"/>
      <c r="B95" s="60"/>
      <c r="C95" s="60"/>
      <c r="D95" s="60"/>
      <c r="E95" s="60"/>
      <c r="F95" s="60"/>
      <c r="G95" s="60"/>
      <c r="H95" s="60"/>
    </row>
    <row r="96" spans="1:12" x14ac:dyDescent="0.2">
      <c r="A96" s="60" t="s">
        <v>114</v>
      </c>
      <c r="B96" s="60"/>
      <c r="C96" s="63">
        <f t="shared" ref="C96:H96" si="3">SUM(C92:C94)</f>
        <v>146</v>
      </c>
      <c r="D96" s="63">
        <f t="shared" si="3"/>
        <v>21278310</v>
      </c>
      <c r="E96" s="63">
        <f t="shared" si="3"/>
        <v>2387883</v>
      </c>
      <c r="F96" s="63">
        <f t="shared" si="3"/>
        <v>2807018</v>
      </c>
      <c r="G96" s="63">
        <f t="shared" si="3"/>
        <v>16083409</v>
      </c>
      <c r="H96" s="63">
        <f t="shared" si="3"/>
        <v>21278310</v>
      </c>
      <c r="I96" s="69"/>
      <c r="L96" s="7">
        <f>H96/C96</f>
        <v>145741.84931506848</v>
      </c>
    </row>
    <row r="98" spans="1:8" ht="15.75" x14ac:dyDescent="0.25">
      <c r="A98" s="2" t="s">
        <v>220</v>
      </c>
    </row>
    <row r="100" spans="1:8" x14ac:dyDescent="0.2">
      <c r="A100" s="60"/>
      <c r="B100" s="61" t="s">
        <v>209</v>
      </c>
      <c r="C100" s="61" t="s">
        <v>210</v>
      </c>
      <c r="D100" s="61" t="s">
        <v>203</v>
      </c>
      <c r="E100" s="61" t="s">
        <v>214</v>
      </c>
      <c r="F100" s="61" t="s">
        <v>205</v>
      </c>
    </row>
    <row r="101" spans="1:8" x14ac:dyDescent="0.2">
      <c r="A101" s="60" t="s">
        <v>211</v>
      </c>
      <c r="B101" s="65">
        <f>B92</f>
        <v>20000</v>
      </c>
      <c r="C101" s="63">
        <f>C96</f>
        <v>146</v>
      </c>
      <c r="D101" s="64">
        <f>E96</f>
        <v>2387883</v>
      </c>
      <c r="E101" s="66">
        <v>171.58</v>
      </c>
      <c r="F101" s="66">
        <f>C101*E101</f>
        <v>25050.68</v>
      </c>
    </row>
    <row r="102" spans="1:8" x14ac:dyDescent="0.2">
      <c r="A102" s="60" t="s">
        <v>207</v>
      </c>
      <c r="B102" s="65">
        <f>B93</f>
        <v>30000</v>
      </c>
      <c r="C102" s="63"/>
      <c r="D102" s="64">
        <f>F96</f>
        <v>2807018</v>
      </c>
      <c r="E102" s="67">
        <v>7.55</v>
      </c>
      <c r="F102" s="67">
        <f>(D102*E102)/1000</f>
        <v>21192.9859</v>
      </c>
    </row>
    <row r="103" spans="1:8" x14ac:dyDescent="0.2">
      <c r="A103" s="60" t="s">
        <v>208</v>
      </c>
      <c r="B103" s="65">
        <f>B94</f>
        <v>50000</v>
      </c>
      <c r="C103" s="63"/>
      <c r="D103" s="64">
        <f>G96</f>
        <v>16083409</v>
      </c>
      <c r="E103" s="67">
        <v>6.64</v>
      </c>
      <c r="F103" s="67">
        <f>(D103*E103)/1000</f>
        <v>106793.83575999999</v>
      </c>
    </row>
    <row r="104" spans="1:8" x14ac:dyDescent="0.2">
      <c r="A104" s="60"/>
      <c r="B104" s="60"/>
      <c r="C104" s="60"/>
      <c r="D104" s="60"/>
      <c r="E104" s="60"/>
      <c r="F104" s="60"/>
    </row>
    <row r="105" spans="1:8" x14ac:dyDescent="0.2">
      <c r="A105" s="60" t="s">
        <v>114</v>
      </c>
      <c r="B105" s="60"/>
      <c r="C105" s="63">
        <f>SUM(C101:C103)</f>
        <v>146</v>
      </c>
      <c r="D105" s="63">
        <f>SUM(D101:D103)</f>
        <v>21278310</v>
      </c>
      <c r="E105" s="60"/>
      <c r="F105" s="68">
        <f>SUM(F101:F103)</f>
        <v>153037.50165999998</v>
      </c>
    </row>
    <row r="107" spans="1:8" ht="15.75" x14ac:dyDescent="0.25">
      <c r="A107" s="2" t="s">
        <v>221</v>
      </c>
    </row>
    <row r="109" spans="1:8" x14ac:dyDescent="0.2">
      <c r="A109" s="60"/>
      <c r="B109" s="60"/>
      <c r="C109" s="60"/>
      <c r="D109" s="60"/>
      <c r="E109" s="61" t="s">
        <v>206</v>
      </c>
      <c r="F109" s="61" t="s">
        <v>208</v>
      </c>
      <c r="G109" s="61"/>
    </row>
    <row r="110" spans="1:8" x14ac:dyDescent="0.2">
      <c r="A110" s="60"/>
      <c r="B110" s="61" t="s">
        <v>209</v>
      </c>
      <c r="C110" s="61" t="s">
        <v>210</v>
      </c>
      <c r="D110" s="61" t="s">
        <v>203</v>
      </c>
      <c r="E110" s="62">
        <f>B111</f>
        <v>50000</v>
      </c>
      <c r="F110" s="62">
        <v>50000</v>
      </c>
      <c r="G110" s="61" t="s">
        <v>163</v>
      </c>
    </row>
    <row r="111" spans="1:8" x14ac:dyDescent="0.2">
      <c r="A111" s="60" t="s">
        <v>211</v>
      </c>
      <c r="B111" s="63">
        <v>50000</v>
      </c>
      <c r="C111" s="63">
        <v>1</v>
      </c>
      <c r="D111" s="63">
        <v>41600</v>
      </c>
      <c r="E111" s="63">
        <v>41600</v>
      </c>
      <c r="F111" s="63"/>
      <c r="G111" s="63">
        <f>SUM(E111:F111)</f>
        <v>41600</v>
      </c>
      <c r="H111" s="69"/>
    </row>
    <row r="112" spans="1:8" x14ac:dyDescent="0.2">
      <c r="A112" s="60" t="s">
        <v>208</v>
      </c>
      <c r="B112" s="63">
        <v>50000</v>
      </c>
      <c r="C112" s="63">
        <v>23</v>
      </c>
      <c r="D112" s="63">
        <v>8758931</v>
      </c>
      <c r="E112" s="63">
        <v>1150000</v>
      </c>
      <c r="F112" s="63">
        <v>7608931</v>
      </c>
      <c r="G112" s="63">
        <f>SUM(E112:F112)</f>
        <v>8758931</v>
      </c>
      <c r="H112" s="69"/>
    </row>
    <row r="113" spans="1:12" x14ac:dyDescent="0.2">
      <c r="A113" s="60"/>
      <c r="B113" s="60"/>
      <c r="C113" s="60"/>
      <c r="D113" s="60"/>
      <c r="E113" s="60"/>
      <c r="F113" s="60"/>
      <c r="G113" s="60"/>
    </row>
    <row r="114" spans="1:12" x14ac:dyDescent="0.2">
      <c r="A114" s="60" t="s">
        <v>114</v>
      </c>
      <c r="B114" s="60"/>
      <c r="C114" s="63">
        <f>SUM(C111:C112)</f>
        <v>24</v>
      </c>
      <c r="D114" s="63">
        <f>SUM(D111:D112)</f>
        <v>8800531</v>
      </c>
      <c r="E114" s="63">
        <f>SUM(E111:E112)</f>
        <v>1191600</v>
      </c>
      <c r="F114" s="63">
        <f>SUM(F111:F112)</f>
        <v>7608931</v>
      </c>
      <c r="G114" s="63">
        <f>SUM(G111:G112)</f>
        <v>8800531</v>
      </c>
      <c r="H114" s="69"/>
      <c r="L114" s="7">
        <f>G114/C114</f>
        <v>366688.79166666669</v>
      </c>
    </row>
    <row r="116" spans="1:12" ht="15.75" x14ac:dyDescent="0.25">
      <c r="A116" s="2" t="s">
        <v>222</v>
      </c>
    </row>
    <row r="118" spans="1:12" x14ac:dyDescent="0.2">
      <c r="A118" s="60"/>
      <c r="B118" s="61" t="s">
        <v>209</v>
      </c>
      <c r="C118" s="61" t="s">
        <v>210</v>
      </c>
      <c r="D118" s="61" t="s">
        <v>203</v>
      </c>
      <c r="E118" s="61" t="s">
        <v>214</v>
      </c>
      <c r="F118" s="61" t="s">
        <v>205</v>
      </c>
    </row>
    <row r="119" spans="1:12" x14ac:dyDescent="0.2">
      <c r="A119" s="60" t="s">
        <v>211</v>
      </c>
      <c r="B119" s="65">
        <f>B111</f>
        <v>50000</v>
      </c>
      <c r="C119" s="63">
        <f>C114</f>
        <v>24</v>
      </c>
      <c r="D119" s="64">
        <f>E114</f>
        <v>1191600</v>
      </c>
      <c r="E119" s="66">
        <v>398.13</v>
      </c>
      <c r="F119" s="66">
        <f>C119*E119</f>
        <v>9555.119999999999</v>
      </c>
    </row>
    <row r="120" spans="1:12" x14ac:dyDescent="0.2">
      <c r="A120" s="60" t="s">
        <v>207</v>
      </c>
      <c r="B120" s="65">
        <f>B112</f>
        <v>50000</v>
      </c>
      <c r="C120" s="63"/>
      <c r="D120" s="64">
        <f>F114</f>
        <v>7608931</v>
      </c>
      <c r="E120" s="67">
        <v>6.64</v>
      </c>
      <c r="F120" s="67">
        <f>(D120*E120)/1000</f>
        <v>50523.301839999993</v>
      </c>
    </row>
    <row r="121" spans="1:12" x14ac:dyDescent="0.2">
      <c r="A121" s="60"/>
      <c r="B121" s="60"/>
      <c r="C121" s="60"/>
      <c r="D121" s="60"/>
      <c r="E121" s="60"/>
      <c r="F121" s="60"/>
    </row>
    <row r="122" spans="1:12" x14ac:dyDescent="0.2">
      <c r="A122" s="60" t="s">
        <v>114</v>
      </c>
      <c r="B122" s="60"/>
      <c r="C122" s="63">
        <f>SUM(C119:C120)</f>
        <v>24</v>
      </c>
      <c r="D122" s="63">
        <f>SUM(D119:D120)</f>
        <v>8800531</v>
      </c>
      <c r="E122" s="60"/>
      <c r="F122" s="68">
        <f>SUM(F119:F120)</f>
        <v>60078.421839999995</v>
      </c>
    </row>
    <row r="124" spans="1:12" ht="15.75" x14ac:dyDescent="0.25">
      <c r="A124" s="2" t="s">
        <v>294</v>
      </c>
    </row>
    <row r="125" spans="1:12" x14ac:dyDescent="0.2">
      <c r="A125" s="60"/>
      <c r="B125" s="60" t="s">
        <v>209</v>
      </c>
      <c r="C125" s="60" t="s">
        <v>210</v>
      </c>
      <c r="D125" s="60" t="s">
        <v>295</v>
      </c>
      <c r="E125" s="60" t="s">
        <v>205</v>
      </c>
    </row>
    <row r="126" spans="1:12" x14ac:dyDescent="0.2">
      <c r="A126" s="60" t="s">
        <v>292</v>
      </c>
      <c r="B126" s="63">
        <v>80828871</v>
      </c>
      <c r="C126" s="60">
        <v>12</v>
      </c>
      <c r="D126" s="60">
        <v>4.46</v>
      </c>
      <c r="E126" s="123">
        <f>(B126*D126)/1000</f>
        <v>360496.76466000004</v>
      </c>
      <c r="L126" s="7">
        <f>B126/C126</f>
        <v>6735739.25</v>
      </c>
    </row>
    <row r="127" spans="1:12" x14ac:dyDescent="0.2">
      <c r="A127" s="60"/>
      <c r="B127" s="60"/>
      <c r="C127" s="60"/>
      <c r="D127" s="60"/>
      <c r="E127" s="60"/>
    </row>
    <row r="128" spans="1:12" x14ac:dyDescent="0.2">
      <c r="A128" s="60"/>
      <c r="B128" s="60"/>
      <c r="C128" s="60"/>
      <c r="D128" s="60"/>
      <c r="E128" s="60"/>
    </row>
  </sheetData>
  <phoneticPr fontId="7" type="noConversion"/>
  <pageMargins left="0.7" right="0.7" top="0.75" bottom="0.75" header="0.3" footer="0.3"/>
  <pageSetup scale="63" fitToHeight="3" orientation="portrait" r:id="rId1"/>
  <ignoredErrors>
    <ignoredError sqref="J25 J48:J52 I71:I74 H92:H94 G111:G112 F114 J26:J2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A55-551A-450A-AD5F-11D59679C596}">
  <sheetPr>
    <pageSetUpPr fitToPage="1"/>
  </sheetPr>
  <dimension ref="A1:P128"/>
  <sheetViews>
    <sheetView topLeftCell="A14" zoomScale="80" zoomScaleNormal="80" workbookViewId="0">
      <selection activeCell="Q47" sqref="Q47"/>
    </sheetView>
  </sheetViews>
  <sheetFormatPr defaultRowHeight="15" x14ac:dyDescent="0.2"/>
  <cols>
    <col min="2" max="2" width="11" bestFit="1" customWidth="1"/>
    <col min="4" max="4" width="14.44140625" customWidth="1"/>
    <col min="5" max="5" width="11" bestFit="1" customWidth="1"/>
    <col min="6" max="6" width="14.5546875" bestFit="1" customWidth="1"/>
    <col min="7" max="7" width="13.5546875" bestFit="1" customWidth="1"/>
    <col min="8" max="9" width="11" bestFit="1" customWidth="1"/>
    <col min="10" max="10" width="12" bestFit="1" customWidth="1"/>
  </cols>
  <sheetData>
    <row r="1" spans="1:8" ht="15.75" x14ac:dyDescent="0.25">
      <c r="A1" s="1" t="s">
        <v>223</v>
      </c>
    </row>
    <row r="2" spans="1:8" ht="15.75" x14ac:dyDescent="0.25">
      <c r="A2" s="1" t="s">
        <v>118</v>
      </c>
    </row>
    <row r="4" spans="1:8" ht="15.75" x14ac:dyDescent="0.25">
      <c r="A4" s="1" t="s">
        <v>195</v>
      </c>
    </row>
    <row r="6" spans="1:8" ht="15.75" x14ac:dyDescent="0.25">
      <c r="E6" s="9"/>
      <c r="F6" s="57" t="s">
        <v>203</v>
      </c>
      <c r="G6" s="9"/>
      <c r="H6" s="9"/>
    </row>
    <row r="7" spans="1:8" ht="16.5" thickBot="1" x14ac:dyDescent="0.3">
      <c r="A7" s="58"/>
      <c r="B7" s="58"/>
      <c r="C7" s="58"/>
      <c r="D7" s="58"/>
      <c r="E7" s="54" t="s">
        <v>202</v>
      </c>
      <c r="F7" s="54" t="s">
        <v>204</v>
      </c>
      <c r="G7" s="54" t="s">
        <v>205</v>
      </c>
      <c r="H7" s="57"/>
    </row>
    <row r="8" spans="1:8" x14ac:dyDescent="0.2">
      <c r="A8" t="s">
        <v>196</v>
      </c>
      <c r="E8" s="30">
        <f>C31</f>
        <v>34972</v>
      </c>
      <c r="F8" s="30">
        <f>D31</f>
        <v>128493560</v>
      </c>
      <c r="G8" s="50">
        <f>F42</f>
        <v>1348071.8010199999</v>
      </c>
    </row>
    <row r="9" spans="1:8" x14ac:dyDescent="0.2">
      <c r="A9" t="s">
        <v>197</v>
      </c>
      <c r="E9" s="30">
        <f>C54</f>
        <v>180</v>
      </c>
      <c r="F9" s="30">
        <f>D54</f>
        <v>928020</v>
      </c>
      <c r="G9" s="7">
        <f>F65</f>
        <v>10527.342699999999</v>
      </c>
    </row>
    <row r="10" spans="1:8" x14ac:dyDescent="0.2">
      <c r="A10" t="s">
        <v>198</v>
      </c>
      <c r="E10" s="30">
        <f>C76</f>
        <v>342</v>
      </c>
      <c r="F10" s="30">
        <f>D76</f>
        <v>16565030</v>
      </c>
      <c r="G10" s="7">
        <f>F86</f>
        <v>133791.46754000001</v>
      </c>
    </row>
    <row r="11" spans="1:8" x14ac:dyDescent="0.2">
      <c r="A11" t="s">
        <v>199</v>
      </c>
      <c r="E11" s="30">
        <f>C96</f>
        <v>146</v>
      </c>
      <c r="F11" s="30">
        <f>D96</f>
        <v>21278310</v>
      </c>
      <c r="G11" s="7">
        <f>F105</f>
        <v>155817.07176000002</v>
      </c>
    </row>
    <row r="12" spans="1:8" x14ac:dyDescent="0.2">
      <c r="A12" t="s">
        <v>200</v>
      </c>
      <c r="E12" s="30">
        <f>C114</f>
        <v>24</v>
      </c>
      <c r="F12" s="30">
        <f>D114</f>
        <v>8800531</v>
      </c>
      <c r="G12" s="7">
        <f>F122</f>
        <v>61165.646679999998</v>
      </c>
    </row>
    <row r="13" spans="1:8" x14ac:dyDescent="0.2">
      <c r="A13" t="s">
        <v>201</v>
      </c>
      <c r="E13" s="6">
        <v>12</v>
      </c>
      <c r="F13" s="6">
        <v>80828871</v>
      </c>
      <c r="G13" s="6">
        <f>E126</f>
        <v>366963.07433999999</v>
      </c>
    </row>
    <row r="15" spans="1:8" x14ac:dyDescent="0.2">
      <c r="D15" t="s">
        <v>114</v>
      </c>
      <c r="E15" s="7">
        <f>SUM(E8:E13)</f>
        <v>35676</v>
      </c>
      <c r="F15" s="7">
        <f>SUM(F8:F13)</f>
        <v>256894322</v>
      </c>
      <c r="G15" s="5">
        <f>SUM(G8:G13)</f>
        <v>2076336.4040399999</v>
      </c>
    </row>
    <row r="16" spans="1:8" x14ac:dyDescent="0.2">
      <c r="G16" s="7"/>
    </row>
    <row r="18" spans="1:10" x14ac:dyDescent="0.2">
      <c r="G18" s="122"/>
    </row>
    <row r="21" spans="1:10" ht="15.75" x14ac:dyDescent="0.25">
      <c r="A21" s="59" t="s">
        <v>212</v>
      </c>
    </row>
    <row r="23" spans="1:10" x14ac:dyDescent="0.2">
      <c r="A23" s="60"/>
      <c r="B23" s="60"/>
      <c r="C23" s="60"/>
      <c r="D23" s="60"/>
      <c r="E23" s="61" t="s">
        <v>206</v>
      </c>
      <c r="F23" s="61" t="s">
        <v>207</v>
      </c>
      <c r="G23" s="61" t="s">
        <v>207</v>
      </c>
      <c r="H23" s="61" t="s">
        <v>207</v>
      </c>
      <c r="I23" s="61" t="s">
        <v>208</v>
      </c>
      <c r="J23" s="60"/>
    </row>
    <row r="24" spans="1:10" x14ac:dyDescent="0.2">
      <c r="A24" s="60"/>
      <c r="B24" s="61" t="s">
        <v>209</v>
      </c>
      <c r="C24" s="61" t="s">
        <v>210</v>
      </c>
      <c r="D24" s="61" t="s">
        <v>203</v>
      </c>
      <c r="E24" s="62">
        <f>B25</f>
        <v>1000</v>
      </c>
      <c r="F24" s="62">
        <f>B26</f>
        <v>9000</v>
      </c>
      <c r="G24" s="62">
        <f>B27</f>
        <v>10000</v>
      </c>
      <c r="H24" s="62">
        <f>B28</f>
        <v>30000</v>
      </c>
      <c r="I24" s="62">
        <f>B29</f>
        <v>50000</v>
      </c>
      <c r="J24" s="61" t="s">
        <v>163</v>
      </c>
    </row>
    <row r="25" spans="1:10" x14ac:dyDescent="0.2">
      <c r="A25" s="60" t="s">
        <v>211</v>
      </c>
      <c r="B25" s="63">
        <v>1000</v>
      </c>
      <c r="C25" s="63">
        <v>7585</v>
      </c>
      <c r="D25" s="63">
        <v>2664512</v>
      </c>
      <c r="E25" s="63">
        <v>2664512</v>
      </c>
      <c r="F25" s="63"/>
      <c r="G25" s="63"/>
      <c r="H25" s="63"/>
      <c r="I25" s="63"/>
      <c r="J25" s="64">
        <f>SUM(E25:I25)</f>
        <v>2664512</v>
      </c>
    </row>
    <row r="26" spans="1:10" x14ac:dyDescent="0.2">
      <c r="A26" s="60" t="s">
        <v>207</v>
      </c>
      <c r="B26" s="63">
        <v>9000</v>
      </c>
      <c r="C26" s="63">
        <v>25850</v>
      </c>
      <c r="D26" s="63">
        <v>89211995</v>
      </c>
      <c r="E26" s="63">
        <v>25850000</v>
      </c>
      <c r="F26" s="63">
        <v>63361995</v>
      </c>
      <c r="G26" s="63"/>
      <c r="H26" s="63"/>
      <c r="I26" s="63"/>
      <c r="J26" s="64">
        <f>SUM(E26:I26)</f>
        <v>89211995</v>
      </c>
    </row>
    <row r="27" spans="1:10" x14ac:dyDescent="0.2">
      <c r="A27" s="60" t="s">
        <v>207</v>
      </c>
      <c r="B27" s="63">
        <v>10000</v>
      </c>
      <c r="C27" s="63">
        <v>1119</v>
      </c>
      <c r="D27" s="63">
        <v>14892494</v>
      </c>
      <c r="E27" s="63">
        <v>1119000</v>
      </c>
      <c r="F27" s="63">
        <v>10071000</v>
      </c>
      <c r="G27" s="63">
        <v>3702494</v>
      </c>
      <c r="H27" s="63"/>
      <c r="I27" s="63"/>
      <c r="J27" s="64">
        <f>SUM(E27:I27)</f>
        <v>14892494</v>
      </c>
    </row>
    <row r="28" spans="1:10" x14ac:dyDescent="0.2">
      <c r="A28" s="60" t="s">
        <v>207</v>
      </c>
      <c r="B28" s="63">
        <v>30000</v>
      </c>
      <c r="C28" s="63">
        <v>315</v>
      </c>
      <c r="D28" s="63">
        <v>9079989</v>
      </c>
      <c r="E28" s="63">
        <v>315000</v>
      </c>
      <c r="F28" s="63">
        <v>2835000</v>
      </c>
      <c r="G28" s="63">
        <v>3150000</v>
      </c>
      <c r="H28" s="63">
        <v>2779989</v>
      </c>
      <c r="I28" s="63"/>
      <c r="J28" s="64">
        <f>SUM(E28:I28)</f>
        <v>9079989</v>
      </c>
    </row>
    <row r="29" spans="1:10" x14ac:dyDescent="0.2">
      <c r="A29" s="60" t="s">
        <v>208</v>
      </c>
      <c r="B29" s="63">
        <v>50000</v>
      </c>
      <c r="C29" s="63">
        <v>103</v>
      </c>
      <c r="D29" s="63">
        <v>12644570</v>
      </c>
      <c r="E29" s="63">
        <v>103000</v>
      </c>
      <c r="F29" s="63">
        <v>927000</v>
      </c>
      <c r="G29" s="63">
        <v>1030000</v>
      </c>
      <c r="H29" s="63">
        <v>3090000</v>
      </c>
      <c r="I29" s="63">
        <v>7494570</v>
      </c>
      <c r="J29" s="64">
        <f>SUM(E29:I29)</f>
        <v>12644570</v>
      </c>
    </row>
    <row r="30" spans="1:10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0" x14ac:dyDescent="0.2">
      <c r="A31" s="60" t="s">
        <v>114</v>
      </c>
      <c r="B31" s="60"/>
      <c r="C31" s="63">
        <f t="shared" ref="C31:J31" si="0">SUM(C25:C29)</f>
        <v>34972</v>
      </c>
      <c r="D31" s="63">
        <f t="shared" si="0"/>
        <v>128493560</v>
      </c>
      <c r="E31" s="63">
        <f t="shared" si="0"/>
        <v>30051512</v>
      </c>
      <c r="F31" s="63">
        <f t="shared" si="0"/>
        <v>77194995</v>
      </c>
      <c r="G31" s="63">
        <f t="shared" si="0"/>
        <v>7882494</v>
      </c>
      <c r="H31" s="63">
        <f t="shared" si="0"/>
        <v>5869989</v>
      </c>
      <c r="I31" s="63">
        <f t="shared" si="0"/>
        <v>7494570</v>
      </c>
      <c r="J31" s="63">
        <f t="shared" si="0"/>
        <v>128493560</v>
      </c>
    </row>
    <row r="33" spans="1:10" ht="15.75" x14ac:dyDescent="0.25">
      <c r="A33" s="59" t="s">
        <v>213</v>
      </c>
    </row>
    <row r="35" spans="1:10" x14ac:dyDescent="0.2">
      <c r="A35" s="60"/>
      <c r="B35" s="61" t="s">
        <v>209</v>
      </c>
      <c r="C35" s="61" t="s">
        <v>210</v>
      </c>
      <c r="D35" s="61" t="s">
        <v>203</v>
      </c>
      <c r="E35" s="61" t="s">
        <v>214</v>
      </c>
      <c r="F35" s="61" t="s">
        <v>205</v>
      </c>
    </row>
    <row r="36" spans="1:10" x14ac:dyDescent="0.2">
      <c r="A36" s="60" t="s">
        <v>211</v>
      </c>
      <c r="B36" s="65">
        <f>B25</f>
        <v>1000</v>
      </c>
      <c r="C36" s="63">
        <f>C31</f>
        <v>34972</v>
      </c>
      <c r="D36" s="64">
        <f>E31</f>
        <v>30051512</v>
      </c>
      <c r="E36" s="66">
        <f>ProposedRates!N8</f>
        <v>14.78</v>
      </c>
      <c r="F36" s="66">
        <f>C36*E36</f>
        <v>516886.16</v>
      </c>
    </row>
    <row r="37" spans="1:10" x14ac:dyDescent="0.2">
      <c r="A37" s="60" t="s">
        <v>207</v>
      </c>
      <c r="B37" s="65">
        <f>B26</f>
        <v>9000</v>
      </c>
      <c r="C37" s="63"/>
      <c r="D37" s="64">
        <f>F31</f>
        <v>77194995</v>
      </c>
      <c r="E37" s="67">
        <f>ProposedRates!N9*1000</f>
        <v>8.69</v>
      </c>
      <c r="F37" s="67">
        <f>(D37*E37)/1000</f>
        <v>670824.50654999993</v>
      </c>
    </row>
    <row r="38" spans="1:10" x14ac:dyDescent="0.2">
      <c r="A38" s="60" t="s">
        <v>207</v>
      </c>
      <c r="B38" s="65">
        <f>B27</f>
        <v>10000</v>
      </c>
      <c r="C38" s="63"/>
      <c r="D38" s="64">
        <f>G31</f>
        <v>7882494</v>
      </c>
      <c r="E38" s="67">
        <f>ProposedRates!N10*1000</f>
        <v>8.19</v>
      </c>
      <c r="F38" s="67">
        <f>(D38*E38)/1000</f>
        <v>64557.62586</v>
      </c>
    </row>
    <row r="39" spans="1:10" x14ac:dyDescent="0.2">
      <c r="A39" s="60" t="s">
        <v>207</v>
      </c>
      <c r="B39" s="65">
        <f>B28</f>
        <v>30000</v>
      </c>
      <c r="C39" s="63"/>
      <c r="D39" s="64">
        <f>H31</f>
        <v>5869989</v>
      </c>
      <c r="E39" s="67">
        <f>ProposedRates!N11*1000</f>
        <v>7.6899999999999995</v>
      </c>
      <c r="F39" s="67">
        <f>(D39*E39)/1000</f>
        <v>45140.215409999997</v>
      </c>
    </row>
    <row r="40" spans="1:10" x14ac:dyDescent="0.2">
      <c r="A40" s="60" t="s">
        <v>208</v>
      </c>
      <c r="B40" s="65">
        <f>B29</f>
        <v>50000</v>
      </c>
      <c r="C40" s="63"/>
      <c r="D40" s="64">
        <f>I31</f>
        <v>7494570</v>
      </c>
      <c r="E40" s="67">
        <f>ProposedRates!N12*1000</f>
        <v>6.7600000000000007</v>
      </c>
      <c r="F40" s="67">
        <f>(D40*E40)/1000</f>
        <v>50663.2932</v>
      </c>
    </row>
    <row r="41" spans="1:10" x14ac:dyDescent="0.2">
      <c r="A41" s="60"/>
      <c r="B41" s="60"/>
      <c r="C41" s="60"/>
      <c r="D41" s="60"/>
      <c r="E41" s="60"/>
      <c r="F41" s="60"/>
    </row>
    <row r="42" spans="1:10" x14ac:dyDescent="0.2">
      <c r="A42" s="60" t="s">
        <v>114</v>
      </c>
      <c r="B42" s="60"/>
      <c r="C42" s="63">
        <f>SUM(C36:C40)</f>
        <v>34972</v>
      </c>
      <c r="D42" s="63">
        <f>SUM(D36:D40)</f>
        <v>128493560</v>
      </c>
      <c r="E42" s="60"/>
      <c r="F42" s="68">
        <f>SUM(F36:F40)</f>
        <v>1348071.8010199999</v>
      </c>
    </row>
    <row r="44" spans="1:10" ht="15.75" x14ac:dyDescent="0.25">
      <c r="A44" s="59" t="s">
        <v>215</v>
      </c>
    </row>
    <row r="46" spans="1:10" x14ac:dyDescent="0.2">
      <c r="A46" s="60"/>
      <c r="B46" s="60"/>
      <c r="C46" s="60"/>
      <c r="D46" s="60"/>
      <c r="E46" s="61" t="s">
        <v>206</v>
      </c>
      <c r="F46" s="61" t="s">
        <v>207</v>
      </c>
      <c r="G46" s="61" t="s">
        <v>207</v>
      </c>
      <c r="H46" s="61" t="s">
        <v>207</v>
      </c>
      <c r="I46" s="61" t="s">
        <v>208</v>
      </c>
      <c r="J46" s="60"/>
    </row>
    <row r="47" spans="1:10" x14ac:dyDescent="0.2">
      <c r="A47" s="60"/>
      <c r="B47" s="61" t="s">
        <v>209</v>
      </c>
      <c r="C47" s="61" t="s">
        <v>210</v>
      </c>
      <c r="D47" s="61" t="s">
        <v>203</v>
      </c>
      <c r="E47" s="62">
        <f>B48</f>
        <v>1000</v>
      </c>
      <c r="F47" s="62">
        <f>B49</f>
        <v>8000</v>
      </c>
      <c r="G47" s="62">
        <f>B50</f>
        <v>10000</v>
      </c>
      <c r="H47" s="62">
        <f>B51</f>
        <v>30000</v>
      </c>
      <c r="I47" s="62">
        <f>B52</f>
        <v>50000</v>
      </c>
      <c r="J47" s="61" t="s">
        <v>163</v>
      </c>
    </row>
    <row r="48" spans="1:10" x14ac:dyDescent="0.2">
      <c r="A48" s="60" t="s">
        <v>211</v>
      </c>
      <c r="B48" s="63">
        <v>1000</v>
      </c>
      <c r="C48" s="63">
        <v>39</v>
      </c>
      <c r="D48" s="63">
        <v>41690</v>
      </c>
      <c r="E48" s="63">
        <v>41690</v>
      </c>
      <c r="F48" s="63"/>
      <c r="G48" s="63"/>
      <c r="H48" s="63"/>
      <c r="I48" s="63"/>
      <c r="J48" s="64">
        <f>SUM(E48:I48)</f>
        <v>41690</v>
      </c>
    </row>
    <row r="49" spans="1:16" x14ac:dyDescent="0.2">
      <c r="A49" s="60" t="s">
        <v>207</v>
      </c>
      <c r="B49" s="63">
        <v>8000</v>
      </c>
      <c r="C49" s="63">
        <v>117</v>
      </c>
      <c r="D49" s="63">
        <v>560340</v>
      </c>
      <c r="E49" s="63">
        <v>234000</v>
      </c>
      <c r="F49" s="63">
        <v>326340</v>
      </c>
      <c r="G49" s="63"/>
      <c r="H49" s="63"/>
      <c r="I49" s="63"/>
      <c r="J49" s="64">
        <f>SUM(E49:I49)</f>
        <v>560340</v>
      </c>
    </row>
    <row r="50" spans="1:16" x14ac:dyDescent="0.2">
      <c r="A50" s="60" t="s">
        <v>207</v>
      </c>
      <c r="B50" s="63">
        <v>10000</v>
      </c>
      <c r="C50" s="63">
        <v>22</v>
      </c>
      <c r="D50" s="63">
        <v>281810</v>
      </c>
      <c r="E50" s="63">
        <v>44000</v>
      </c>
      <c r="F50" s="63">
        <v>176000</v>
      </c>
      <c r="G50" s="63">
        <v>61810</v>
      </c>
      <c r="H50" s="63"/>
      <c r="I50" s="63"/>
      <c r="J50" s="64">
        <f>SUM(E50:I50)</f>
        <v>281810</v>
      </c>
    </row>
    <row r="51" spans="1:16" x14ac:dyDescent="0.2">
      <c r="A51" s="60" t="s">
        <v>207</v>
      </c>
      <c r="B51" s="63">
        <v>30000</v>
      </c>
      <c r="C51" s="63">
        <v>2</v>
      </c>
      <c r="D51" s="63">
        <v>44180</v>
      </c>
      <c r="E51" s="63">
        <v>4000</v>
      </c>
      <c r="F51" s="63">
        <v>16000</v>
      </c>
      <c r="G51" s="63">
        <v>20000</v>
      </c>
      <c r="H51" s="63">
        <v>4180</v>
      </c>
      <c r="I51" s="63"/>
      <c r="J51" s="64">
        <f>SUM(E51:I51)</f>
        <v>44180</v>
      </c>
    </row>
    <row r="52" spans="1:16" x14ac:dyDescent="0.2">
      <c r="A52" s="60" t="s">
        <v>208</v>
      </c>
      <c r="B52" s="63">
        <v>50000</v>
      </c>
      <c r="C52" s="63">
        <v>0</v>
      </c>
      <c r="D52" s="70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4">
        <f>SUM(E52:I52)</f>
        <v>0</v>
      </c>
    </row>
    <row r="53" spans="1:16" x14ac:dyDescent="0.2">
      <c r="A53" s="60"/>
      <c r="B53" s="60"/>
      <c r="C53" s="60"/>
      <c r="D53" s="60"/>
      <c r="E53" s="60"/>
      <c r="F53" s="60"/>
      <c r="G53" s="60"/>
      <c r="H53" s="60"/>
      <c r="I53" s="60"/>
      <c r="J53" s="60"/>
    </row>
    <row r="54" spans="1:16" x14ac:dyDescent="0.2">
      <c r="A54" s="60" t="s">
        <v>114</v>
      </c>
      <c r="B54" s="60"/>
      <c r="C54" s="63">
        <f t="shared" ref="C54:J54" si="1">SUM(C48:C52)</f>
        <v>180</v>
      </c>
      <c r="D54" s="63">
        <f t="shared" si="1"/>
        <v>928020</v>
      </c>
      <c r="E54" s="63">
        <f t="shared" si="1"/>
        <v>323690</v>
      </c>
      <c r="F54" s="63">
        <f t="shared" si="1"/>
        <v>518340</v>
      </c>
      <c r="G54" s="63">
        <f t="shared" si="1"/>
        <v>81810</v>
      </c>
      <c r="H54" s="63">
        <f t="shared" si="1"/>
        <v>4180</v>
      </c>
      <c r="I54" s="63">
        <f t="shared" si="1"/>
        <v>0</v>
      </c>
      <c r="J54" s="63">
        <f t="shared" si="1"/>
        <v>928020</v>
      </c>
    </row>
    <row r="56" spans="1:16" ht="15.75" x14ac:dyDescent="0.25">
      <c r="A56" s="59" t="s">
        <v>216</v>
      </c>
    </row>
    <row r="58" spans="1:16" x14ac:dyDescent="0.2">
      <c r="A58" s="60"/>
      <c r="B58" s="61" t="s">
        <v>209</v>
      </c>
      <c r="C58" s="61" t="s">
        <v>210</v>
      </c>
      <c r="D58" s="61" t="s">
        <v>203</v>
      </c>
      <c r="E58" s="61" t="s">
        <v>214</v>
      </c>
      <c r="F58" s="61" t="s">
        <v>205</v>
      </c>
    </row>
    <row r="59" spans="1:16" x14ac:dyDescent="0.2">
      <c r="A59" s="60" t="s">
        <v>211</v>
      </c>
      <c r="B59" s="65">
        <f>B48</f>
        <v>1000</v>
      </c>
      <c r="C59" s="63">
        <f>C54</f>
        <v>180</v>
      </c>
      <c r="D59" s="64">
        <f>E54</f>
        <v>323690</v>
      </c>
      <c r="E59" s="66">
        <f>E36*2</f>
        <v>29.56</v>
      </c>
      <c r="F59" s="66">
        <f>C59*E59</f>
        <v>5320.8</v>
      </c>
      <c r="O59">
        <v>14.52</v>
      </c>
      <c r="P59">
        <f>O59*2</f>
        <v>29.04</v>
      </c>
    </row>
    <row r="60" spans="1:16" x14ac:dyDescent="0.2">
      <c r="A60" s="60" t="s">
        <v>207</v>
      </c>
      <c r="B60" s="65">
        <f>B49</f>
        <v>8000</v>
      </c>
      <c r="C60" s="63"/>
      <c r="D60" s="64">
        <f>F54</f>
        <v>518340</v>
      </c>
      <c r="E60" s="67">
        <f>E37</f>
        <v>8.69</v>
      </c>
      <c r="F60" s="67">
        <f>(D60*E60)/1000</f>
        <v>4504.3745999999992</v>
      </c>
    </row>
    <row r="61" spans="1:16" x14ac:dyDescent="0.2">
      <c r="A61" s="60" t="s">
        <v>207</v>
      </c>
      <c r="B61" s="65">
        <f>B50</f>
        <v>10000</v>
      </c>
      <c r="C61" s="63"/>
      <c r="D61" s="64">
        <f>G54</f>
        <v>81810</v>
      </c>
      <c r="E61" s="67">
        <f t="shared" ref="E61:E63" si="2">E38</f>
        <v>8.19</v>
      </c>
      <c r="F61" s="67">
        <f>(D61*E61)/1000</f>
        <v>670.02389999999991</v>
      </c>
    </row>
    <row r="62" spans="1:16" x14ac:dyDescent="0.2">
      <c r="A62" s="60" t="s">
        <v>207</v>
      </c>
      <c r="B62" s="65">
        <f>B51</f>
        <v>30000</v>
      </c>
      <c r="C62" s="63"/>
      <c r="D62" s="64">
        <f>H54</f>
        <v>4180</v>
      </c>
      <c r="E62" s="67">
        <f t="shared" si="2"/>
        <v>7.6899999999999995</v>
      </c>
      <c r="F62" s="67">
        <f>(D62*E62)/1000</f>
        <v>32.144199999999998</v>
      </c>
    </row>
    <row r="63" spans="1:16" x14ac:dyDescent="0.2">
      <c r="A63" s="60" t="s">
        <v>208</v>
      </c>
      <c r="B63" s="65">
        <f>B52</f>
        <v>50000</v>
      </c>
      <c r="C63" s="63"/>
      <c r="D63" s="64">
        <f>I54</f>
        <v>0</v>
      </c>
      <c r="E63" s="67">
        <f t="shared" si="2"/>
        <v>6.7600000000000007</v>
      </c>
      <c r="F63" s="67">
        <f>(D63*E63)/1000</f>
        <v>0</v>
      </c>
    </row>
    <row r="64" spans="1:16" x14ac:dyDescent="0.2">
      <c r="A64" s="60"/>
      <c r="B64" s="60"/>
      <c r="C64" s="60"/>
      <c r="D64" s="60"/>
      <c r="E64" s="60"/>
      <c r="F64" s="60"/>
    </row>
    <row r="65" spans="1:10" x14ac:dyDescent="0.2">
      <c r="A65" s="60" t="s">
        <v>114</v>
      </c>
      <c r="B65" s="60"/>
      <c r="C65" s="63">
        <f>SUM(C59:C63)</f>
        <v>180</v>
      </c>
      <c r="D65" s="63">
        <f>SUM(D59:D63)</f>
        <v>928020</v>
      </c>
      <c r="E65" s="60"/>
      <c r="F65" s="68">
        <f>SUM(F59:F63)</f>
        <v>10527.342699999999</v>
      </c>
    </row>
    <row r="67" spans="1:10" ht="15.75" x14ac:dyDescent="0.25">
      <c r="A67" s="2" t="s">
        <v>217</v>
      </c>
    </row>
    <row r="69" spans="1:10" x14ac:dyDescent="0.2">
      <c r="A69" s="60"/>
      <c r="B69" s="60"/>
      <c r="C69" s="60"/>
      <c r="D69" s="60"/>
      <c r="E69" s="61" t="s">
        <v>206</v>
      </c>
      <c r="F69" s="61" t="s">
        <v>207</v>
      </c>
      <c r="G69" s="61" t="s">
        <v>207</v>
      </c>
      <c r="H69" s="61" t="s">
        <v>208</v>
      </c>
      <c r="I69" s="61"/>
    </row>
    <row r="70" spans="1:10" x14ac:dyDescent="0.2">
      <c r="A70" s="60"/>
      <c r="B70" s="61" t="s">
        <v>209</v>
      </c>
      <c r="C70" s="61" t="s">
        <v>210</v>
      </c>
      <c r="D70" s="61" t="s">
        <v>203</v>
      </c>
      <c r="E70" s="62">
        <f>B71</f>
        <v>10000</v>
      </c>
      <c r="F70" s="62">
        <f>B72</f>
        <v>10000</v>
      </c>
      <c r="G70" s="62">
        <f>B73</f>
        <v>30000</v>
      </c>
      <c r="H70" s="62">
        <f>B74</f>
        <v>50000</v>
      </c>
      <c r="I70" s="61" t="s">
        <v>163</v>
      </c>
    </row>
    <row r="71" spans="1:10" x14ac:dyDescent="0.2">
      <c r="A71" s="60" t="s">
        <v>211</v>
      </c>
      <c r="B71" s="63">
        <v>10000</v>
      </c>
      <c r="C71" s="63">
        <v>152</v>
      </c>
      <c r="D71" s="63">
        <v>497770</v>
      </c>
      <c r="E71" s="63">
        <v>497770</v>
      </c>
      <c r="F71" s="63"/>
      <c r="G71" s="63"/>
      <c r="H71" s="63"/>
      <c r="I71" s="63">
        <f>SUM(E71:H71)</f>
        <v>497770</v>
      </c>
      <c r="J71" s="30"/>
    </row>
    <row r="72" spans="1:10" x14ac:dyDescent="0.2">
      <c r="A72" s="60" t="s">
        <v>207</v>
      </c>
      <c r="B72" s="63">
        <v>10000</v>
      </c>
      <c r="C72" s="63">
        <v>32</v>
      </c>
      <c r="D72" s="63">
        <v>434680</v>
      </c>
      <c r="E72" s="63">
        <v>320000</v>
      </c>
      <c r="F72" s="63">
        <v>114680</v>
      </c>
      <c r="G72" s="63"/>
      <c r="H72" s="63"/>
      <c r="I72" s="63">
        <f>SUM(E72:H72)</f>
        <v>434680</v>
      </c>
      <c r="J72" s="30"/>
    </row>
    <row r="73" spans="1:10" x14ac:dyDescent="0.2">
      <c r="A73" s="60" t="s">
        <v>207</v>
      </c>
      <c r="B73" s="63">
        <v>30000</v>
      </c>
      <c r="C73" s="63">
        <v>47</v>
      </c>
      <c r="D73" s="63">
        <v>1714970</v>
      </c>
      <c r="E73" s="63">
        <v>470000</v>
      </c>
      <c r="F73" s="63">
        <v>470000</v>
      </c>
      <c r="G73" s="63">
        <v>774970</v>
      </c>
      <c r="H73" s="63"/>
      <c r="I73" s="63">
        <f>SUM(E73:H73)</f>
        <v>1714970</v>
      </c>
      <c r="J73" s="30"/>
    </row>
    <row r="74" spans="1:10" x14ac:dyDescent="0.2">
      <c r="A74" s="60" t="s">
        <v>208</v>
      </c>
      <c r="B74" s="63">
        <v>50000</v>
      </c>
      <c r="C74" s="63">
        <v>111</v>
      </c>
      <c r="D74" s="70">
        <v>13917610</v>
      </c>
      <c r="E74" s="63">
        <v>1110000</v>
      </c>
      <c r="F74" s="63">
        <v>1110000</v>
      </c>
      <c r="G74" s="63">
        <v>3330000</v>
      </c>
      <c r="H74" s="63">
        <v>8367610</v>
      </c>
      <c r="I74" s="63">
        <f>SUM(E74:H74)</f>
        <v>13917610</v>
      </c>
      <c r="J74" s="30"/>
    </row>
    <row r="75" spans="1:10" x14ac:dyDescent="0.2">
      <c r="A75" s="60"/>
      <c r="B75" s="60"/>
      <c r="C75" s="60"/>
      <c r="D75" s="60"/>
      <c r="E75" s="60"/>
      <c r="F75" s="60"/>
      <c r="G75" s="60"/>
      <c r="H75" s="60"/>
      <c r="I75" s="60"/>
    </row>
    <row r="76" spans="1:10" x14ac:dyDescent="0.2">
      <c r="A76" s="60" t="s">
        <v>114</v>
      </c>
      <c r="B76" s="60"/>
      <c r="C76" s="63">
        <f t="shared" ref="C76:I76" si="3">SUM(C71:C74)</f>
        <v>342</v>
      </c>
      <c r="D76" s="63">
        <f t="shared" si="3"/>
        <v>16565030</v>
      </c>
      <c r="E76" s="63">
        <f t="shared" si="3"/>
        <v>2397770</v>
      </c>
      <c r="F76" s="63">
        <f t="shared" si="3"/>
        <v>1694680</v>
      </c>
      <c r="G76" s="63">
        <f t="shared" si="3"/>
        <v>4104970</v>
      </c>
      <c r="H76" s="63">
        <f t="shared" si="3"/>
        <v>8367610</v>
      </c>
      <c r="I76" s="63">
        <f t="shared" si="3"/>
        <v>16565030</v>
      </c>
      <c r="J76" s="69"/>
    </row>
    <row r="78" spans="1:10" ht="15.75" x14ac:dyDescent="0.25">
      <c r="A78" s="2" t="s">
        <v>218</v>
      </c>
    </row>
    <row r="80" spans="1:10" x14ac:dyDescent="0.2">
      <c r="A80" s="60"/>
      <c r="B80" s="61" t="s">
        <v>209</v>
      </c>
      <c r="C80" s="61" t="s">
        <v>210</v>
      </c>
      <c r="D80" s="61" t="s">
        <v>203</v>
      </c>
      <c r="E80" s="61" t="s">
        <v>214</v>
      </c>
      <c r="F80" s="61" t="s">
        <v>205</v>
      </c>
    </row>
    <row r="81" spans="1:9" x14ac:dyDescent="0.2">
      <c r="A81" s="60" t="s">
        <v>211</v>
      </c>
      <c r="B81" s="65">
        <f>B71</f>
        <v>10000</v>
      </c>
      <c r="C81" s="63">
        <f>C76</f>
        <v>342</v>
      </c>
      <c r="D81" s="64">
        <f>E76</f>
        <v>2397770</v>
      </c>
      <c r="E81" s="66">
        <f>ProposedRates!N15</f>
        <v>92.923320000000004</v>
      </c>
      <c r="F81" s="66">
        <f>C81*E81</f>
        <v>31779.775440000001</v>
      </c>
    </row>
    <row r="82" spans="1:9" x14ac:dyDescent="0.2">
      <c r="A82" s="60" t="s">
        <v>207</v>
      </c>
      <c r="B82" s="65">
        <f>B72</f>
        <v>10000</v>
      </c>
      <c r="C82" s="63"/>
      <c r="D82" s="64">
        <f>F76</f>
        <v>1694680</v>
      </c>
      <c r="E82" s="67">
        <f>ProposedRates!N16*1000</f>
        <v>8.19</v>
      </c>
      <c r="F82" s="67">
        <f>(D82*E82)/1000</f>
        <v>13879.429199999999</v>
      </c>
    </row>
    <row r="83" spans="1:9" x14ac:dyDescent="0.2">
      <c r="A83" s="60" t="s">
        <v>207</v>
      </c>
      <c r="B83" s="65">
        <f>B73</f>
        <v>30000</v>
      </c>
      <c r="C83" s="63"/>
      <c r="D83" s="64">
        <f>G76</f>
        <v>4104970</v>
      </c>
      <c r="E83" s="67">
        <f>ProposedRates!N17*1000</f>
        <v>7.6899999999999995</v>
      </c>
      <c r="F83" s="67">
        <f>(D83*E83)/1000</f>
        <v>31567.219299999997</v>
      </c>
    </row>
    <row r="84" spans="1:9" x14ac:dyDescent="0.2">
      <c r="A84" s="60" t="s">
        <v>208</v>
      </c>
      <c r="B84" s="65">
        <f>B74</f>
        <v>50000</v>
      </c>
      <c r="C84" s="63"/>
      <c r="D84" s="64">
        <f>H76</f>
        <v>8367610</v>
      </c>
      <c r="E84" s="67">
        <f>ProposedRates!N18*1000</f>
        <v>6.7600000000000007</v>
      </c>
      <c r="F84" s="67">
        <f>(D84*E84)/1000</f>
        <v>56565.043600000012</v>
      </c>
    </row>
    <row r="85" spans="1:9" x14ac:dyDescent="0.2">
      <c r="A85" s="60"/>
      <c r="B85" s="60"/>
      <c r="C85" s="60"/>
      <c r="D85" s="60"/>
      <c r="E85" s="60"/>
      <c r="F85" s="60"/>
    </row>
    <row r="86" spans="1:9" x14ac:dyDescent="0.2">
      <c r="A86" s="60" t="s">
        <v>114</v>
      </c>
      <c r="B86" s="60"/>
      <c r="C86" s="63">
        <f>SUM(C81:C84)</f>
        <v>342</v>
      </c>
      <c r="D86" s="63">
        <f>SUM(D81:D84)</f>
        <v>16565030</v>
      </c>
      <c r="E86" s="60"/>
      <c r="F86" s="68">
        <f>SUM(F81:F84)</f>
        <v>133791.46754000001</v>
      </c>
    </row>
    <row r="88" spans="1:9" ht="15.75" x14ac:dyDescent="0.25">
      <c r="A88" s="2" t="s">
        <v>219</v>
      </c>
    </row>
    <row r="90" spans="1:9" x14ac:dyDescent="0.2">
      <c r="A90" s="60"/>
      <c r="B90" s="60"/>
      <c r="C90" s="60"/>
      <c r="D90" s="60"/>
      <c r="E90" s="61" t="s">
        <v>206</v>
      </c>
      <c r="F90" s="61" t="s">
        <v>207</v>
      </c>
      <c r="G90" s="61" t="s">
        <v>207</v>
      </c>
      <c r="H90" s="61"/>
      <c r="I90" s="9"/>
    </row>
    <row r="91" spans="1:9" x14ac:dyDescent="0.2">
      <c r="A91" s="60"/>
      <c r="B91" s="61" t="s">
        <v>209</v>
      </c>
      <c r="C91" s="61" t="s">
        <v>210</v>
      </c>
      <c r="D91" s="61" t="s">
        <v>203</v>
      </c>
      <c r="E91" s="62">
        <f>B92</f>
        <v>20000</v>
      </c>
      <c r="F91" s="62">
        <f>B93</f>
        <v>30000</v>
      </c>
      <c r="G91" s="62">
        <f>B94</f>
        <v>50000</v>
      </c>
      <c r="H91" s="61" t="s">
        <v>163</v>
      </c>
    </row>
    <row r="92" spans="1:9" x14ac:dyDescent="0.2">
      <c r="A92" s="60" t="s">
        <v>211</v>
      </c>
      <c r="B92" s="63">
        <v>20000</v>
      </c>
      <c r="C92" s="63">
        <v>39</v>
      </c>
      <c r="D92" s="63">
        <v>247883</v>
      </c>
      <c r="E92" s="63">
        <v>247883</v>
      </c>
      <c r="F92" s="63"/>
      <c r="G92" s="63"/>
      <c r="H92" s="63">
        <f>SUM(E92:G92)</f>
        <v>247883</v>
      </c>
      <c r="I92" s="69"/>
    </row>
    <row r="93" spans="1:9" x14ac:dyDescent="0.2">
      <c r="A93" s="60" t="s">
        <v>207</v>
      </c>
      <c r="B93" s="63">
        <v>30000</v>
      </c>
      <c r="C93" s="63">
        <v>28</v>
      </c>
      <c r="D93" s="63">
        <v>997018</v>
      </c>
      <c r="E93" s="63">
        <v>560000</v>
      </c>
      <c r="F93" s="63">
        <v>437018</v>
      </c>
      <c r="G93" s="63"/>
      <c r="H93" s="63">
        <f>SUM(E93:G93)</f>
        <v>997018</v>
      </c>
      <c r="I93" s="69"/>
    </row>
    <row r="94" spans="1:9" x14ac:dyDescent="0.2">
      <c r="A94" s="60" t="s">
        <v>208</v>
      </c>
      <c r="B94" s="63">
        <v>50000</v>
      </c>
      <c r="C94" s="63">
        <v>79</v>
      </c>
      <c r="D94" s="70">
        <v>20033409</v>
      </c>
      <c r="E94" s="63">
        <v>1580000</v>
      </c>
      <c r="F94" s="63">
        <v>2370000</v>
      </c>
      <c r="G94" s="63">
        <v>16083409</v>
      </c>
      <c r="H94" s="63">
        <f>SUM(E94:G94)</f>
        <v>20033409</v>
      </c>
      <c r="I94" s="69"/>
    </row>
    <row r="95" spans="1:9" x14ac:dyDescent="0.2">
      <c r="A95" s="60"/>
      <c r="B95" s="60"/>
      <c r="C95" s="60"/>
      <c r="D95" s="60"/>
      <c r="E95" s="60"/>
      <c r="F95" s="60"/>
      <c r="G95" s="60"/>
      <c r="H95" s="60"/>
    </row>
    <row r="96" spans="1:9" x14ac:dyDescent="0.2">
      <c r="A96" s="60" t="s">
        <v>114</v>
      </c>
      <c r="B96" s="60"/>
      <c r="C96" s="63">
        <f t="shared" ref="C96:H96" si="4">SUM(C92:C94)</f>
        <v>146</v>
      </c>
      <c r="D96" s="63">
        <f t="shared" si="4"/>
        <v>21278310</v>
      </c>
      <c r="E96" s="63">
        <f t="shared" si="4"/>
        <v>2387883</v>
      </c>
      <c r="F96" s="63">
        <f t="shared" si="4"/>
        <v>2807018</v>
      </c>
      <c r="G96" s="63">
        <f t="shared" si="4"/>
        <v>16083409</v>
      </c>
      <c r="H96" s="63">
        <f t="shared" si="4"/>
        <v>21278310</v>
      </c>
      <c r="I96" s="69"/>
    </row>
    <row r="98" spans="1:8" ht="15.75" x14ac:dyDescent="0.25">
      <c r="A98" s="2" t="s">
        <v>220</v>
      </c>
    </row>
    <row r="100" spans="1:8" x14ac:dyDescent="0.2">
      <c r="A100" s="60"/>
      <c r="B100" s="61" t="s">
        <v>209</v>
      </c>
      <c r="C100" s="61" t="s">
        <v>210</v>
      </c>
      <c r="D100" s="61" t="s">
        <v>203</v>
      </c>
      <c r="E100" s="61" t="s">
        <v>214</v>
      </c>
      <c r="F100" s="61" t="s">
        <v>205</v>
      </c>
    </row>
    <row r="101" spans="1:8" x14ac:dyDescent="0.2">
      <c r="A101" s="60" t="s">
        <v>211</v>
      </c>
      <c r="B101" s="65">
        <f>B92</f>
        <v>20000</v>
      </c>
      <c r="C101" s="63">
        <f>C96</f>
        <v>146</v>
      </c>
      <c r="D101" s="64">
        <f>E96</f>
        <v>2387883</v>
      </c>
      <c r="E101" s="66">
        <f>ProposedRates!N21</f>
        <v>174.70724999999999</v>
      </c>
      <c r="F101" s="66">
        <f>C101*E101</f>
        <v>25507.2585</v>
      </c>
    </row>
    <row r="102" spans="1:8" x14ac:dyDescent="0.2">
      <c r="A102" s="60" t="s">
        <v>207</v>
      </c>
      <c r="B102" s="65">
        <f>B93</f>
        <v>30000</v>
      </c>
      <c r="C102" s="63"/>
      <c r="D102" s="64">
        <f>F96</f>
        <v>2807018</v>
      </c>
      <c r="E102" s="67">
        <f>ProposedRates!N22*1000</f>
        <v>7.6899999999999995</v>
      </c>
      <c r="F102" s="67">
        <f>(D102*E102)/1000</f>
        <v>21585.968419999997</v>
      </c>
    </row>
    <row r="103" spans="1:8" x14ac:dyDescent="0.2">
      <c r="A103" s="60" t="s">
        <v>208</v>
      </c>
      <c r="B103" s="65">
        <f>B94</f>
        <v>50000</v>
      </c>
      <c r="C103" s="63"/>
      <c r="D103" s="64">
        <f>G96</f>
        <v>16083409</v>
      </c>
      <c r="E103" s="67">
        <f>ProposedRates!N23*1000</f>
        <v>6.7600000000000007</v>
      </c>
      <c r="F103" s="67">
        <f>(D103*E103)/1000</f>
        <v>108723.84484000001</v>
      </c>
    </row>
    <row r="104" spans="1:8" x14ac:dyDescent="0.2">
      <c r="A104" s="60"/>
      <c r="B104" s="60"/>
      <c r="C104" s="60"/>
      <c r="D104" s="60"/>
      <c r="E104" s="60"/>
      <c r="F104" s="60"/>
    </row>
    <row r="105" spans="1:8" x14ac:dyDescent="0.2">
      <c r="A105" s="60" t="s">
        <v>114</v>
      </c>
      <c r="B105" s="60"/>
      <c r="C105" s="63">
        <f>SUM(C101:C103)</f>
        <v>146</v>
      </c>
      <c r="D105" s="63">
        <f>SUM(D101:D103)</f>
        <v>21278310</v>
      </c>
      <c r="E105" s="60"/>
      <c r="F105" s="68">
        <f>SUM(F101:F103)</f>
        <v>155817.07176000002</v>
      </c>
    </row>
    <row r="107" spans="1:8" ht="15.75" x14ac:dyDescent="0.25">
      <c r="A107" s="2" t="s">
        <v>221</v>
      </c>
    </row>
    <row r="109" spans="1:8" x14ac:dyDescent="0.2">
      <c r="A109" s="60"/>
      <c r="B109" s="60"/>
      <c r="C109" s="60"/>
      <c r="D109" s="60"/>
      <c r="E109" s="61" t="s">
        <v>206</v>
      </c>
      <c r="F109" s="61" t="s">
        <v>208</v>
      </c>
      <c r="G109" s="61"/>
    </row>
    <row r="110" spans="1:8" x14ac:dyDescent="0.2">
      <c r="A110" s="60"/>
      <c r="B110" s="61" t="s">
        <v>209</v>
      </c>
      <c r="C110" s="61" t="s">
        <v>210</v>
      </c>
      <c r="D110" s="61" t="s">
        <v>203</v>
      </c>
      <c r="E110" s="62">
        <f>B111</f>
        <v>50000</v>
      </c>
      <c r="F110" s="62">
        <v>50000</v>
      </c>
      <c r="G110" s="61" t="s">
        <v>163</v>
      </c>
    </row>
    <row r="111" spans="1:8" x14ac:dyDescent="0.2">
      <c r="A111" s="60" t="s">
        <v>211</v>
      </c>
      <c r="B111" s="63">
        <v>50000</v>
      </c>
      <c r="C111" s="63">
        <v>1</v>
      </c>
      <c r="D111" s="63">
        <v>41600</v>
      </c>
      <c r="E111" s="63">
        <v>41600</v>
      </c>
      <c r="F111" s="63"/>
      <c r="G111" s="63">
        <f>SUM(E111:F111)</f>
        <v>41600</v>
      </c>
      <c r="H111" s="69"/>
    </row>
    <row r="112" spans="1:8" x14ac:dyDescent="0.2">
      <c r="A112" s="60" t="s">
        <v>208</v>
      </c>
      <c r="B112" s="63">
        <v>50000</v>
      </c>
      <c r="C112" s="63">
        <v>23</v>
      </c>
      <c r="D112" s="63">
        <v>8758931</v>
      </c>
      <c r="E112" s="63">
        <v>1150000</v>
      </c>
      <c r="F112" s="63">
        <v>7608931</v>
      </c>
      <c r="G112" s="63">
        <f>SUM(E112:F112)</f>
        <v>8758931</v>
      </c>
      <c r="H112" s="69"/>
    </row>
    <row r="113" spans="1:8" x14ac:dyDescent="0.2">
      <c r="A113" s="60"/>
      <c r="B113" s="60"/>
      <c r="C113" s="60"/>
      <c r="D113" s="60"/>
      <c r="E113" s="60"/>
      <c r="F113" s="60"/>
      <c r="G113" s="60"/>
    </row>
    <row r="114" spans="1:8" x14ac:dyDescent="0.2">
      <c r="A114" s="60" t="s">
        <v>114</v>
      </c>
      <c r="B114" s="60"/>
      <c r="C114" s="63">
        <f>SUM(C111:C112)</f>
        <v>24</v>
      </c>
      <c r="D114" s="63">
        <f>SUM(D111:D112)</f>
        <v>8800531</v>
      </c>
      <c r="E114" s="63">
        <f>SUM(E111:E112)</f>
        <v>1191600</v>
      </c>
      <c r="F114" s="63">
        <f>SUM(F111:F112)</f>
        <v>7608931</v>
      </c>
      <c r="G114" s="63">
        <f>SUM(G111:G112)</f>
        <v>8800531</v>
      </c>
      <c r="H114" s="69"/>
    </row>
    <row r="116" spans="1:8" ht="15.75" x14ac:dyDescent="0.25">
      <c r="A116" s="2" t="s">
        <v>222</v>
      </c>
    </row>
    <row r="118" spans="1:8" x14ac:dyDescent="0.2">
      <c r="A118" s="60"/>
      <c r="B118" s="61" t="s">
        <v>209</v>
      </c>
      <c r="C118" s="61" t="s">
        <v>210</v>
      </c>
      <c r="D118" s="61" t="s">
        <v>203</v>
      </c>
      <c r="E118" s="61" t="s">
        <v>214</v>
      </c>
      <c r="F118" s="61" t="s">
        <v>205</v>
      </c>
    </row>
    <row r="119" spans="1:8" x14ac:dyDescent="0.2">
      <c r="A119" s="60" t="s">
        <v>211</v>
      </c>
      <c r="B119" s="65">
        <f>B111</f>
        <v>50000</v>
      </c>
      <c r="C119" s="63">
        <f>C114</f>
        <v>24</v>
      </c>
      <c r="D119" s="64">
        <f>E114</f>
        <v>1191600</v>
      </c>
      <c r="E119" s="66">
        <f>ProposedRates!N26</f>
        <v>405.38637999999997</v>
      </c>
      <c r="F119" s="66">
        <f>C119*E119</f>
        <v>9729.2731199999998</v>
      </c>
    </row>
    <row r="120" spans="1:8" x14ac:dyDescent="0.2">
      <c r="A120" s="60" t="s">
        <v>207</v>
      </c>
      <c r="B120" s="65">
        <f>B112</f>
        <v>50000</v>
      </c>
      <c r="C120" s="63"/>
      <c r="D120" s="64">
        <f>F114</f>
        <v>7608931</v>
      </c>
      <c r="E120" s="67">
        <f>ProposedRates!N27*1000</f>
        <v>6.7600000000000007</v>
      </c>
      <c r="F120" s="67">
        <f>(D120*E120)/1000</f>
        <v>51436.37356</v>
      </c>
    </row>
    <row r="121" spans="1:8" x14ac:dyDescent="0.2">
      <c r="A121" s="60"/>
      <c r="B121" s="60"/>
      <c r="C121" s="60"/>
      <c r="D121" s="60"/>
      <c r="E121" s="60"/>
      <c r="F121" s="60"/>
    </row>
    <row r="122" spans="1:8" x14ac:dyDescent="0.2">
      <c r="A122" s="60" t="s">
        <v>114</v>
      </c>
      <c r="B122" s="60"/>
      <c r="C122" s="63">
        <f>SUM(C119:C120)</f>
        <v>24</v>
      </c>
      <c r="D122" s="63">
        <f>SUM(D119:D120)</f>
        <v>8800531</v>
      </c>
      <c r="E122" s="60"/>
      <c r="F122" s="68">
        <f>SUM(F119:F120)</f>
        <v>61165.646679999998</v>
      </c>
    </row>
    <row r="124" spans="1:8" ht="15.75" x14ac:dyDescent="0.25">
      <c r="A124" s="2" t="s">
        <v>294</v>
      </c>
    </row>
    <row r="125" spans="1:8" x14ac:dyDescent="0.2">
      <c r="A125" s="60"/>
      <c r="B125" s="60" t="s">
        <v>209</v>
      </c>
      <c r="C125" s="60" t="s">
        <v>210</v>
      </c>
      <c r="D125" s="60" t="s">
        <v>295</v>
      </c>
      <c r="E125" s="60" t="s">
        <v>205</v>
      </c>
    </row>
    <row r="126" spans="1:8" x14ac:dyDescent="0.2">
      <c r="A126" s="60" t="s">
        <v>292</v>
      </c>
      <c r="B126" s="63">
        <v>80828871</v>
      </c>
      <c r="C126" s="60"/>
      <c r="D126" s="60">
        <f>ProposedRates!N30*1000</f>
        <v>4.54</v>
      </c>
      <c r="E126" s="123">
        <f>(B126*D126)/1000</f>
        <v>366963.07433999999</v>
      </c>
    </row>
    <row r="127" spans="1:8" x14ac:dyDescent="0.2">
      <c r="A127" s="60"/>
      <c r="B127" s="60"/>
      <c r="C127" s="60"/>
      <c r="D127" s="60"/>
      <c r="E127" s="60"/>
    </row>
    <row r="128" spans="1:8" x14ac:dyDescent="0.2">
      <c r="A128" s="60"/>
      <c r="B128" s="60"/>
      <c r="C128" s="60"/>
      <c r="D128" s="60"/>
      <c r="E128" s="60"/>
    </row>
  </sheetData>
  <pageMargins left="0.7" right="0.7" top="0.75" bottom="0.75" header="0.3" footer="0.3"/>
  <pageSetup scale="65" fitToHeight="3" orientation="portrait" r:id="rId1"/>
  <ignoredErrors>
    <ignoredError sqref="I71:I74 H92:H94 G111:G112 F114 J48:J52 J25:J2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3E8D-AD2C-41CB-86C6-5995A927713D}">
  <sheetPr>
    <pageSetUpPr fitToPage="1"/>
  </sheetPr>
  <dimension ref="B2:AC31"/>
  <sheetViews>
    <sheetView showGridLines="0" zoomScale="80" zoomScaleNormal="80" workbookViewId="0">
      <selection activeCell="Q16" sqref="Q16"/>
    </sheetView>
  </sheetViews>
  <sheetFormatPr defaultRowHeight="15" x14ac:dyDescent="0.2"/>
  <cols>
    <col min="3" max="3" width="2.6640625" customWidth="1"/>
    <col min="4" max="4" width="8.77734375" customWidth="1"/>
    <col min="5" max="5" width="2.33203125" customWidth="1"/>
    <col min="8" max="8" width="4.109375" customWidth="1"/>
    <col min="9" max="9" width="2.33203125" customWidth="1"/>
    <col min="11" max="11" width="2.88671875" customWidth="1"/>
    <col min="12" max="12" width="8.77734375" customWidth="1"/>
    <col min="13" max="13" width="2.33203125" customWidth="1"/>
    <col min="14" max="14" width="10.88671875" bestFit="1" customWidth="1"/>
    <col min="16" max="16" width="3.77734375" customWidth="1"/>
    <col min="17" max="17" width="11" bestFit="1" customWidth="1"/>
    <col min="18" max="18" width="11.88671875" customWidth="1"/>
    <col min="20" max="20" width="16.109375" bestFit="1" customWidth="1"/>
    <col min="23" max="27" width="12.77734375" customWidth="1"/>
    <col min="28" max="28" width="10" bestFit="1" customWidth="1"/>
  </cols>
  <sheetData>
    <row r="2" spans="2:28" ht="18.75" x14ac:dyDescent="0.3"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  <c r="Q2" s="91"/>
      <c r="R2" s="92"/>
    </row>
    <row r="3" spans="2:28" ht="18.75" x14ac:dyDescent="0.3">
      <c r="B3" s="13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4"/>
      <c r="Q3" s="93"/>
      <c r="R3" s="94"/>
    </row>
    <row r="4" spans="2:28" ht="18.75" x14ac:dyDescent="0.3">
      <c r="B4" s="140" t="s">
        <v>281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2"/>
      <c r="Q4" s="133"/>
      <c r="R4" s="134"/>
    </row>
    <row r="5" spans="2:28" ht="18.75" x14ac:dyDescent="0.3">
      <c r="B5" s="95" t="s">
        <v>282</v>
      </c>
      <c r="C5" s="96"/>
      <c r="D5" s="96"/>
      <c r="E5" s="96"/>
      <c r="F5" s="96"/>
      <c r="G5" s="96"/>
      <c r="H5" s="96"/>
      <c r="I5" s="97"/>
      <c r="J5" s="98" t="s">
        <v>283</v>
      </c>
      <c r="K5" s="96"/>
      <c r="L5" s="96"/>
      <c r="M5" s="96"/>
      <c r="N5" s="96"/>
      <c r="O5" s="96"/>
      <c r="P5" s="99"/>
      <c r="Q5" s="100" t="s">
        <v>284</v>
      </c>
      <c r="R5" s="101" t="s">
        <v>285</v>
      </c>
      <c r="T5" s="4" t="s">
        <v>293</v>
      </c>
    </row>
    <row r="6" spans="2:28" ht="18.75" x14ac:dyDescent="0.3">
      <c r="B6" s="102"/>
      <c r="C6" s="103"/>
      <c r="D6" s="103"/>
      <c r="E6" s="103"/>
      <c r="F6" s="103"/>
      <c r="G6" s="103"/>
      <c r="H6" s="103"/>
      <c r="I6" s="102"/>
      <c r="J6" s="103"/>
      <c r="K6" s="103"/>
      <c r="L6" s="103"/>
      <c r="M6" s="103"/>
      <c r="N6" s="103"/>
      <c r="O6" s="103"/>
      <c r="P6" s="104"/>
      <c r="Q6" s="103"/>
      <c r="R6" s="105"/>
      <c r="T6" s="121">
        <f>'RR-OR'!G14</f>
        <v>1.8226167237952565E-2</v>
      </c>
    </row>
    <row r="7" spans="2:28" ht="18.75" x14ac:dyDescent="0.3">
      <c r="B7" s="106" t="s">
        <v>286</v>
      </c>
      <c r="C7" s="103"/>
      <c r="D7" s="103"/>
      <c r="E7" s="103"/>
      <c r="F7" s="103"/>
      <c r="G7" s="103"/>
      <c r="H7" s="103"/>
      <c r="I7" s="102"/>
      <c r="J7" s="107" t="s">
        <v>286</v>
      </c>
      <c r="K7" s="103"/>
      <c r="L7" s="103"/>
      <c r="M7" s="103"/>
      <c r="N7" s="103"/>
      <c r="O7" s="103"/>
      <c r="P7" s="104"/>
      <c r="Q7" s="103"/>
      <c r="R7" s="105"/>
    </row>
    <row r="8" spans="2:28" ht="18.75" x14ac:dyDescent="0.3">
      <c r="B8" s="102" t="s">
        <v>211</v>
      </c>
      <c r="C8" s="103"/>
      <c r="D8" s="108">
        <v>1000</v>
      </c>
      <c r="E8" s="103"/>
      <c r="F8" s="109">
        <v>14.52</v>
      </c>
      <c r="G8" s="103" t="s">
        <v>287</v>
      </c>
      <c r="H8" s="103"/>
      <c r="I8" s="102"/>
      <c r="J8" s="103" t="s">
        <v>211</v>
      </c>
      <c r="K8" s="103"/>
      <c r="L8" s="108">
        <v>1000</v>
      </c>
      <c r="M8" s="103"/>
      <c r="N8" s="109">
        <f>ROUND(F8*(1+$T$6),2)</f>
        <v>14.78</v>
      </c>
      <c r="O8" s="103" t="s">
        <v>287</v>
      </c>
      <c r="P8" s="104"/>
      <c r="Q8" s="110">
        <f>N8-F8</f>
        <v>0.25999999999999979</v>
      </c>
      <c r="R8" s="111">
        <f>Q8/F8</f>
        <v>1.7906336088154257E-2</v>
      </c>
    </row>
    <row r="9" spans="2:28" ht="18.75" x14ac:dyDescent="0.3">
      <c r="B9" s="102" t="s">
        <v>207</v>
      </c>
      <c r="C9" s="103"/>
      <c r="D9" s="108">
        <v>9000</v>
      </c>
      <c r="E9" s="103"/>
      <c r="F9" s="112">
        <v>8.5299999999999994E-3</v>
      </c>
      <c r="G9" s="103" t="s">
        <v>288</v>
      </c>
      <c r="H9" s="103"/>
      <c r="I9" s="102"/>
      <c r="J9" s="103" t="s">
        <v>207</v>
      </c>
      <c r="K9" s="103"/>
      <c r="L9" s="108">
        <v>9000</v>
      </c>
      <c r="M9" s="103"/>
      <c r="N9" s="112">
        <f>ROUND(F9*(1+$T$6),5)</f>
        <v>8.6899999999999998E-3</v>
      </c>
      <c r="O9" s="103" t="s">
        <v>288</v>
      </c>
      <c r="P9" s="104"/>
      <c r="Q9" s="113">
        <f t="shared" ref="Q9:Q30" si="0">N9-F9</f>
        <v>1.6000000000000042E-4</v>
      </c>
      <c r="R9" s="111">
        <f>Q9/F9</f>
        <v>1.8757327080891024E-2</v>
      </c>
    </row>
    <row r="10" spans="2:28" ht="18.75" x14ac:dyDescent="0.3">
      <c r="B10" s="102" t="s">
        <v>207</v>
      </c>
      <c r="C10" s="103"/>
      <c r="D10" s="108">
        <v>10000</v>
      </c>
      <c r="E10" s="103"/>
      <c r="F10" s="112">
        <v>8.0400000000000003E-3</v>
      </c>
      <c r="G10" s="103" t="s">
        <v>288</v>
      </c>
      <c r="H10" s="103"/>
      <c r="I10" s="102"/>
      <c r="J10" s="103" t="s">
        <v>207</v>
      </c>
      <c r="K10" s="103"/>
      <c r="L10" s="108">
        <v>10000</v>
      </c>
      <c r="M10" s="103"/>
      <c r="N10" s="112">
        <f>ROUND(F10*(1+$T$6),5)</f>
        <v>8.1899999999999994E-3</v>
      </c>
      <c r="O10" s="103" t="s">
        <v>288</v>
      </c>
      <c r="P10" s="104"/>
      <c r="Q10" s="113">
        <f t="shared" si="0"/>
        <v>1.4999999999999909E-4</v>
      </c>
      <c r="R10" s="111">
        <f>Q10/F10</f>
        <v>1.8656716417910335E-2</v>
      </c>
    </row>
    <row r="11" spans="2:28" ht="18.75" x14ac:dyDescent="0.3">
      <c r="B11" s="102" t="s">
        <v>207</v>
      </c>
      <c r="C11" s="103"/>
      <c r="D11" s="108">
        <v>30000</v>
      </c>
      <c r="E11" s="103"/>
      <c r="F11" s="112">
        <v>7.5500000000000003E-3</v>
      </c>
      <c r="G11" s="103" t="s">
        <v>288</v>
      </c>
      <c r="H11" s="103"/>
      <c r="I11" s="102"/>
      <c r="J11" s="103" t="s">
        <v>207</v>
      </c>
      <c r="K11" s="103"/>
      <c r="L11" s="108">
        <v>30000</v>
      </c>
      <c r="M11" s="103"/>
      <c r="N11" s="112">
        <f>ROUND(F11*(1+$T$6),5)</f>
        <v>7.6899999999999998E-3</v>
      </c>
      <c r="O11" s="103" t="s">
        <v>288</v>
      </c>
      <c r="P11" s="104"/>
      <c r="Q11" s="113">
        <f t="shared" si="0"/>
        <v>1.399999999999995E-4</v>
      </c>
      <c r="R11" s="111">
        <f>Q11/F11</f>
        <v>1.8543046357615826E-2</v>
      </c>
    </row>
    <row r="12" spans="2:28" ht="18.75" x14ac:dyDescent="0.3">
      <c r="B12" s="102" t="s">
        <v>208</v>
      </c>
      <c r="C12" s="103"/>
      <c r="D12" s="108">
        <v>50000</v>
      </c>
      <c r="E12" s="103"/>
      <c r="F12" s="112">
        <v>6.6400000000000001E-3</v>
      </c>
      <c r="G12" s="103" t="s">
        <v>288</v>
      </c>
      <c r="H12" s="103"/>
      <c r="I12" s="102"/>
      <c r="J12" s="103" t="s">
        <v>208</v>
      </c>
      <c r="K12" s="103"/>
      <c r="L12" s="108">
        <v>50000</v>
      </c>
      <c r="M12" s="103"/>
      <c r="N12" s="112">
        <f>ROUND(F12*(1+$T$6),5)</f>
        <v>6.7600000000000004E-3</v>
      </c>
      <c r="O12" s="103" t="s">
        <v>288</v>
      </c>
      <c r="P12" s="104"/>
      <c r="Q12" s="113">
        <f t="shared" si="0"/>
        <v>1.2000000000000031E-4</v>
      </c>
      <c r="R12" s="111">
        <f>Q12/F12</f>
        <v>1.8072289156626554E-2</v>
      </c>
    </row>
    <row r="13" spans="2:28" ht="32.25" x14ac:dyDescent="0.3">
      <c r="B13" s="102"/>
      <c r="C13" s="103"/>
      <c r="D13" s="103"/>
      <c r="E13" s="103"/>
      <c r="F13" s="103"/>
      <c r="G13" s="103"/>
      <c r="H13" s="103"/>
      <c r="I13" s="102"/>
      <c r="J13" s="103"/>
      <c r="K13" s="103"/>
      <c r="L13" s="103"/>
      <c r="M13" s="103"/>
      <c r="N13" s="114"/>
      <c r="O13" s="103"/>
      <c r="P13" s="104"/>
      <c r="Q13" s="113"/>
      <c r="R13" s="111"/>
      <c r="W13" s="126" t="s">
        <v>297</v>
      </c>
      <c r="X13" s="127" t="s">
        <v>298</v>
      </c>
      <c r="Y13" s="127" t="s">
        <v>299</v>
      </c>
      <c r="Z13" s="127" t="s">
        <v>300</v>
      </c>
      <c r="AA13" s="127" t="s">
        <v>301</v>
      </c>
      <c r="AB13" s="137" t="s">
        <v>306</v>
      </c>
    </row>
    <row r="14" spans="2:28" ht="18.75" x14ac:dyDescent="0.3">
      <c r="B14" s="106" t="s">
        <v>289</v>
      </c>
      <c r="C14" s="103"/>
      <c r="D14" s="103"/>
      <c r="E14" s="103"/>
      <c r="F14" s="103"/>
      <c r="G14" s="103"/>
      <c r="H14" s="103"/>
      <c r="I14" s="102"/>
      <c r="J14" s="107" t="s">
        <v>289</v>
      </c>
      <c r="K14" s="103"/>
      <c r="L14" s="103"/>
      <c r="M14" s="103"/>
      <c r="N14" s="114"/>
      <c r="O14" s="103"/>
      <c r="P14" s="104"/>
      <c r="Q14" s="113"/>
      <c r="R14" s="111"/>
      <c r="W14" s="128"/>
      <c r="X14" s="128"/>
      <c r="Y14" s="128"/>
      <c r="Z14" s="128"/>
      <c r="AA14" s="128"/>
      <c r="AB14" s="60"/>
    </row>
    <row r="15" spans="2:28" ht="18.75" x14ac:dyDescent="0.3">
      <c r="B15" s="102" t="s">
        <v>211</v>
      </c>
      <c r="C15" s="103"/>
      <c r="D15" s="108">
        <v>10000</v>
      </c>
      <c r="E15" s="103"/>
      <c r="F15" s="109">
        <v>91.26</v>
      </c>
      <c r="G15" s="103" t="s">
        <v>287</v>
      </c>
      <c r="H15" s="103"/>
      <c r="I15" s="102"/>
      <c r="J15" s="103" t="s">
        <v>211</v>
      </c>
      <c r="K15" s="103"/>
      <c r="L15" s="108">
        <v>10000</v>
      </c>
      <c r="M15" s="103"/>
      <c r="N15" s="114">
        <f>ROUND(F15*(1+$T$6),5)</f>
        <v>92.923320000000004</v>
      </c>
      <c r="O15" s="103" t="s">
        <v>287</v>
      </c>
      <c r="P15" s="104"/>
      <c r="Q15" s="110">
        <f t="shared" si="0"/>
        <v>1.6633199999999988</v>
      </c>
      <c r="R15" s="111">
        <f>Q15/F15</f>
        <v>1.8226166995397749E-2</v>
      </c>
      <c r="W15" s="128" t="s">
        <v>302</v>
      </c>
      <c r="X15" s="129">
        <f>BAE!L31</f>
        <v>3674.1839185634221</v>
      </c>
      <c r="Y15" s="130">
        <f>F8+(F9*2674)</f>
        <v>37.329219999999999</v>
      </c>
      <c r="Z15" s="130">
        <f>N8+(N9*2674)</f>
        <v>38.017060000000001</v>
      </c>
      <c r="AA15" s="131">
        <f>(Z15-Y15)/Y15</f>
        <v>1.8426315899448244E-2</v>
      </c>
      <c r="AB15" s="130">
        <f>Z15-Y15</f>
        <v>0.68784000000000134</v>
      </c>
    </row>
    <row r="16" spans="2:28" ht="18.75" x14ac:dyDescent="0.3">
      <c r="B16" s="102" t="s">
        <v>207</v>
      </c>
      <c r="C16" s="103"/>
      <c r="D16" s="108">
        <v>10000</v>
      </c>
      <c r="E16" s="103"/>
      <c r="F16" s="112">
        <v>8.0400000000000003E-3</v>
      </c>
      <c r="G16" s="103" t="s">
        <v>288</v>
      </c>
      <c r="H16" s="103"/>
      <c r="I16" s="102"/>
      <c r="J16" s="103" t="s">
        <v>207</v>
      </c>
      <c r="K16" s="103"/>
      <c r="L16" s="108">
        <v>10000</v>
      </c>
      <c r="M16" s="103"/>
      <c r="N16" s="112">
        <f>ROUND(F16*(1+$T$6),5)</f>
        <v>8.1899999999999994E-3</v>
      </c>
      <c r="O16" s="103" t="s">
        <v>288</v>
      </c>
      <c r="P16" s="104"/>
      <c r="Q16" s="113">
        <f t="shared" si="0"/>
        <v>1.4999999999999909E-4</v>
      </c>
      <c r="R16" s="111">
        <f>Q16/F16</f>
        <v>1.8656716417910335E-2</v>
      </c>
      <c r="W16" s="128" t="s">
        <v>303</v>
      </c>
      <c r="X16" s="129">
        <f>BAE!L76</f>
        <v>48435.760233918132</v>
      </c>
      <c r="Y16" s="130">
        <f>F15+(F16*10000)+(F17*28436)</f>
        <v>386.35180000000003</v>
      </c>
      <c r="Z16" s="130">
        <f>N15+(N16*10000)+(N17*28436)</f>
        <v>393.49616000000003</v>
      </c>
      <c r="AA16" s="131">
        <f>(Z16-Y16)/Y16</f>
        <v>1.8491851209182942E-2</v>
      </c>
      <c r="AB16" s="130">
        <f t="shared" ref="AB16:AB19" si="1">Z16-Y16</f>
        <v>7.144360000000006</v>
      </c>
    </row>
    <row r="17" spans="2:29" ht="18.75" x14ac:dyDescent="0.3">
      <c r="B17" s="102" t="s">
        <v>207</v>
      </c>
      <c r="C17" s="103"/>
      <c r="D17" s="108">
        <v>30000</v>
      </c>
      <c r="E17" s="103"/>
      <c r="F17" s="112">
        <v>7.5500000000000003E-3</v>
      </c>
      <c r="G17" s="103" t="s">
        <v>288</v>
      </c>
      <c r="H17" s="103"/>
      <c r="I17" s="102"/>
      <c r="J17" s="103" t="s">
        <v>207</v>
      </c>
      <c r="K17" s="103"/>
      <c r="L17" s="108">
        <v>30000</v>
      </c>
      <c r="M17" s="103"/>
      <c r="N17" s="112">
        <f>ROUND(F17*(1+$T$6),5)</f>
        <v>7.6899999999999998E-3</v>
      </c>
      <c r="O17" s="103" t="s">
        <v>288</v>
      </c>
      <c r="P17" s="104"/>
      <c r="Q17" s="113">
        <f t="shared" si="0"/>
        <v>1.399999999999995E-4</v>
      </c>
      <c r="R17" s="111">
        <f>Q17/F17</f>
        <v>1.8543046357615826E-2</v>
      </c>
      <c r="W17" s="128" t="s">
        <v>304</v>
      </c>
      <c r="X17" s="129">
        <f>BAE!L96</f>
        <v>145741.84931506848</v>
      </c>
      <c r="Y17" s="130">
        <f>F21+(F22*30000)+(F23*95742)</f>
        <v>1033.8068800000001</v>
      </c>
      <c r="Z17" s="130">
        <f>N21+(N22*30000)+(N23*95742)</f>
        <v>1052.6231699999998</v>
      </c>
      <c r="AA17" s="131">
        <f>(Z17-Y17)/Y17</f>
        <v>1.82009719262071E-2</v>
      </c>
      <c r="AB17" s="130">
        <f t="shared" si="1"/>
        <v>18.816289999999753</v>
      </c>
    </row>
    <row r="18" spans="2:29" ht="18.75" x14ac:dyDescent="0.3">
      <c r="B18" s="102" t="s">
        <v>208</v>
      </c>
      <c r="C18" s="103"/>
      <c r="D18" s="108">
        <v>50000</v>
      </c>
      <c r="E18" s="103"/>
      <c r="F18" s="112">
        <v>6.6400000000000001E-3</v>
      </c>
      <c r="G18" s="103" t="s">
        <v>288</v>
      </c>
      <c r="H18" s="103"/>
      <c r="I18" s="102"/>
      <c r="J18" s="103" t="s">
        <v>208</v>
      </c>
      <c r="K18" s="103"/>
      <c r="L18" s="108">
        <v>50000</v>
      </c>
      <c r="M18" s="103"/>
      <c r="N18" s="112">
        <f>ROUND(F18*(1+$T$6),5)</f>
        <v>6.7600000000000004E-3</v>
      </c>
      <c r="O18" s="103" t="s">
        <v>288</v>
      </c>
      <c r="P18" s="104"/>
      <c r="Q18" s="113">
        <f t="shared" si="0"/>
        <v>1.2000000000000031E-4</v>
      </c>
      <c r="R18" s="111">
        <f>Q18/F18</f>
        <v>1.8072289156626554E-2</v>
      </c>
      <c r="W18" s="128" t="s">
        <v>305</v>
      </c>
      <c r="X18" s="129">
        <f>BAE!L114</f>
        <v>366688.79166666669</v>
      </c>
      <c r="Y18" s="130">
        <f>F26+(F27*AC18)</f>
        <v>2500.943576666667</v>
      </c>
      <c r="Z18" s="130">
        <f>N26+(N27*AC18)</f>
        <v>2546.2026116666671</v>
      </c>
      <c r="AA18" s="131">
        <f>(Z18-Y18)/Y18</f>
        <v>1.8096783718856483E-2</v>
      </c>
      <c r="AB18" s="130">
        <f t="shared" si="1"/>
        <v>45.25903500000004</v>
      </c>
      <c r="AC18" s="30">
        <f>X18-D26</f>
        <v>316688.79166666669</v>
      </c>
    </row>
    <row r="19" spans="2:29" ht="18.75" x14ac:dyDescent="0.3">
      <c r="B19" s="102"/>
      <c r="C19" s="103"/>
      <c r="D19" s="103"/>
      <c r="E19" s="103"/>
      <c r="F19" s="103"/>
      <c r="G19" s="103"/>
      <c r="H19" s="103"/>
      <c r="I19" s="102"/>
      <c r="J19" s="103"/>
      <c r="K19" s="103"/>
      <c r="L19" s="103"/>
      <c r="M19" s="103"/>
      <c r="N19" s="114"/>
      <c r="O19" s="103"/>
      <c r="P19" s="104"/>
      <c r="Q19" s="113"/>
      <c r="R19" s="111"/>
      <c r="W19" s="128" t="s">
        <v>294</v>
      </c>
      <c r="X19" s="129">
        <f>BAE!L126</f>
        <v>6735739.25</v>
      </c>
      <c r="Y19" s="135">
        <f>F30*X19</f>
        <v>30041.397055000001</v>
      </c>
      <c r="Z19" s="136">
        <f>N30*X19</f>
        <v>30580.256194999998</v>
      </c>
      <c r="AA19" s="131">
        <f>(Z19-Y19)/Y19</f>
        <v>1.79372197309416E-2</v>
      </c>
      <c r="AB19" s="130">
        <f t="shared" si="1"/>
        <v>538.85913999999684</v>
      </c>
    </row>
    <row r="20" spans="2:29" ht="18.75" x14ac:dyDescent="0.3">
      <c r="B20" s="106" t="s">
        <v>290</v>
      </c>
      <c r="C20" s="103"/>
      <c r="D20" s="103"/>
      <c r="E20" s="103"/>
      <c r="F20" s="103"/>
      <c r="G20" s="103"/>
      <c r="H20" s="103"/>
      <c r="I20" s="102"/>
      <c r="J20" s="107" t="s">
        <v>290</v>
      </c>
      <c r="K20" s="103"/>
      <c r="L20" s="103"/>
      <c r="M20" s="103"/>
      <c r="N20" s="114"/>
      <c r="O20" s="103"/>
      <c r="P20" s="104"/>
      <c r="Q20" s="113"/>
      <c r="R20" s="111"/>
    </row>
    <row r="21" spans="2:29" ht="18.75" x14ac:dyDescent="0.3">
      <c r="B21" s="102" t="s">
        <v>211</v>
      </c>
      <c r="C21" s="103"/>
      <c r="D21" s="108">
        <v>20000</v>
      </c>
      <c r="E21" s="103"/>
      <c r="F21" s="109">
        <v>171.58</v>
      </c>
      <c r="G21" s="103" t="s">
        <v>287</v>
      </c>
      <c r="H21" s="103"/>
      <c r="I21" s="102"/>
      <c r="J21" s="103" t="s">
        <v>211</v>
      </c>
      <c r="K21" s="103"/>
      <c r="L21" s="108">
        <v>20000</v>
      </c>
      <c r="M21" s="103"/>
      <c r="N21" s="114">
        <f>ROUND(F21*(1+$T$6),5)</f>
        <v>174.70724999999999</v>
      </c>
      <c r="O21" s="103" t="s">
        <v>287</v>
      </c>
      <c r="P21" s="104"/>
      <c r="Q21" s="110">
        <f t="shared" si="0"/>
        <v>3.1272499999999752</v>
      </c>
      <c r="R21" s="111">
        <f>Q21/F21</f>
        <v>1.822619186385345E-2</v>
      </c>
    </row>
    <row r="22" spans="2:29" ht="18.75" x14ac:dyDescent="0.3">
      <c r="B22" s="102" t="s">
        <v>207</v>
      </c>
      <c r="C22" s="103"/>
      <c r="D22" s="108">
        <v>30000</v>
      </c>
      <c r="E22" s="103"/>
      <c r="F22" s="112">
        <v>7.5500000000000003E-3</v>
      </c>
      <c r="G22" s="103" t="s">
        <v>288</v>
      </c>
      <c r="H22" s="103"/>
      <c r="I22" s="102"/>
      <c r="J22" s="103" t="s">
        <v>207</v>
      </c>
      <c r="K22" s="103"/>
      <c r="L22" s="108">
        <v>30000</v>
      </c>
      <c r="M22" s="103"/>
      <c r="N22" s="112">
        <f>ROUND(F22*(1+$T$6),5)</f>
        <v>7.6899999999999998E-3</v>
      </c>
      <c r="O22" s="103" t="s">
        <v>288</v>
      </c>
      <c r="P22" s="104"/>
      <c r="Q22" s="113">
        <f t="shared" si="0"/>
        <v>1.399999999999995E-4</v>
      </c>
      <c r="R22" s="111">
        <f>Q22/F22</f>
        <v>1.8543046357615826E-2</v>
      </c>
    </row>
    <row r="23" spans="2:29" ht="18.75" x14ac:dyDescent="0.3">
      <c r="B23" s="102" t="s">
        <v>208</v>
      </c>
      <c r="C23" s="103"/>
      <c r="D23" s="108">
        <v>50000</v>
      </c>
      <c r="E23" s="103"/>
      <c r="F23" s="112">
        <v>6.6400000000000001E-3</v>
      </c>
      <c r="G23" s="103" t="s">
        <v>288</v>
      </c>
      <c r="H23" s="103"/>
      <c r="I23" s="102"/>
      <c r="J23" s="103" t="s">
        <v>208</v>
      </c>
      <c r="K23" s="103"/>
      <c r="L23" s="108">
        <v>50000</v>
      </c>
      <c r="M23" s="103"/>
      <c r="N23" s="112">
        <f>ROUND(F23*(1+$T$6),5)</f>
        <v>6.7600000000000004E-3</v>
      </c>
      <c r="O23" s="103" t="s">
        <v>288</v>
      </c>
      <c r="P23" s="104"/>
      <c r="Q23" s="113">
        <f t="shared" si="0"/>
        <v>1.2000000000000031E-4</v>
      </c>
      <c r="R23" s="111">
        <f>Q23/F23</f>
        <v>1.8072289156626554E-2</v>
      </c>
    </row>
    <row r="24" spans="2:29" ht="18.75" x14ac:dyDescent="0.3">
      <c r="B24" s="102"/>
      <c r="C24" s="103"/>
      <c r="D24" s="108"/>
      <c r="E24" s="103"/>
      <c r="F24" s="114"/>
      <c r="G24" s="103"/>
      <c r="H24" s="103"/>
      <c r="I24" s="102"/>
      <c r="J24" s="103"/>
      <c r="K24" s="103"/>
      <c r="L24" s="108"/>
      <c r="M24" s="103"/>
      <c r="N24" s="114"/>
      <c r="O24" s="103"/>
      <c r="P24" s="104"/>
      <c r="Q24" s="113"/>
      <c r="R24" s="111"/>
    </row>
    <row r="25" spans="2:29" ht="18.75" x14ac:dyDescent="0.3">
      <c r="B25" s="106" t="s">
        <v>291</v>
      </c>
      <c r="C25" s="103"/>
      <c r="D25" s="103"/>
      <c r="E25" s="103"/>
      <c r="F25" s="103"/>
      <c r="G25" s="103"/>
      <c r="H25" s="103"/>
      <c r="I25" s="102"/>
      <c r="J25" s="107" t="s">
        <v>291</v>
      </c>
      <c r="K25" s="103"/>
      <c r="L25" s="103"/>
      <c r="M25" s="103"/>
      <c r="N25" s="114"/>
      <c r="O25" s="103"/>
      <c r="P25" s="104"/>
      <c r="Q25" s="113"/>
      <c r="R25" s="111"/>
    </row>
    <row r="26" spans="2:29" ht="18.75" x14ac:dyDescent="0.3">
      <c r="B26" s="102" t="s">
        <v>211</v>
      </c>
      <c r="C26" s="103"/>
      <c r="D26" s="108">
        <v>50000</v>
      </c>
      <c r="E26" s="103"/>
      <c r="F26" s="109">
        <v>398.13</v>
      </c>
      <c r="G26" s="103" t="s">
        <v>287</v>
      </c>
      <c r="H26" s="103"/>
      <c r="I26" s="102"/>
      <c r="J26" s="103" t="s">
        <v>211</v>
      </c>
      <c r="K26" s="103"/>
      <c r="L26" s="108">
        <v>50000</v>
      </c>
      <c r="M26" s="103"/>
      <c r="N26" s="114">
        <f>ROUND(F26*(1+$T$6),5)</f>
        <v>405.38637999999997</v>
      </c>
      <c r="O26" s="103" t="s">
        <v>287</v>
      </c>
      <c r="P26" s="104"/>
      <c r="Q26" s="110">
        <f t="shared" si="0"/>
        <v>7.2563799999999787</v>
      </c>
      <c r="R26" s="111">
        <f>Q26/F26</f>
        <v>1.8226157285308766E-2</v>
      </c>
    </row>
    <row r="27" spans="2:29" ht="18.75" x14ac:dyDescent="0.3">
      <c r="B27" s="102" t="s">
        <v>208</v>
      </c>
      <c r="C27" s="103"/>
      <c r="D27" s="108">
        <v>50000</v>
      </c>
      <c r="E27" s="103"/>
      <c r="F27" s="103">
        <v>6.6400000000000001E-3</v>
      </c>
      <c r="G27" s="103" t="s">
        <v>288</v>
      </c>
      <c r="H27" s="103"/>
      <c r="I27" s="102"/>
      <c r="J27" s="103" t="s">
        <v>208</v>
      </c>
      <c r="K27" s="103"/>
      <c r="L27" s="108">
        <v>50000</v>
      </c>
      <c r="M27" s="103"/>
      <c r="N27" s="112">
        <f>ROUND(F27*(1+$T$6),5)</f>
        <v>6.7600000000000004E-3</v>
      </c>
      <c r="O27" s="103" t="s">
        <v>288</v>
      </c>
      <c r="P27" s="104"/>
      <c r="Q27" s="113">
        <f t="shared" si="0"/>
        <v>1.2000000000000031E-4</v>
      </c>
      <c r="R27" s="111">
        <f>Q27/F27</f>
        <v>1.8072289156626554E-2</v>
      </c>
    </row>
    <row r="28" spans="2:29" ht="18.75" x14ac:dyDescent="0.3">
      <c r="B28" s="102"/>
      <c r="C28" s="103"/>
      <c r="D28" s="108"/>
      <c r="E28" s="103"/>
      <c r="F28" s="103"/>
      <c r="G28" s="103"/>
      <c r="H28" s="103"/>
      <c r="I28" s="102"/>
      <c r="J28" s="103"/>
      <c r="K28" s="103"/>
      <c r="L28" s="108"/>
      <c r="M28" s="103"/>
      <c r="N28" s="112"/>
      <c r="O28" s="103"/>
      <c r="P28" s="104"/>
      <c r="Q28" s="113"/>
      <c r="R28" s="111"/>
    </row>
    <row r="29" spans="2:29" ht="18.75" x14ac:dyDescent="0.3">
      <c r="B29" s="106" t="s">
        <v>201</v>
      </c>
      <c r="C29" s="103"/>
      <c r="D29" s="108"/>
      <c r="E29" s="103"/>
      <c r="F29" s="103"/>
      <c r="G29" s="103"/>
      <c r="H29" s="103"/>
      <c r="I29" s="102"/>
      <c r="J29" s="107" t="s">
        <v>201</v>
      </c>
      <c r="K29" s="103"/>
      <c r="L29" s="108"/>
      <c r="M29" s="103"/>
      <c r="N29" s="112"/>
      <c r="O29" s="103"/>
      <c r="P29" s="104"/>
      <c r="Q29" s="113"/>
      <c r="R29" s="111"/>
    </row>
    <row r="30" spans="2:29" ht="18.75" x14ac:dyDescent="0.3">
      <c r="B30" s="102" t="s">
        <v>292</v>
      </c>
      <c r="C30" s="103"/>
      <c r="D30" s="108"/>
      <c r="E30" s="103"/>
      <c r="F30" s="103">
        <v>4.4600000000000004E-3</v>
      </c>
      <c r="G30" s="103" t="s">
        <v>288</v>
      </c>
      <c r="H30" s="103"/>
      <c r="I30" s="102"/>
      <c r="J30" s="103" t="s">
        <v>292</v>
      </c>
      <c r="K30" s="103"/>
      <c r="L30" s="108"/>
      <c r="M30" s="103"/>
      <c r="N30" s="112">
        <f t="shared" ref="N30" si="2">ROUND(F30*(1+$T$6),5)</f>
        <v>4.5399999999999998E-3</v>
      </c>
      <c r="O30" s="103" t="s">
        <v>288</v>
      </c>
      <c r="P30" s="104"/>
      <c r="Q30" s="113">
        <f t="shared" si="0"/>
        <v>7.9999999999999342E-5</v>
      </c>
      <c r="R30" s="111">
        <f t="shared" ref="R30" si="3">Q30/F30</f>
        <v>1.7937219730941555E-2</v>
      </c>
    </row>
    <row r="31" spans="2:29" ht="18.75" x14ac:dyDescent="0.3">
      <c r="B31" s="115"/>
      <c r="C31" s="116"/>
      <c r="D31" s="117"/>
      <c r="E31" s="116"/>
      <c r="F31" s="116"/>
      <c r="G31" s="116"/>
      <c r="H31" s="116"/>
      <c r="I31" s="115"/>
      <c r="J31" s="116"/>
      <c r="K31" s="116"/>
      <c r="L31" s="117"/>
      <c r="M31" s="116"/>
      <c r="N31" s="118"/>
      <c r="O31" s="116"/>
      <c r="P31" s="119"/>
      <c r="Q31" s="115"/>
      <c r="R31" s="120"/>
    </row>
  </sheetData>
  <mergeCells count="1">
    <mergeCell ref="B4:P4"/>
  </mergeCells>
  <pageMargins left="0.7" right="0.7" top="0.75" bottom="0.75" header="0.3" footer="0.3"/>
  <pageSetup scale="65" orientation="portrait" r:id="rId1"/>
  <ignoredErrors>
    <ignoredError sqref="AA18 AA16 AA17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B203-DB29-489F-876F-201E512D3EAC}">
  <dimension ref="A1:Q41"/>
  <sheetViews>
    <sheetView zoomScale="80" zoomScaleNormal="80" workbookViewId="0">
      <pane ySplit="1" topLeftCell="A17" activePane="bottomLeft" state="frozen"/>
      <selection pane="bottomLeft" activeCell="S39" sqref="S39"/>
    </sheetView>
  </sheetViews>
  <sheetFormatPr defaultRowHeight="15" x14ac:dyDescent="0.2"/>
  <cols>
    <col min="1" max="1" width="10.109375" bestFit="1" customWidth="1"/>
    <col min="2" max="2" width="18.44140625" style="7" bestFit="1" customWidth="1"/>
    <col min="3" max="3" width="11" style="7" bestFit="1" customWidth="1"/>
    <col min="4" max="4" width="16.21875" style="7" bestFit="1" customWidth="1"/>
    <col min="5" max="5" width="17.44140625" style="7" bestFit="1" customWidth="1"/>
    <col min="6" max="6" width="18.5546875" style="7" bestFit="1" customWidth="1"/>
    <col min="7" max="7" width="22.21875" style="7" bestFit="1" customWidth="1"/>
    <col min="11" max="11" width="11" bestFit="1" customWidth="1"/>
    <col min="12" max="12" width="12" bestFit="1" customWidth="1"/>
    <col min="15" max="17" width="13.109375" bestFit="1" customWidth="1"/>
  </cols>
  <sheetData>
    <row r="1" spans="1:7" ht="15.75" x14ac:dyDescent="0.25">
      <c r="A1" s="10" t="s">
        <v>67</v>
      </c>
      <c r="B1" s="11" t="s">
        <v>68</v>
      </c>
      <c r="C1" s="11" t="s">
        <v>69</v>
      </c>
      <c r="D1" s="11" t="s">
        <v>70</v>
      </c>
      <c r="E1" s="11" t="s">
        <v>71</v>
      </c>
      <c r="F1" s="11" t="s">
        <v>73</v>
      </c>
      <c r="G1" s="11" t="s">
        <v>72</v>
      </c>
    </row>
    <row r="3" spans="1:7" x14ac:dyDescent="0.2">
      <c r="A3" s="9">
        <v>1997</v>
      </c>
      <c r="B3" s="5">
        <v>670000</v>
      </c>
      <c r="C3" s="5">
        <v>15075</v>
      </c>
      <c r="D3" s="7">
        <v>0</v>
      </c>
      <c r="E3" s="5">
        <f>C3+D3</f>
        <v>15075</v>
      </c>
      <c r="F3" s="5">
        <v>15075</v>
      </c>
      <c r="G3" s="5">
        <f>F3+E3</f>
        <v>30150</v>
      </c>
    </row>
    <row r="4" spans="1:7" x14ac:dyDescent="0.2">
      <c r="A4" s="9">
        <v>1998</v>
      </c>
      <c r="B4" s="7">
        <v>670000</v>
      </c>
      <c r="C4" s="7">
        <f>F3</f>
        <v>15075</v>
      </c>
      <c r="D4" s="7">
        <v>6000</v>
      </c>
      <c r="E4" s="7">
        <f t="shared" ref="E4:E41" si="0">C4+D4</f>
        <v>21075</v>
      </c>
      <c r="F4" s="7">
        <v>14940</v>
      </c>
      <c r="G4" s="7">
        <f t="shared" ref="G4:G41" si="1">F4+E4</f>
        <v>36015</v>
      </c>
    </row>
    <row r="5" spans="1:7" x14ac:dyDescent="0.2">
      <c r="A5" s="9">
        <v>1999</v>
      </c>
      <c r="B5" s="7">
        <f>B4-D4</f>
        <v>664000</v>
      </c>
      <c r="C5" s="7">
        <f t="shared" ref="C5:C41" si="2">F4</f>
        <v>14940</v>
      </c>
      <c r="D5" s="7">
        <v>7000</v>
      </c>
      <c r="E5" s="7">
        <f t="shared" si="0"/>
        <v>21940</v>
      </c>
      <c r="F5" s="7">
        <v>14783</v>
      </c>
      <c r="G5" s="7">
        <f t="shared" si="1"/>
        <v>36723</v>
      </c>
    </row>
    <row r="6" spans="1:7" x14ac:dyDescent="0.2">
      <c r="A6" s="9">
        <v>2000</v>
      </c>
      <c r="B6" s="7">
        <f t="shared" ref="B6:B41" si="3">B5-D5</f>
        <v>657000</v>
      </c>
      <c r="C6" s="7">
        <f t="shared" si="2"/>
        <v>14783</v>
      </c>
      <c r="D6" s="7">
        <v>7000</v>
      </c>
      <c r="E6" s="7">
        <f t="shared" si="0"/>
        <v>21783</v>
      </c>
      <c r="F6" s="7">
        <v>14625</v>
      </c>
      <c r="G6" s="7">
        <f t="shared" si="1"/>
        <v>36408</v>
      </c>
    </row>
    <row r="7" spans="1:7" x14ac:dyDescent="0.2">
      <c r="A7" s="9">
        <v>2001</v>
      </c>
      <c r="B7" s="7">
        <f t="shared" ref="B7:B12" si="4">B6-D6</f>
        <v>650000</v>
      </c>
      <c r="C7" s="7">
        <f t="shared" si="2"/>
        <v>14625</v>
      </c>
      <c r="D7" s="7">
        <v>7000</v>
      </c>
      <c r="E7" s="7">
        <f t="shared" si="0"/>
        <v>21625</v>
      </c>
      <c r="F7" s="7">
        <v>14468</v>
      </c>
      <c r="G7" s="7">
        <f t="shared" si="1"/>
        <v>36093</v>
      </c>
    </row>
    <row r="8" spans="1:7" x14ac:dyDescent="0.2">
      <c r="A8" s="9">
        <v>2002</v>
      </c>
      <c r="B8" s="7">
        <f t="shared" si="4"/>
        <v>643000</v>
      </c>
      <c r="C8" s="7">
        <f t="shared" si="2"/>
        <v>14468</v>
      </c>
      <c r="D8" s="7">
        <v>8000</v>
      </c>
      <c r="E8" s="7">
        <f t="shared" si="0"/>
        <v>22468</v>
      </c>
      <c r="F8" s="7">
        <v>14288</v>
      </c>
      <c r="G8" s="7">
        <f t="shared" si="1"/>
        <v>36756</v>
      </c>
    </row>
    <row r="9" spans="1:7" x14ac:dyDescent="0.2">
      <c r="A9" s="9">
        <v>2003</v>
      </c>
      <c r="B9" s="7">
        <f t="shared" si="4"/>
        <v>635000</v>
      </c>
      <c r="C9" s="7">
        <f t="shared" si="2"/>
        <v>14288</v>
      </c>
      <c r="D9" s="7">
        <v>8000</v>
      </c>
      <c r="E9" s="7">
        <f t="shared" si="0"/>
        <v>22288</v>
      </c>
      <c r="F9" s="7">
        <v>14108</v>
      </c>
      <c r="G9" s="7">
        <f t="shared" si="1"/>
        <v>36396</v>
      </c>
    </row>
    <row r="10" spans="1:7" x14ac:dyDescent="0.2">
      <c r="A10" s="9">
        <v>2004</v>
      </c>
      <c r="B10" s="7">
        <f t="shared" si="4"/>
        <v>627000</v>
      </c>
      <c r="C10" s="7">
        <f t="shared" si="2"/>
        <v>14108</v>
      </c>
      <c r="D10" s="7">
        <v>8000</v>
      </c>
      <c r="E10" s="7">
        <f t="shared" si="0"/>
        <v>22108</v>
      </c>
      <c r="F10" s="7">
        <v>13928</v>
      </c>
      <c r="G10" s="7">
        <f t="shared" si="1"/>
        <v>36036</v>
      </c>
    </row>
    <row r="11" spans="1:7" x14ac:dyDescent="0.2">
      <c r="A11" s="9">
        <v>2005</v>
      </c>
      <c r="B11" s="7">
        <f t="shared" si="4"/>
        <v>619000</v>
      </c>
      <c r="C11" s="7">
        <f t="shared" si="2"/>
        <v>13928</v>
      </c>
      <c r="D11" s="7">
        <v>9000</v>
      </c>
      <c r="E11" s="7">
        <f t="shared" si="0"/>
        <v>22928</v>
      </c>
      <c r="F11" s="7">
        <v>13725</v>
      </c>
      <c r="G11" s="7">
        <f t="shared" si="1"/>
        <v>36653</v>
      </c>
    </row>
    <row r="12" spans="1:7" x14ac:dyDescent="0.2">
      <c r="A12" s="9">
        <v>2006</v>
      </c>
      <c r="B12" s="7">
        <f t="shared" si="4"/>
        <v>610000</v>
      </c>
      <c r="C12" s="7">
        <f>F11</f>
        <v>13725</v>
      </c>
      <c r="D12" s="7">
        <v>9000</v>
      </c>
      <c r="E12" s="7">
        <f t="shared" si="0"/>
        <v>22725</v>
      </c>
      <c r="F12" s="7">
        <v>13523</v>
      </c>
      <c r="G12" s="7">
        <f t="shared" si="1"/>
        <v>36248</v>
      </c>
    </row>
    <row r="13" spans="1:7" x14ac:dyDescent="0.2">
      <c r="A13" s="9">
        <v>2007</v>
      </c>
      <c r="B13" s="7">
        <f t="shared" si="3"/>
        <v>601000</v>
      </c>
      <c r="C13" s="7">
        <f t="shared" si="2"/>
        <v>13523</v>
      </c>
      <c r="D13" s="7">
        <v>10000</v>
      </c>
      <c r="E13" s="7">
        <f t="shared" si="0"/>
        <v>23523</v>
      </c>
      <c r="F13" s="7">
        <v>13298</v>
      </c>
      <c r="G13" s="7">
        <f t="shared" si="1"/>
        <v>36821</v>
      </c>
    </row>
    <row r="14" spans="1:7" x14ac:dyDescent="0.2">
      <c r="A14" s="9">
        <v>2008</v>
      </c>
      <c r="B14" s="7">
        <f t="shared" si="3"/>
        <v>591000</v>
      </c>
      <c r="C14" s="7">
        <f>F13</f>
        <v>13298</v>
      </c>
      <c r="D14" s="7">
        <v>10000</v>
      </c>
      <c r="E14" s="7">
        <f t="shared" si="0"/>
        <v>23298</v>
      </c>
      <c r="F14" s="7">
        <v>13073</v>
      </c>
      <c r="G14" s="7">
        <f t="shared" si="1"/>
        <v>36371</v>
      </c>
    </row>
    <row r="15" spans="1:7" x14ac:dyDescent="0.2">
      <c r="A15" s="9">
        <v>2009</v>
      </c>
      <c r="B15" s="7">
        <f t="shared" si="3"/>
        <v>581000</v>
      </c>
      <c r="C15" s="7">
        <f t="shared" si="2"/>
        <v>13073</v>
      </c>
      <c r="D15" s="7">
        <v>11000</v>
      </c>
      <c r="E15" s="7">
        <f t="shared" si="0"/>
        <v>24073</v>
      </c>
      <c r="F15" s="7">
        <v>12825</v>
      </c>
      <c r="G15" s="7">
        <f t="shared" si="1"/>
        <v>36898</v>
      </c>
    </row>
    <row r="16" spans="1:7" x14ac:dyDescent="0.2">
      <c r="A16" s="9">
        <v>2010</v>
      </c>
      <c r="B16" s="7">
        <f t="shared" si="3"/>
        <v>570000</v>
      </c>
      <c r="C16" s="7">
        <f t="shared" si="2"/>
        <v>12825</v>
      </c>
      <c r="D16" s="7">
        <v>11000</v>
      </c>
      <c r="E16" s="7">
        <f t="shared" si="0"/>
        <v>23825</v>
      </c>
      <c r="F16" s="7">
        <v>12578</v>
      </c>
      <c r="G16" s="7">
        <f t="shared" si="1"/>
        <v>36403</v>
      </c>
    </row>
    <row r="17" spans="1:17" x14ac:dyDescent="0.2">
      <c r="A17" s="9">
        <v>2011</v>
      </c>
      <c r="B17" s="7">
        <f t="shared" si="3"/>
        <v>559000</v>
      </c>
      <c r="C17" s="7">
        <f t="shared" si="2"/>
        <v>12578</v>
      </c>
      <c r="D17" s="7">
        <v>12000</v>
      </c>
      <c r="E17" s="7">
        <f t="shared" si="0"/>
        <v>24578</v>
      </c>
      <c r="F17" s="7">
        <v>12308</v>
      </c>
      <c r="G17" s="7">
        <f t="shared" si="1"/>
        <v>36886</v>
      </c>
    </row>
    <row r="18" spans="1:17" ht="15.75" x14ac:dyDescent="0.25">
      <c r="A18" s="9">
        <v>2012</v>
      </c>
      <c r="B18" s="7">
        <f t="shared" si="3"/>
        <v>547000</v>
      </c>
      <c r="C18" s="7">
        <f t="shared" si="2"/>
        <v>12308</v>
      </c>
      <c r="D18" s="7">
        <v>12000</v>
      </c>
      <c r="E18" s="7">
        <f t="shared" si="0"/>
        <v>24308</v>
      </c>
      <c r="F18" s="7">
        <v>12038</v>
      </c>
      <c r="G18" s="7">
        <f t="shared" si="1"/>
        <v>36346</v>
      </c>
      <c r="N18" s="2" t="s">
        <v>254</v>
      </c>
    </row>
    <row r="19" spans="1:17" x14ac:dyDescent="0.2">
      <c r="A19" s="9">
        <v>2013</v>
      </c>
      <c r="B19" s="7">
        <f t="shared" si="3"/>
        <v>535000</v>
      </c>
      <c r="C19" s="7">
        <f t="shared" si="2"/>
        <v>12038</v>
      </c>
      <c r="D19" s="7">
        <v>13000</v>
      </c>
      <c r="E19" s="7">
        <f t="shared" si="0"/>
        <v>25038</v>
      </c>
      <c r="F19" s="7">
        <v>11745</v>
      </c>
      <c r="G19" s="7">
        <f t="shared" si="1"/>
        <v>36783</v>
      </c>
      <c r="O19" s="3" t="s">
        <v>226</v>
      </c>
      <c r="P19" s="3" t="s">
        <v>255</v>
      </c>
      <c r="Q19" s="4" t="s">
        <v>256</v>
      </c>
    </row>
    <row r="20" spans="1:17" x14ac:dyDescent="0.2">
      <c r="A20" s="9">
        <v>2014</v>
      </c>
      <c r="B20" s="7">
        <f t="shared" si="3"/>
        <v>522000</v>
      </c>
      <c r="C20" s="7">
        <f t="shared" si="2"/>
        <v>11745</v>
      </c>
      <c r="D20" s="7">
        <v>14000</v>
      </c>
      <c r="E20" s="7">
        <f t="shared" si="0"/>
        <v>25745</v>
      </c>
      <c r="F20" s="7">
        <v>11430</v>
      </c>
      <c r="G20" s="7">
        <f t="shared" si="1"/>
        <v>37175</v>
      </c>
      <c r="N20">
        <v>2027</v>
      </c>
      <c r="O20" s="5">
        <v>25000</v>
      </c>
      <c r="P20" s="5">
        <f>6322.5+5760</f>
        <v>12082.5</v>
      </c>
      <c r="Q20" s="5">
        <f>O20+P20</f>
        <v>37082.5</v>
      </c>
    </row>
    <row r="21" spans="1:17" x14ac:dyDescent="0.2">
      <c r="A21" s="9">
        <v>2015</v>
      </c>
      <c r="B21" s="7">
        <f t="shared" si="3"/>
        <v>508000</v>
      </c>
      <c r="C21" s="7">
        <f t="shared" si="2"/>
        <v>11430</v>
      </c>
      <c r="D21" s="7">
        <v>14000</v>
      </c>
      <c r="E21" s="7">
        <f t="shared" si="0"/>
        <v>25430</v>
      </c>
      <c r="F21" s="7">
        <v>11115</v>
      </c>
      <c r="G21" s="7">
        <f t="shared" si="1"/>
        <v>36545</v>
      </c>
      <c r="N21">
        <v>2028</v>
      </c>
      <c r="O21" s="5">
        <v>27000</v>
      </c>
      <c r="P21" s="5">
        <f>5760+5152.5</f>
        <v>10912.5</v>
      </c>
      <c r="Q21" s="5">
        <f>O21+P21</f>
        <v>37912.5</v>
      </c>
    </row>
    <row r="22" spans="1:17" x14ac:dyDescent="0.2">
      <c r="A22" s="9">
        <v>2016</v>
      </c>
      <c r="B22" s="7">
        <f t="shared" si="3"/>
        <v>494000</v>
      </c>
      <c r="C22" s="7">
        <f t="shared" si="2"/>
        <v>11115</v>
      </c>
      <c r="D22" s="7">
        <v>15000</v>
      </c>
      <c r="E22" s="7">
        <f t="shared" si="0"/>
        <v>26115</v>
      </c>
      <c r="F22" s="7">
        <v>10778</v>
      </c>
      <c r="G22" s="7">
        <f t="shared" si="1"/>
        <v>36893</v>
      </c>
      <c r="N22">
        <v>2029</v>
      </c>
      <c r="O22" s="5">
        <v>28000</v>
      </c>
      <c r="P22" s="5">
        <f>5152.5+4522.5</f>
        <v>9675</v>
      </c>
      <c r="Q22" s="5">
        <f>O22+P22</f>
        <v>37675</v>
      </c>
    </row>
    <row r="23" spans="1:17" x14ac:dyDescent="0.2">
      <c r="A23" s="9">
        <v>2017</v>
      </c>
      <c r="B23" s="7">
        <f t="shared" si="3"/>
        <v>479000</v>
      </c>
      <c r="C23" s="7">
        <f t="shared" si="2"/>
        <v>10778</v>
      </c>
      <c r="D23" s="7">
        <v>16000</v>
      </c>
      <c r="E23" s="7">
        <f t="shared" si="0"/>
        <v>26778</v>
      </c>
      <c r="F23" s="7">
        <v>10418</v>
      </c>
      <c r="G23" s="7">
        <f t="shared" si="1"/>
        <v>37196</v>
      </c>
    </row>
    <row r="24" spans="1:17" ht="15.75" x14ac:dyDescent="0.25">
      <c r="A24" s="9">
        <v>2018</v>
      </c>
      <c r="B24" s="7">
        <f t="shared" si="3"/>
        <v>463000</v>
      </c>
      <c r="C24" s="7">
        <f t="shared" si="2"/>
        <v>10418</v>
      </c>
      <c r="D24" s="7">
        <v>16000</v>
      </c>
      <c r="E24" s="7">
        <f t="shared" si="0"/>
        <v>26418</v>
      </c>
      <c r="F24" s="7">
        <v>10058</v>
      </c>
      <c r="G24" s="7">
        <f t="shared" si="1"/>
        <v>36476</v>
      </c>
      <c r="N24" s="2" t="s">
        <v>257</v>
      </c>
    </row>
    <row r="25" spans="1:17" x14ac:dyDescent="0.2">
      <c r="A25" s="9">
        <v>2019</v>
      </c>
      <c r="B25" s="7">
        <f t="shared" si="3"/>
        <v>447000</v>
      </c>
      <c r="C25" s="7">
        <f t="shared" si="2"/>
        <v>10058</v>
      </c>
      <c r="D25" s="7">
        <v>18000</v>
      </c>
      <c r="E25" s="7">
        <f t="shared" si="0"/>
        <v>28058</v>
      </c>
      <c r="F25" s="7">
        <v>9653</v>
      </c>
      <c r="G25" s="7">
        <f t="shared" si="1"/>
        <v>37711</v>
      </c>
      <c r="O25" s="3" t="s">
        <v>226</v>
      </c>
      <c r="P25" s="3" t="s">
        <v>255</v>
      </c>
      <c r="Q25" s="4" t="s">
        <v>256</v>
      </c>
    </row>
    <row r="26" spans="1:17" x14ac:dyDescent="0.2">
      <c r="A26" s="9">
        <v>2020</v>
      </c>
      <c r="B26" s="7">
        <f t="shared" si="3"/>
        <v>429000</v>
      </c>
      <c r="C26" s="7">
        <f t="shared" si="2"/>
        <v>9653</v>
      </c>
      <c r="D26" s="7">
        <v>18000</v>
      </c>
      <c r="E26" s="7">
        <f t="shared" si="0"/>
        <v>27653</v>
      </c>
      <c r="F26" s="7">
        <v>9248</v>
      </c>
      <c r="G26" s="7">
        <f t="shared" si="1"/>
        <v>36901</v>
      </c>
      <c r="N26">
        <v>2027</v>
      </c>
      <c r="O26" s="5">
        <v>3700</v>
      </c>
      <c r="P26" s="5">
        <f>911.25+828</f>
        <v>1739.25</v>
      </c>
      <c r="Q26" s="5">
        <f>O26+P26</f>
        <v>5439.25</v>
      </c>
    </row>
    <row r="27" spans="1:17" x14ac:dyDescent="0.2">
      <c r="A27" s="9">
        <v>2021</v>
      </c>
      <c r="B27" s="7">
        <f t="shared" si="3"/>
        <v>411000</v>
      </c>
      <c r="C27" s="7">
        <f t="shared" si="2"/>
        <v>9248</v>
      </c>
      <c r="D27" s="7">
        <v>19000</v>
      </c>
      <c r="E27" s="7">
        <f t="shared" si="0"/>
        <v>28248</v>
      </c>
      <c r="F27" s="7">
        <v>8820</v>
      </c>
      <c r="G27" s="7">
        <f t="shared" si="1"/>
        <v>37068</v>
      </c>
      <c r="N27">
        <v>2028</v>
      </c>
      <c r="O27" s="5">
        <v>3900</v>
      </c>
      <c r="P27" s="5">
        <f>828+740.25</f>
        <v>1568.25</v>
      </c>
      <c r="Q27" s="5">
        <f>O27+P27</f>
        <v>5468.25</v>
      </c>
    </row>
    <row r="28" spans="1:17" x14ac:dyDescent="0.2">
      <c r="A28" s="9">
        <v>2022</v>
      </c>
      <c r="B28" s="7">
        <f t="shared" si="3"/>
        <v>392000</v>
      </c>
      <c r="C28" s="7">
        <f t="shared" si="2"/>
        <v>8820</v>
      </c>
      <c r="D28" s="7">
        <v>20000</v>
      </c>
      <c r="E28" s="7">
        <f t="shared" si="0"/>
        <v>28820</v>
      </c>
      <c r="F28" s="7">
        <v>8370</v>
      </c>
      <c r="G28" s="7">
        <f t="shared" si="1"/>
        <v>37190</v>
      </c>
      <c r="N28">
        <v>2029</v>
      </c>
      <c r="O28" s="5">
        <v>4100</v>
      </c>
      <c r="P28" s="5">
        <f>740.25+648</f>
        <v>1388.25</v>
      </c>
      <c r="Q28" s="5">
        <f>O28+P28</f>
        <v>5488.25</v>
      </c>
    </row>
    <row r="29" spans="1:17" x14ac:dyDescent="0.2">
      <c r="A29" s="9">
        <v>2023</v>
      </c>
      <c r="B29" s="7">
        <f t="shared" si="3"/>
        <v>372000</v>
      </c>
      <c r="C29" s="7">
        <f t="shared" si="2"/>
        <v>8370</v>
      </c>
      <c r="D29" s="7">
        <v>21000</v>
      </c>
      <c r="E29" s="7">
        <f t="shared" si="0"/>
        <v>29370</v>
      </c>
      <c r="F29" s="7">
        <v>7898</v>
      </c>
      <c r="G29" s="7">
        <f t="shared" si="1"/>
        <v>37268</v>
      </c>
    </row>
    <row r="30" spans="1:17" x14ac:dyDescent="0.2">
      <c r="A30" s="9">
        <v>2024</v>
      </c>
      <c r="B30" s="7">
        <f t="shared" si="3"/>
        <v>351000</v>
      </c>
      <c r="C30" s="7">
        <f t="shared" si="2"/>
        <v>7898</v>
      </c>
      <c r="D30" s="7">
        <v>22000</v>
      </c>
      <c r="E30" s="7">
        <f t="shared" si="0"/>
        <v>29898</v>
      </c>
      <c r="F30" s="7">
        <v>7403</v>
      </c>
      <c r="G30" s="7">
        <f t="shared" si="1"/>
        <v>37301</v>
      </c>
    </row>
    <row r="31" spans="1:17" x14ac:dyDescent="0.2">
      <c r="A31" s="9">
        <v>2025</v>
      </c>
      <c r="B31" s="7">
        <f t="shared" si="3"/>
        <v>329000</v>
      </c>
      <c r="C31" s="7">
        <f t="shared" si="2"/>
        <v>7403</v>
      </c>
      <c r="D31" s="7">
        <v>23000</v>
      </c>
      <c r="E31" s="7">
        <f t="shared" si="0"/>
        <v>30403</v>
      </c>
      <c r="F31" s="7">
        <v>6885</v>
      </c>
      <c r="G31" s="7">
        <f t="shared" si="1"/>
        <v>37288</v>
      </c>
    </row>
    <row r="32" spans="1:17" ht="16.5" thickBot="1" x14ac:dyDescent="0.3">
      <c r="A32" s="9">
        <v>2026</v>
      </c>
      <c r="B32" s="7">
        <f t="shared" si="3"/>
        <v>306000</v>
      </c>
      <c r="C32" s="7">
        <f t="shared" si="2"/>
        <v>6885</v>
      </c>
      <c r="D32" s="7">
        <v>25000</v>
      </c>
      <c r="E32" s="7">
        <f t="shared" si="0"/>
        <v>31885</v>
      </c>
      <c r="F32" s="7">
        <v>6323</v>
      </c>
      <c r="G32" s="7">
        <f t="shared" si="1"/>
        <v>38208</v>
      </c>
      <c r="I32" s="44" t="s">
        <v>192</v>
      </c>
      <c r="J32" s="44"/>
      <c r="K32" s="44"/>
      <c r="L32" s="44"/>
      <c r="N32" s="44" t="s">
        <v>253</v>
      </c>
      <c r="O32" s="83"/>
      <c r="P32" s="83"/>
      <c r="Q32" s="83"/>
    </row>
    <row r="33" spans="1:16" x14ac:dyDescent="0.2">
      <c r="A33" s="55">
        <v>2027</v>
      </c>
      <c r="B33" s="56">
        <f t="shared" si="3"/>
        <v>281000</v>
      </c>
      <c r="C33" s="56">
        <f t="shared" si="2"/>
        <v>6323</v>
      </c>
      <c r="D33" s="56">
        <v>25000</v>
      </c>
      <c r="E33" s="56">
        <f t="shared" si="0"/>
        <v>31323</v>
      </c>
      <c r="F33" s="56">
        <v>5760</v>
      </c>
      <c r="G33" s="56">
        <f t="shared" si="1"/>
        <v>37083</v>
      </c>
      <c r="I33">
        <v>2027</v>
      </c>
      <c r="K33" s="30">
        <f>C33+D33+F33</f>
        <v>37083</v>
      </c>
      <c r="N33">
        <v>2027</v>
      </c>
      <c r="P33" s="50">
        <f>Q20+Q26</f>
        <v>42521.75</v>
      </c>
    </row>
    <row r="34" spans="1:16" x14ac:dyDescent="0.2">
      <c r="A34" s="55">
        <v>2028</v>
      </c>
      <c r="B34" s="56">
        <f t="shared" si="3"/>
        <v>256000</v>
      </c>
      <c r="C34" s="56">
        <f t="shared" si="2"/>
        <v>5760</v>
      </c>
      <c r="D34" s="56">
        <v>27000</v>
      </c>
      <c r="E34" s="56">
        <f t="shared" si="0"/>
        <v>32760</v>
      </c>
      <c r="F34" s="56">
        <v>5153</v>
      </c>
      <c r="G34" s="56">
        <f t="shared" si="1"/>
        <v>37913</v>
      </c>
      <c r="I34">
        <v>2028</v>
      </c>
      <c r="K34" s="30">
        <f>C34+D34+F34</f>
        <v>37913</v>
      </c>
      <c r="N34">
        <v>2028</v>
      </c>
      <c r="P34" s="50">
        <f>Q21+Q27</f>
        <v>43380.75</v>
      </c>
    </row>
    <row r="35" spans="1:16" x14ac:dyDescent="0.2">
      <c r="A35" s="55">
        <v>2029</v>
      </c>
      <c r="B35" s="56">
        <f t="shared" si="3"/>
        <v>229000</v>
      </c>
      <c r="C35" s="56">
        <f t="shared" si="2"/>
        <v>5153</v>
      </c>
      <c r="D35" s="56">
        <v>28000</v>
      </c>
      <c r="E35" s="56">
        <f t="shared" si="0"/>
        <v>33153</v>
      </c>
      <c r="F35" s="56">
        <v>4523</v>
      </c>
      <c r="G35" s="56">
        <f t="shared" si="1"/>
        <v>37676</v>
      </c>
      <c r="I35">
        <v>2029</v>
      </c>
      <c r="K35" s="46">
        <f>C35+D35+F35</f>
        <v>37676</v>
      </c>
      <c r="N35">
        <v>2029</v>
      </c>
      <c r="P35" s="52">
        <f>Q22+Q28</f>
        <v>43163.25</v>
      </c>
    </row>
    <row r="36" spans="1:16" x14ac:dyDescent="0.2">
      <c r="A36" s="9">
        <v>2030</v>
      </c>
      <c r="B36" s="7">
        <f t="shared" si="3"/>
        <v>201000</v>
      </c>
      <c r="C36" s="7">
        <f t="shared" si="2"/>
        <v>4523</v>
      </c>
      <c r="D36" s="7">
        <v>30000</v>
      </c>
      <c r="E36" s="7">
        <f t="shared" si="0"/>
        <v>34523</v>
      </c>
      <c r="F36" s="7">
        <v>3848</v>
      </c>
      <c r="G36" s="7">
        <f t="shared" si="1"/>
        <v>38371</v>
      </c>
      <c r="P36" s="50"/>
    </row>
    <row r="37" spans="1:16" ht="15.75" thickBot="1" x14ac:dyDescent="0.25">
      <c r="A37" s="9">
        <v>2031</v>
      </c>
      <c r="B37" s="7">
        <f t="shared" si="3"/>
        <v>171000</v>
      </c>
      <c r="C37" s="7">
        <f t="shared" si="2"/>
        <v>3848</v>
      </c>
      <c r="D37" s="7">
        <v>31000</v>
      </c>
      <c r="E37" s="7">
        <f t="shared" si="0"/>
        <v>34848</v>
      </c>
      <c r="F37" s="7">
        <v>3150</v>
      </c>
      <c r="G37" s="7">
        <f t="shared" si="1"/>
        <v>37998</v>
      </c>
      <c r="I37" t="s">
        <v>163</v>
      </c>
      <c r="K37" s="47">
        <f>SUM(K33:K36)</f>
        <v>112672</v>
      </c>
      <c r="N37" t="s">
        <v>163</v>
      </c>
      <c r="P37" s="53">
        <f>SUM(P33:P36)</f>
        <v>129065.75</v>
      </c>
    </row>
    <row r="38" spans="1:16" ht="15.75" thickTop="1" x14ac:dyDescent="0.2">
      <c r="A38" s="9">
        <v>2032</v>
      </c>
      <c r="B38" s="7">
        <f t="shared" si="3"/>
        <v>140000</v>
      </c>
      <c r="C38" s="7">
        <f t="shared" si="2"/>
        <v>3150</v>
      </c>
      <c r="D38" s="7">
        <v>33000</v>
      </c>
      <c r="E38" s="7">
        <f t="shared" si="0"/>
        <v>36150</v>
      </c>
      <c r="F38" s="7">
        <v>2408</v>
      </c>
      <c r="G38" s="7">
        <f t="shared" si="1"/>
        <v>38558</v>
      </c>
      <c r="P38" s="50"/>
    </row>
    <row r="39" spans="1:16" ht="15.75" thickBot="1" x14ac:dyDescent="0.25">
      <c r="A39" s="9">
        <v>2033</v>
      </c>
      <c r="B39" s="7">
        <f t="shared" si="3"/>
        <v>107000</v>
      </c>
      <c r="C39" s="7">
        <f t="shared" si="2"/>
        <v>2408</v>
      </c>
      <c r="D39" s="7">
        <v>34000</v>
      </c>
      <c r="E39" s="7">
        <f t="shared" si="0"/>
        <v>36408</v>
      </c>
      <c r="F39" s="7">
        <v>1643</v>
      </c>
      <c r="G39" s="7">
        <f t="shared" si="1"/>
        <v>38051</v>
      </c>
      <c r="I39" t="s">
        <v>193</v>
      </c>
      <c r="K39" s="53">
        <f>K37/3</f>
        <v>37557.333333333336</v>
      </c>
      <c r="N39" t="s">
        <v>193</v>
      </c>
      <c r="P39" s="53">
        <f>P37/3</f>
        <v>43021.916666666664</v>
      </c>
    </row>
    <row r="40" spans="1:16" ht="15.75" thickTop="1" x14ac:dyDescent="0.2">
      <c r="A40" s="9">
        <v>2034</v>
      </c>
      <c r="B40" s="7">
        <f t="shared" si="3"/>
        <v>73000</v>
      </c>
      <c r="C40" s="7">
        <f t="shared" si="2"/>
        <v>1643</v>
      </c>
      <c r="D40" s="7">
        <v>36000</v>
      </c>
      <c r="E40" s="7">
        <f t="shared" si="0"/>
        <v>37643</v>
      </c>
      <c r="F40" s="7">
        <v>833</v>
      </c>
      <c r="G40" s="7">
        <f t="shared" si="1"/>
        <v>38476</v>
      </c>
    </row>
    <row r="41" spans="1:16" x14ac:dyDescent="0.2">
      <c r="A41" s="9">
        <v>2035</v>
      </c>
      <c r="B41" s="7">
        <f t="shared" si="3"/>
        <v>37000</v>
      </c>
      <c r="C41" s="7">
        <f t="shared" si="2"/>
        <v>833</v>
      </c>
      <c r="D41" s="7">
        <v>37000</v>
      </c>
      <c r="E41" s="7">
        <f t="shared" si="0"/>
        <v>37833</v>
      </c>
      <c r="F41" s="7">
        <v>0</v>
      </c>
      <c r="G41" s="7">
        <f t="shared" si="1"/>
        <v>37833</v>
      </c>
      <c r="N41" t="s">
        <v>258</v>
      </c>
      <c r="P41" s="50">
        <f>P39-K39</f>
        <v>5464.5833333333285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046E2-89D6-47DE-82E5-1241A20D5312}">
  <dimension ref="A1:P50"/>
  <sheetViews>
    <sheetView zoomScale="80" zoomScaleNormal="80" workbookViewId="0">
      <pane ySplit="6" topLeftCell="A7" activePane="bottomLeft" state="frozen"/>
      <selection pane="bottomLeft" activeCell="N41" sqref="N41"/>
    </sheetView>
  </sheetViews>
  <sheetFormatPr defaultRowHeight="15" x14ac:dyDescent="0.2"/>
  <cols>
    <col min="1" max="1" width="15.33203125" customWidth="1"/>
    <col min="2" max="2" width="12.44140625" customWidth="1"/>
    <col min="3" max="3" width="11.33203125" customWidth="1"/>
    <col min="4" max="4" width="10.5546875" customWidth="1"/>
    <col min="5" max="5" width="15.5546875" customWidth="1"/>
    <col min="6" max="6" width="12.21875" customWidth="1"/>
    <col min="7" max="7" width="9.33203125" customWidth="1"/>
    <col min="8" max="9" width="15.33203125" customWidth="1"/>
    <col min="10" max="10" width="13.21875" customWidth="1"/>
    <col min="11" max="11" width="15.33203125" customWidth="1"/>
    <col min="13" max="13" width="13.33203125" bestFit="1" customWidth="1"/>
    <col min="14" max="14" width="11.44140625" bestFit="1" customWidth="1"/>
    <col min="16" max="16" width="10.44140625" bestFit="1" customWidth="1"/>
  </cols>
  <sheetData>
    <row r="1" spans="1:11" x14ac:dyDescent="0.2">
      <c r="A1" t="s">
        <v>115</v>
      </c>
    </row>
    <row r="2" spans="1:11" x14ac:dyDescent="0.2">
      <c r="A2" t="s">
        <v>116</v>
      </c>
    </row>
    <row r="3" spans="1:11" x14ac:dyDescent="0.2">
      <c r="A3" t="s">
        <v>117</v>
      </c>
    </row>
    <row r="4" spans="1:11" x14ac:dyDescent="0.2">
      <c r="A4" t="s">
        <v>118</v>
      </c>
      <c r="E4" t="s">
        <v>119</v>
      </c>
    </row>
    <row r="5" spans="1:11" x14ac:dyDescent="0.2">
      <c r="A5" t="s">
        <v>120</v>
      </c>
      <c r="E5" s="13">
        <v>17984.34</v>
      </c>
      <c r="F5" t="s">
        <v>121</v>
      </c>
    </row>
    <row r="6" spans="1:11" x14ac:dyDescent="0.2">
      <c r="A6" t="s">
        <v>122</v>
      </c>
      <c r="B6" t="s">
        <v>123</v>
      </c>
      <c r="C6" t="s">
        <v>124</v>
      </c>
      <c r="D6" t="s">
        <v>125</v>
      </c>
      <c r="E6" t="s">
        <v>126</v>
      </c>
      <c r="F6" t="s">
        <v>127</v>
      </c>
      <c r="G6" t="s">
        <v>128</v>
      </c>
      <c r="H6" t="s">
        <v>129</v>
      </c>
      <c r="I6" t="s">
        <v>130</v>
      </c>
      <c r="J6" t="s">
        <v>131</v>
      </c>
      <c r="K6" t="s">
        <v>132</v>
      </c>
    </row>
    <row r="7" spans="1:11" x14ac:dyDescent="0.2">
      <c r="B7" s="12"/>
      <c r="C7" s="12"/>
      <c r="D7" s="12"/>
      <c r="E7" s="12"/>
      <c r="F7" s="12"/>
      <c r="G7" s="12"/>
      <c r="H7" s="12"/>
      <c r="I7" s="13">
        <v>574674</v>
      </c>
      <c r="J7" s="12"/>
      <c r="K7" s="12"/>
    </row>
    <row r="8" spans="1:11" x14ac:dyDescent="0.2">
      <c r="A8" t="s">
        <v>74</v>
      </c>
      <c r="B8" s="13">
        <v>12061.14</v>
      </c>
      <c r="C8" s="13">
        <v>5090.9399999999996</v>
      </c>
      <c r="D8" s="14">
        <v>1.7500000000000002E-2</v>
      </c>
      <c r="E8" s="13">
        <v>17152.080000000002</v>
      </c>
      <c r="F8" s="13">
        <v>574.66999999999996</v>
      </c>
      <c r="G8" s="13">
        <v>0</v>
      </c>
      <c r="H8" s="13">
        <v>17726.75</v>
      </c>
      <c r="I8" s="13">
        <v>592070.86</v>
      </c>
      <c r="J8" s="13">
        <v>1900</v>
      </c>
      <c r="K8" s="13">
        <v>1900</v>
      </c>
    </row>
    <row r="9" spans="1:11" x14ac:dyDescent="0.2">
      <c r="A9" t="s">
        <v>75</v>
      </c>
      <c r="B9" s="13">
        <v>12803.72</v>
      </c>
      <c r="C9" s="13">
        <v>5160.1400000000003</v>
      </c>
      <c r="D9" s="14">
        <v>1.7500000000000002E-2</v>
      </c>
      <c r="E9" s="13">
        <v>17963.86</v>
      </c>
      <c r="F9" s="13">
        <v>562.61</v>
      </c>
      <c r="G9" s="13">
        <v>0</v>
      </c>
      <c r="H9" s="13">
        <v>18526.47</v>
      </c>
      <c r="I9" s="13">
        <v>579267.14</v>
      </c>
      <c r="J9" s="13">
        <v>0</v>
      </c>
      <c r="K9" s="13">
        <v>1900</v>
      </c>
    </row>
    <row r="10" spans="1:11" x14ac:dyDescent="0.2">
      <c r="A10" t="s">
        <v>76</v>
      </c>
      <c r="B10" s="13">
        <v>12915.76</v>
      </c>
      <c r="C10" s="13">
        <v>5068.58</v>
      </c>
      <c r="D10" s="14">
        <v>1.7500000000000002E-2</v>
      </c>
      <c r="E10" s="13">
        <v>17984.34</v>
      </c>
      <c r="F10" s="13">
        <v>579.27</v>
      </c>
      <c r="G10" s="13">
        <v>0</v>
      </c>
      <c r="H10" s="13">
        <v>18563.61</v>
      </c>
      <c r="I10" s="13">
        <v>566351.38</v>
      </c>
      <c r="J10" s="13">
        <v>1900</v>
      </c>
      <c r="K10" s="13">
        <v>3800</v>
      </c>
    </row>
    <row r="11" spans="1:11" x14ac:dyDescent="0.2">
      <c r="A11" t="s">
        <v>77</v>
      </c>
      <c r="B11" s="13">
        <v>13028.77</v>
      </c>
      <c r="C11" s="13">
        <v>4955.57</v>
      </c>
      <c r="D11" s="14">
        <v>1.7500000000000002E-2</v>
      </c>
      <c r="E11" s="13">
        <v>17984.34</v>
      </c>
      <c r="F11" s="13">
        <v>566.35</v>
      </c>
      <c r="G11" s="13">
        <v>0</v>
      </c>
      <c r="H11" s="13">
        <v>18550.689999999999</v>
      </c>
      <c r="I11" s="13">
        <v>553322.61</v>
      </c>
      <c r="J11" s="13">
        <v>0</v>
      </c>
      <c r="K11" s="13">
        <v>3800</v>
      </c>
    </row>
    <row r="12" spans="1:11" x14ac:dyDescent="0.2">
      <c r="A12" t="s">
        <v>78</v>
      </c>
      <c r="B12" s="13">
        <v>13142.77</v>
      </c>
      <c r="C12" s="13">
        <v>4841.57</v>
      </c>
      <c r="D12" s="14">
        <v>1.7500000000000002E-2</v>
      </c>
      <c r="E12" s="13">
        <v>17984.34</v>
      </c>
      <c r="F12" s="13">
        <v>553.32000000000005</v>
      </c>
      <c r="G12" s="13">
        <v>0</v>
      </c>
      <c r="H12" s="13">
        <v>18537.66</v>
      </c>
      <c r="I12" s="13">
        <v>540179.84</v>
      </c>
      <c r="J12" s="13">
        <v>1900</v>
      </c>
      <c r="K12" s="13">
        <v>5700</v>
      </c>
    </row>
    <row r="13" spans="1:11" x14ac:dyDescent="0.2">
      <c r="A13" t="s">
        <v>79</v>
      </c>
      <c r="B13" s="13">
        <v>13257.76</v>
      </c>
      <c r="C13" s="13">
        <v>4726.58</v>
      </c>
      <c r="D13" s="14">
        <v>1.7500000000000002E-2</v>
      </c>
      <c r="E13" s="13">
        <v>17984.34</v>
      </c>
      <c r="F13" s="13">
        <v>540.17999999999995</v>
      </c>
      <c r="G13" s="13">
        <v>0</v>
      </c>
      <c r="H13" s="13">
        <v>18524.52</v>
      </c>
      <c r="I13" s="13">
        <v>526922.07999999996</v>
      </c>
      <c r="J13" s="13">
        <v>0</v>
      </c>
      <c r="K13" s="13">
        <v>5700</v>
      </c>
    </row>
    <row r="14" spans="1:11" x14ac:dyDescent="0.2">
      <c r="A14" t="s">
        <v>80</v>
      </c>
      <c r="B14" s="13">
        <v>13373.78</v>
      </c>
      <c r="C14" s="13">
        <v>4610.5600000000004</v>
      </c>
      <c r="D14" s="14">
        <v>1.7500000000000002E-2</v>
      </c>
      <c r="E14" s="13">
        <v>17984.34</v>
      </c>
      <c r="F14" s="13">
        <v>526.92999999999995</v>
      </c>
      <c r="G14" s="13">
        <v>0</v>
      </c>
      <c r="H14" s="13">
        <v>18511.27</v>
      </c>
      <c r="I14" s="13">
        <v>513548.3</v>
      </c>
      <c r="J14" s="13">
        <v>1900</v>
      </c>
      <c r="K14" s="13">
        <v>7600</v>
      </c>
    </row>
    <row r="15" spans="1:11" x14ac:dyDescent="0.2">
      <c r="A15" t="s">
        <v>81</v>
      </c>
      <c r="B15" s="13">
        <v>13490.79</v>
      </c>
      <c r="C15" s="13">
        <v>4493.55</v>
      </c>
      <c r="D15" s="14">
        <v>1.7500000000000002E-2</v>
      </c>
      <c r="E15" s="13">
        <v>17984.34</v>
      </c>
      <c r="F15" s="13">
        <v>513.54999999999995</v>
      </c>
      <c r="G15" s="13">
        <v>0</v>
      </c>
      <c r="H15" s="13">
        <v>18497.89</v>
      </c>
      <c r="I15" s="13">
        <v>500057.51</v>
      </c>
      <c r="J15" s="13">
        <v>0</v>
      </c>
      <c r="K15" s="13">
        <v>7600</v>
      </c>
    </row>
    <row r="16" spans="1:11" x14ac:dyDescent="0.2">
      <c r="A16" t="s">
        <v>82</v>
      </c>
      <c r="B16" s="13">
        <v>13608.84</v>
      </c>
      <c r="C16" s="13">
        <v>4375.5</v>
      </c>
      <c r="D16" s="14">
        <v>1.7500000000000002E-2</v>
      </c>
      <c r="E16" s="13">
        <v>17984.34</v>
      </c>
      <c r="F16" s="13">
        <v>500.06</v>
      </c>
      <c r="G16" s="13">
        <v>0</v>
      </c>
      <c r="H16" s="13">
        <v>18484.400000000001</v>
      </c>
      <c r="I16" s="13">
        <v>486448.67</v>
      </c>
      <c r="J16" s="13">
        <v>1900</v>
      </c>
      <c r="K16" s="13">
        <v>9500</v>
      </c>
    </row>
    <row r="17" spans="1:16" ht="16.5" thickBot="1" x14ac:dyDescent="0.3">
      <c r="A17" t="s">
        <v>83</v>
      </c>
      <c r="B17" s="13">
        <v>13727.92</v>
      </c>
      <c r="C17" s="13">
        <v>4256.42</v>
      </c>
      <c r="D17" s="14">
        <v>1.7500000000000002E-2</v>
      </c>
      <c r="E17" s="13">
        <v>17984.34</v>
      </c>
      <c r="F17" s="13">
        <v>486.45</v>
      </c>
      <c r="G17" s="13">
        <v>0</v>
      </c>
      <c r="H17" s="13">
        <v>18470.79</v>
      </c>
      <c r="I17" s="13">
        <v>472720.75</v>
      </c>
      <c r="J17" s="13">
        <v>0</v>
      </c>
      <c r="K17" s="13">
        <v>9500</v>
      </c>
      <c r="M17" s="44" t="s">
        <v>192</v>
      </c>
      <c r="N17" s="44"/>
      <c r="O17" s="44"/>
      <c r="P17" s="44"/>
    </row>
    <row r="18" spans="1:16" x14ac:dyDescent="0.2">
      <c r="A18" t="s">
        <v>84</v>
      </c>
      <c r="B18" s="13">
        <v>13848.03</v>
      </c>
      <c r="C18" s="13">
        <v>4136.3100000000004</v>
      </c>
      <c r="D18" s="14">
        <v>1.7500000000000002E-2</v>
      </c>
      <c r="E18" s="13">
        <v>17984.34</v>
      </c>
      <c r="F18" s="13">
        <v>472.72</v>
      </c>
      <c r="G18" s="13">
        <v>0</v>
      </c>
      <c r="H18" s="13">
        <v>18457.060000000001</v>
      </c>
      <c r="I18" s="13">
        <v>458872.72</v>
      </c>
      <c r="J18" s="13">
        <v>1900</v>
      </c>
      <c r="K18" s="13">
        <v>11400</v>
      </c>
    </row>
    <row r="19" spans="1:16" x14ac:dyDescent="0.2">
      <c r="A19" s="41" t="s">
        <v>85</v>
      </c>
      <c r="B19" s="42">
        <v>13969.2</v>
      </c>
      <c r="C19" s="42">
        <v>4015.14</v>
      </c>
      <c r="D19" s="43">
        <v>1.7500000000000002E-2</v>
      </c>
      <c r="E19" s="42">
        <v>17984.34</v>
      </c>
      <c r="F19" s="42">
        <v>458.87</v>
      </c>
      <c r="G19" s="42">
        <v>0</v>
      </c>
      <c r="H19" s="42">
        <v>18443.21</v>
      </c>
      <c r="I19" s="42">
        <v>444903.52</v>
      </c>
      <c r="J19" s="42">
        <v>0</v>
      </c>
      <c r="K19" s="42">
        <v>11400</v>
      </c>
      <c r="M19">
        <v>2027</v>
      </c>
      <c r="N19" s="13">
        <f>H19+H20</f>
        <v>36872.46</v>
      </c>
      <c r="P19" s="13">
        <f>B19+C19+F19</f>
        <v>18443.21</v>
      </c>
    </row>
    <row r="20" spans="1:16" x14ac:dyDescent="0.2">
      <c r="A20" s="41" t="s">
        <v>86</v>
      </c>
      <c r="B20" s="42">
        <v>14091.43</v>
      </c>
      <c r="C20" s="42">
        <v>3892.91</v>
      </c>
      <c r="D20" s="43">
        <v>1.7500000000000002E-2</v>
      </c>
      <c r="E20" s="42">
        <v>17984.34</v>
      </c>
      <c r="F20" s="42">
        <v>444.91</v>
      </c>
      <c r="G20" s="42">
        <v>0</v>
      </c>
      <c r="H20" s="42">
        <v>18429.25</v>
      </c>
      <c r="I20" s="42">
        <v>430812.09</v>
      </c>
      <c r="J20" s="42">
        <v>1900</v>
      </c>
      <c r="K20" s="42">
        <v>13300</v>
      </c>
      <c r="P20" s="13">
        <f>B20+C20+F20</f>
        <v>18429.25</v>
      </c>
    </row>
    <row r="21" spans="1:16" x14ac:dyDescent="0.2">
      <c r="A21" s="41" t="s">
        <v>87</v>
      </c>
      <c r="B21" s="42">
        <v>14214.74</v>
      </c>
      <c r="C21" s="42">
        <v>3769.6</v>
      </c>
      <c r="D21" s="43">
        <v>1.7500000000000002E-2</v>
      </c>
      <c r="E21" s="42">
        <v>17984.34</v>
      </c>
      <c r="F21" s="42">
        <v>430.81</v>
      </c>
      <c r="G21" s="42">
        <v>0</v>
      </c>
      <c r="H21" s="42">
        <v>18415.150000000001</v>
      </c>
      <c r="I21" s="42">
        <v>416597.35</v>
      </c>
      <c r="J21" s="42">
        <v>0</v>
      </c>
      <c r="K21" s="42">
        <v>13300</v>
      </c>
      <c r="M21">
        <v>2028</v>
      </c>
      <c r="N21" s="13">
        <f>H21+H22</f>
        <v>36816.089999999997</v>
      </c>
      <c r="P21" s="13">
        <f>B21+C21+F21</f>
        <v>18415.150000000001</v>
      </c>
    </row>
    <row r="22" spans="1:16" x14ac:dyDescent="0.2">
      <c r="A22" s="41" t="s">
        <v>88</v>
      </c>
      <c r="B22" s="42">
        <v>14339.12</v>
      </c>
      <c r="C22" s="42">
        <v>3645.22</v>
      </c>
      <c r="D22" s="43">
        <v>1.7500000000000002E-2</v>
      </c>
      <c r="E22" s="42">
        <v>17984.34</v>
      </c>
      <c r="F22" s="42">
        <v>416.6</v>
      </c>
      <c r="G22" s="42">
        <v>0</v>
      </c>
      <c r="H22" s="42">
        <v>18400.939999999999</v>
      </c>
      <c r="I22" s="42">
        <v>402258.23</v>
      </c>
      <c r="J22" s="42">
        <v>1900</v>
      </c>
      <c r="K22" s="42">
        <v>15200</v>
      </c>
      <c r="P22" s="13">
        <f>B22+C22+F22</f>
        <v>18400.939999999999</v>
      </c>
    </row>
    <row r="23" spans="1:16" x14ac:dyDescent="0.2">
      <c r="A23" s="41" t="s">
        <v>89</v>
      </c>
      <c r="B23" s="42">
        <v>14464.58</v>
      </c>
      <c r="C23" s="42">
        <v>3519.76</v>
      </c>
      <c r="D23" s="43">
        <v>1.7500000000000002E-2</v>
      </c>
      <c r="E23" s="42">
        <v>17984.34</v>
      </c>
      <c r="F23" s="42">
        <v>402.25</v>
      </c>
      <c r="G23" s="42">
        <v>0</v>
      </c>
      <c r="H23" s="42">
        <v>18386.59</v>
      </c>
      <c r="I23" s="42">
        <v>387793.65</v>
      </c>
      <c r="J23" s="42">
        <v>0</v>
      </c>
      <c r="K23" s="42">
        <v>15200</v>
      </c>
      <c r="M23">
        <v>2029</v>
      </c>
      <c r="N23" s="48">
        <f>H23+H24</f>
        <v>36758.720000000001</v>
      </c>
      <c r="P23" s="13">
        <f>B23+C23+F23</f>
        <v>18386.59</v>
      </c>
    </row>
    <row r="24" spans="1:16" x14ac:dyDescent="0.2">
      <c r="A24" s="41" t="s">
        <v>90</v>
      </c>
      <c r="B24" s="42">
        <v>14591.15</v>
      </c>
      <c r="C24" s="42">
        <v>3393.19</v>
      </c>
      <c r="D24" s="43">
        <v>1.7500000000000002E-2</v>
      </c>
      <c r="E24" s="42">
        <v>17984.34</v>
      </c>
      <c r="F24" s="42">
        <v>387.79</v>
      </c>
      <c r="G24" s="42">
        <v>0</v>
      </c>
      <c r="H24" s="42">
        <v>18372.13</v>
      </c>
      <c r="I24" s="42">
        <v>373202.5</v>
      </c>
      <c r="J24" s="42">
        <v>1900</v>
      </c>
      <c r="K24" s="42">
        <v>17100</v>
      </c>
    </row>
    <row r="25" spans="1:16" ht="15.75" thickBot="1" x14ac:dyDescent="0.25">
      <c r="A25" t="s">
        <v>91</v>
      </c>
      <c r="B25" s="13">
        <v>14718.82</v>
      </c>
      <c r="C25" s="13">
        <v>3265.52</v>
      </c>
      <c r="D25" s="14">
        <v>1.7500000000000002E-2</v>
      </c>
      <c r="E25" s="13">
        <v>17984.34</v>
      </c>
      <c r="F25" s="13">
        <v>373.2</v>
      </c>
      <c r="G25" s="13">
        <v>0</v>
      </c>
      <c r="H25" s="13">
        <v>18357.54</v>
      </c>
      <c r="I25" s="13">
        <v>358483.68</v>
      </c>
      <c r="J25" s="13">
        <v>0</v>
      </c>
      <c r="K25" s="13">
        <v>17100</v>
      </c>
      <c r="M25" t="s">
        <v>163</v>
      </c>
      <c r="N25" s="49">
        <f>SUM(N19:N24)</f>
        <v>110447.26999999999</v>
      </c>
    </row>
    <row r="26" spans="1:16" ht="15.75" thickTop="1" x14ac:dyDescent="0.2">
      <c r="A26" t="s">
        <v>92</v>
      </c>
      <c r="B26" s="13">
        <v>14847.61</v>
      </c>
      <c r="C26" s="13">
        <v>3136.73</v>
      </c>
      <c r="D26" s="14">
        <v>1.7500000000000002E-2</v>
      </c>
      <c r="E26" s="13">
        <v>17984.34</v>
      </c>
      <c r="F26" s="13">
        <v>358.49</v>
      </c>
      <c r="G26" s="13">
        <v>0</v>
      </c>
      <c r="H26" s="13">
        <v>18342.830000000002</v>
      </c>
      <c r="I26" s="13">
        <v>343636.07</v>
      </c>
      <c r="J26" s="13">
        <v>1900</v>
      </c>
      <c r="K26" s="13">
        <v>19000</v>
      </c>
    </row>
    <row r="27" spans="1:16" x14ac:dyDescent="0.2">
      <c r="A27" t="s">
        <v>93</v>
      </c>
      <c r="B27" s="13">
        <v>14977.53</v>
      </c>
      <c r="C27" s="13">
        <v>3006.81</v>
      </c>
      <c r="D27" s="14">
        <v>1.7500000000000002E-2</v>
      </c>
      <c r="E27" s="13">
        <v>17984.34</v>
      </c>
      <c r="F27" s="13">
        <v>343.64</v>
      </c>
      <c r="G27" s="13">
        <v>0</v>
      </c>
      <c r="H27" s="13">
        <v>18327.98</v>
      </c>
      <c r="I27" s="13">
        <v>328658.53999999998</v>
      </c>
      <c r="J27" s="13">
        <v>0</v>
      </c>
      <c r="K27" s="13">
        <v>19000</v>
      </c>
      <c r="M27" t="s">
        <v>193</v>
      </c>
      <c r="N27" s="51">
        <f>N25/3</f>
        <v>36815.756666666661</v>
      </c>
    </row>
    <row r="28" spans="1:16" x14ac:dyDescent="0.2">
      <c r="A28" t="s">
        <v>94</v>
      </c>
      <c r="B28" s="13">
        <v>15108.58</v>
      </c>
      <c r="C28" s="13">
        <v>2875.76</v>
      </c>
      <c r="D28" s="14">
        <v>1.7500000000000002E-2</v>
      </c>
      <c r="E28" s="13">
        <v>17984.34</v>
      </c>
      <c r="F28" s="13">
        <v>328.66</v>
      </c>
      <c r="G28" s="13">
        <v>0</v>
      </c>
      <c r="H28" s="13">
        <v>18313</v>
      </c>
      <c r="I28" s="13">
        <v>313549.96000000002</v>
      </c>
      <c r="J28" s="13">
        <v>1900</v>
      </c>
      <c r="K28" s="13">
        <v>20900</v>
      </c>
    </row>
    <row r="29" spans="1:16" x14ac:dyDescent="0.2">
      <c r="A29" t="s">
        <v>95</v>
      </c>
      <c r="B29" s="13">
        <v>15240.78</v>
      </c>
      <c r="C29" s="13">
        <v>2743.56</v>
      </c>
      <c r="D29" s="14">
        <v>1.7500000000000002E-2</v>
      </c>
      <c r="E29" s="13">
        <v>17984.34</v>
      </c>
      <c r="F29" s="13">
        <v>313.55</v>
      </c>
      <c r="G29" s="13">
        <v>0</v>
      </c>
      <c r="H29" s="13">
        <v>18297.89</v>
      </c>
      <c r="I29" s="13">
        <v>298309.18</v>
      </c>
      <c r="J29" s="13">
        <v>0</v>
      </c>
      <c r="K29" s="13">
        <v>20900</v>
      </c>
    </row>
    <row r="30" spans="1:16" x14ac:dyDescent="0.2">
      <c r="A30" t="s">
        <v>96</v>
      </c>
      <c r="B30" s="13">
        <v>15374.13</v>
      </c>
      <c r="C30" s="13">
        <v>2610.21</v>
      </c>
      <c r="D30" s="14">
        <v>1.7500000000000002E-2</v>
      </c>
      <c r="E30" s="13">
        <v>17984.34</v>
      </c>
      <c r="F30" s="13">
        <v>298.31</v>
      </c>
      <c r="G30" s="13">
        <v>0</v>
      </c>
      <c r="H30" s="13">
        <v>18282.650000000001</v>
      </c>
      <c r="I30" s="13">
        <v>282935.05</v>
      </c>
      <c r="J30" s="13">
        <v>1900</v>
      </c>
      <c r="K30" s="13">
        <v>22800</v>
      </c>
    </row>
    <row r="31" spans="1:16" x14ac:dyDescent="0.2">
      <c r="A31" t="s">
        <v>97</v>
      </c>
      <c r="B31" s="13">
        <v>15508.66</v>
      </c>
      <c r="C31" s="13">
        <v>2475.6799999999998</v>
      </c>
      <c r="D31" s="14">
        <v>1.7500000000000002E-2</v>
      </c>
      <c r="E31" s="13">
        <v>17984.34</v>
      </c>
      <c r="F31" s="13">
        <v>282.94</v>
      </c>
      <c r="G31" s="13">
        <v>0</v>
      </c>
      <c r="H31" s="13">
        <v>18267.28</v>
      </c>
      <c r="I31" s="13">
        <v>267426.39</v>
      </c>
      <c r="J31" s="13">
        <v>0</v>
      </c>
      <c r="K31" s="13">
        <v>22800</v>
      </c>
    </row>
    <row r="32" spans="1:16" x14ac:dyDescent="0.2">
      <c r="A32" t="s">
        <v>98</v>
      </c>
      <c r="B32" s="13">
        <v>15644.36</v>
      </c>
      <c r="C32" s="13">
        <v>2339.98</v>
      </c>
      <c r="D32" s="14">
        <v>1.7500000000000002E-2</v>
      </c>
      <c r="E32" s="13">
        <v>17984.34</v>
      </c>
      <c r="F32" s="13">
        <v>267.43</v>
      </c>
      <c r="G32" s="13">
        <v>0</v>
      </c>
      <c r="H32" s="13">
        <v>18251.77</v>
      </c>
      <c r="I32" s="13">
        <v>251782.03</v>
      </c>
      <c r="J32" s="13">
        <v>1900</v>
      </c>
      <c r="K32" s="13">
        <v>24700</v>
      </c>
    </row>
    <row r="33" spans="1:11" x14ac:dyDescent="0.2">
      <c r="A33" t="s">
        <v>99</v>
      </c>
      <c r="B33" s="13">
        <v>15781.25</v>
      </c>
      <c r="C33" s="13">
        <v>2203.09</v>
      </c>
      <c r="D33" s="14">
        <v>1.7500000000000002E-2</v>
      </c>
      <c r="E33" s="13">
        <v>17984.34</v>
      </c>
      <c r="F33" s="13">
        <v>251.78</v>
      </c>
      <c r="G33" s="13">
        <v>0</v>
      </c>
      <c r="H33" s="13">
        <v>18236.12</v>
      </c>
      <c r="I33" s="13">
        <v>236000.78</v>
      </c>
      <c r="J33" s="13">
        <v>0</v>
      </c>
      <c r="K33" s="13">
        <v>24700</v>
      </c>
    </row>
    <row r="34" spans="1:11" x14ac:dyDescent="0.2">
      <c r="A34" t="s">
        <v>100</v>
      </c>
      <c r="B34" s="13">
        <v>15919.33</v>
      </c>
      <c r="C34" s="13">
        <v>2065.0100000000002</v>
      </c>
      <c r="D34" s="14">
        <v>1.7500000000000002E-2</v>
      </c>
      <c r="E34" s="13">
        <v>17984.34</v>
      </c>
      <c r="F34" s="13">
        <v>236</v>
      </c>
      <c r="G34" s="13">
        <v>0</v>
      </c>
      <c r="H34" s="13">
        <v>18220.34</v>
      </c>
      <c r="I34" s="13">
        <v>220081.45</v>
      </c>
      <c r="J34" s="13">
        <v>1900</v>
      </c>
      <c r="K34" s="13">
        <v>26600</v>
      </c>
    </row>
    <row r="35" spans="1:11" x14ac:dyDescent="0.2">
      <c r="A35" t="s">
        <v>101</v>
      </c>
      <c r="B35" s="13">
        <v>16058.63</v>
      </c>
      <c r="C35" s="13">
        <v>1925.71</v>
      </c>
      <c r="D35" s="14">
        <v>1.7500000000000002E-2</v>
      </c>
      <c r="E35" s="13">
        <v>17984.34</v>
      </c>
      <c r="F35" s="13">
        <v>220.08</v>
      </c>
      <c r="G35" s="13">
        <v>0</v>
      </c>
      <c r="H35" s="13">
        <v>18204.419999999998</v>
      </c>
      <c r="I35" s="13">
        <v>204022.82</v>
      </c>
      <c r="J35" s="13">
        <v>0</v>
      </c>
      <c r="K35" s="13">
        <v>26600</v>
      </c>
    </row>
    <row r="36" spans="1:11" x14ac:dyDescent="0.2">
      <c r="A36" t="s">
        <v>102</v>
      </c>
      <c r="B36" s="13">
        <v>16199.14</v>
      </c>
      <c r="C36" s="13">
        <v>1785.2</v>
      </c>
      <c r="D36" s="14">
        <v>1.7500000000000002E-2</v>
      </c>
      <c r="E36" s="13">
        <v>17984.34</v>
      </c>
      <c r="F36" s="13">
        <v>204.02</v>
      </c>
      <c r="G36" s="13">
        <v>0</v>
      </c>
      <c r="H36" s="13">
        <v>18188.36</v>
      </c>
      <c r="I36" s="13">
        <v>187823.68</v>
      </c>
      <c r="J36" s="13">
        <v>1900</v>
      </c>
      <c r="K36" s="13">
        <v>28500</v>
      </c>
    </row>
    <row r="37" spans="1:11" x14ac:dyDescent="0.2">
      <c r="A37" t="s">
        <v>103</v>
      </c>
      <c r="B37" s="13">
        <v>16340.88</v>
      </c>
      <c r="C37" s="13">
        <v>1643.46</v>
      </c>
      <c r="D37" s="14">
        <v>1.7500000000000002E-2</v>
      </c>
      <c r="E37" s="13">
        <v>17984.34</v>
      </c>
      <c r="F37" s="13">
        <v>187.82</v>
      </c>
      <c r="G37" s="13">
        <v>0</v>
      </c>
      <c r="H37" s="13">
        <v>18172.16</v>
      </c>
      <c r="I37" s="13">
        <v>171482.8</v>
      </c>
      <c r="J37" s="13">
        <v>0</v>
      </c>
      <c r="K37" s="13">
        <v>28500</v>
      </c>
    </row>
    <row r="38" spans="1:11" x14ac:dyDescent="0.2">
      <c r="A38" t="s">
        <v>104</v>
      </c>
      <c r="B38" s="13">
        <v>16483.87</v>
      </c>
      <c r="C38" s="13">
        <v>1500.47</v>
      </c>
      <c r="D38" s="14">
        <v>1.7500000000000002E-2</v>
      </c>
      <c r="E38" s="13">
        <v>17984.34</v>
      </c>
      <c r="F38" s="13">
        <v>171.48</v>
      </c>
      <c r="G38" s="13">
        <v>0</v>
      </c>
      <c r="H38" s="13">
        <v>18155.82</v>
      </c>
      <c r="I38" s="13">
        <v>154998.93</v>
      </c>
      <c r="J38" s="13">
        <v>1900</v>
      </c>
      <c r="K38" s="13">
        <v>30400</v>
      </c>
    </row>
    <row r="39" spans="1:11" x14ac:dyDescent="0.2">
      <c r="A39" t="s">
        <v>105</v>
      </c>
      <c r="B39" s="13">
        <v>16628.099999999999</v>
      </c>
      <c r="C39" s="13">
        <v>1356.24</v>
      </c>
      <c r="D39" s="14">
        <v>1.7500000000000002E-2</v>
      </c>
      <c r="E39" s="13">
        <v>17984.34</v>
      </c>
      <c r="F39" s="13">
        <v>155</v>
      </c>
      <c r="G39" s="13">
        <v>0</v>
      </c>
      <c r="H39" s="13">
        <v>18139.34</v>
      </c>
      <c r="I39" s="13">
        <v>138370.82999999999</v>
      </c>
      <c r="J39" s="13">
        <v>0</v>
      </c>
      <c r="K39" s="13">
        <v>30400</v>
      </c>
    </row>
    <row r="40" spans="1:11" x14ac:dyDescent="0.2">
      <c r="A40" t="s">
        <v>106</v>
      </c>
      <c r="B40" s="13">
        <v>16773.59</v>
      </c>
      <c r="C40" s="13">
        <v>1210.75</v>
      </c>
      <c r="D40" s="14">
        <v>1.7500000000000002E-2</v>
      </c>
      <c r="E40" s="13">
        <v>17984.34</v>
      </c>
      <c r="F40" s="13">
        <v>138.37</v>
      </c>
      <c r="G40" s="13">
        <v>0</v>
      </c>
      <c r="H40" s="13">
        <v>18122.71</v>
      </c>
      <c r="I40" s="13">
        <v>121597.24</v>
      </c>
      <c r="J40" s="13">
        <v>1900</v>
      </c>
      <c r="K40" s="13">
        <v>32300</v>
      </c>
    </row>
    <row r="41" spans="1:11" x14ac:dyDescent="0.2">
      <c r="A41" t="s">
        <v>107</v>
      </c>
      <c r="B41" s="13">
        <v>16920.36</v>
      </c>
      <c r="C41" s="13">
        <v>1063.98</v>
      </c>
      <c r="D41" s="14">
        <v>1.7500000000000002E-2</v>
      </c>
      <c r="E41" s="13">
        <v>17984.34</v>
      </c>
      <c r="F41" s="13">
        <v>121.6</v>
      </c>
      <c r="G41" s="13">
        <v>0</v>
      </c>
      <c r="H41" s="13">
        <v>18105.939999999999</v>
      </c>
      <c r="I41" s="13">
        <v>104676.88</v>
      </c>
      <c r="J41" s="13">
        <v>0</v>
      </c>
      <c r="K41" s="13">
        <v>32300</v>
      </c>
    </row>
    <row r="42" spans="1:11" x14ac:dyDescent="0.2">
      <c r="A42" t="s">
        <v>108</v>
      </c>
      <c r="B42" s="13">
        <v>17068.419999999998</v>
      </c>
      <c r="C42" s="13">
        <v>915.92</v>
      </c>
      <c r="D42" s="14">
        <v>1.7500000000000002E-2</v>
      </c>
      <c r="E42" s="13">
        <v>17984.34</v>
      </c>
      <c r="F42" s="13">
        <v>104.68</v>
      </c>
      <c r="G42" s="13">
        <v>0</v>
      </c>
      <c r="H42" s="13">
        <v>18089.02</v>
      </c>
      <c r="I42" s="13">
        <v>87608.46</v>
      </c>
      <c r="J42" s="13">
        <v>1900</v>
      </c>
      <c r="K42" s="13">
        <v>34200</v>
      </c>
    </row>
    <row r="43" spans="1:11" x14ac:dyDescent="0.2">
      <c r="A43" t="s">
        <v>109</v>
      </c>
      <c r="B43" s="13">
        <v>17217.759999999998</v>
      </c>
      <c r="C43" s="13">
        <v>766.58</v>
      </c>
      <c r="D43" s="14">
        <v>1.7500000000000002E-2</v>
      </c>
      <c r="E43" s="13">
        <v>17984.34</v>
      </c>
      <c r="F43" s="13">
        <v>87.61</v>
      </c>
      <c r="G43" s="13">
        <v>0</v>
      </c>
      <c r="H43" s="13">
        <v>18071.95</v>
      </c>
      <c r="I43" s="13">
        <v>70390.7</v>
      </c>
      <c r="J43" s="13">
        <v>0</v>
      </c>
      <c r="K43" s="13">
        <v>34200</v>
      </c>
    </row>
    <row r="44" spans="1:11" x14ac:dyDescent="0.2">
      <c r="A44" t="s">
        <v>110</v>
      </c>
      <c r="B44" s="13">
        <v>17368.419999999998</v>
      </c>
      <c r="C44" s="13">
        <v>615.91999999999996</v>
      </c>
      <c r="D44" s="14">
        <v>1.7500000000000002E-2</v>
      </c>
      <c r="E44" s="13">
        <v>17984.34</v>
      </c>
      <c r="F44" s="13">
        <v>70.39</v>
      </c>
      <c r="G44" s="13">
        <v>0</v>
      </c>
      <c r="H44" s="13">
        <v>18054.73</v>
      </c>
      <c r="I44" s="13">
        <v>53022.28</v>
      </c>
      <c r="J44" s="13">
        <v>1900</v>
      </c>
      <c r="K44" s="13">
        <v>36100</v>
      </c>
    </row>
    <row r="45" spans="1:11" x14ac:dyDescent="0.2">
      <c r="A45" t="s">
        <v>111</v>
      </c>
      <c r="B45" s="13">
        <v>17520.400000000001</v>
      </c>
      <c r="C45" s="13">
        <v>463.94</v>
      </c>
      <c r="D45" s="14">
        <v>1.7500000000000002E-2</v>
      </c>
      <c r="E45" s="13">
        <v>17984.34</v>
      </c>
      <c r="F45" s="13">
        <v>53.02</v>
      </c>
      <c r="G45" s="13">
        <v>0</v>
      </c>
      <c r="H45" s="13">
        <v>18037.36</v>
      </c>
      <c r="I45" s="13">
        <v>35501.879999999997</v>
      </c>
      <c r="J45" s="13">
        <v>0</v>
      </c>
      <c r="K45" s="13">
        <v>36100</v>
      </c>
    </row>
    <row r="46" spans="1:11" x14ac:dyDescent="0.2">
      <c r="A46" t="s">
        <v>112</v>
      </c>
      <c r="B46" s="13">
        <v>17673.7</v>
      </c>
      <c r="C46" s="13">
        <v>310.64</v>
      </c>
      <c r="D46" s="14">
        <v>1.7500000000000002E-2</v>
      </c>
      <c r="E46" s="13">
        <v>17984.34</v>
      </c>
      <c r="F46" s="13">
        <v>35.51</v>
      </c>
      <c r="G46" s="13">
        <v>0</v>
      </c>
      <c r="H46" s="13">
        <v>18019.849999999999</v>
      </c>
      <c r="I46" s="13">
        <v>17828.18</v>
      </c>
      <c r="J46" s="13">
        <v>1900</v>
      </c>
      <c r="K46" s="13">
        <v>38000</v>
      </c>
    </row>
    <row r="47" spans="1:11" x14ac:dyDescent="0.2">
      <c r="A47" t="s">
        <v>113</v>
      </c>
      <c r="B47" s="13">
        <v>17828.18</v>
      </c>
      <c r="C47" s="13">
        <v>156.16</v>
      </c>
      <c r="D47" s="14">
        <v>1.7500000000000002E-2</v>
      </c>
      <c r="E47" s="13">
        <v>17984.34</v>
      </c>
      <c r="F47" s="13">
        <v>17.829999999999998</v>
      </c>
      <c r="G47" s="13">
        <v>0</v>
      </c>
      <c r="H47" s="13">
        <v>18002.169999999998</v>
      </c>
      <c r="I47" s="13">
        <v>0</v>
      </c>
      <c r="J47" s="13">
        <v>0</v>
      </c>
      <c r="K47" s="13">
        <v>38000</v>
      </c>
    </row>
    <row r="48" spans="1:11" x14ac:dyDescent="0.2">
      <c r="A48" t="s">
        <v>114</v>
      </c>
      <c r="B48" s="13">
        <v>604132</v>
      </c>
      <c r="C48" s="13">
        <v>114388.86</v>
      </c>
      <c r="D48" s="12"/>
      <c r="E48" s="13">
        <v>718520.86</v>
      </c>
      <c r="F48" s="13">
        <v>13038.75</v>
      </c>
      <c r="G48" s="13">
        <v>0</v>
      </c>
      <c r="H48" s="13">
        <v>731559.61</v>
      </c>
      <c r="I48" s="12"/>
      <c r="J48" s="13">
        <v>38000</v>
      </c>
      <c r="K48" s="12"/>
    </row>
    <row r="49" spans="1:2" x14ac:dyDescent="0.2">
      <c r="A49" t="s">
        <v>133</v>
      </c>
      <c r="B49" t="s">
        <v>134</v>
      </c>
    </row>
    <row r="50" spans="1:2" x14ac:dyDescent="0.2">
      <c r="A50" t="s">
        <v>135</v>
      </c>
    </row>
  </sheetData>
  <pageMargins left="0.7" right="0.7" top="0.75" bottom="0.75" header="0.3" footer="0.3"/>
  <ignoredErrors>
    <ignoredError sqref="A8:A4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7EA341-E6D0-4858-9EC5-505D87C36E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SAO</vt:lpstr>
      <vt:lpstr>RR-DC</vt:lpstr>
      <vt:lpstr>RR-OR</vt:lpstr>
      <vt:lpstr>Dep</vt:lpstr>
      <vt:lpstr>AvgDebt</vt:lpstr>
      <vt:lpstr>Salaries</vt:lpstr>
      <vt:lpstr>WaterLoss</vt:lpstr>
      <vt:lpstr>BAE</vt:lpstr>
      <vt:lpstr>BAP</vt:lpstr>
      <vt:lpstr>ProposedRates</vt:lpstr>
      <vt:lpstr>USDALoan</vt:lpstr>
      <vt:lpstr>KIA#B17-011</vt:lpstr>
      <vt:lpstr>BAE!Print_Area</vt:lpstr>
      <vt:lpstr>BAP!Print_Area</vt:lpstr>
      <vt:lpstr>ProposedRates!Print_Area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P. Foster</dc:creator>
  <cp:lastModifiedBy>Tina Frederick</cp:lastModifiedBy>
  <cp:lastPrinted>2026-07-30T21:01:31Z</cp:lastPrinted>
  <dcterms:created xsi:type="dcterms:W3CDTF">2025-06-05T14:42:58Z</dcterms:created>
  <dcterms:modified xsi:type="dcterms:W3CDTF">2026-10-07T04:01:47Z</dcterms:modified>
</cp:coreProperties>
</file>