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8595\Desktop\KRWA\Green-Taylor WD\RFI 1 GTWD\"/>
    </mc:Choice>
  </mc:AlternateContent>
  <xr:revisionPtr revIDLastSave="0" documentId="8_{6E263366-FFD5-4312-BAB0-7330CE66AED2}" xr6:coauthVersionLast="47" xr6:coauthVersionMax="47" xr10:uidLastSave="{00000000-0000-0000-0000-000000000000}"/>
  <bookViews>
    <workbookView xWindow="-110" yWindow="-110" windowWidth="19420" windowHeight="10300" xr2:uid="{24FAE211-ED89-4E11-99FD-2F3EAE2415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5" i="1" l="1"/>
  <c r="H44" i="1"/>
  <c r="H41" i="1"/>
  <c r="H37" i="1"/>
  <c r="H36" i="1"/>
  <c r="M26" i="1"/>
  <c r="L22" i="1"/>
  <c r="J22" i="1"/>
  <c r="D22" i="1"/>
  <c r="M20" i="1"/>
  <c r="M19" i="1"/>
  <c r="M18" i="1"/>
  <c r="L17" i="1"/>
  <c r="K17" i="1"/>
  <c r="J17" i="1"/>
  <c r="I17" i="1"/>
  <c r="H17" i="1"/>
  <c r="G17" i="1"/>
  <c r="F17" i="1"/>
  <c r="E17" i="1"/>
  <c r="M17" i="1" s="1"/>
  <c r="D17" i="1"/>
  <c r="C17" i="1"/>
  <c r="L16" i="1"/>
  <c r="J16" i="1"/>
  <c r="M16" i="1" s="1"/>
  <c r="H16" i="1"/>
  <c r="F16" i="1"/>
  <c r="D16" i="1"/>
  <c r="L15" i="1"/>
  <c r="K15" i="1"/>
  <c r="K22" i="1" s="1"/>
  <c r="J15" i="1"/>
  <c r="I15" i="1"/>
  <c r="I22" i="1" s="1"/>
  <c r="H15" i="1"/>
  <c r="H22" i="1" s="1"/>
  <c r="G15" i="1"/>
  <c r="G22" i="1" s="1"/>
  <c r="F15" i="1"/>
  <c r="F22" i="1" s="1"/>
  <c r="E15" i="1"/>
  <c r="E22" i="1" s="1"/>
  <c r="D15" i="1"/>
  <c r="C15" i="1"/>
  <c r="M15" i="1" s="1"/>
  <c r="M22" i="1" s="1"/>
  <c r="M25" i="1" s="1"/>
  <c r="M27" i="1" s="1"/>
  <c r="C22" i="1" l="1"/>
</calcChain>
</file>

<file path=xl/sharedStrings.xml><?xml version="1.0" encoding="utf-8"?>
<sst xmlns="http://schemas.openxmlformats.org/spreadsheetml/2006/main" count="48" uniqueCount="34">
  <si>
    <t>Table B</t>
  </si>
  <si>
    <t>CY 2027 - 2031</t>
  </si>
  <si>
    <t>CY 2027</t>
  </si>
  <si>
    <t>CY 2028</t>
  </si>
  <si>
    <t>CY 2029</t>
  </si>
  <si>
    <t>CY 2030</t>
  </si>
  <si>
    <t>CY 2031</t>
  </si>
  <si>
    <t>Interest</t>
  </si>
  <si>
    <t>Principal</t>
  </si>
  <si>
    <t>&amp; Fees</t>
  </si>
  <si>
    <t>TOTALS</t>
  </si>
  <si>
    <t>F18-05</t>
  </si>
  <si>
    <t>KACFC</t>
  </si>
  <si>
    <t>F19-018</t>
  </si>
  <si>
    <t>Average Annual Principal &amp; Interest</t>
  </si>
  <si>
    <t>Average Annual Interest Expense</t>
  </si>
  <si>
    <t>Average Annual Coverage</t>
  </si>
  <si>
    <t>REVENUE REQUIREMENTS USING OPERATING RATIO METHOD</t>
  </si>
  <si>
    <t>Pro Forma Operating Expenses</t>
  </si>
  <si>
    <t>Divided by:  Operating Ratio</t>
  </si>
  <si>
    <t xml:space="preserve">  Subtotal</t>
  </si>
  <si>
    <t>Plus:</t>
  </si>
  <si>
    <t>Interest Expense</t>
  </si>
  <si>
    <t>Total Revenue Requirement</t>
  </si>
  <si>
    <t>Less:</t>
  </si>
  <si>
    <t>Other Operating Revenue</t>
  </si>
  <si>
    <t>Interest and Dividend Income</t>
  </si>
  <si>
    <t>Non-Utility Income</t>
  </si>
  <si>
    <t>Revenue Required From Sales of Water</t>
  </si>
  <si>
    <t>Revenue from Sales with Present Rates</t>
  </si>
  <si>
    <t>Required Revenue Increase</t>
  </si>
  <si>
    <t>Percent Increase</t>
  </si>
  <si>
    <t>GREEN-TAYLOR WATER DISTRICT</t>
  </si>
  <si>
    <t>REVISED DEBT SERVICE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</si>
</sst>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4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u val="singleAccounting"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8">
    <xf numFmtId="0" fontId="0" fillId="0" borderId="0" xfId="0"/>
    <xf numFmtId="164" fontId="4" fillId="0" borderId="1" xfId="3" applyNumberFormat="1" applyFont="1" applyBorder="1"/>
    <xf numFmtId="164" fontId="4" fillId="0" borderId="2" xfId="3" applyNumberFormat="1" applyFont="1" applyBorder="1"/>
    <xf numFmtId="164" fontId="4" fillId="0" borderId="3" xfId="3" applyNumberFormat="1" applyFont="1" applyBorder="1"/>
    <xf numFmtId="164" fontId="5" fillId="0" borderId="4" xfId="3" applyNumberFormat="1" applyFont="1" applyBorder="1" applyAlignment="1">
      <alignment horizontal="centerContinuous"/>
    </xf>
    <xf numFmtId="164" fontId="6" fillId="0" borderId="0" xfId="3" applyNumberFormat="1" applyFont="1" applyAlignment="1">
      <alignment horizontal="centerContinuous"/>
    </xf>
    <xf numFmtId="164" fontId="4" fillId="0" borderId="5" xfId="3" applyNumberFormat="1" applyFont="1" applyBorder="1"/>
    <xf numFmtId="164" fontId="7" fillId="0" borderId="4" xfId="3" applyNumberFormat="1" applyFont="1" applyBorder="1" applyAlignment="1">
      <alignment horizontal="centerContinuous"/>
    </xf>
    <xf numFmtId="164" fontId="8" fillId="0" borderId="0" xfId="3" applyNumberFormat="1" applyFont="1" applyAlignment="1">
      <alignment horizontal="centerContinuous"/>
    </xf>
    <xf numFmtId="164" fontId="10" fillId="0" borderId="4" xfId="3" applyNumberFormat="1" applyFont="1" applyBorder="1" applyAlignment="1">
      <alignment horizontal="centerContinuous"/>
    </xf>
    <xf numFmtId="164" fontId="4" fillId="0" borderId="0" xfId="3" applyNumberFormat="1" applyFont="1" applyAlignment="1">
      <alignment horizontal="centerContinuous"/>
    </xf>
    <xf numFmtId="164" fontId="4" fillId="0" borderId="4" xfId="3" applyNumberFormat="1" applyFont="1" applyBorder="1" applyAlignment="1">
      <alignment horizontal="centerContinuous"/>
    </xf>
    <xf numFmtId="164" fontId="4" fillId="0" borderId="6" xfId="3" applyNumberFormat="1" applyFont="1" applyBorder="1" applyAlignment="1">
      <alignment horizontal="left"/>
    </xf>
    <xf numFmtId="164" fontId="4" fillId="0" borderId="1" xfId="3" applyNumberFormat="1" applyFont="1" applyBorder="1" applyAlignment="1">
      <alignment horizontal="left"/>
    </xf>
    <xf numFmtId="164" fontId="4" fillId="0" borderId="2" xfId="3" applyNumberFormat="1" applyFont="1" applyBorder="1" applyAlignment="1">
      <alignment horizontal="left"/>
    </xf>
    <xf numFmtId="164" fontId="4" fillId="0" borderId="3" xfId="3" applyNumberFormat="1" applyFont="1" applyBorder="1" applyAlignment="1">
      <alignment horizontal="left"/>
    </xf>
    <xf numFmtId="164" fontId="4" fillId="0" borderId="7" xfId="3" applyNumberFormat="1" applyFont="1" applyBorder="1"/>
    <xf numFmtId="164" fontId="11" fillId="0" borderId="4" xfId="3" applyNumberFormat="1" applyFont="1" applyBorder="1" applyAlignment="1">
      <alignment horizontal="center" vertical="center"/>
    </xf>
    <xf numFmtId="164" fontId="11" fillId="0" borderId="5" xfId="3" applyNumberFormat="1" applyFont="1" applyBorder="1" applyAlignment="1">
      <alignment horizontal="center" vertical="center"/>
    </xf>
    <xf numFmtId="164" fontId="4" fillId="0" borderId="0" xfId="3" applyNumberFormat="1" applyFont="1"/>
    <xf numFmtId="164" fontId="11" fillId="0" borderId="0" xfId="3" applyNumberFormat="1" applyFont="1" applyAlignment="1">
      <alignment horizontal="center" vertical="center"/>
    </xf>
    <xf numFmtId="164" fontId="6" fillId="0" borderId="5" xfId="3" applyNumberFormat="1" applyFont="1" applyBorder="1" applyAlignment="1">
      <alignment horizontal="center" vertical="center"/>
    </xf>
    <xf numFmtId="164" fontId="6" fillId="0" borderId="0" xfId="3" applyNumberFormat="1" applyFont="1" applyAlignment="1">
      <alignment horizontal="center" vertical="center"/>
    </xf>
    <xf numFmtId="164" fontId="11" fillId="0" borderId="5" xfId="3" applyNumberFormat="1" applyFont="1" applyBorder="1" applyAlignment="1">
      <alignment horizontal="center" vertical="center"/>
    </xf>
    <xf numFmtId="164" fontId="11" fillId="0" borderId="0" xfId="3" applyNumberFormat="1" applyFont="1" applyBorder="1" applyAlignment="1">
      <alignment horizontal="center" vertical="center"/>
    </xf>
    <xf numFmtId="164" fontId="4" fillId="0" borderId="7" xfId="3" applyNumberFormat="1" applyFont="1" applyBorder="1" applyAlignment="1">
      <alignment horizontal="left"/>
    </xf>
    <xf numFmtId="164" fontId="4" fillId="0" borderId="4" xfId="3" applyNumberFormat="1" applyFont="1" applyFill="1" applyBorder="1" applyAlignment="1">
      <alignment horizontal="center"/>
    </xf>
    <xf numFmtId="164" fontId="4" fillId="0" borderId="0" xfId="3" applyNumberFormat="1" applyFont="1" applyFill="1" applyAlignment="1">
      <alignment horizontal="center"/>
    </xf>
    <xf numFmtId="164" fontId="4" fillId="0" borderId="5" xfId="3" applyNumberFormat="1" applyFont="1" applyFill="1" applyBorder="1" applyAlignment="1">
      <alignment horizontal="center"/>
    </xf>
    <xf numFmtId="165" fontId="4" fillId="0" borderId="0" xfId="4" quotePrefix="1" applyNumberFormat="1" applyFont="1" applyFill="1" applyBorder="1" applyAlignment="1">
      <alignment horizontal="center"/>
    </xf>
    <xf numFmtId="164" fontId="4" fillId="0" borderId="4" xfId="3" applyNumberFormat="1" applyFont="1" applyBorder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5" xfId="3" applyNumberFormat="1" applyFont="1" applyBorder="1" applyAlignment="1">
      <alignment horizontal="center"/>
    </xf>
    <xf numFmtId="164" fontId="4" fillId="0" borderId="0" xfId="3" quotePrefix="1" applyNumberFormat="1" applyFont="1" applyBorder="1" applyAlignment="1">
      <alignment horizontal="center"/>
    </xf>
    <xf numFmtId="164" fontId="4" fillId="0" borderId="7" xfId="3" quotePrefix="1" applyNumberFormat="1" applyFont="1" applyBorder="1" applyAlignment="1">
      <alignment horizontal="center"/>
    </xf>
    <xf numFmtId="164" fontId="4" fillId="0" borderId="4" xfId="3" quotePrefix="1" applyNumberFormat="1" applyFont="1" applyBorder="1" applyAlignment="1">
      <alignment horizontal="left"/>
    </xf>
    <xf numFmtId="164" fontId="4" fillId="0" borderId="0" xfId="3" quotePrefix="1" applyNumberFormat="1" applyFont="1" applyAlignment="1">
      <alignment horizontal="left"/>
    </xf>
    <xf numFmtId="164" fontId="4" fillId="0" borderId="5" xfId="3" quotePrefix="1" applyNumberFormat="1" applyFont="1" applyBorder="1" applyAlignment="1">
      <alignment horizontal="left"/>
    </xf>
    <xf numFmtId="164" fontId="6" fillId="0" borderId="4" xfId="3" applyNumberFormat="1" applyFont="1" applyBorder="1" applyAlignment="1">
      <alignment horizontal="center"/>
    </xf>
    <xf numFmtId="164" fontId="6" fillId="0" borderId="4" xfId="3" quotePrefix="1" applyNumberFormat="1" applyFont="1" applyBorder="1" applyAlignment="1">
      <alignment horizontal="left"/>
    </xf>
    <xf numFmtId="164" fontId="6" fillId="0" borderId="0" xfId="3" quotePrefix="1" applyNumberFormat="1" applyFont="1" applyAlignment="1">
      <alignment horizontal="left"/>
    </xf>
    <xf numFmtId="164" fontId="6" fillId="0" borderId="5" xfId="3" quotePrefix="1" applyNumberFormat="1" applyFont="1" applyBorder="1" applyAlignment="1">
      <alignment horizontal="left"/>
    </xf>
    <xf numFmtId="165" fontId="6" fillId="0" borderId="0" xfId="4" quotePrefix="1" applyNumberFormat="1" applyFont="1" applyBorder="1" applyAlignment="1">
      <alignment horizontal="left"/>
    </xf>
    <xf numFmtId="164" fontId="6" fillId="0" borderId="8" xfId="3" applyNumberFormat="1" applyFont="1" applyBorder="1" applyAlignment="1">
      <alignment horizontal="right"/>
    </xf>
    <xf numFmtId="164" fontId="6" fillId="0" borderId="9" xfId="3" applyNumberFormat="1" applyFont="1" applyBorder="1" applyAlignment="1">
      <alignment horizontal="right"/>
    </xf>
    <xf numFmtId="164" fontId="6" fillId="0" borderId="10" xfId="3" applyNumberFormat="1" applyFont="1" applyBorder="1" applyAlignment="1">
      <alignment horizontal="right"/>
    </xf>
    <xf numFmtId="164" fontId="6" fillId="0" borderId="11" xfId="3" applyNumberFormat="1" applyFont="1" applyBorder="1" applyAlignment="1">
      <alignment horizontal="right"/>
    </xf>
    <xf numFmtId="164" fontId="6" fillId="0" borderId="5" xfId="3" applyNumberFormat="1" applyFont="1" applyBorder="1" applyAlignment="1">
      <alignment horizontal="right"/>
    </xf>
    <xf numFmtId="164" fontId="4" fillId="0" borderId="11" xfId="3" applyNumberFormat="1" applyFont="1" applyBorder="1"/>
    <xf numFmtId="164" fontId="6" fillId="0" borderId="4" xfId="3" applyNumberFormat="1" applyFont="1" applyBorder="1" applyAlignment="1">
      <alignment horizontal="right"/>
    </xf>
    <xf numFmtId="164" fontId="6" fillId="0" borderId="0" xfId="3" applyNumberFormat="1" applyFont="1" applyAlignment="1">
      <alignment horizontal="right"/>
    </xf>
    <xf numFmtId="164" fontId="6" fillId="0" borderId="2" xfId="3" applyNumberFormat="1" applyFont="1" applyBorder="1" applyAlignment="1">
      <alignment horizontal="right"/>
    </xf>
    <xf numFmtId="164" fontId="6" fillId="0" borderId="4" xfId="3" applyNumberFormat="1" applyFont="1" applyBorder="1"/>
    <xf numFmtId="165" fontId="6" fillId="0" borderId="0" xfId="4" applyNumberFormat="1" applyFont="1"/>
    <xf numFmtId="164" fontId="6" fillId="0" borderId="0" xfId="3" applyNumberFormat="1" applyFont="1"/>
    <xf numFmtId="164" fontId="6" fillId="0" borderId="0" xfId="3" applyNumberFormat="1" applyFont="1" applyBorder="1"/>
    <xf numFmtId="165" fontId="6" fillId="0" borderId="0" xfId="4" applyNumberFormat="1" applyFont="1" applyBorder="1"/>
    <xf numFmtId="164" fontId="4" fillId="0" borderId="4" xfId="3" applyNumberFormat="1" applyFont="1" applyBorder="1"/>
    <xf numFmtId="164" fontId="4" fillId="0" borderId="0" xfId="3" applyNumberFormat="1" applyFont="1" applyBorder="1"/>
    <xf numFmtId="164" fontId="4" fillId="0" borderId="9" xfId="3" applyNumberFormat="1" applyFont="1" applyBorder="1" applyAlignment="1">
      <alignment horizontal="center"/>
    </xf>
    <xf numFmtId="164" fontId="4" fillId="0" borderId="10" xfId="3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1" applyNumberFormat="1" applyFont="1"/>
    <xf numFmtId="165" fontId="0" fillId="0" borderId="0" xfId="0" applyNumberFormat="1"/>
    <xf numFmtId="164" fontId="0" fillId="0" borderId="0" xfId="0" applyNumberFormat="1"/>
    <xf numFmtId="10" fontId="0" fillId="0" borderId="0" xfId="2" applyNumberFormat="1" applyFont="1"/>
    <xf numFmtId="3" fontId="9" fillId="0" borderId="4" xfId="0" applyNumberFormat="1" applyFont="1" applyBorder="1" applyAlignment="1">
      <alignment horizontal="center" vertical="center"/>
    </xf>
    <xf numFmtId="3" fontId="9" fillId="0" borderId="0" xfId="0" applyNumberFormat="1" applyFont="1" applyBorder="1" applyAlignment="1">
      <alignment horizontal="center" vertical="center"/>
    </xf>
  </cellXfs>
  <cellStyles count="5">
    <cellStyle name="Comma" xfId="1" builtinId="3"/>
    <cellStyle name="Comma 2" xfId="3" xr:uid="{24D6462D-6649-4B72-B659-C09A4F721DF5}"/>
    <cellStyle name="Currency 2" xfId="4" xr:uid="{790FC7D7-6601-4188-A9D7-C1A6A395F984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5599-5C37-4924-82DF-65B3355A7884}">
  <dimension ref="B5:N45"/>
  <sheetViews>
    <sheetView tabSelected="1" workbookViewId="0">
      <selection activeCell="C7" sqref="C7"/>
    </sheetView>
  </sheetViews>
  <sheetFormatPr defaultRowHeight="14.5" x14ac:dyDescent="0.35"/>
  <cols>
    <col min="2" max="2" width="13.7265625" customWidth="1"/>
    <col min="3" max="3" width="10.54296875" customWidth="1"/>
    <col min="8" max="8" width="12.7265625" bestFit="1" customWidth="1"/>
    <col min="13" max="13" width="12.1796875" customWidth="1"/>
  </cols>
  <sheetData>
    <row r="5" spans="2:14" x14ac:dyDescent="0.3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2:14" ht="18.5" x14ac:dyDescent="0.45">
      <c r="B6" s="4" t="s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"/>
    </row>
    <row r="7" spans="2:14" ht="18.5" x14ac:dyDescent="0.45">
      <c r="B7" s="7" t="s">
        <v>33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6"/>
    </row>
    <row r="8" spans="2:14" ht="16" x14ac:dyDescent="0.35">
      <c r="B8" s="66" t="s">
        <v>32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"/>
    </row>
    <row r="9" spans="2:14" ht="16" x14ac:dyDescent="0.4">
      <c r="B9" s="9" t="s">
        <v>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6"/>
    </row>
    <row r="10" spans="2:14" x14ac:dyDescent="0.35">
      <c r="B10" s="11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6"/>
    </row>
    <row r="11" spans="2:14" x14ac:dyDescent="0.35">
      <c r="B11" s="12"/>
      <c r="C11" s="13"/>
      <c r="D11" s="14"/>
      <c r="E11" s="13"/>
      <c r="F11" s="15"/>
      <c r="G11" s="13"/>
      <c r="H11" s="15"/>
      <c r="I11" s="13"/>
      <c r="J11" s="15"/>
      <c r="K11" s="13"/>
      <c r="L11" s="15"/>
      <c r="M11" s="14"/>
      <c r="N11" s="3"/>
    </row>
    <row r="12" spans="2:14" ht="16" x14ac:dyDescent="0.35">
      <c r="B12" s="16"/>
      <c r="C12" s="17" t="s">
        <v>2</v>
      </c>
      <c r="D12" s="18"/>
      <c r="E12" s="17" t="s">
        <v>3</v>
      </c>
      <c r="F12" s="18"/>
      <c r="G12" s="17" t="s">
        <v>4</v>
      </c>
      <c r="H12" s="18"/>
      <c r="I12" s="17" t="s">
        <v>5</v>
      </c>
      <c r="J12" s="18"/>
      <c r="K12" s="17" t="s">
        <v>6</v>
      </c>
      <c r="L12" s="18"/>
      <c r="M12" s="19"/>
      <c r="N12" s="6"/>
    </row>
    <row r="13" spans="2:14" ht="16" x14ac:dyDescent="0.35">
      <c r="B13" s="16"/>
      <c r="C13" s="20"/>
      <c r="D13" s="21" t="s">
        <v>7</v>
      </c>
      <c r="E13" s="22"/>
      <c r="F13" s="21" t="s">
        <v>7</v>
      </c>
      <c r="G13" s="22"/>
      <c r="H13" s="21" t="s">
        <v>7</v>
      </c>
      <c r="I13" s="22"/>
      <c r="J13" s="21" t="s">
        <v>7</v>
      </c>
      <c r="K13" s="22"/>
      <c r="L13" s="21" t="s">
        <v>7</v>
      </c>
      <c r="M13" s="19"/>
      <c r="N13" s="6"/>
    </row>
    <row r="14" spans="2:14" ht="16" x14ac:dyDescent="0.35">
      <c r="B14" s="16"/>
      <c r="C14" s="20" t="s">
        <v>8</v>
      </c>
      <c r="D14" s="23" t="s">
        <v>9</v>
      </c>
      <c r="E14" s="20" t="s">
        <v>8</v>
      </c>
      <c r="F14" s="23" t="s">
        <v>9</v>
      </c>
      <c r="G14" s="20" t="s">
        <v>8</v>
      </c>
      <c r="H14" s="23" t="s">
        <v>9</v>
      </c>
      <c r="I14" s="20" t="s">
        <v>8</v>
      </c>
      <c r="J14" s="23" t="s">
        <v>9</v>
      </c>
      <c r="K14" s="20" t="s">
        <v>8</v>
      </c>
      <c r="L14" s="23" t="s">
        <v>9</v>
      </c>
      <c r="M14" s="24" t="s">
        <v>10</v>
      </c>
      <c r="N14" s="6"/>
    </row>
    <row r="15" spans="2:14" x14ac:dyDescent="0.35">
      <c r="B15" s="25" t="s">
        <v>11</v>
      </c>
      <c r="C15" s="26">
        <f>46552.52+46959.85</f>
        <v>93512.37</v>
      </c>
      <c r="D15" s="27">
        <f>11834.38+11427.05+1690.63+1632.44</f>
        <v>26584.5</v>
      </c>
      <c r="E15" s="26">
        <f>47370.75+47785.24</f>
        <v>95155.989999999991</v>
      </c>
      <c r="F15" s="28">
        <f>11016.15+10601.66+1573.74+1514.52</f>
        <v>24706.07</v>
      </c>
      <c r="G15" s="26">
        <f>48203.37+48625.14</f>
        <v>96828.510000000009</v>
      </c>
      <c r="H15" s="28">
        <f>10183.53+9761.76+1454.79+1394.54</f>
        <v>22794.620000000003</v>
      </c>
      <c r="I15" s="26">
        <f>49050.61+49479.81</f>
        <v>98530.42</v>
      </c>
      <c r="J15" s="28">
        <f>9336.29+8907.09+1333.76+1272.44</f>
        <v>20849.579999999998</v>
      </c>
      <c r="K15" s="26">
        <f>49912.76+50349.49</f>
        <v>100262.25</v>
      </c>
      <c r="L15" s="28">
        <f>8474.14+8037.41+1210.59+1148.2</f>
        <v>18870.34</v>
      </c>
      <c r="M15" s="29">
        <f t="shared" ref="M15:M20" si="0">SUM(C15:L15)</f>
        <v>598094.65</v>
      </c>
      <c r="N15" s="6"/>
    </row>
    <row r="16" spans="2:14" x14ac:dyDescent="0.35">
      <c r="B16" s="25" t="s">
        <v>12</v>
      </c>
      <c r="C16" s="30">
        <v>200000</v>
      </c>
      <c r="D16" s="31">
        <f>18783.35+13783.35+3162.5</f>
        <v>35729.199999999997</v>
      </c>
      <c r="E16" s="30">
        <v>65000</v>
      </c>
      <c r="F16" s="32">
        <f>13783.35+12158.35+2662.5</f>
        <v>28604.2</v>
      </c>
      <c r="G16" s="30">
        <v>65000</v>
      </c>
      <c r="H16" s="32">
        <f>12158.35+10858.35+2500</f>
        <v>25516.7</v>
      </c>
      <c r="I16" s="30">
        <v>70000</v>
      </c>
      <c r="J16" s="32">
        <f>10858.35+9458.35+2337.5</f>
        <v>22654.2</v>
      </c>
      <c r="K16" s="30">
        <v>75000</v>
      </c>
      <c r="L16" s="32">
        <f>9458.35+7958.35+2162.5</f>
        <v>19579.2</v>
      </c>
      <c r="M16" s="33">
        <f t="shared" si="0"/>
        <v>607083.5</v>
      </c>
      <c r="N16" s="6"/>
    </row>
    <row r="17" spans="2:14" x14ac:dyDescent="0.35">
      <c r="B17" s="25" t="s">
        <v>13</v>
      </c>
      <c r="C17" s="30">
        <f>12138.36+12259.74</f>
        <v>24398.1</v>
      </c>
      <c r="D17" s="31">
        <f>5056.87+4935.49+632.11+616.94</f>
        <v>11241.410000000002</v>
      </c>
      <c r="E17" s="30">
        <f>12382.34+12506.16</f>
        <v>24888.5</v>
      </c>
      <c r="F17" s="32">
        <f>4812.89+4689.07+601.61+586.13</f>
        <v>10689.699999999999</v>
      </c>
      <c r="G17" s="30">
        <f>12631.22+12757.53</f>
        <v>25388.75</v>
      </c>
      <c r="H17" s="32">
        <f>4564.01+4437.7+570.5+554.71</f>
        <v>10126.919999999998</v>
      </c>
      <c r="I17" s="30">
        <f>12885.11+13013.96</f>
        <v>25899.07</v>
      </c>
      <c r="J17" s="32">
        <f>4310.12+4181.27+538.76+522.66</f>
        <v>9552.81</v>
      </c>
      <c r="K17" s="30">
        <f>13144.1+13275.54</f>
        <v>26419.64</v>
      </c>
      <c r="L17" s="32">
        <f>4051.13+3919.69+506.39+489.96</f>
        <v>8967.1699999999983</v>
      </c>
      <c r="M17" s="33">
        <f t="shared" si="0"/>
        <v>177572.07</v>
      </c>
      <c r="N17" s="6"/>
    </row>
    <row r="18" spans="2:14" x14ac:dyDescent="0.35">
      <c r="B18" s="25"/>
      <c r="C18" s="30"/>
      <c r="D18" s="31"/>
      <c r="E18" s="30"/>
      <c r="F18" s="32"/>
      <c r="G18" s="30"/>
      <c r="H18" s="32"/>
      <c r="I18" s="30"/>
      <c r="J18" s="32"/>
      <c r="K18" s="30"/>
      <c r="L18" s="32"/>
      <c r="M18" s="33">
        <f t="shared" si="0"/>
        <v>0</v>
      </c>
      <c r="N18" s="6"/>
    </row>
    <row r="19" spans="2:14" x14ac:dyDescent="0.35">
      <c r="B19" s="25"/>
      <c r="C19" s="30"/>
      <c r="D19" s="31"/>
      <c r="E19" s="30"/>
      <c r="F19" s="31"/>
      <c r="G19" s="30"/>
      <c r="H19" s="31"/>
      <c r="I19" s="30"/>
      <c r="J19" s="31"/>
      <c r="K19" s="30"/>
      <c r="L19" s="32"/>
      <c r="M19" s="33">
        <f t="shared" si="0"/>
        <v>0</v>
      </c>
      <c r="N19" s="6"/>
    </row>
    <row r="20" spans="2:14" x14ac:dyDescent="0.35">
      <c r="B20" s="25"/>
      <c r="C20" s="30"/>
      <c r="D20" s="31"/>
      <c r="E20" s="30"/>
      <c r="F20" s="31"/>
      <c r="G20" s="30"/>
      <c r="H20" s="31"/>
      <c r="I20" s="30"/>
      <c r="J20" s="31"/>
      <c r="K20" s="30"/>
      <c r="L20" s="32"/>
      <c r="M20" s="33">
        <f t="shared" si="0"/>
        <v>0</v>
      </c>
      <c r="N20" s="6"/>
    </row>
    <row r="21" spans="2:14" x14ac:dyDescent="0.35">
      <c r="B21" s="34"/>
      <c r="C21" s="35"/>
      <c r="D21" s="36"/>
      <c r="E21" s="35"/>
      <c r="F21" s="36"/>
      <c r="G21" s="35"/>
      <c r="H21" s="36"/>
      <c r="I21" s="35"/>
      <c r="J21" s="36"/>
      <c r="K21" s="35"/>
      <c r="L21" s="37"/>
      <c r="M21" s="33"/>
      <c r="N21" s="6"/>
    </row>
    <row r="22" spans="2:14" x14ac:dyDescent="0.35">
      <c r="B22" s="38" t="s">
        <v>10</v>
      </c>
      <c r="C22" s="39">
        <f t="shared" ref="C22:M22" si="1">SUM(C15:C21)</f>
        <v>317910.46999999997</v>
      </c>
      <c r="D22" s="40">
        <f t="shared" si="1"/>
        <v>73555.11</v>
      </c>
      <c r="E22" s="39">
        <f t="shared" si="1"/>
        <v>185044.49</v>
      </c>
      <c r="F22" s="41">
        <f t="shared" si="1"/>
        <v>63999.97</v>
      </c>
      <c r="G22" s="39">
        <f t="shared" si="1"/>
        <v>187217.26</v>
      </c>
      <c r="H22" s="41">
        <f t="shared" si="1"/>
        <v>58438.240000000005</v>
      </c>
      <c r="I22" s="39">
        <f t="shared" si="1"/>
        <v>194429.49</v>
      </c>
      <c r="J22" s="41">
        <f t="shared" si="1"/>
        <v>53056.59</v>
      </c>
      <c r="K22" s="39">
        <f t="shared" si="1"/>
        <v>201681.89</v>
      </c>
      <c r="L22" s="41">
        <f t="shared" si="1"/>
        <v>47416.71</v>
      </c>
      <c r="M22" s="42">
        <f t="shared" si="1"/>
        <v>1382750.22</v>
      </c>
      <c r="N22" s="6"/>
    </row>
    <row r="23" spans="2:14" x14ac:dyDescent="0.35">
      <c r="B23" s="43"/>
      <c r="C23" s="44"/>
      <c r="D23" s="45"/>
      <c r="E23" s="44"/>
      <c r="F23" s="46"/>
      <c r="G23" s="44"/>
      <c r="H23" s="46"/>
      <c r="I23" s="44"/>
      <c r="J23" s="47"/>
      <c r="K23" s="44"/>
      <c r="L23" s="46"/>
      <c r="M23" s="45"/>
      <c r="N23" s="48"/>
    </row>
    <row r="24" spans="2:14" x14ac:dyDescent="0.35">
      <c r="B24" s="49"/>
      <c r="C24" s="50"/>
      <c r="D24" s="50"/>
      <c r="E24" s="50"/>
      <c r="F24" s="50"/>
      <c r="G24" s="50"/>
      <c r="H24" s="50"/>
      <c r="I24" s="50"/>
      <c r="J24" s="51"/>
      <c r="K24" s="51"/>
      <c r="L24" s="51"/>
      <c r="M24" s="50"/>
      <c r="N24" s="6"/>
    </row>
    <row r="25" spans="2:14" x14ac:dyDescent="0.35">
      <c r="B25" s="52"/>
      <c r="C25" s="53"/>
      <c r="D25" s="54"/>
      <c r="E25" s="53"/>
      <c r="F25" s="53"/>
      <c r="G25" s="53"/>
      <c r="H25" s="53"/>
      <c r="I25" s="54" t="s">
        <v>14</v>
      </c>
      <c r="J25" s="19"/>
      <c r="K25" s="55"/>
      <c r="L25" s="56"/>
      <c r="M25" s="53">
        <f>M22/5</f>
        <v>276550.04399999999</v>
      </c>
      <c r="N25" s="6"/>
    </row>
    <row r="26" spans="2:14" x14ac:dyDescent="0.35">
      <c r="B26" s="57"/>
      <c r="C26" s="54"/>
      <c r="D26" s="19"/>
      <c r="E26" s="54"/>
      <c r="F26" s="54"/>
      <c r="G26" s="54"/>
      <c r="H26" s="54"/>
      <c r="I26" s="54" t="s">
        <v>15</v>
      </c>
      <c r="J26" s="19"/>
      <c r="K26" s="58"/>
      <c r="L26" s="55"/>
      <c r="M26" s="53">
        <f>(D22+F22+H22+J22+L22)/5</f>
        <v>59293.324000000001</v>
      </c>
      <c r="N26" s="6"/>
    </row>
    <row r="27" spans="2:14" x14ac:dyDescent="0.35">
      <c r="B27" s="52"/>
      <c r="C27" s="54"/>
      <c r="D27" s="54"/>
      <c r="E27" s="54"/>
      <c r="F27" s="54"/>
      <c r="G27" s="54"/>
      <c r="H27" s="54"/>
      <c r="I27" s="54" t="s">
        <v>16</v>
      </c>
      <c r="J27" s="19"/>
      <c r="K27" s="55"/>
      <c r="L27" s="54"/>
      <c r="M27" s="53">
        <f>M25*0.2</f>
        <v>55310.008800000003</v>
      </c>
      <c r="N27" s="6"/>
    </row>
    <row r="28" spans="2:14" x14ac:dyDescent="0.35">
      <c r="B28" s="59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48"/>
    </row>
    <row r="32" spans="2:14" x14ac:dyDescent="0.35">
      <c r="B32" s="61" t="s">
        <v>17</v>
      </c>
      <c r="C32" s="61"/>
      <c r="D32" s="61"/>
      <c r="E32" s="61"/>
      <c r="F32" s="61"/>
      <c r="G32" s="61"/>
      <c r="H32" s="61"/>
    </row>
    <row r="33" spans="2:8" x14ac:dyDescent="0.35">
      <c r="B33" t="s">
        <v>18</v>
      </c>
      <c r="H33" s="62">
        <v>2982024.5853623138</v>
      </c>
    </row>
    <row r="34" spans="2:8" x14ac:dyDescent="0.35">
      <c r="B34" t="s">
        <v>19</v>
      </c>
      <c r="H34">
        <v>0.88</v>
      </c>
    </row>
    <row r="35" spans="2:8" x14ac:dyDescent="0.35">
      <c r="B35" t="s">
        <v>20</v>
      </c>
      <c r="H35" s="62">
        <v>3388664.3015480838</v>
      </c>
    </row>
    <row r="36" spans="2:8" x14ac:dyDescent="0.35">
      <c r="B36" t="s">
        <v>21</v>
      </c>
      <c r="D36" t="s">
        <v>22</v>
      </c>
      <c r="H36" s="63">
        <f>M26</f>
        <v>59293.324000000001</v>
      </c>
    </row>
    <row r="37" spans="2:8" x14ac:dyDescent="0.35">
      <c r="B37" t="s">
        <v>23</v>
      </c>
      <c r="H37" s="64">
        <f>H35+H36</f>
        <v>3447957.6255480838</v>
      </c>
    </row>
    <row r="38" spans="2:8" x14ac:dyDescent="0.35">
      <c r="B38" t="s">
        <v>24</v>
      </c>
      <c r="D38" t="s">
        <v>25</v>
      </c>
      <c r="H38" s="62">
        <v>148584</v>
      </c>
    </row>
    <row r="39" spans="2:8" x14ac:dyDescent="0.35">
      <c r="D39" t="s">
        <v>26</v>
      </c>
      <c r="H39" s="62">
        <v>110468</v>
      </c>
    </row>
    <row r="40" spans="2:8" x14ac:dyDescent="0.35">
      <c r="D40" t="s">
        <v>27</v>
      </c>
      <c r="H40">
        <v>0</v>
      </c>
    </row>
    <row r="41" spans="2:8" x14ac:dyDescent="0.35">
      <c r="B41" t="s">
        <v>28</v>
      </c>
      <c r="H41" s="64">
        <f>H37-H38-H39-H40</f>
        <v>3188905.6255480838</v>
      </c>
    </row>
    <row r="42" spans="2:8" x14ac:dyDescent="0.35">
      <c r="B42" t="s">
        <v>24</v>
      </c>
      <c r="D42" t="s">
        <v>29</v>
      </c>
      <c r="H42" s="62">
        <v>3059318.35</v>
      </c>
    </row>
    <row r="44" spans="2:8" x14ac:dyDescent="0.35">
      <c r="B44" t="s">
        <v>30</v>
      </c>
      <c r="H44" s="64">
        <f>H41-H42</f>
        <v>129587.27554808371</v>
      </c>
    </row>
    <row r="45" spans="2:8" x14ac:dyDescent="0.35">
      <c r="B45" t="s">
        <v>31</v>
      </c>
      <c r="H45" s="65">
        <f>H44/H42</f>
        <v>4.23582186365416E-2</v>
      </c>
    </row>
  </sheetData>
  <mergeCells count="7">
    <mergeCell ref="B8:M8"/>
    <mergeCell ref="C12:D12"/>
    <mergeCell ref="E12:F12"/>
    <mergeCell ref="G12:H12"/>
    <mergeCell ref="I12:J12"/>
    <mergeCell ref="K12:L12"/>
    <mergeCell ref="B32:H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Reid</dc:creator>
  <cp:lastModifiedBy>Janet Reid</cp:lastModifiedBy>
  <dcterms:created xsi:type="dcterms:W3CDTF">2026-08-25T14:55:11Z</dcterms:created>
  <dcterms:modified xsi:type="dcterms:W3CDTF">2026-08-25T15:12:07Z</dcterms:modified>
</cp:coreProperties>
</file>