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18595\Desktop\KRWA\Green-Taylor WD\Application\"/>
    </mc:Choice>
  </mc:AlternateContent>
  <xr:revisionPtr revIDLastSave="0" documentId="13_ncr:1_{CB055976-4B4C-418F-B3EB-AB23EE43AB7B}" xr6:coauthVersionLast="47" xr6:coauthVersionMax="47" xr10:uidLastSave="{00000000-0000-0000-0000-000000000000}"/>
  <bookViews>
    <workbookView xWindow="28680" yWindow="270" windowWidth="25440" windowHeight="15270" firstSheet="6" activeTab="10" xr2:uid="{00000000-000D-0000-FFFF-FFFF00000000}"/>
  </bookViews>
  <sheets>
    <sheet name="References" sheetId="57" r:id="rId1"/>
    <sheet name="SAO" sheetId="6" r:id="rId2"/>
    <sheet name="Revenue Requirements" sheetId="56" r:id="rId3"/>
    <sheet name="Wages" sheetId="49" r:id="rId4"/>
    <sheet name="Medical" sheetId="40" r:id="rId5"/>
    <sheet name="Capital" sheetId="54" r:id="rId6"/>
    <sheet name="Depreciation" sheetId="52" r:id="rId7"/>
    <sheet name="Debt Service" sheetId="53" r:id="rId8"/>
    <sheet name="Water Loss" sheetId="55" r:id="rId9"/>
    <sheet name="Bills" sheetId="42" r:id="rId10"/>
    <sheet name="Rates" sheetId="2" r:id="rId11"/>
    <sheet name="ExBA" sheetId="51" r:id="rId12"/>
    <sheet name="PrBA" sheetId="59" r:id="rId13"/>
  </sheets>
  <definedNames>
    <definedName name="AHV">#REF!</definedName>
    <definedName name="_xlnm.Print_Area" localSheetId="9">Bills!$A$1:$J$26</definedName>
    <definedName name="_xlnm.Print_Area" localSheetId="7">'Debt Service'!$A$1:$O$26</definedName>
    <definedName name="_xlnm.Print_Area" localSheetId="11">ExBA!$A$1:$I$109</definedName>
    <definedName name="_xlnm.Print_Area" localSheetId="10">Rates!$A$1:$L$44</definedName>
    <definedName name="_xlnm.Print_Area" localSheetId="2">'Revenue Requirements'!$A$1:$G$15</definedName>
    <definedName name="_xlnm.Print_Area" localSheetId="1">SAO!$A$1:$H$51</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59" l="1"/>
  <c r="G11" i="59"/>
  <c r="I25" i="55"/>
  <c r="D30" i="55"/>
  <c r="I23" i="49"/>
  <c r="G58" i="6"/>
  <c r="G56" i="6"/>
  <c r="G54" i="6"/>
  <c r="H68" i="52" l="1"/>
  <c r="C33" i="42"/>
  <c r="I64" i="42"/>
  <c r="I63" i="42"/>
  <c r="I62" i="42"/>
  <c r="D66" i="42"/>
  <c r="E66" i="42" s="1"/>
  <c r="D65" i="42"/>
  <c r="E65" i="42" s="1"/>
  <c r="I61" i="42"/>
  <c r="I60" i="42"/>
  <c r="G31" i="6" l="1"/>
  <c r="C66" i="40"/>
  <c r="B28" i="40"/>
  <c r="E9" i="40"/>
  <c r="F9" i="40" s="1"/>
  <c r="G9" i="40" s="1"/>
  <c r="E16" i="40"/>
  <c r="F16" i="40" s="1"/>
  <c r="G16" i="40" s="1"/>
  <c r="E15" i="40"/>
  <c r="F15" i="40" s="1"/>
  <c r="G15" i="40" s="1"/>
  <c r="E17" i="40"/>
  <c r="F17" i="40" s="1"/>
  <c r="G17" i="40" s="1"/>
  <c r="C59" i="40"/>
  <c r="E59" i="40" s="1"/>
  <c r="F59" i="40" s="1"/>
  <c r="G59" i="40" s="1"/>
  <c r="E63" i="40"/>
  <c r="F63" i="40" s="1"/>
  <c r="G63" i="40" s="1"/>
  <c r="E62" i="40"/>
  <c r="F62" i="40" s="1"/>
  <c r="G62" i="40" s="1"/>
  <c r="E61" i="40"/>
  <c r="F61" i="40" s="1"/>
  <c r="G61" i="40" s="1"/>
  <c r="E60" i="40"/>
  <c r="F60" i="40" s="1"/>
  <c r="G60" i="40" s="1"/>
  <c r="E58" i="40"/>
  <c r="F58" i="40" s="1"/>
  <c r="G58" i="40" s="1"/>
  <c r="N11" i="49"/>
  <c r="D76" i="40"/>
  <c r="G26" i="40"/>
  <c r="G25" i="40"/>
  <c r="G24" i="40"/>
  <c r="F26" i="40"/>
  <c r="F25" i="40"/>
  <c r="F24" i="40"/>
  <c r="E65" i="40"/>
  <c r="F65" i="40" s="1"/>
  <c r="G65" i="40" s="1"/>
  <c r="E64" i="40"/>
  <c r="F64" i="40" s="1"/>
  <c r="G64" i="40" s="1"/>
  <c r="E57" i="40"/>
  <c r="F57" i="40" s="1"/>
  <c r="G57" i="40" s="1"/>
  <c r="E56" i="40"/>
  <c r="F56" i="40" s="1"/>
  <c r="G56" i="40" s="1"/>
  <c r="E55" i="40"/>
  <c r="F55" i="40" s="1"/>
  <c r="G55" i="40" s="1"/>
  <c r="G28" i="40" l="1"/>
  <c r="G66" i="40"/>
  <c r="M23" i="53" l="1"/>
  <c r="E18" i="6"/>
  <c r="E30" i="6"/>
  <c r="G9" i="59" l="1"/>
  <c r="P5" i="51"/>
  <c r="D109" i="59"/>
  <c r="C109" i="59"/>
  <c r="E102" i="59"/>
  <c r="B96" i="59"/>
  <c r="B95" i="59"/>
  <c r="D90" i="59"/>
  <c r="C90" i="59"/>
  <c r="B90" i="59"/>
  <c r="G88" i="59" s="1"/>
  <c r="D89" i="59"/>
  <c r="C89" i="59"/>
  <c r="C91" i="59" s="1"/>
  <c r="C95" i="59" s="1"/>
  <c r="B89" i="59"/>
  <c r="E88" i="59" s="1"/>
  <c r="B83" i="59"/>
  <c r="B82" i="59"/>
  <c r="F78" i="59"/>
  <c r="D78" i="59"/>
  <c r="C78" i="59"/>
  <c r="C82" i="59" s="1"/>
  <c r="B77" i="59"/>
  <c r="G75" i="59" s="1"/>
  <c r="E76" i="59"/>
  <c r="B76" i="59"/>
  <c r="E75" i="59"/>
  <c r="E77" i="59" s="1"/>
  <c r="B70" i="59"/>
  <c r="B69" i="59"/>
  <c r="B68" i="59"/>
  <c r="D63" i="59"/>
  <c r="C63" i="59"/>
  <c r="B63" i="59"/>
  <c r="G60" i="59" s="1"/>
  <c r="D62" i="59"/>
  <c r="C62" i="59"/>
  <c r="B62" i="59"/>
  <c r="F60" i="59" s="1"/>
  <c r="D61" i="59"/>
  <c r="C61" i="59"/>
  <c r="C64" i="59" s="1"/>
  <c r="C68" i="59" s="1"/>
  <c r="B61" i="59"/>
  <c r="E60" i="59" s="1"/>
  <c r="B55" i="59"/>
  <c r="B54" i="59"/>
  <c r="B53" i="59"/>
  <c r="C52" i="59"/>
  <c r="B52" i="59"/>
  <c r="D48" i="59"/>
  <c r="C48" i="59"/>
  <c r="B47" i="59"/>
  <c r="H43" i="59" s="1"/>
  <c r="B46" i="59"/>
  <c r="G43" i="59" s="1"/>
  <c r="G47" i="59" s="1"/>
  <c r="B45" i="59"/>
  <c r="F43" i="59" s="1"/>
  <c r="E44" i="59"/>
  <c r="I44" i="59" s="1"/>
  <c r="B44" i="59"/>
  <c r="E43" i="59" s="1"/>
  <c r="B38" i="59"/>
  <c r="B37" i="59"/>
  <c r="B36" i="59"/>
  <c r="B35" i="59"/>
  <c r="D29" i="59"/>
  <c r="C29" i="59"/>
  <c r="B29" i="59"/>
  <c r="H25" i="59" s="1"/>
  <c r="D28" i="59"/>
  <c r="C28" i="59"/>
  <c r="B28" i="59"/>
  <c r="G25" i="59" s="1"/>
  <c r="D27" i="59"/>
  <c r="C27" i="59"/>
  <c r="B27" i="59"/>
  <c r="F25" i="59" s="1"/>
  <c r="F28" i="59" s="1"/>
  <c r="D26" i="59"/>
  <c r="E26" i="59" s="1"/>
  <c r="C26" i="59"/>
  <c r="B26" i="59"/>
  <c r="E25" i="59" s="1"/>
  <c r="E28" i="59" s="1"/>
  <c r="E8" i="59"/>
  <c r="D8" i="59"/>
  <c r="O7" i="59"/>
  <c r="A2" i="59"/>
  <c r="B50" i="40"/>
  <c r="E49" i="40"/>
  <c r="F49" i="40" s="1"/>
  <c r="G49" i="40" s="1"/>
  <c r="E48" i="40"/>
  <c r="F48" i="40" s="1"/>
  <c r="G48" i="40" s="1"/>
  <c r="E47" i="40"/>
  <c r="F47" i="40" s="1"/>
  <c r="G47" i="40" s="1"/>
  <c r="E46" i="40"/>
  <c r="F46" i="40" s="1"/>
  <c r="G46" i="40" s="1"/>
  <c r="E45" i="40"/>
  <c r="F45" i="40" s="1"/>
  <c r="G45" i="40" s="1"/>
  <c r="B40" i="40"/>
  <c r="G9" i="51"/>
  <c r="O7" i="51"/>
  <c r="Q5" i="51"/>
  <c r="K6" i="55"/>
  <c r="J6" i="55"/>
  <c r="E27" i="59" l="1"/>
  <c r="E90" i="59"/>
  <c r="E62" i="59"/>
  <c r="G50" i="40"/>
  <c r="D91" i="59"/>
  <c r="E89" i="59"/>
  <c r="H76" i="59"/>
  <c r="E78" i="59"/>
  <c r="G77" i="59"/>
  <c r="E63" i="59"/>
  <c r="F63" i="59"/>
  <c r="F62" i="59"/>
  <c r="E61" i="59"/>
  <c r="E64" i="59" s="1"/>
  <c r="D64" i="59"/>
  <c r="H61" i="59"/>
  <c r="F46" i="59"/>
  <c r="F47" i="59"/>
  <c r="E45" i="59"/>
  <c r="E46" i="59"/>
  <c r="E47" i="59"/>
  <c r="D30" i="59"/>
  <c r="G29" i="59"/>
  <c r="C30" i="59"/>
  <c r="C35" i="59" s="1"/>
  <c r="E29" i="59"/>
  <c r="E30" i="59" s="1"/>
  <c r="D35" i="59" s="1"/>
  <c r="F29" i="59"/>
  <c r="G28" i="59"/>
  <c r="I28" i="59"/>
  <c r="I26" i="59"/>
  <c r="F27" i="59"/>
  <c r="G90" i="59"/>
  <c r="E45" i="6"/>
  <c r="H29" i="59" l="1"/>
  <c r="H30" i="59" s="1"/>
  <c r="D38" i="59" s="1"/>
  <c r="G30" i="59"/>
  <c r="D37" i="59" s="1"/>
  <c r="D82" i="59"/>
  <c r="G63" i="59"/>
  <c r="G64" i="59" s="1"/>
  <c r="D70" i="59" s="1"/>
  <c r="H63" i="59"/>
  <c r="D68" i="59"/>
  <c r="F45" i="59"/>
  <c r="E48" i="59"/>
  <c r="D52" i="59" s="1"/>
  <c r="G46" i="59"/>
  <c r="G48" i="59" s="1"/>
  <c r="D54" i="59" s="1"/>
  <c r="I46" i="59"/>
  <c r="H47" i="59"/>
  <c r="H48" i="59" s="1"/>
  <c r="D55" i="59" s="1"/>
  <c r="D7" i="59"/>
  <c r="D10" i="59" s="1"/>
  <c r="I27" i="59"/>
  <c r="I30" i="59" s="1"/>
  <c r="F30" i="59"/>
  <c r="D36" i="59" s="1"/>
  <c r="H90" i="59"/>
  <c r="G91" i="59"/>
  <c r="D96" i="59" s="1"/>
  <c r="I29" i="59"/>
  <c r="E91" i="59"/>
  <c r="H89" i="59"/>
  <c r="G78" i="59"/>
  <c r="D83" i="59" s="1"/>
  <c r="H77" i="59"/>
  <c r="F64" i="59"/>
  <c r="D69" i="59" s="1"/>
  <c r="H62" i="59"/>
  <c r="O15" i="42"/>
  <c r="O14" i="42"/>
  <c r="E14" i="42"/>
  <c r="E42" i="42" s="1"/>
  <c r="E13" i="42"/>
  <c r="E41" i="42" s="1"/>
  <c r="E12" i="42"/>
  <c r="O10" i="42" l="1"/>
  <c r="E40" i="42"/>
  <c r="E61" i="42" s="1"/>
  <c r="I47" i="59"/>
  <c r="H64" i="59"/>
  <c r="D84" i="59"/>
  <c r="D71" i="59"/>
  <c r="H78" i="59"/>
  <c r="D39" i="59"/>
  <c r="H91" i="59"/>
  <c r="D95" i="59"/>
  <c r="D97" i="59" s="1"/>
  <c r="F48" i="59"/>
  <c r="D53" i="59" s="1"/>
  <c r="I45" i="59"/>
  <c r="I48" i="59" s="1"/>
  <c r="N6" i="49"/>
  <c r="H10" i="55"/>
  <c r="K9" i="55"/>
  <c r="K8" i="55"/>
  <c r="K7" i="55"/>
  <c r="G11" i="51"/>
  <c r="D56" i="59" l="1"/>
  <c r="E7" i="59" s="1"/>
  <c r="E10" i="59" s="1"/>
  <c r="M24" i="53"/>
  <c r="L12" i="53"/>
  <c r="J12" i="53"/>
  <c r="H12" i="53"/>
  <c r="F12" i="53"/>
  <c r="D12" i="53"/>
  <c r="L13" i="53"/>
  <c r="J13" i="53"/>
  <c r="H13" i="53"/>
  <c r="F13" i="53"/>
  <c r="D13" i="53"/>
  <c r="L14" i="53"/>
  <c r="K14" i="53"/>
  <c r="J14" i="53"/>
  <c r="I14" i="53"/>
  <c r="H14" i="53"/>
  <c r="G14" i="53"/>
  <c r="F14" i="53"/>
  <c r="E14" i="53"/>
  <c r="D14" i="53"/>
  <c r="C14" i="53"/>
  <c r="K12" i="53"/>
  <c r="I12" i="53"/>
  <c r="G12" i="53"/>
  <c r="E12" i="53"/>
  <c r="C12" i="53"/>
  <c r="D90" i="51"/>
  <c r="D62" i="51"/>
  <c r="K38" i="51"/>
  <c r="K36" i="51"/>
  <c r="K34" i="51"/>
  <c r="K32" i="51"/>
  <c r="M39" i="51"/>
  <c r="O39" i="51"/>
  <c r="N39" i="51"/>
  <c r="D63" i="51"/>
  <c r="D61" i="51"/>
  <c r="C63" i="51"/>
  <c r="C62" i="51"/>
  <c r="C61" i="51"/>
  <c r="D89" i="51"/>
  <c r="C90" i="51"/>
  <c r="C89" i="51"/>
  <c r="D109" i="51"/>
  <c r="E8" i="51" s="1"/>
  <c r="E108" i="51"/>
  <c r="G108" i="51" s="1"/>
  <c r="E107" i="51"/>
  <c r="D29" i="51"/>
  <c r="D28" i="51"/>
  <c r="D27" i="51"/>
  <c r="D26" i="51"/>
  <c r="C29" i="51"/>
  <c r="C28" i="51"/>
  <c r="C27" i="51"/>
  <c r="C26" i="51"/>
  <c r="K10" i="55" l="1"/>
  <c r="K11" i="55"/>
  <c r="C16" i="55"/>
  <c r="K12" i="55" l="1"/>
  <c r="E26" i="6" s="1"/>
  <c r="C32" i="49"/>
  <c r="A2" i="51"/>
  <c r="C5" i="52"/>
  <c r="B5" i="53"/>
  <c r="G18" i="49"/>
  <c r="F18" i="49"/>
  <c r="G17" i="49"/>
  <c r="F17" i="49"/>
  <c r="I17" i="49" s="1"/>
  <c r="G16" i="49"/>
  <c r="F16" i="49"/>
  <c r="I16" i="49" s="1"/>
  <c r="G15" i="49"/>
  <c r="F15" i="49"/>
  <c r="G14" i="49"/>
  <c r="F14" i="49"/>
  <c r="I14" i="49" s="1"/>
  <c r="I18" i="49" l="1"/>
  <c r="I15" i="49"/>
  <c r="G45" i="6"/>
  <c r="E18" i="40" l="1"/>
  <c r="F18" i="40" s="1"/>
  <c r="H39" i="52"/>
  <c r="H21" i="49" l="1"/>
  <c r="G13" i="49"/>
  <c r="F13" i="49"/>
  <c r="G12" i="49"/>
  <c r="F12" i="49"/>
  <c r="I13" i="49" l="1"/>
  <c r="I12" i="49"/>
  <c r="G11" i="49" l="1"/>
  <c r="F11" i="49"/>
  <c r="I11" i="49" l="1"/>
  <c r="G36" i="6" l="1"/>
  <c r="G33" i="6"/>
  <c r="C109" i="51"/>
  <c r="D8" i="51" s="1"/>
  <c r="B89" i="51"/>
  <c r="E88" i="51" s="1"/>
  <c r="E90" i="51" s="1"/>
  <c r="B90" i="51"/>
  <c r="G88" i="51" s="1"/>
  <c r="B95" i="51"/>
  <c r="B96" i="51"/>
  <c r="C91" i="51"/>
  <c r="C95" i="51" s="1"/>
  <c r="E95" i="51"/>
  <c r="F27" i="2"/>
  <c r="F23" i="2"/>
  <c r="F22" i="2"/>
  <c r="F7" i="49"/>
  <c r="G7" i="49"/>
  <c r="D21" i="49"/>
  <c r="J32" i="52"/>
  <c r="K32" i="52" s="1"/>
  <c r="M27" i="53"/>
  <c r="E16" i="42" l="1"/>
  <c r="E44" i="42" s="1"/>
  <c r="E17" i="42"/>
  <c r="E45" i="42" s="1"/>
  <c r="E15" i="42"/>
  <c r="E20" i="42"/>
  <c r="E48" i="42" s="1"/>
  <c r="E19" i="42"/>
  <c r="E47" i="42" s="1"/>
  <c r="E18" i="42"/>
  <c r="F31" i="2"/>
  <c r="M29" i="53"/>
  <c r="I7" i="49"/>
  <c r="D91" i="51"/>
  <c r="G95" i="51"/>
  <c r="C21" i="49"/>
  <c r="D78" i="51"/>
  <c r="C78" i="51"/>
  <c r="B24" i="55"/>
  <c r="B23" i="55"/>
  <c r="B22" i="55"/>
  <c r="E26" i="51"/>
  <c r="I26" i="51" s="1"/>
  <c r="G107" i="51"/>
  <c r="G109" i="51" s="1"/>
  <c r="G8" i="51" s="1"/>
  <c r="F37" i="52"/>
  <c r="G11" i="6"/>
  <c r="G90" i="51"/>
  <c r="B77" i="51"/>
  <c r="G75" i="51" s="1"/>
  <c r="B76" i="51"/>
  <c r="E75" i="51" s="1"/>
  <c r="B63" i="51"/>
  <c r="G60" i="51" s="1"/>
  <c r="B62" i="51"/>
  <c r="F60" i="51" s="1"/>
  <c r="B61" i="51"/>
  <c r="E60" i="51" s="1"/>
  <c r="B47" i="51"/>
  <c r="H43" i="51" s="1"/>
  <c r="B46" i="51"/>
  <c r="G43" i="51" s="1"/>
  <c r="B45" i="51"/>
  <c r="F43" i="51" s="1"/>
  <c r="B44" i="51"/>
  <c r="E43" i="51" s="1"/>
  <c r="B29" i="51"/>
  <c r="H25" i="51" s="1"/>
  <c r="B28" i="51"/>
  <c r="G25" i="51" s="1"/>
  <c r="B27" i="51"/>
  <c r="F25" i="51" s="1"/>
  <c r="B26" i="51"/>
  <c r="E25" i="51" s="1"/>
  <c r="C19" i="40"/>
  <c r="E39" i="40"/>
  <c r="F39" i="40" s="1"/>
  <c r="G39" i="40" s="1"/>
  <c r="E38" i="40"/>
  <c r="F38" i="40" s="1"/>
  <c r="G38" i="40" s="1"/>
  <c r="E37" i="40"/>
  <c r="F37" i="40" s="1"/>
  <c r="G37" i="40" s="1"/>
  <c r="E36" i="40"/>
  <c r="F36" i="40" s="1"/>
  <c r="G36" i="40" s="1"/>
  <c r="E35" i="40"/>
  <c r="F35" i="40" s="1"/>
  <c r="G35" i="40" s="1"/>
  <c r="E14" i="40"/>
  <c r="F14" i="40" s="1"/>
  <c r="G14" i="40" s="1"/>
  <c r="E13" i="40"/>
  <c r="F13" i="40" s="1"/>
  <c r="G13" i="40" s="1"/>
  <c r="E12" i="40"/>
  <c r="F12" i="40" s="1"/>
  <c r="G12" i="40" s="1"/>
  <c r="E11" i="40"/>
  <c r="F11" i="40" s="1"/>
  <c r="G11" i="40" s="1"/>
  <c r="E10" i="40"/>
  <c r="F10" i="40" s="1"/>
  <c r="G10" i="40" s="1"/>
  <c r="E8" i="40"/>
  <c r="F8" i="40" s="1"/>
  <c r="G8" i="40" s="1"/>
  <c r="E7" i="40"/>
  <c r="F7" i="40" s="1"/>
  <c r="G7" i="40" s="1"/>
  <c r="E6" i="40"/>
  <c r="F6" i="40" s="1"/>
  <c r="G6" i="40" s="1"/>
  <c r="G18" i="40"/>
  <c r="I33" i="49"/>
  <c r="E83" i="51"/>
  <c r="E82" i="51"/>
  <c r="B83" i="51"/>
  <c r="B82" i="51"/>
  <c r="E70" i="51"/>
  <c r="E69" i="51"/>
  <c r="E68" i="51"/>
  <c r="B70" i="51"/>
  <c r="B69" i="51"/>
  <c r="B68" i="51"/>
  <c r="B55" i="51"/>
  <c r="B54" i="51"/>
  <c r="B53" i="51"/>
  <c r="B52" i="51"/>
  <c r="B38" i="51"/>
  <c r="B37" i="51"/>
  <c r="B36" i="51"/>
  <c r="B35" i="51"/>
  <c r="E55" i="51"/>
  <c r="E54" i="51"/>
  <c r="E53" i="51"/>
  <c r="E52" i="51"/>
  <c r="E38" i="51"/>
  <c r="E37" i="51"/>
  <c r="E36" i="51"/>
  <c r="E35" i="51"/>
  <c r="E11" i="42"/>
  <c r="E10" i="42"/>
  <c r="E38" i="42" s="1"/>
  <c r="E9" i="42"/>
  <c r="E37" i="42" s="1"/>
  <c r="D13" i="6"/>
  <c r="G12" i="6"/>
  <c r="G10" i="6"/>
  <c r="G29" i="6"/>
  <c r="O12" i="42" l="1"/>
  <c r="E46" i="42"/>
  <c r="E63" i="42" s="1"/>
  <c r="O11" i="42"/>
  <c r="E43" i="42"/>
  <c r="E62" i="42" s="1"/>
  <c r="O9" i="42"/>
  <c r="E39" i="42"/>
  <c r="E60" i="42" s="1"/>
  <c r="E96" i="51"/>
  <c r="E23" i="42"/>
  <c r="E51" i="42" s="1"/>
  <c r="E22" i="42"/>
  <c r="E50" i="42" s="1"/>
  <c r="E21" i="42"/>
  <c r="G40" i="40"/>
  <c r="G8" i="56"/>
  <c r="G6" i="56"/>
  <c r="G91" i="51"/>
  <c r="D96" i="51" s="1"/>
  <c r="H90" i="51"/>
  <c r="B25" i="55"/>
  <c r="E102" i="51"/>
  <c r="C82" i="51"/>
  <c r="G82" i="51" s="1"/>
  <c r="D30" i="51"/>
  <c r="C30" i="51"/>
  <c r="C35" i="51" s="1"/>
  <c r="D48" i="51"/>
  <c r="C48" i="51"/>
  <c r="C52" i="51" s="1"/>
  <c r="G52" i="51" s="1"/>
  <c r="E44" i="51"/>
  <c r="I44" i="51" s="1"/>
  <c r="D64" i="51"/>
  <c r="E61" i="51"/>
  <c r="H61" i="51" s="1"/>
  <c r="E89" i="51"/>
  <c r="E77" i="51"/>
  <c r="E63" i="51"/>
  <c r="E62" i="51"/>
  <c r="F63" i="51"/>
  <c r="E45" i="51"/>
  <c r="E47" i="51"/>
  <c r="E46" i="51"/>
  <c r="F46" i="51"/>
  <c r="F47" i="51"/>
  <c r="G47" i="51"/>
  <c r="E28" i="51"/>
  <c r="F29" i="51"/>
  <c r="F28" i="51"/>
  <c r="G29" i="51"/>
  <c r="E27" i="51"/>
  <c r="F27" i="51" s="1"/>
  <c r="I27" i="51" s="1"/>
  <c r="E29" i="51"/>
  <c r="O13" i="42" l="1"/>
  <c r="E49" i="42"/>
  <c r="E64" i="42" s="1"/>
  <c r="G96" i="51"/>
  <c r="H89" i="51"/>
  <c r="E91" i="51"/>
  <c r="H29" i="51"/>
  <c r="H30" i="51" s="1"/>
  <c r="D38" i="51" s="1"/>
  <c r="G38" i="51" s="1"/>
  <c r="G77" i="51"/>
  <c r="H77" i="51" s="1"/>
  <c r="F62" i="51"/>
  <c r="F64" i="51" s="1"/>
  <c r="D69" i="51" s="1"/>
  <c r="G69" i="51" s="1"/>
  <c r="H47" i="51"/>
  <c r="H48" i="51" s="1"/>
  <c r="D55" i="51" s="1"/>
  <c r="G63" i="51"/>
  <c r="G64" i="51" s="1"/>
  <c r="G35" i="51"/>
  <c r="E76" i="51"/>
  <c r="H76" i="51" s="1"/>
  <c r="C64" i="51"/>
  <c r="E48" i="51"/>
  <c r="D52" i="51" s="1"/>
  <c r="G46" i="51"/>
  <c r="I46" i="51" s="1"/>
  <c r="F45" i="51"/>
  <c r="F48" i="51" s="1"/>
  <c r="D53" i="51" s="1"/>
  <c r="G53" i="51" s="1"/>
  <c r="G28" i="51"/>
  <c r="G30" i="51" s="1"/>
  <c r="D37" i="51" s="1"/>
  <c r="G37" i="51" s="1"/>
  <c r="F30" i="51"/>
  <c r="D36" i="51" s="1"/>
  <c r="G36" i="51" s="1"/>
  <c r="E30" i="51"/>
  <c r="D35" i="51" s="1"/>
  <c r="D16" i="55"/>
  <c r="D18" i="55" s="1"/>
  <c r="C9" i="55"/>
  <c r="C6" i="54"/>
  <c r="C5" i="54"/>
  <c r="G5" i="49"/>
  <c r="F5" i="49"/>
  <c r="C68" i="51" l="1"/>
  <c r="G68" i="51" s="1"/>
  <c r="G97" i="51"/>
  <c r="D22" i="55"/>
  <c r="D23" i="55"/>
  <c r="E27" i="6" s="1"/>
  <c r="I5" i="49"/>
  <c r="D24" i="55"/>
  <c r="H62" i="51"/>
  <c r="I47" i="51"/>
  <c r="G78" i="51"/>
  <c r="D83" i="51" s="1"/>
  <c r="G83" i="51" s="1"/>
  <c r="D95" i="51"/>
  <c r="D97" i="51" s="1"/>
  <c r="H91" i="51"/>
  <c r="I45" i="51"/>
  <c r="H63" i="51"/>
  <c r="D70" i="51"/>
  <c r="G70" i="51" s="1"/>
  <c r="G55" i="51"/>
  <c r="G56" i="51" s="1"/>
  <c r="E78" i="51"/>
  <c r="F78" i="51"/>
  <c r="G48" i="51"/>
  <c r="D54" i="51" s="1"/>
  <c r="G54" i="51" s="1"/>
  <c r="E64" i="51"/>
  <c r="I29" i="51"/>
  <c r="I28" i="51"/>
  <c r="D7" i="51" l="1"/>
  <c r="D10" i="51" s="1"/>
  <c r="G71" i="51"/>
  <c r="E25" i="6"/>
  <c r="G26" i="6" s="1"/>
  <c r="D25" i="55"/>
  <c r="I48" i="51"/>
  <c r="G84" i="51"/>
  <c r="D68" i="51"/>
  <c r="D71" i="51" s="1"/>
  <c r="H64" i="51"/>
  <c r="D82" i="51"/>
  <c r="D84" i="51" s="1"/>
  <c r="H78" i="51"/>
  <c r="D56" i="51"/>
  <c r="I27" i="49"/>
  <c r="E7" i="51" l="1"/>
  <c r="E10" i="51" s="1"/>
  <c r="D29" i="55"/>
  <c r="D31" i="55" s="1"/>
  <c r="H42" i="2" s="1"/>
  <c r="K19" i="53"/>
  <c r="I19" i="53"/>
  <c r="G19" i="53"/>
  <c r="E19" i="53"/>
  <c r="C19" i="53"/>
  <c r="M17" i="53"/>
  <c r="M16" i="53"/>
  <c r="M15" i="53"/>
  <c r="M14" i="53"/>
  <c r="L19" i="53"/>
  <c r="M13" i="53"/>
  <c r="J19" i="53"/>
  <c r="F19" i="53"/>
  <c r="M12" i="53"/>
  <c r="H37" i="52"/>
  <c r="J35" i="52"/>
  <c r="K35" i="52" s="1"/>
  <c r="J31" i="52"/>
  <c r="K31" i="52" s="1"/>
  <c r="J30" i="52"/>
  <c r="K30" i="52" s="1"/>
  <c r="J29" i="52"/>
  <c r="K29" i="52" s="1"/>
  <c r="J28" i="52"/>
  <c r="K28" i="52" s="1"/>
  <c r="J27" i="52"/>
  <c r="K27" i="52" s="1"/>
  <c r="J26" i="52"/>
  <c r="K26" i="52" s="1"/>
  <c r="J25" i="52"/>
  <c r="K25" i="52" s="1"/>
  <c r="J24" i="52"/>
  <c r="K24" i="52" s="1"/>
  <c r="J21" i="52"/>
  <c r="K21" i="52" s="1"/>
  <c r="J20" i="52"/>
  <c r="K20" i="52" s="1"/>
  <c r="J19" i="52"/>
  <c r="K19" i="52" s="1"/>
  <c r="J16" i="52"/>
  <c r="K16" i="52" s="1"/>
  <c r="J15" i="52"/>
  <c r="K15" i="52" s="1"/>
  <c r="J14" i="52"/>
  <c r="K14" i="52" s="1"/>
  <c r="J13" i="52"/>
  <c r="K13" i="52" s="1"/>
  <c r="J12" i="52"/>
  <c r="K12" i="52" s="1"/>
  <c r="J11" i="52"/>
  <c r="K11" i="52" s="1"/>
  <c r="J42" i="2" l="1"/>
  <c r="K42" i="2" s="1"/>
  <c r="J37" i="42"/>
  <c r="M19" i="53"/>
  <c r="M22" i="53" s="1"/>
  <c r="H19" i="53"/>
  <c r="D19" i="53"/>
  <c r="K37" i="52"/>
  <c r="J37" i="52"/>
  <c r="J39" i="52" s="1"/>
  <c r="K39" i="52" s="1"/>
  <c r="E46" i="6" s="1"/>
  <c r="S10" i="42" l="1"/>
  <c r="S9" i="42"/>
  <c r="S15" i="42"/>
  <c r="S14" i="42"/>
  <c r="S13" i="42"/>
  <c r="S12" i="42"/>
  <c r="S11" i="42"/>
  <c r="J45" i="42"/>
  <c r="J46" i="42"/>
  <c r="J63" i="42" s="1"/>
  <c r="J41" i="42"/>
  <c r="J38" i="42"/>
  <c r="J48" i="42"/>
  <c r="J50" i="42"/>
  <c r="J42" i="42"/>
  <c r="J43" i="42"/>
  <c r="J62" i="42" s="1"/>
  <c r="J51" i="42"/>
  <c r="J49" i="42"/>
  <c r="J39" i="42"/>
  <c r="J60" i="42" s="1"/>
  <c r="J47" i="42"/>
  <c r="J40" i="42"/>
  <c r="J61" i="42" s="1"/>
  <c r="J44" i="42"/>
  <c r="P19" i="53"/>
  <c r="P24" i="53"/>
  <c r="C4" i="42"/>
  <c r="C6" i="2"/>
  <c r="J66" i="42" l="1"/>
  <c r="J65" i="42"/>
  <c r="J64" i="42"/>
  <c r="F10" i="49"/>
  <c r="F8" i="49"/>
  <c r="G34" i="6"/>
  <c r="G38" i="6"/>
  <c r="G28" i="6"/>
  <c r="F21" i="49" l="1"/>
  <c r="G10" i="49"/>
  <c r="G8" i="49"/>
  <c r="I8" i="49" s="1"/>
  <c r="G6" i="49"/>
  <c r="F6" i="49"/>
  <c r="G21" i="49" l="1"/>
  <c r="I6" i="49"/>
  <c r="I10" i="49"/>
  <c r="G42" i="6"/>
  <c r="G41" i="6"/>
  <c r="G39" i="6"/>
  <c r="G37" i="6"/>
  <c r="G35" i="6"/>
  <c r="G32" i="6"/>
  <c r="G27" i="6"/>
  <c r="G20" i="6"/>
  <c r="G7" i="6"/>
  <c r="I21" i="49" l="1"/>
  <c r="I36" i="49" l="1"/>
  <c r="I38" i="49" s="1"/>
  <c r="I40" i="49" s="1"/>
  <c r="E23" i="6" s="1"/>
  <c r="I26" i="49"/>
  <c r="I30" i="49"/>
  <c r="I32" i="49" s="1"/>
  <c r="I34" i="49" s="1"/>
  <c r="E47" i="6" l="1"/>
  <c r="G47" i="6" s="1"/>
  <c r="G19" i="40"/>
  <c r="D75" i="40" s="1"/>
  <c r="D77" i="40" l="1"/>
  <c r="E22" i="6" s="1"/>
  <c r="G24" i="6" l="1"/>
  <c r="G40" i="6"/>
  <c r="G46" i="6" l="1"/>
  <c r="D43" i="6" l="1"/>
  <c r="D48" i="6" l="1"/>
  <c r="D50" i="6" s="1"/>
  <c r="I28" i="49" l="1"/>
  <c r="E17" i="6" s="1"/>
  <c r="G19" i="6" s="1"/>
  <c r="G43" i="6" l="1"/>
  <c r="G48" i="6" s="1"/>
  <c r="G53" i="6" s="1"/>
  <c r="G55" i="6" s="1"/>
  <c r="G57" i="6" s="1"/>
  <c r="G61" i="6" s="1"/>
  <c r="G3" i="56" l="1"/>
  <c r="G5" i="56" s="1"/>
  <c r="G7" i="56" s="1"/>
  <c r="E43" i="6"/>
  <c r="E48" i="6" s="1"/>
  <c r="G11" i="56" l="1"/>
  <c r="I30" i="51"/>
  <c r="G39" i="51" l="1"/>
  <c r="G7" i="51" s="1"/>
  <c r="D39" i="51"/>
  <c r="G10" i="51" l="1"/>
  <c r="G12" i="51" l="1"/>
  <c r="E8" i="6" s="1"/>
  <c r="G8" i="6" l="1"/>
  <c r="G62" i="6" s="1"/>
  <c r="G64" i="6" s="1"/>
  <c r="G65" i="6" s="1"/>
  <c r="G6" i="6" l="1"/>
  <c r="E13" i="6"/>
  <c r="E50" i="6" s="1"/>
  <c r="G12" i="56" l="1"/>
  <c r="G13" i="6"/>
  <c r="G50" i="6" s="1"/>
  <c r="G14" i="56" l="1"/>
  <c r="G15" i="56" s="1"/>
  <c r="H34" i="2" l="1"/>
  <c r="J34" i="2" s="1"/>
  <c r="K34" i="2" s="1"/>
  <c r="H39" i="2"/>
  <c r="F66" i="42" s="1"/>
  <c r="H38" i="2"/>
  <c r="F65" i="42" s="1"/>
  <c r="H9" i="2"/>
  <c r="H11" i="2"/>
  <c r="H30" i="2"/>
  <c r="E95" i="59" s="1"/>
  <c r="G95" i="59" s="1"/>
  <c r="H18" i="2"/>
  <c r="H23" i="2"/>
  <c r="H12" i="2"/>
  <c r="H26" i="2"/>
  <c r="E82" i="59" s="1"/>
  <c r="G82" i="59" s="1"/>
  <c r="H31" i="2"/>
  <c r="H15" i="2"/>
  <c r="E52" i="59" s="1"/>
  <c r="G52" i="59" s="1"/>
  <c r="H21" i="2"/>
  <c r="E68" i="59" s="1"/>
  <c r="G68" i="59" s="1"/>
  <c r="H16" i="2"/>
  <c r="H10" i="2"/>
  <c r="H17" i="2"/>
  <c r="H22" i="2"/>
  <c r="H27" i="2"/>
  <c r="G65" i="42" l="1"/>
  <c r="H65" i="42" s="1"/>
  <c r="K65" i="42"/>
  <c r="L65" i="42" s="1"/>
  <c r="M65" i="42" s="1"/>
  <c r="G66" i="42"/>
  <c r="H66" i="42" s="1"/>
  <c r="K66" i="42"/>
  <c r="L66" i="42" s="1"/>
  <c r="M66" i="42" s="1"/>
  <c r="P15" i="42"/>
  <c r="E108" i="59"/>
  <c r="G108" i="59" s="1"/>
  <c r="P14" i="42"/>
  <c r="E107" i="59"/>
  <c r="G107" i="59" s="1"/>
  <c r="E35" i="59"/>
  <c r="G35" i="59" s="1"/>
  <c r="E37" i="59"/>
  <c r="G37" i="59" s="1"/>
  <c r="E55" i="59"/>
  <c r="G55" i="59" s="1"/>
  <c r="G56" i="59" s="1"/>
  <c r="E70" i="59"/>
  <c r="G70" i="59" s="1"/>
  <c r="E38" i="59"/>
  <c r="G38" i="59" s="1"/>
  <c r="E96" i="59"/>
  <c r="G96" i="59" s="1"/>
  <c r="E53" i="59"/>
  <c r="G53" i="59" s="1"/>
  <c r="E36" i="59"/>
  <c r="G36" i="59" s="1"/>
  <c r="E54" i="59"/>
  <c r="G54" i="59" s="1"/>
  <c r="E69" i="59"/>
  <c r="G69" i="59" s="1"/>
  <c r="E83" i="59"/>
  <c r="G83" i="59" s="1"/>
  <c r="G84" i="59" s="1"/>
  <c r="F22" i="42"/>
  <c r="F21" i="42"/>
  <c r="F23" i="42"/>
  <c r="F20" i="42"/>
  <c r="F19" i="42"/>
  <c r="F18" i="42"/>
  <c r="F13" i="42"/>
  <c r="F12" i="42"/>
  <c r="F14" i="42"/>
  <c r="F17" i="42"/>
  <c r="F16" i="42"/>
  <c r="F15" i="42"/>
  <c r="J39" i="2"/>
  <c r="K39" i="2" s="1"/>
  <c r="J23" i="2"/>
  <c r="K23" i="2" s="1"/>
  <c r="J30" i="2"/>
  <c r="K30" i="2" s="1"/>
  <c r="J18" i="2"/>
  <c r="K18" i="2" s="1"/>
  <c r="J12" i="2"/>
  <c r="K12" i="2" s="1"/>
  <c r="J26" i="2"/>
  <c r="K26" i="2" s="1"/>
  <c r="J17" i="2"/>
  <c r="K17" i="2" s="1"/>
  <c r="J31" i="2"/>
  <c r="K31" i="2" s="1"/>
  <c r="J11" i="2"/>
  <c r="K11" i="2" s="1"/>
  <c r="J22" i="2"/>
  <c r="K22" i="2" s="1"/>
  <c r="J16" i="2"/>
  <c r="K16" i="2" s="1"/>
  <c r="F9" i="42"/>
  <c r="J38" i="2"/>
  <c r="K38" i="2" s="1"/>
  <c r="J15" i="2"/>
  <c r="K15" i="2" s="1"/>
  <c r="J9" i="2"/>
  <c r="K9" i="2" s="1"/>
  <c r="F10" i="42"/>
  <c r="J27" i="2"/>
  <c r="K27" i="2" s="1"/>
  <c r="F11" i="42"/>
  <c r="F39" i="42" s="1"/>
  <c r="J10" i="2"/>
  <c r="K10" i="2" s="1"/>
  <c r="J21" i="2"/>
  <c r="K21" i="2" s="1"/>
  <c r="Q14" i="42" l="1"/>
  <c r="R14" i="42" s="1"/>
  <c r="T14" i="42"/>
  <c r="U14" i="42" s="1"/>
  <c r="V14" i="42" s="1"/>
  <c r="Q15" i="42"/>
  <c r="R15" i="42" s="1"/>
  <c r="T15" i="42"/>
  <c r="U15" i="42" s="1"/>
  <c r="V15" i="42" s="1"/>
  <c r="G9" i="42"/>
  <c r="H9" i="42" s="1"/>
  <c r="F37" i="42"/>
  <c r="P10" i="42"/>
  <c r="F40" i="42"/>
  <c r="G13" i="42"/>
  <c r="H13" i="42" s="1"/>
  <c r="F41" i="42"/>
  <c r="F60" i="42"/>
  <c r="G39" i="42"/>
  <c r="K39" i="42"/>
  <c r="P12" i="42"/>
  <c r="F46" i="42"/>
  <c r="F63" i="42" s="1"/>
  <c r="G19" i="42"/>
  <c r="H19" i="42" s="1"/>
  <c r="F47" i="42"/>
  <c r="G10" i="42"/>
  <c r="H10" i="42" s="1"/>
  <c r="F38" i="42"/>
  <c r="P11" i="42"/>
  <c r="F43" i="42"/>
  <c r="F62" i="42" s="1"/>
  <c r="G20" i="42"/>
  <c r="H20" i="42" s="1"/>
  <c r="F48" i="42"/>
  <c r="G16" i="42"/>
  <c r="H16" i="42" s="1"/>
  <c r="F44" i="42"/>
  <c r="G23" i="42"/>
  <c r="H23" i="42" s="1"/>
  <c r="F51" i="42"/>
  <c r="G17" i="42"/>
  <c r="H17" i="42" s="1"/>
  <c r="F45" i="42"/>
  <c r="P13" i="42"/>
  <c r="F49" i="42"/>
  <c r="F64" i="42" s="1"/>
  <c r="G14" i="42"/>
  <c r="H14" i="42" s="1"/>
  <c r="F42" i="42"/>
  <c r="G22" i="42"/>
  <c r="H22" i="42" s="1"/>
  <c r="F50" i="42"/>
  <c r="G109" i="59"/>
  <c r="G97" i="59"/>
  <c r="G39" i="59"/>
  <c r="G71" i="59"/>
  <c r="G12" i="42"/>
  <c r="H12" i="42" s="1"/>
  <c r="G21" i="42"/>
  <c r="H21" i="42" s="1"/>
  <c r="G11" i="42"/>
  <c r="H11" i="42" s="1"/>
  <c r="P9" i="42"/>
  <c r="G18" i="42"/>
  <c r="H18" i="42" s="1"/>
  <c r="G15" i="42"/>
  <c r="H15" i="42" s="1"/>
  <c r="Q11" i="42" l="1"/>
  <c r="R11" i="42" s="1"/>
  <c r="T11" i="42"/>
  <c r="U11" i="42" s="1"/>
  <c r="V11" i="42" s="1"/>
  <c r="Q10" i="42"/>
  <c r="R10" i="42" s="1"/>
  <c r="T10" i="42"/>
  <c r="U10" i="42" s="1"/>
  <c r="V10" i="42" s="1"/>
  <c r="Q13" i="42"/>
  <c r="R13" i="42" s="1"/>
  <c r="T13" i="42"/>
  <c r="U13" i="42" s="1"/>
  <c r="V13" i="42" s="1"/>
  <c r="Q12" i="42"/>
  <c r="R12" i="42" s="1"/>
  <c r="T12" i="42"/>
  <c r="U12" i="42" s="1"/>
  <c r="V12" i="42" s="1"/>
  <c r="Q9" i="42"/>
  <c r="R9" i="42" s="1"/>
  <c r="T9" i="42"/>
  <c r="U9" i="42" s="1"/>
  <c r="V9" i="42" s="1"/>
  <c r="H39" i="42"/>
  <c r="H60" i="42" s="1"/>
  <c r="G60" i="42"/>
  <c r="G50" i="42"/>
  <c r="H50" i="42" s="1"/>
  <c r="K50" i="42"/>
  <c r="L50" i="42" s="1"/>
  <c r="M50" i="42" s="1"/>
  <c r="G51" i="42"/>
  <c r="H51" i="42" s="1"/>
  <c r="K51" i="42"/>
  <c r="L51" i="42" s="1"/>
  <c r="M51" i="42" s="1"/>
  <c r="G38" i="42"/>
  <c r="H38" i="42" s="1"/>
  <c r="K38" i="42"/>
  <c r="L38" i="42" s="1"/>
  <c r="M38" i="42" s="1"/>
  <c r="G41" i="42"/>
  <c r="H41" i="42" s="1"/>
  <c r="K41" i="42"/>
  <c r="L41" i="42" s="1"/>
  <c r="M41" i="42" s="1"/>
  <c r="G42" i="42"/>
  <c r="H42" i="42" s="1"/>
  <c r="K42" i="42"/>
  <c r="L42" i="42" s="1"/>
  <c r="M42" i="42" s="1"/>
  <c r="G44" i="42"/>
  <c r="H44" i="42" s="1"/>
  <c r="K44" i="42"/>
  <c r="L44" i="42" s="1"/>
  <c r="M44" i="42" s="1"/>
  <c r="G47" i="42"/>
  <c r="H47" i="42" s="1"/>
  <c r="K47" i="42"/>
  <c r="L47" i="42" s="1"/>
  <c r="M47" i="42" s="1"/>
  <c r="G40" i="42"/>
  <c r="F61" i="42"/>
  <c r="K40" i="42"/>
  <c r="G49" i="42"/>
  <c r="K49" i="42"/>
  <c r="G48" i="42"/>
  <c r="H48" i="42" s="1"/>
  <c r="K48" i="42"/>
  <c r="L48" i="42" s="1"/>
  <c r="M48" i="42" s="1"/>
  <c r="G46" i="42"/>
  <c r="K46" i="42"/>
  <c r="K37" i="42"/>
  <c r="L37" i="42" s="1"/>
  <c r="M37" i="42" s="1"/>
  <c r="G37" i="42"/>
  <c r="H37" i="42" s="1"/>
  <c r="K45" i="42"/>
  <c r="L45" i="42" s="1"/>
  <c r="M45" i="42" s="1"/>
  <c r="G45" i="42"/>
  <c r="H45" i="42" s="1"/>
  <c r="G43" i="42"/>
  <c r="K43" i="42"/>
  <c r="L39" i="42"/>
  <c r="K60" i="42"/>
  <c r="G8" i="59"/>
  <c r="G7" i="59"/>
  <c r="L43" i="42" l="1"/>
  <c r="K62" i="42"/>
  <c r="H43" i="42"/>
  <c r="H62" i="42" s="1"/>
  <c r="G62" i="42"/>
  <c r="L49" i="42"/>
  <c r="K64" i="42"/>
  <c r="H49" i="42"/>
  <c r="H64" i="42" s="1"/>
  <c r="G64" i="42"/>
  <c r="H46" i="42"/>
  <c r="H63" i="42" s="1"/>
  <c r="G63" i="42"/>
  <c r="L46" i="42"/>
  <c r="K63" i="42"/>
  <c r="M39" i="42"/>
  <c r="M60" i="42" s="1"/>
  <c r="L60" i="42"/>
  <c r="L40" i="42"/>
  <c r="K61" i="42"/>
  <c r="H40" i="42"/>
  <c r="H61" i="42" s="1"/>
  <c r="G61" i="42"/>
  <c r="G10" i="59"/>
  <c r="M43" i="42" l="1"/>
  <c r="M62" i="42" s="1"/>
  <c r="L62" i="42"/>
  <c r="M49" i="42"/>
  <c r="M64" i="42" s="1"/>
  <c r="L64" i="42"/>
  <c r="M46" i="42"/>
  <c r="M63" i="42" s="1"/>
  <c r="L63" i="42"/>
  <c r="M40" i="42"/>
  <c r="M61" i="42" s="1"/>
  <c r="L61" i="42"/>
</calcChain>
</file>

<file path=xl/sharedStrings.xml><?xml version="1.0" encoding="utf-8"?>
<sst xmlns="http://schemas.openxmlformats.org/spreadsheetml/2006/main" count="1051" uniqueCount="422">
  <si>
    <t>Total Operating Expenses</t>
  </si>
  <si>
    <t>Taxes Other Than Income</t>
  </si>
  <si>
    <t>Salaries and Wages - Employees</t>
  </si>
  <si>
    <t>Salaries and Wages - Officers</t>
  </si>
  <si>
    <t>Employee Pensions and Benefits</t>
  </si>
  <si>
    <t>Purchased Water</t>
  </si>
  <si>
    <t>Purchased Power</t>
  </si>
  <si>
    <t>Materials and Supplies</t>
  </si>
  <si>
    <t>Contractual Services</t>
  </si>
  <si>
    <t>Miscellaneous Expenses</t>
  </si>
  <si>
    <t>Transportation Expenses</t>
  </si>
  <si>
    <t>Proposed</t>
  </si>
  <si>
    <t>Total</t>
  </si>
  <si>
    <t>Gallons</t>
  </si>
  <si>
    <t>Operating Revenues</t>
  </si>
  <si>
    <t>Sales for Resale</t>
  </si>
  <si>
    <t>Other Water Revenues:</t>
  </si>
  <si>
    <t>Total Operating Revenues</t>
  </si>
  <si>
    <t>Operating Expenses</t>
  </si>
  <si>
    <t>Depreciation Expense</t>
  </si>
  <si>
    <t>Plus:</t>
  </si>
  <si>
    <t>Less:</t>
  </si>
  <si>
    <t>Other Operating Revenue</t>
  </si>
  <si>
    <t>Existing</t>
  </si>
  <si>
    <t>Change</t>
  </si>
  <si>
    <t>1"</t>
  </si>
  <si>
    <t>2"</t>
  </si>
  <si>
    <t>Table A</t>
  </si>
  <si>
    <t>SCHEDULE OF ADJUSTED OPERATIONS</t>
  </si>
  <si>
    <t>Test Year</t>
  </si>
  <si>
    <t>Adjustments</t>
  </si>
  <si>
    <t>Ref.</t>
  </si>
  <si>
    <t>Proforma</t>
  </si>
  <si>
    <t>Operation and Maintenance</t>
  </si>
  <si>
    <t>Insurance - Gen. Liab. &amp; Workers Comp.</t>
  </si>
  <si>
    <t>Total Operation and Mnt. Expenses</t>
  </si>
  <si>
    <t>Total Utility Operating Income</t>
  </si>
  <si>
    <t>Pro Forma Operating Expenses</t>
  </si>
  <si>
    <t>Adjustment</t>
  </si>
  <si>
    <t>Forfeited Discounts</t>
  </si>
  <si>
    <t>Total Metered Retail Sales</t>
  </si>
  <si>
    <t>DEPRECIATION EXPENSE ADJUSTMENTS</t>
  </si>
  <si>
    <t>Depreciation</t>
  </si>
  <si>
    <t>Date in</t>
  </si>
  <si>
    <t>Original</t>
  </si>
  <si>
    <t>Expense</t>
  </si>
  <si>
    <t>Service</t>
  </si>
  <si>
    <t>Life</t>
  </si>
  <si>
    <t>Depr. Exp.</t>
  </si>
  <si>
    <t>SUMMARY</t>
  </si>
  <si>
    <t>USAGE</t>
  </si>
  <si>
    <t>BILLS</t>
  </si>
  <si>
    <t>GALLONS</t>
  </si>
  <si>
    <t>TOTAL</t>
  </si>
  <si>
    <t>RATE</t>
  </si>
  <si>
    <t>REVENUE</t>
  </si>
  <si>
    <t>CURRENT AND PROPOSED RATES</t>
  </si>
  <si>
    <t>Insurance - Other</t>
  </si>
  <si>
    <t>Revenue Required From Sales of Water</t>
  </si>
  <si>
    <t>Revenue from Sales with Present Rates</t>
  </si>
  <si>
    <t>Total Revenue Requirement</t>
  </si>
  <si>
    <t>Required Revenue Increase</t>
  </si>
  <si>
    <t>Percent Increase</t>
  </si>
  <si>
    <t>various</t>
  </si>
  <si>
    <t>Meter</t>
  </si>
  <si>
    <t>Difference</t>
  </si>
  <si>
    <t>Bill</t>
  </si>
  <si>
    <t>Percentage</t>
  </si>
  <si>
    <t>Size</t>
  </si>
  <si>
    <t>EXISTING AND PROPOSED BILLS</t>
  </si>
  <si>
    <t>MONTHLY</t>
  </si>
  <si>
    <t>EMPLOYEE</t>
  </si>
  <si>
    <t xml:space="preserve">WATER DIST </t>
  </si>
  <si>
    <t>PREMIUM</t>
  </si>
  <si>
    <t>ANNUAL</t>
  </si>
  <si>
    <t>Medical Insurance Adjustment</t>
  </si>
  <si>
    <t>CONTRIB</t>
  </si>
  <si>
    <t>CONTRIB %</t>
  </si>
  <si>
    <t>TOTALS</t>
  </si>
  <si>
    <t>TABLE C</t>
  </si>
  <si>
    <t>per Month*</t>
  </si>
  <si>
    <t>* Highlighted usage represents the average residential bill.</t>
  </si>
  <si>
    <t>Chemicals</t>
  </si>
  <si>
    <t>Salaries &amp; Wages and Associated Adjustments</t>
  </si>
  <si>
    <t>Pro Forma</t>
  </si>
  <si>
    <t xml:space="preserve">Pro Forma </t>
  </si>
  <si>
    <t>Employee</t>
  </si>
  <si>
    <t>Reg. Hrs</t>
  </si>
  <si>
    <t>O. T. Hours</t>
  </si>
  <si>
    <t>Wage Rate</t>
  </si>
  <si>
    <t>Reg. Wages</t>
  </si>
  <si>
    <t>O. T. Wages</t>
  </si>
  <si>
    <t>Wages</t>
  </si>
  <si>
    <t>Pro Forma Salaries &amp; Wages Expense</t>
  </si>
  <si>
    <t>Less: Test Year Salaries &amp; Wages Exp</t>
  </si>
  <si>
    <t>Pro Forma Salaries &amp; Wages Adj'mt</t>
  </si>
  <si>
    <t xml:space="preserve"> </t>
  </si>
  <si>
    <t>Times: 7.65 Percent FICA Rate</t>
  </si>
  <si>
    <t>Pro Forma Payroll Taxes</t>
  </si>
  <si>
    <t>Less: Test Year Payroll Taxes</t>
  </si>
  <si>
    <t>Payroll Tax Adjustment</t>
  </si>
  <si>
    <t>Times: Percent Pension Contribution</t>
  </si>
  <si>
    <t>Total Pro Forma Pension Contribution</t>
  </si>
  <si>
    <t>Less: Test Year Pension Contribution</t>
  </si>
  <si>
    <t>Pension &amp; Benefits Adjustment</t>
  </si>
  <si>
    <t>per month</t>
  </si>
  <si>
    <t>1 Inch Meter</t>
  </si>
  <si>
    <t>1 1/2 Inch Meter</t>
  </si>
  <si>
    <t>2 Inch Meter</t>
  </si>
  <si>
    <t>COMPONENT</t>
  </si>
  <si>
    <t>1 INCH METER</t>
  </si>
  <si>
    <t>1 1/2 INCH METER</t>
  </si>
  <si>
    <t>2 INCH METER</t>
  </si>
  <si>
    <t>Less Adjustments</t>
  </si>
  <si>
    <t xml:space="preserve">Total  </t>
  </si>
  <si>
    <t>Medical Adjustment</t>
  </si>
  <si>
    <t>Reported</t>
  </si>
  <si>
    <t>Asset</t>
  </si>
  <si>
    <t>Cost *</t>
  </si>
  <si>
    <t>General Plant</t>
  </si>
  <si>
    <t>Structures &amp; Improvements</t>
  </si>
  <si>
    <t>varies</t>
  </si>
  <si>
    <t>Office Furniture &amp; Equipment</t>
  </si>
  <si>
    <t>Power Operated Equipment</t>
  </si>
  <si>
    <t>Tools, Shop, &amp; Garage Equipment</t>
  </si>
  <si>
    <t>Tank Repairs &amp; Painting</t>
  </si>
  <si>
    <t>Pumping Plant</t>
  </si>
  <si>
    <t>Telemetry</t>
  </si>
  <si>
    <t>Pumping Equipment</t>
  </si>
  <si>
    <t>Transmission &amp; Distribution Plant</t>
  </si>
  <si>
    <t>Hydrants</t>
  </si>
  <si>
    <t>Transmission &amp; Distribution Mains</t>
  </si>
  <si>
    <t>Meter Installations</t>
  </si>
  <si>
    <t>Meter Change-outs</t>
  </si>
  <si>
    <t>Pump Equipment</t>
  </si>
  <si>
    <t>Tank Fence</t>
  </si>
  <si>
    <t>Services</t>
  </si>
  <si>
    <t>Reservoirs &amp; Tanks</t>
  </si>
  <si>
    <t>Transportation Equipment</t>
  </si>
  <si>
    <t>Entire Group</t>
  </si>
  <si>
    <t>Table B</t>
  </si>
  <si>
    <t>DEBT SERVICE SCHDULE</t>
  </si>
  <si>
    <t>Interest</t>
  </si>
  <si>
    <t>Principal</t>
  </si>
  <si>
    <t>&amp; Fees</t>
  </si>
  <si>
    <t>Average Annual Principal &amp; Interest</t>
  </si>
  <si>
    <t>Average Annual Coverage</t>
  </si>
  <si>
    <t>DISTRICT'S</t>
  </si>
  <si>
    <t>Total Gross Wages</t>
  </si>
  <si>
    <t>Gross Wages for Full Time Employees CERS Eligible</t>
  </si>
  <si>
    <t>Labor and Materials Adjustment for New Service Installations</t>
  </si>
  <si>
    <t>New Tapping Fees Collected</t>
  </si>
  <si>
    <t xml:space="preserve">Labor </t>
  </si>
  <si>
    <t xml:space="preserve">Materials </t>
  </si>
  <si>
    <t>`</t>
  </si>
  <si>
    <t>Water Loss Adjustment</t>
  </si>
  <si>
    <t>Produced &amp; Purchased</t>
  </si>
  <si>
    <t>Sold</t>
  </si>
  <si>
    <t>Uses:</t>
  </si>
  <si>
    <t xml:space="preserve">  WTP</t>
  </si>
  <si>
    <t xml:space="preserve">  Flushing</t>
  </si>
  <si>
    <t xml:space="preserve">  Fire</t>
  </si>
  <si>
    <t xml:space="preserve">  Other</t>
  </si>
  <si>
    <t>Tank O.F.</t>
  </si>
  <si>
    <t>Line Leaks</t>
  </si>
  <si>
    <t xml:space="preserve">  allowable in rates</t>
  </si>
  <si>
    <t xml:space="preserve">  adjustment percentage</t>
  </si>
  <si>
    <t>Other</t>
  </si>
  <si>
    <t>TABLE D</t>
  </si>
  <si>
    <t>Miscellaneous Service Revenues</t>
  </si>
  <si>
    <t>Current</t>
  </si>
  <si>
    <t>Location</t>
  </si>
  <si>
    <t>Fuel for Power Production</t>
  </si>
  <si>
    <t>Non-Utility Income</t>
  </si>
  <si>
    <t>5/8 Inch Meter</t>
  </si>
  <si>
    <t>per gallon</t>
  </si>
  <si>
    <t>gallons</t>
  </si>
  <si>
    <t>First</t>
  </si>
  <si>
    <t>Next</t>
  </si>
  <si>
    <t>Over</t>
  </si>
  <si>
    <t>3/4 Inch Meter</t>
  </si>
  <si>
    <t>5/8"</t>
  </si>
  <si>
    <t>3/4"</t>
  </si>
  <si>
    <t>5/8 INCH METER</t>
  </si>
  <si>
    <t>3/4 INCH METER</t>
  </si>
  <si>
    <t>MEDICAL</t>
  </si>
  <si>
    <t>DENTAL</t>
  </si>
  <si>
    <t>REVENUE BY RATE INCREMENT</t>
  </si>
  <si>
    <t>CONSUMPTION BY RATE INCREMENT</t>
  </si>
  <si>
    <t>Total Retail Sales</t>
  </si>
  <si>
    <t>Total Wholesale Sales</t>
  </si>
  <si>
    <t>Sheet ExBA Cell G11</t>
  </si>
  <si>
    <t>Sheet ExBA Cell G16</t>
  </si>
  <si>
    <t>Sheet Medical Cell C35</t>
  </si>
  <si>
    <t>A</t>
  </si>
  <si>
    <t>B</t>
  </si>
  <si>
    <t>Costs Subject to Water Loss Adjustment</t>
  </si>
  <si>
    <t>Computation of Water Loss Surcharge</t>
  </si>
  <si>
    <t>Total Adjustment</t>
  </si>
  <si>
    <t>/ Number of Bills</t>
  </si>
  <si>
    <t>Monthly Surcharge Amount</t>
  </si>
  <si>
    <t>REVENUE REQUIREMENTS USING OPERATING RATIO METHOD</t>
  </si>
  <si>
    <t>Divided by:  Operating Ratio</t>
  </si>
  <si>
    <t xml:space="preserve">  Subtotal</t>
  </si>
  <si>
    <t>Interest Expense</t>
  </si>
  <si>
    <t>Interest Only</t>
  </si>
  <si>
    <t>Average Interest Only</t>
  </si>
  <si>
    <t>Sheet Debt Service Cell M29</t>
  </si>
  <si>
    <t>Sheet Wages Cell H27</t>
  </si>
  <si>
    <t>WHOLESALE</t>
  </si>
  <si>
    <t>Wholesale</t>
  </si>
  <si>
    <t>Other Water Revenues</t>
  </si>
  <si>
    <t xml:space="preserve">     Legal</t>
  </si>
  <si>
    <t xml:space="preserve">     Water Testing</t>
  </si>
  <si>
    <t>Insurance - Worker's Compensation</t>
  </si>
  <si>
    <t xml:space="preserve">     Accounting</t>
  </si>
  <si>
    <t xml:space="preserve">     Other</t>
  </si>
  <si>
    <t>Adjustment to SAO Billed Revenues (PWA increase)</t>
  </si>
  <si>
    <t>Decrease expense due to greater than 15 % water loss</t>
  </si>
  <si>
    <t>Leak Adjustment Rate</t>
  </si>
  <si>
    <t>1 1/2"</t>
  </si>
  <si>
    <t>AR 2021 gallons</t>
  </si>
  <si>
    <t>References</t>
  </si>
  <si>
    <t>Bonus</t>
  </si>
  <si>
    <t>Various</t>
  </si>
  <si>
    <t>Tank Painting &amp; Repairs</t>
  </si>
  <si>
    <t>Sheet Capital Cell D5</t>
  </si>
  <si>
    <t>Sheet Capital Cell D6</t>
  </si>
  <si>
    <t>Wages applicable to retirement payments</t>
  </si>
  <si>
    <t>Sheet Wages Cell I37</t>
  </si>
  <si>
    <t>Sheet Depreciation Cell K42</t>
  </si>
  <si>
    <t>Sheet Wages Cell I25</t>
  </si>
  <si>
    <t>C</t>
  </si>
  <si>
    <t>D</t>
  </si>
  <si>
    <t>E</t>
  </si>
  <si>
    <t>F</t>
  </si>
  <si>
    <t>G</t>
  </si>
  <si>
    <t>H</t>
  </si>
  <si>
    <t>I</t>
  </si>
  <si>
    <t>J</t>
  </si>
  <si>
    <t>K</t>
  </si>
  <si>
    <t>Five year average interest on promissory note.</t>
  </si>
  <si>
    <t>Communication &amp; Computer Eq.</t>
  </si>
  <si>
    <t>Line Breaks</t>
  </si>
  <si>
    <t>Cost</t>
  </si>
  <si>
    <t>Amortization Expense</t>
  </si>
  <si>
    <t xml:space="preserve">Purchased Water Expense </t>
  </si>
  <si>
    <t xml:space="preserve">Gallons </t>
  </si>
  <si>
    <t>Rate</t>
  </si>
  <si>
    <t>Increased purchase water expense</t>
  </si>
  <si>
    <t>Sheet Water Loss Cell I9</t>
  </si>
  <si>
    <t>Amount</t>
  </si>
  <si>
    <t>Sheet Capital Cell G25</t>
  </si>
  <si>
    <t>Average Annual Interest Expense</t>
  </si>
  <si>
    <t>Eff. 8/1/25</t>
  </si>
  <si>
    <t>Larue County Water Dsitrict #1</t>
  </si>
  <si>
    <t>City of Greensburg</t>
  </si>
  <si>
    <t>CY 2027</t>
  </si>
  <si>
    <t>CY 2028</t>
  </si>
  <si>
    <t>CY 2029</t>
  </si>
  <si>
    <t>CY 2030</t>
  </si>
  <si>
    <t>CY 2031</t>
  </si>
  <si>
    <t>CY 2027 - 2031</t>
  </si>
  <si>
    <t>COMMISIONERS</t>
  </si>
  <si>
    <t>Jerry Hall</t>
  </si>
  <si>
    <t>Terry Mardis</t>
  </si>
  <si>
    <t>2025 Depreciation schedule adjusted to PSC policy allowed lives</t>
  </si>
  <si>
    <t>Interest and Dividend Income</t>
  </si>
  <si>
    <t>2025 annual report pg 20</t>
  </si>
  <si>
    <t>Advertising</t>
  </si>
  <si>
    <t>Excavation Damages</t>
  </si>
  <si>
    <t>Theft</t>
  </si>
  <si>
    <t>Cambellsville</t>
  </si>
  <si>
    <t>Greensburg</t>
  </si>
  <si>
    <t>Green River Valley</t>
  </si>
  <si>
    <t>Columbia</t>
  </si>
  <si>
    <t>Vendor</t>
  </si>
  <si>
    <t>$3.36/1,000</t>
  </si>
  <si>
    <t>$2.206/1,000</t>
  </si>
  <si>
    <t>$3.01/1,000</t>
  </si>
  <si>
    <t>$2.75/1,000</t>
  </si>
  <si>
    <t>Purchase water expense</t>
  </si>
  <si>
    <t>CURRENT BILLING ANALYSIS WITH 2025 USAGE &amp; EXISTING RATES</t>
  </si>
  <si>
    <t>Com report</t>
  </si>
  <si>
    <t>Res report</t>
  </si>
  <si>
    <t>Revenue</t>
  </si>
  <si>
    <t>GREEN-TAYLOR WATER DISTRICT</t>
  </si>
  <si>
    <t>Larue</t>
  </si>
  <si>
    <t>RATE ANALYSIS REPORTS</t>
  </si>
  <si>
    <t>Res 1</t>
  </si>
  <si>
    <t>Res 2</t>
  </si>
  <si>
    <t>Comm 2</t>
  </si>
  <si>
    <t>Comm 1</t>
  </si>
  <si>
    <t>F18-05</t>
  </si>
  <si>
    <t>F19-018</t>
  </si>
  <si>
    <t>CASE</t>
  </si>
  <si>
    <t>2018-00368</t>
  </si>
  <si>
    <t>2021-00233</t>
  </si>
  <si>
    <t>2019-00071</t>
  </si>
  <si>
    <t>KACFC</t>
  </si>
  <si>
    <t>**ADJ TO ALL WATER SALES</t>
  </si>
  <si>
    <t>Water Sales from PSC 2025 Annual Report</t>
  </si>
  <si>
    <t>Jeff Suratt</t>
  </si>
  <si>
    <t>Larry Houk</t>
  </si>
  <si>
    <t>2025 purchased water expense reported</t>
  </si>
  <si>
    <t>Increase due to wholesale supplier's increased wholesale rate</t>
  </si>
  <si>
    <t>served by 3 meters</t>
  </si>
  <si>
    <t>served by 2 meters, source 4/13 Misty email</t>
  </si>
  <si>
    <t>Depreciation Expense 2025 PSC annual report</t>
  </si>
  <si>
    <t>Emp. Pen &amp; Benefits</t>
  </si>
  <si>
    <t>821-6046 T&amp;D Maint.</t>
  </si>
  <si>
    <t>821-6045- T&amp;D Oper.</t>
  </si>
  <si>
    <t>821-6047 Cust. Acct</t>
  </si>
  <si>
    <t>821-6048 Admin&amp;Gen</t>
  </si>
  <si>
    <t>Eff. 4/10/10</t>
  </si>
  <si>
    <t>Eff 10/3/23</t>
  </si>
  <si>
    <t>***Green-Taylor Water District has no customers that receive the 3/4 meter rate***</t>
  </si>
  <si>
    <t>***Green-Taylor Water District has no customers that receive the 1 1/2  meter rate***</t>
  </si>
  <si>
    <t>Increase payroll taxes due to increased 2025 wage rates.</t>
  </si>
  <si>
    <t>Applicable billing adjustmens</t>
  </si>
  <si>
    <t>CERS rate Effective July 1, 2026</t>
  </si>
  <si>
    <t>per Month</t>
  </si>
  <si>
    <t>Larue County WD #1</t>
  </si>
  <si>
    <t>Rate case Expense amortized over 3 years($9,335/3=$3,112)</t>
  </si>
  <si>
    <t xml:space="preserve">Recovery of Rate Case Expense of $9,335 amortized over a three year period (9,335/3yrs=$3,112). </t>
  </si>
  <si>
    <t xml:space="preserve">  2025 AR water loss percentage</t>
  </si>
  <si>
    <t>**Includes 24 bills for two wholsale customers</t>
  </si>
  <si>
    <t>Meter Charge</t>
  </si>
  <si>
    <t>$84/mth</t>
  </si>
  <si>
    <t>Leak adjustments</t>
  </si>
  <si>
    <t>Misread Meter</t>
  </si>
  <si>
    <t>Single</t>
  </si>
  <si>
    <t>EE/SP</t>
  </si>
  <si>
    <t>EE/CH</t>
  </si>
  <si>
    <t>Family</t>
  </si>
  <si>
    <t>VISION</t>
  </si>
  <si>
    <t>Less 2025 Expense</t>
  </si>
  <si>
    <t>Health benefits</t>
  </si>
  <si>
    <t>Total 2025 PSC annual report</t>
  </si>
  <si>
    <t>Increase medical expense premiums</t>
  </si>
  <si>
    <t xml:space="preserve">Customers read their own meters </t>
  </si>
  <si>
    <t>PROPOSED BILLING ANALYSIS WITH 2025 USAGE &amp; PROPOSED RATES</t>
  </si>
  <si>
    <t>Materials portion of tapping fees for 2025.</t>
  </si>
  <si>
    <t>Labor portion of tapping fees for 2025.</t>
  </si>
  <si>
    <t>Net Adjustment to SAO Billed Revenues (PWA increase)</t>
  </si>
  <si>
    <t>Net Adjustment to annual water sales per billing analysis.( increase due to PWA 25-235)</t>
  </si>
  <si>
    <t>The utility collected $69,100 in tapping fees in 25. These taps were installed by the utility and were recorded as labor and material expenses.  Labor expense has been reduced by $20,730 or 30% of the tapping fees while materials and supplies expense has been reduced by $48,370 or 70% of the tapping fees.</t>
  </si>
  <si>
    <t xml:space="preserve">The utility's wholesale water supplier increased its rate to the utility resulting in an annual increase of $54,420 in purchased water expense. </t>
  </si>
  <si>
    <t>5/14/26 email Mathew Hazel , $3,104 income reported in 2025 will not reoccur</t>
  </si>
  <si>
    <t>Increase due to 2026 wage rates increase and employee turnover</t>
  </si>
  <si>
    <t>HSA</t>
  </si>
  <si>
    <t>Employee+Spouse</t>
  </si>
  <si>
    <t>Pension</t>
  </si>
  <si>
    <t>Benefits</t>
  </si>
  <si>
    <t>Richard Burress</t>
  </si>
  <si>
    <t>LIFE</t>
  </si>
  <si>
    <t>TOTAL MEDICAL, DENTAL, VISION and LIFE INSURANCE</t>
  </si>
  <si>
    <t>Health</t>
  </si>
  <si>
    <t xml:space="preserve">Monthly Premium </t>
  </si>
  <si>
    <t>EE/Spouse</t>
  </si>
  <si>
    <t>EE/Child</t>
  </si>
  <si>
    <t xml:space="preserve">Family </t>
  </si>
  <si>
    <t>2026-2027</t>
  </si>
  <si>
    <t xml:space="preserve">Dental </t>
  </si>
  <si>
    <t>Monthly Premium</t>
  </si>
  <si>
    <t>Vision</t>
  </si>
  <si>
    <t>Employee left (replaced)</t>
  </si>
  <si>
    <t>4*</t>
  </si>
  <si>
    <t>* Employee #4 is a new employee</t>
  </si>
  <si>
    <t>Decrease in retirement contribution rate and employee turnover.</t>
  </si>
  <si>
    <t>*5/14/26 email Mathew Hazel $3,104 non-utility income will not reoccur</t>
  </si>
  <si>
    <t>Increase</t>
  </si>
  <si>
    <t>Monthly Water Loss Reduction Surcharge</t>
  </si>
  <si>
    <t>Per customer</t>
  </si>
  <si>
    <t>WLRS</t>
  </si>
  <si>
    <t>Bill + WLRS</t>
  </si>
  <si>
    <t>Avg. Gallons</t>
  </si>
  <si>
    <t>Effect of proposed increase on average bill for each customer classification</t>
  </si>
  <si>
    <t>Increase in employee benefits due to increased annual health insurance premiums .</t>
  </si>
  <si>
    <t>Decrease in pension benefits to reflect decrease in contribution rate.</t>
  </si>
  <si>
    <t>Green-Taylor Water District</t>
  </si>
  <si>
    <t>2025 Monthly Distribution to GL Report</t>
  </si>
  <si>
    <t>January</t>
  </si>
  <si>
    <t>February</t>
  </si>
  <si>
    <t>March</t>
  </si>
  <si>
    <t>April</t>
  </si>
  <si>
    <t>May</t>
  </si>
  <si>
    <t>June</t>
  </si>
  <si>
    <t>July</t>
  </si>
  <si>
    <t>August</t>
  </si>
  <si>
    <t>September</t>
  </si>
  <si>
    <t>October</t>
  </si>
  <si>
    <t>November</t>
  </si>
  <si>
    <t>December</t>
  </si>
  <si>
    <t>Items purchased in 2025 not included in monthly reports</t>
  </si>
  <si>
    <t>Portable Radio</t>
  </si>
  <si>
    <t>4 Dell Computers</t>
  </si>
  <si>
    <t>4 Gain Antenna</t>
  </si>
  <si>
    <t>United System Software</t>
  </si>
  <si>
    <t>2025 PSC annual report</t>
  </si>
  <si>
    <t xml:space="preserve">TOTALS for Depreciation Expense 2025 ** </t>
  </si>
  <si>
    <t>*  Includes only costs associated with assets that contributed to depreciation expense in the test year.</t>
  </si>
  <si>
    <t xml:space="preserve">** Deprecitaion schedule differs from PSC annual report by $1,257 due to adjustments made after 12/31/25.  </t>
  </si>
  <si>
    <t>The PSC requires adjustments to a water utility's depreciation expense when asset lives fall outside the ranges recommended by NARUC in its publication titled "Depreciation Practices for small utilities". Adjustments are included to bring asset lives to the midpoint of the recommended ranges to reflect PSC policy.  Depreciation expense has been increased by $111,746 to reflect these changes. See Table A.</t>
  </si>
  <si>
    <t>Increase payroll taxes by $143 due to increase employee wages.</t>
  </si>
  <si>
    <t>%</t>
  </si>
  <si>
    <t>% Increase</t>
  </si>
  <si>
    <t>Since 2025, there have been increase in wage rates, employee turnover and an additional employee, resulting in an annual wage increase of $21,838 .</t>
  </si>
  <si>
    <t>Increase to revenues to match test year billing analysis with current rates, increase due to PWA rate increase effective 8/1/25 in case 2025-00235.</t>
  </si>
  <si>
    <t>Part time employee do not participate in retirement.</t>
  </si>
  <si>
    <t>Per Customer</t>
  </si>
  <si>
    <t>L</t>
  </si>
  <si>
    <t>The five year average interest expense of $22,761 is determined from existing debt and added to the Revenue Requirement calculation.</t>
  </si>
  <si>
    <t xml:space="preserve">The Revenue Requirement is computed using the Operating Ratio Method. This method is used when a utility has little or no debt. </t>
  </si>
  <si>
    <t>Revenue Required from water sales</t>
  </si>
  <si>
    <t>The utility's test year water loss was 28.35 percent. The PSC's maximum allowable loss for rate-making purposes is 15.0 percent. Therefore, the expenses for purchased water and purchased power above the 15 percent limit is not allowed in the rate base and must be deducted. Purchased water  expense was decreased by $170,278 and Purchased power expense was decreased by $10,413.</t>
  </si>
  <si>
    <t>Pro Forma Salaries and Wages Expense+ Commissioners</t>
  </si>
  <si>
    <t>Breakdown from office mangager 6/15/26</t>
  </si>
  <si>
    <t>June 15 email from office manager</t>
  </si>
  <si>
    <t>*5/14/26 emailfrom accountant  $69,100</t>
  </si>
  <si>
    <t>EXISTING AND PROPOSED BILLS WITH WLRS</t>
  </si>
  <si>
    <t>(New charge for all customers for forty-eights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</si>
</sst>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00"/>
    <numFmt numFmtId="167" formatCode="0.0%"/>
    <numFmt numFmtId="168" formatCode="_(* #,##0.0_);_(* \(#,##0.0\);_(* &quot;-&quot;??_);_(@_)"/>
    <numFmt numFmtId="169" formatCode="mm/dd/yy;@"/>
    <numFmt numFmtId="170" formatCode="_([$$-409]* #,##0_);_([$$-409]* \(#,##0\);_([$$-409]* &quot;-&quot;??_);_(@_)"/>
    <numFmt numFmtId="171" formatCode="[$$-409]#,##0"/>
    <numFmt numFmtId="172" formatCode="_(* #,##0.0000_);_(* \(#,##0.0000\);_(* &quot;-&quot;??_);_(@_)"/>
    <numFmt numFmtId="173" formatCode="&quot;$&quot;#,##0.00000"/>
    <numFmt numFmtId="174" formatCode="0_);\(0\)"/>
    <numFmt numFmtId="175" formatCode="0.000%"/>
  </numFmts>
  <fonts count="37" x14ac:knownFonts="1">
    <font>
      <sz val="12"/>
      <name val="Arial"/>
    </font>
    <font>
      <sz val="11"/>
      <color theme="1"/>
      <name val="Calibri"/>
      <family val="2"/>
      <scheme val="minor"/>
    </font>
    <font>
      <sz val="11"/>
      <color theme="1"/>
      <name val="Calibri"/>
      <family val="2"/>
      <scheme val="minor"/>
    </font>
    <font>
      <sz val="12"/>
      <name val="Arial"/>
      <family val="2"/>
    </font>
    <font>
      <sz val="12"/>
      <name val="Arial"/>
      <family val="2"/>
    </font>
    <font>
      <sz val="11"/>
      <name val="Calibri"/>
      <family val="2"/>
      <scheme val="minor"/>
    </font>
    <font>
      <b/>
      <sz val="14"/>
      <name val="Calibri"/>
      <family val="2"/>
      <scheme val="minor"/>
    </font>
    <font>
      <b/>
      <u/>
      <sz val="14"/>
      <name val="Calibri"/>
      <family val="2"/>
      <scheme val="minor"/>
    </font>
    <font>
      <u/>
      <sz val="11"/>
      <name val="Calibri"/>
      <family val="2"/>
      <scheme val="minor"/>
    </font>
    <font>
      <b/>
      <sz val="11"/>
      <name val="Calibri"/>
      <family val="2"/>
      <scheme val="minor"/>
    </font>
    <font>
      <b/>
      <u/>
      <sz val="11"/>
      <name val="Calibri"/>
      <family val="2"/>
      <scheme val="minor"/>
    </font>
    <font>
      <u val="singleAccounting"/>
      <sz val="11"/>
      <name val="Calibri"/>
      <family val="2"/>
      <scheme val="minor"/>
    </font>
    <font>
      <b/>
      <u val="singleAccounting"/>
      <sz val="11"/>
      <name val="Calibri"/>
      <family val="2"/>
      <scheme val="minor"/>
    </font>
    <font>
      <b/>
      <sz val="12"/>
      <name val="Calibri"/>
      <family val="2"/>
      <scheme val="minor"/>
    </font>
    <font>
      <sz val="8"/>
      <color rgb="FFFF0000"/>
      <name val="Calibri"/>
      <family val="2"/>
      <scheme val="minor"/>
    </font>
    <font>
      <b/>
      <sz val="11"/>
      <color rgb="FFFF0000"/>
      <name val="Calibri"/>
      <family val="2"/>
      <scheme val="minor"/>
    </font>
    <font>
      <b/>
      <sz val="8"/>
      <color rgb="FF00B050"/>
      <name val="Calibri"/>
      <family val="2"/>
      <scheme val="minor"/>
    </font>
    <font>
      <sz val="11"/>
      <color theme="1"/>
      <name val="Calibri"/>
      <family val="2"/>
      <scheme val="minor"/>
    </font>
    <font>
      <b/>
      <sz val="11"/>
      <color theme="1"/>
      <name val="Calibri"/>
      <family val="2"/>
      <scheme val="minor"/>
    </font>
    <font>
      <b/>
      <sz val="11"/>
      <color rgb="FF00B050"/>
      <name val="Calibri"/>
      <family val="2"/>
      <scheme val="minor"/>
    </font>
    <font>
      <sz val="8"/>
      <name val="Calibri"/>
      <family val="2"/>
      <scheme val="minor"/>
    </font>
    <font>
      <u/>
      <sz val="11"/>
      <color theme="1"/>
      <name val="Calibri"/>
      <family val="2"/>
      <scheme val="minor"/>
    </font>
    <font>
      <b/>
      <sz val="16"/>
      <name val="Calibri"/>
      <family val="2"/>
      <scheme val="minor"/>
    </font>
    <font>
      <sz val="11"/>
      <color rgb="FFFF0000"/>
      <name val="Calibri"/>
      <family val="2"/>
      <scheme val="minor"/>
    </font>
    <font>
      <b/>
      <u/>
      <sz val="11"/>
      <color theme="1"/>
      <name val="Calibri"/>
      <family val="2"/>
      <scheme val="minor"/>
    </font>
    <font>
      <sz val="12"/>
      <name val="Calibri"/>
      <family val="2"/>
      <scheme val="minor"/>
    </font>
    <font>
      <u/>
      <sz val="12"/>
      <color theme="10"/>
      <name val="Arial"/>
      <family val="2"/>
    </font>
    <font>
      <sz val="11"/>
      <name val="Calibri"/>
      <family val="2"/>
    </font>
    <font>
      <sz val="8"/>
      <name val="Arial"/>
      <family val="2"/>
    </font>
    <font>
      <sz val="11"/>
      <color theme="0"/>
      <name val="Calibri"/>
      <family val="2"/>
      <scheme val="minor"/>
    </font>
    <font>
      <b/>
      <sz val="12"/>
      <name val="Arial"/>
      <family val="2"/>
    </font>
    <font>
      <u/>
      <sz val="12"/>
      <name val="Arial"/>
      <family val="2"/>
    </font>
    <font>
      <sz val="12"/>
      <color theme="1"/>
      <name val="Times New Roman"/>
      <family val="1"/>
    </font>
    <font>
      <sz val="8"/>
      <name val="Arial"/>
    </font>
    <font>
      <u val="singleAccounting"/>
      <sz val="11"/>
      <color theme="1"/>
      <name val="Calibri"/>
      <family val="2"/>
      <scheme val="minor"/>
    </font>
    <font>
      <sz val="10"/>
      <name val="Arial"/>
      <family val="2"/>
    </font>
    <font>
      <u/>
      <sz val="10"/>
      <name val="Arial"/>
      <family val="2"/>
    </font>
  </fonts>
  <fills count="8">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2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26" fillId="0" borderId="0" applyNumberFormat="0" applyFill="0" applyBorder="0" applyAlignment="0" applyProtection="0"/>
  </cellStyleXfs>
  <cellXfs count="565">
    <xf numFmtId="0" fontId="0" fillId="0" borderId="0" xfId="0"/>
    <xf numFmtId="0" fontId="5" fillId="0" borderId="0" xfId="0" applyFont="1"/>
    <xf numFmtId="0" fontId="0" fillId="0" borderId="6" xfId="0" applyBorder="1"/>
    <xf numFmtId="165" fontId="5" fillId="0" borderId="1" xfId="1" applyNumberFormat="1" applyFont="1" applyBorder="1"/>
    <xf numFmtId="165" fontId="5" fillId="0" borderId="0" xfId="1" applyNumberFormat="1" applyFont="1" applyBorder="1"/>
    <xf numFmtId="165" fontId="5" fillId="0" borderId="0" xfId="1" applyNumberFormat="1" applyFont="1"/>
    <xf numFmtId="165" fontId="5" fillId="0" borderId="3" xfId="1" applyNumberFormat="1" applyFont="1" applyBorder="1"/>
    <xf numFmtId="165" fontId="5" fillId="0" borderId="2" xfId="1" applyNumberFormat="1" applyFont="1" applyBorder="1"/>
    <xf numFmtId="165" fontId="5" fillId="0" borderId="4" xfId="1" applyNumberFormat="1" applyFont="1" applyBorder="1"/>
    <xf numFmtId="165" fontId="5" fillId="0" borderId="7" xfId="1" applyNumberFormat="1" applyFont="1" applyBorder="1"/>
    <xf numFmtId="165" fontId="5" fillId="0" borderId="8" xfId="1" applyNumberFormat="1" applyFont="1" applyBorder="1"/>
    <xf numFmtId="165" fontId="5" fillId="0" borderId="5" xfId="1" applyNumberFormat="1" applyFont="1" applyBorder="1"/>
    <xf numFmtId="165" fontId="5" fillId="0" borderId="6" xfId="1" applyNumberFormat="1" applyFont="1" applyBorder="1"/>
    <xf numFmtId="43" fontId="5" fillId="0" borderId="0" xfId="1" applyFont="1"/>
    <xf numFmtId="165" fontId="11" fillId="0" borderId="0" xfId="1" applyNumberFormat="1" applyFont="1" applyBorder="1" applyAlignment="1">
      <alignment horizontal="center"/>
    </xf>
    <xf numFmtId="43" fontId="5" fillId="0" borderId="0" xfId="1" applyFont="1" applyBorder="1"/>
    <xf numFmtId="165" fontId="5" fillId="0" borderId="0" xfId="5" applyNumberFormat="1" applyFont="1"/>
    <xf numFmtId="165" fontId="5" fillId="0" borderId="7" xfId="5" applyNumberFormat="1" applyFont="1" applyBorder="1"/>
    <xf numFmtId="0" fontId="5" fillId="0" borderId="0" xfId="0" applyFont="1" applyAlignment="1">
      <alignment horizontal="center"/>
    </xf>
    <xf numFmtId="0" fontId="5" fillId="0" borderId="1" xfId="0" applyFont="1" applyBorder="1" applyAlignment="1">
      <alignment horizontal="center"/>
    </xf>
    <xf numFmtId="165" fontId="5" fillId="0" borderId="0" xfId="5" applyNumberFormat="1" applyFont="1" applyBorder="1"/>
    <xf numFmtId="164" fontId="5" fillId="0" borderId="0" xfId="0" applyNumberFormat="1" applyFont="1"/>
    <xf numFmtId="168" fontId="5" fillId="0" borderId="0" xfId="5" applyNumberFormat="1" applyFont="1" applyBorder="1"/>
    <xf numFmtId="168" fontId="10" fillId="0" borderId="0" xfId="5" applyNumberFormat="1" applyFont="1" applyBorder="1" applyAlignment="1">
      <alignment horizontal="center"/>
    </xf>
    <xf numFmtId="43" fontId="5" fillId="0" borderId="0" xfId="1" applyFont="1" applyBorder="1" applyAlignment="1"/>
    <xf numFmtId="164" fontId="5" fillId="0" borderId="0" xfId="6" applyNumberFormat="1" applyFont="1"/>
    <xf numFmtId="165" fontId="11" fillId="0" borderId="8" xfId="1" applyNumberFormat="1" applyFont="1" applyBorder="1" applyAlignment="1">
      <alignment horizontal="center"/>
    </xf>
    <xf numFmtId="3" fontId="6" fillId="0" borderId="0" xfId="0" applyNumberFormat="1" applyFont="1" applyAlignment="1">
      <alignment horizontal="center" vertical="center"/>
    </xf>
    <xf numFmtId="3" fontId="13" fillId="0" borderId="0" xfId="0" applyNumberFormat="1" applyFont="1" applyAlignment="1">
      <alignment horizontal="center" vertical="center"/>
    </xf>
    <xf numFmtId="3" fontId="13" fillId="0" borderId="8" xfId="0" applyNumberFormat="1" applyFont="1" applyBorder="1" applyAlignment="1">
      <alignment horizontal="center" vertical="center"/>
    </xf>
    <xf numFmtId="43" fontId="5" fillId="0" borderId="8" xfId="1" quotePrefix="1" applyFont="1" applyBorder="1" applyAlignment="1">
      <alignment horizontal="center"/>
    </xf>
    <xf numFmtId="0" fontId="5" fillId="0" borderId="8" xfId="0" applyFont="1" applyBorder="1" applyAlignment="1">
      <alignment horizontal="center"/>
    </xf>
    <xf numFmtId="167" fontId="5" fillId="0" borderId="8" xfId="3" applyNumberFormat="1" applyFont="1" applyBorder="1"/>
    <xf numFmtId="165" fontId="5" fillId="2" borderId="0" xfId="1" applyNumberFormat="1" applyFont="1" applyFill="1" applyBorder="1"/>
    <xf numFmtId="43" fontId="5" fillId="2" borderId="8" xfId="1" quotePrefix="1" applyFont="1" applyFill="1" applyBorder="1" applyAlignment="1">
      <alignment horizontal="center"/>
    </xf>
    <xf numFmtId="167" fontId="5" fillId="2" borderId="8" xfId="3" applyNumberFormat="1" applyFont="1" applyFill="1" applyBorder="1"/>
    <xf numFmtId="164" fontId="5" fillId="0" borderId="0" xfId="6" applyNumberFormat="1" applyFont="1" applyBorder="1"/>
    <xf numFmtId="165" fontId="15" fillId="0" borderId="0" xfId="1" applyNumberFormat="1" applyFont="1"/>
    <xf numFmtId="44" fontId="5" fillId="0" borderId="0" xfId="10" applyFont="1"/>
    <xf numFmtId="165" fontId="11" fillId="0" borderId="0" xfId="1" applyNumberFormat="1" applyFont="1" applyBorder="1"/>
    <xf numFmtId="0" fontId="18" fillId="0" borderId="0" xfId="0" applyFont="1"/>
    <xf numFmtId="0" fontId="21" fillId="0" borderId="0" xfId="0" applyFont="1" applyAlignment="1">
      <alignment horizontal="center"/>
    </xf>
    <xf numFmtId="10" fontId="5" fillId="0" borderId="0" xfId="3" applyNumberFormat="1" applyFont="1" applyAlignment="1">
      <alignment horizontal="center"/>
    </xf>
    <xf numFmtId="44" fontId="5" fillId="0" borderId="0" xfId="0" applyNumberFormat="1" applyFont="1"/>
    <xf numFmtId="165" fontId="5" fillId="0" borderId="0" xfId="5" quotePrefix="1" applyNumberFormat="1" applyFont="1"/>
    <xf numFmtId="166" fontId="5" fillId="0" borderId="0" xfId="1" applyNumberFormat="1" applyFont="1" applyBorder="1" applyAlignment="1"/>
    <xf numFmtId="0" fontId="5" fillId="0" borderId="7" xfId="0" applyFont="1" applyBorder="1"/>
    <xf numFmtId="165" fontId="19" fillId="0" borderId="0" xfId="1" applyNumberFormat="1" applyFont="1"/>
    <xf numFmtId="165" fontId="5" fillId="0" borderId="0" xfId="1" applyNumberFormat="1" applyFont="1" applyAlignment="1">
      <alignment horizontal="centerContinuous" vertical="center"/>
    </xf>
    <xf numFmtId="165" fontId="5" fillId="0" borderId="0" xfId="1" applyNumberFormat="1" applyFont="1" applyAlignment="1">
      <alignment vertical="center"/>
    </xf>
    <xf numFmtId="165" fontId="10" fillId="0" borderId="0" xfId="1" applyNumberFormat="1" applyFont="1" applyAlignment="1">
      <alignment horizontal="center" vertical="center"/>
    </xf>
    <xf numFmtId="165" fontId="8" fillId="0" borderId="0" xfId="1" applyNumberFormat="1" applyFont="1" applyAlignment="1">
      <alignment vertical="center"/>
    </xf>
    <xf numFmtId="165" fontId="5" fillId="0" borderId="0" xfId="1" applyNumberFormat="1" applyFont="1" applyAlignment="1">
      <alignment horizontal="center" vertical="center"/>
    </xf>
    <xf numFmtId="165" fontId="14" fillId="0" borderId="0" xfId="1" applyNumberFormat="1" applyFont="1" applyAlignment="1">
      <alignment vertical="center"/>
    </xf>
    <xf numFmtId="165" fontId="16" fillId="0" borderId="0" xfId="1" applyNumberFormat="1" applyFont="1" applyAlignment="1">
      <alignment vertical="center"/>
    </xf>
    <xf numFmtId="165" fontId="20" fillId="0" borderId="0" xfId="1" applyNumberFormat="1" applyFont="1" applyAlignment="1">
      <alignment vertical="center"/>
    </xf>
    <xf numFmtId="165" fontId="9" fillId="0" borderId="0" xfId="1" applyNumberFormat="1" applyFont="1" applyAlignment="1">
      <alignment vertical="center"/>
    </xf>
    <xf numFmtId="165" fontId="5" fillId="0" borderId="0" xfId="1" applyNumberFormat="1" applyFont="1" applyAlignment="1">
      <alignment horizontal="center"/>
    </xf>
    <xf numFmtId="165" fontId="14" fillId="0" borderId="0" xfId="1" applyNumberFormat="1" applyFont="1" applyAlignment="1">
      <alignment horizontal="left"/>
    </xf>
    <xf numFmtId="165" fontId="14" fillId="0" borderId="0" xfId="1" applyNumberFormat="1" applyFont="1" applyAlignment="1">
      <alignment horizontal="center"/>
    </xf>
    <xf numFmtId="165" fontId="12" fillId="0" borderId="0" xfId="1" applyNumberFormat="1" applyFont="1" applyAlignment="1">
      <alignment horizontal="center" vertical="center"/>
    </xf>
    <xf numFmtId="165" fontId="5" fillId="0" borderId="0" xfId="1" applyNumberFormat="1" applyFont="1" applyAlignment="1"/>
    <xf numFmtId="10" fontId="5" fillId="0" borderId="0" xfId="3" applyNumberFormat="1" applyFont="1" applyAlignment="1">
      <alignment vertical="center"/>
    </xf>
    <xf numFmtId="165" fontId="5" fillId="0" borderId="0" xfId="5" applyNumberFormat="1" applyFont="1" applyBorder="1" applyAlignment="1">
      <alignment horizontal="center"/>
    </xf>
    <xf numFmtId="10" fontId="5" fillId="0" borderId="0" xfId="3" applyNumberFormat="1" applyFont="1" applyBorder="1" applyAlignment="1">
      <alignment vertical="center"/>
    </xf>
    <xf numFmtId="10" fontId="5" fillId="0" borderId="0" xfId="3" applyNumberFormat="1" applyFont="1" applyBorder="1"/>
    <xf numFmtId="43" fontId="5" fillId="0" borderId="0" xfId="5" applyFont="1"/>
    <xf numFmtId="165" fontId="5" fillId="0" borderId="8" xfId="5" applyNumberFormat="1" applyFont="1" applyBorder="1"/>
    <xf numFmtId="0" fontId="24" fillId="0" borderId="0" xfId="0" applyFont="1" applyAlignment="1">
      <alignment horizontal="center"/>
    </xf>
    <xf numFmtId="165" fontId="23" fillId="0" borderId="0" xfId="5" applyNumberFormat="1" applyFont="1"/>
    <xf numFmtId="170" fontId="5" fillId="0" borderId="0" xfId="0" applyNumberFormat="1" applyFont="1"/>
    <xf numFmtId="164" fontId="18" fillId="0" borderId="9" xfId="6" applyNumberFormat="1" applyFont="1" applyBorder="1"/>
    <xf numFmtId="164" fontId="5" fillId="0" borderId="1" xfId="6" applyNumberFormat="1" applyFont="1" applyBorder="1"/>
    <xf numFmtId="43" fontId="5" fillId="0" borderId="0" xfId="1" applyFont="1" applyBorder="1" applyAlignment="1">
      <alignment horizontal="center"/>
    </xf>
    <xf numFmtId="166" fontId="5" fillId="0" borderId="0" xfId="1" applyNumberFormat="1" applyFont="1" applyBorder="1" applyAlignment="1">
      <alignment horizontal="center"/>
    </xf>
    <xf numFmtId="166" fontId="5" fillId="0" borderId="0" xfId="2" applyNumberFormat="1" applyFont="1" applyBorder="1"/>
    <xf numFmtId="0" fontId="8" fillId="0" borderId="0" xfId="0" applyFont="1"/>
    <xf numFmtId="0" fontId="5" fillId="0" borderId="3" xfId="0" applyFont="1" applyBorder="1"/>
    <xf numFmtId="166" fontId="5" fillId="0" borderId="0" xfId="0" applyNumberFormat="1" applyFont="1"/>
    <xf numFmtId="0" fontId="5" fillId="0" borderId="5" xfId="0" applyFont="1" applyBorder="1"/>
    <xf numFmtId="0" fontId="5" fillId="0" borderId="0" xfId="1" applyNumberFormat="1" applyFont="1" applyBorder="1" applyAlignment="1"/>
    <xf numFmtId="0" fontId="5" fillId="0" borderId="0" xfId="1" applyNumberFormat="1" applyFont="1" applyBorder="1" applyAlignment="1">
      <alignment horizontal="center"/>
    </xf>
    <xf numFmtId="43" fontId="5" fillId="0" borderId="0" xfId="5" applyFont="1" applyFill="1"/>
    <xf numFmtId="37" fontId="5" fillId="0" borderId="0" xfId="0" applyNumberFormat="1" applyFont="1" applyAlignment="1">
      <alignment horizontal="center"/>
    </xf>
    <xf numFmtId="165" fontId="5" fillId="0" borderId="0" xfId="0" applyNumberFormat="1" applyFont="1"/>
    <xf numFmtId="165" fontId="11" fillId="0" borderId="0" xfId="5" applyNumberFormat="1" applyFont="1" applyBorder="1"/>
    <xf numFmtId="0" fontId="15" fillId="0" borderId="0" xfId="0" applyFont="1" applyAlignment="1">
      <alignment horizontal="centerContinuous"/>
    </xf>
    <xf numFmtId="0" fontId="5" fillId="0" borderId="0" xfId="0" applyFont="1" applyAlignment="1">
      <alignment horizontal="centerContinuous"/>
    </xf>
    <xf numFmtId="3" fontId="5" fillId="0" borderId="0" xfId="0" applyNumberFormat="1" applyFont="1" applyAlignment="1">
      <alignment horizontal="right"/>
    </xf>
    <xf numFmtId="0" fontId="5" fillId="0" borderId="0" xfId="0" applyFont="1" applyAlignment="1">
      <alignment horizontal="right"/>
    </xf>
    <xf numFmtId="0" fontId="5" fillId="0" borderId="0" xfId="0" applyFont="1" applyAlignment="1">
      <alignment horizontal="left"/>
    </xf>
    <xf numFmtId="165" fontId="5" fillId="0" borderId="0" xfId="1" applyNumberFormat="1" applyFont="1" applyBorder="1" applyAlignment="1"/>
    <xf numFmtId="165" fontId="6" fillId="0" borderId="0" xfId="1" applyNumberFormat="1" applyFont="1" applyBorder="1" applyAlignment="1">
      <alignment horizontal="center" vertical="center"/>
    </xf>
    <xf numFmtId="165" fontId="5" fillId="0" borderId="0" xfId="1" applyNumberFormat="1" applyFont="1" applyBorder="1" applyAlignment="1">
      <alignment horizontal="centerContinuous"/>
    </xf>
    <xf numFmtId="165" fontId="5" fillId="0" borderId="0" xfId="1" applyNumberFormat="1" applyFont="1" applyBorder="1" applyAlignment="1">
      <alignment horizontal="center"/>
    </xf>
    <xf numFmtId="165" fontId="0" fillId="0" borderId="0" xfId="1" applyNumberFormat="1" applyFont="1" applyBorder="1"/>
    <xf numFmtId="44" fontId="6" fillId="0" borderId="0" xfId="0" applyNumberFormat="1" applyFont="1" applyAlignment="1">
      <alignment horizontal="center" vertical="center"/>
    </xf>
    <xf numFmtId="44" fontId="5" fillId="0" borderId="0" xfId="0" applyNumberFormat="1" applyFont="1" applyAlignment="1">
      <alignment horizontal="centerContinuous"/>
    </xf>
    <xf numFmtId="44" fontId="5" fillId="0" borderId="0" xfId="0" applyNumberFormat="1" applyFont="1" applyAlignment="1">
      <alignment horizontal="center"/>
    </xf>
    <xf numFmtId="44" fontId="5" fillId="0" borderId="0" xfId="5" applyNumberFormat="1" applyFont="1" applyBorder="1"/>
    <xf numFmtId="44" fontId="11" fillId="0" borderId="0" xfId="5" applyNumberFormat="1" applyFont="1" applyBorder="1"/>
    <xf numFmtId="44" fontId="0" fillId="0" borderId="0" xfId="0" applyNumberFormat="1"/>
    <xf numFmtId="44" fontId="5" fillId="0" borderId="2" xfId="1" applyNumberFormat="1" applyFont="1" applyBorder="1"/>
    <xf numFmtId="44" fontId="5" fillId="0" borderId="1" xfId="1" applyNumberFormat="1" applyFont="1" applyBorder="1"/>
    <xf numFmtId="44" fontId="13" fillId="0" borderId="7" xfId="0" applyNumberFormat="1" applyFont="1" applyBorder="1" applyAlignment="1">
      <alignment horizontal="center" vertical="center"/>
    </xf>
    <xf numFmtId="44" fontId="11" fillId="0" borderId="7" xfId="1" applyNumberFormat="1" applyFont="1" applyBorder="1" applyAlignment="1">
      <alignment horizontal="center"/>
    </xf>
    <xf numFmtId="44" fontId="5" fillId="0" borderId="7" xfId="1" applyNumberFormat="1" applyFont="1" applyBorder="1"/>
    <xf numFmtId="44" fontId="5" fillId="0" borderId="0" xfId="1" applyNumberFormat="1" applyFont="1"/>
    <xf numFmtId="44" fontId="13" fillId="0" borderId="0" xfId="0" applyNumberFormat="1" applyFont="1" applyAlignment="1">
      <alignment horizontal="center" vertical="center"/>
    </xf>
    <xf numFmtId="44" fontId="11" fillId="0" borderId="0" xfId="1" applyNumberFormat="1" applyFont="1" applyBorder="1" applyAlignment="1">
      <alignment horizontal="center"/>
    </xf>
    <xf numFmtId="44" fontId="5" fillId="0" borderId="0" xfId="1" applyNumberFormat="1" applyFont="1" applyBorder="1"/>
    <xf numFmtId="44" fontId="5" fillId="0" borderId="0" xfId="2" applyFont="1" applyBorder="1"/>
    <xf numFmtId="0" fontId="9" fillId="0" borderId="0" xfId="0" applyFont="1"/>
    <xf numFmtId="165" fontId="5" fillId="0" borderId="0" xfId="9" applyNumberFormat="1" applyFont="1" applyFill="1" applyBorder="1"/>
    <xf numFmtId="165" fontId="11" fillId="0" borderId="0" xfId="9" applyNumberFormat="1" applyFont="1" applyFill="1" applyBorder="1"/>
    <xf numFmtId="0" fontId="3" fillId="0" borderId="0" xfId="4"/>
    <xf numFmtId="167" fontId="5" fillId="0" borderId="0" xfId="3" applyNumberFormat="1" applyFont="1" applyFill="1" applyBorder="1"/>
    <xf numFmtId="165" fontId="5" fillId="0" borderId="0" xfId="9" applyNumberFormat="1" applyFont="1" applyFill="1" applyBorder="1" applyAlignment="1">
      <alignment horizontal="center"/>
    </xf>
    <xf numFmtId="165" fontId="9" fillId="0" borderId="7" xfId="5" applyNumberFormat="1" applyFont="1" applyBorder="1" applyAlignment="1">
      <alignment horizontal="center"/>
    </xf>
    <xf numFmtId="3" fontId="5" fillId="0" borderId="0" xfId="0" applyNumberFormat="1" applyFont="1"/>
    <xf numFmtId="168" fontId="5" fillId="0" borderId="0" xfId="5" applyNumberFormat="1" applyFont="1" applyAlignment="1"/>
    <xf numFmtId="3" fontId="5" fillId="0" borderId="2" xfId="0" applyNumberFormat="1" applyFont="1" applyBorder="1"/>
    <xf numFmtId="168" fontId="5" fillId="0" borderId="2" xfId="5" applyNumberFormat="1" applyFont="1" applyBorder="1"/>
    <xf numFmtId="3" fontId="5" fillId="0" borderId="4" xfId="0" applyNumberFormat="1" applyFont="1" applyBorder="1"/>
    <xf numFmtId="3" fontId="5" fillId="0" borderId="7" xfId="0" applyNumberFormat="1" applyFont="1" applyBorder="1"/>
    <xf numFmtId="3" fontId="5" fillId="0" borderId="8" xfId="0" applyNumberFormat="1" applyFont="1" applyBorder="1"/>
    <xf numFmtId="168" fontId="5" fillId="0" borderId="0" xfId="5" applyNumberFormat="1" applyFont="1" applyBorder="1" applyAlignment="1"/>
    <xf numFmtId="3" fontId="10" fillId="0" borderId="0" xfId="0" applyNumberFormat="1" applyFont="1" applyAlignment="1">
      <alignment horizontal="center"/>
    </xf>
    <xf numFmtId="3" fontId="9" fillId="0" borderId="0" xfId="0" applyNumberFormat="1" applyFont="1" applyAlignment="1">
      <alignment horizontal="center"/>
    </xf>
    <xf numFmtId="44" fontId="12" fillId="0" borderId="0" xfId="0" applyNumberFormat="1" applyFont="1" applyAlignment="1">
      <alignment horizontal="center"/>
    </xf>
    <xf numFmtId="3" fontId="10" fillId="0" borderId="0" xfId="0" applyNumberFormat="1" applyFont="1"/>
    <xf numFmtId="169" fontId="5" fillId="0" borderId="0" xfId="0" applyNumberFormat="1" applyFont="1" applyAlignment="1">
      <alignment horizontal="center"/>
    </xf>
    <xf numFmtId="168" fontId="5" fillId="0" borderId="0" xfId="5" applyNumberFormat="1" applyFont="1" applyBorder="1" applyAlignment="1">
      <alignment horizontal="center"/>
    </xf>
    <xf numFmtId="168" fontId="5" fillId="0" borderId="0" xfId="5" quotePrefix="1" applyNumberFormat="1" applyFont="1" applyBorder="1" applyAlignment="1">
      <alignment horizontal="center"/>
    </xf>
    <xf numFmtId="3" fontId="9" fillId="0" borderId="0" xfId="0" applyNumberFormat="1" applyFont="1"/>
    <xf numFmtId="171" fontId="5" fillId="0" borderId="0" xfId="0" applyNumberFormat="1" applyFont="1"/>
    <xf numFmtId="170" fontId="9" fillId="0" borderId="0" xfId="0" applyNumberFormat="1" applyFont="1"/>
    <xf numFmtId="3" fontId="5" fillId="0" borderId="1" xfId="0" applyNumberFormat="1" applyFont="1" applyBorder="1"/>
    <xf numFmtId="168" fontId="5" fillId="0" borderId="1" xfId="5" applyNumberFormat="1" applyFont="1" applyBorder="1" applyAlignment="1"/>
    <xf numFmtId="3" fontId="5" fillId="0" borderId="6" xfId="0" applyNumberFormat="1" applyFont="1" applyBorder="1"/>
    <xf numFmtId="4" fontId="5" fillId="0" borderId="7" xfId="0" applyNumberFormat="1" applyFont="1" applyBorder="1"/>
    <xf numFmtId="165" fontId="5" fillId="0" borderId="3" xfId="5" applyNumberFormat="1" applyFont="1" applyBorder="1"/>
    <xf numFmtId="165" fontId="5" fillId="0" borderId="2" xfId="5" applyNumberFormat="1" applyFont="1" applyBorder="1"/>
    <xf numFmtId="165" fontId="5" fillId="0" borderId="4" xfId="5" applyNumberFormat="1" applyFont="1" applyBorder="1"/>
    <xf numFmtId="165" fontId="6" fillId="0" borderId="7" xfId="5" applyNumberFormat="1" applyFont="1" applyBorder="1" applyAlignment="1">
      <alignment horizontal="centerContinuous"/>
    </xf>
    <xf numFmtId="165" fontId="9" fillId="0" borderId="0" xfId="5" applyNumberFormat="1" applyFont="1" applyAlignment="1">
      <alignment horizontal="centerContinuous"/>
    </xf>
    <xf numFmtId="165" fontId="7" fillId="0" borderId="7" xfId="5" applyNumberFormat="1" applyFont="1" applyBorder="1" applyAlignment="1">
      <alignment horizontal="centerContinuous"/>
    </xf>
    <xf numFmtId="165" fontId="10" fillId="0" borderId="0" xfId="5" applyNumberFormat="1" applyFont="1" applyAlignment="1">
      <alignment horizontal="centerContinuous"/>
    </xf>
    <xf numFmtId="3" fontId="13" fillId="0" borderId="7" xfId="0" applyNumberFormat="1" applyFont="1" applyBorder="1" applyAlignment="1">
      <alignment horizontal="centerContinuous" vertical="center"/>
    </xf>
    <xf numFmtId="165" fontId="25" fillId="0" borderId="7" xfId="5" applyNumberFormat="1" applyFont="1" applyBorder="1" applyAlignment="1">
      <alignment horizontal="centerContinuous"/>
    </xf>
    <xf numFmtId="165" fontId="5" fillId="0" borderId="0" xfId="5" applyNumberFormat="1" applyFont="1" applyAlignment="1">
      <alignment horizontal="centerContinuous"/>
    </xf>
    <xf numFmtId="165" fontId="5" fillId="0" borderId="7" xfId="5" applyNumberFormat="1" applyFont="1" applyBorder="1" applyAlignment="1">
      <alignment horizontal="centerContinuous"/>
    </xf>
    <xf numFmtId="165" fontId="5" fillId="0" borderId="10" xfId="5" applyNumberFormat="1" applyFont="1" applyBorder="1" applyAlignment="1">
      <alignment horizontal="left"/>
    </xf>
    <xf numFmtId="165" fontId="5" fillId="0" borderId="3" xfId="5" applyNumberFormat="1" applyFont="1" applyBorder="1" applyAlignment="1">
      <alignment horizontal="left"/>
    </xf>
    <xf numFmtId="165" fontId="5" fillId="0" borderId="2" xfId="5" applyNumberFormat="1" applyFont="1" applyBorder="1" applyAlignment="1">
      <alignment horizontal="left"/>
    </xf>
    <xf numFmtId="165" fontId="5" fillId="0" borderId="4" xfId="5" applyNumberFormat="1" applyFont="1" applyBorder="1" applyAlignment="1">
      <alignment horizontal="left"/>
    </xf>
    <xf numFmtId="165" fontId="5" fillId="0" borderId="11" xfId="5" applyNumberFormat="1" applyFont="1" applyBorder="1"/>
    <xf numFmtId="165" fontId="12" fillId="0" borderId="0" xfId="5" applyNumberFormat="1" applyFont="1" applyAlignment="1">
      <alignment horizontal="center" vertical="center"/>
    </xf>
    <xf numFmtId="165" fontId="9" fillId="0" borderId="8" xfId="5" applyNumberFormat="1" applyFont="1" applyBorder="1" applyAlignment="1">
      <alignment horizontal="center" vertical="center"/>
    </xf>
    <xf numFmtId="165" fontId="9" fillId="0" borderId="0" xfId="5" applyNumberFormat="1" applyFont="1" applyAlignment="1">
      <alignment horizontal="center" vertical="center"/>
    </xf>
    <xf numFmtId="165" fontId="12" fillId="0" borderId="8" xfId="5" applyNumberFormat="1" applyFont="1" applyBorder="1" applyAlignment="1">
      <alignment horizontal="center" vertical="center"/>
    </xf>
    <xf numFmtId="165" fontId="12" fillId="0" borderId="0" xfId="5" applyNumberFormat="1" applyFont="1" applyBorder="1" applyAlignment="1">
      <alignment horizontal="center" vertical="center"/>
    </xf>
    <xf numFmtId="165" fontId="5" fillId="0" borderId="11" xfId="5" applyNumberFormat="1" applyFont="1" applyBorder="1" applyAlignment="1">
      <alignment horizontal="left"/>
    </xf>
    <xf numFmtId="165" fontId="5" fillId="0" borderId="7" xfId="5" applyNumberFormat="1" applyFont="1" applyBorder="1" applyAlignment="1">
      <alignment horizontal="center"/>
    </xf>
    <xf numFmtId="165" fontId="5" fillId="0" borderId="0" xfId="5" applyNumberFormat="1" applyFont="1" applyAlignment="1">
      <alignment horizontal="center"/>
    </xf>
    <xf numFmtId="165" fontId="5" fillId="0" borderId="8" xfId="5" applyNumberFormat="1" applyFont="1" applyBorder="1" applyAlignment="1">
      <alignment horizontal="center"/>
    </xf>
    <xf numFmtId="165" fontId="5" fillId="0" borderId="0" xfId="5" quotePrefix="1" applyNumberFormat="1" applyFont="1" applyBorder="1" applyAlignment="1">
      <alignment horizontal="center"/>
    </xf>
    <xf numFmtId="165" fontId="5" fillId="0" borderId="11" xfId="5" quotePrefix="1" applyNumberFormat="1" applyFont="1" applyBorder="1" applyAlignment="1">
      <alignment horizontal="center"/>
    </xf>
    <xf numFmtId="165" fontId="5" fillId="0" borderId="7" xfId="5" quotePrefix="1" applyNumberFormat="1" applyFont="1" applyBorder="1" applyAlignment="1">
      <alignment horizontal="left"/>
    </xf>
    <xf numFmtId="165" fontId="5" fillId="0" borderId="0" xfId="5" quotePrefix="1" applyNumberFormat="1" applyFont="1" applyAlignment="1">
      <alignment horizontal="left"/>
    </xf>
    <xf numFmtId="165" fontId="5" fillId="0" borderId="8" xfId="5" quotePrefix="1" applyNumberFormat="1" applyFont="1" applyBorder="1" applyAlignment="1">
      <alignment horizontal="left"/>
    </xf>
    <xf numFmtId="165" fontId="9" fillId="0" borderId="7" xfId="5" quotePrefix="1" applyNumberFormat="1" applyFont="1" applyBorder="1" applyAlignment="1">
      <alignment horizontal="left"/>
    </xf>
    <xf numFmtId="165" fontId="9" fillId="0" borderId="0" xfId="5" quotePrefix="1" applyNumberFormat="1" applyFont="1" applyAlignment="1">
      <alignment horizontal="left"/>
    </xf>
    <xf numFmtId="165" fontId="9" fillId="0" borderId="8" xfId="5" quotePrefix="1" applyNumberFormat="1" applyFont="1" applyBorder="1" applyAlignment="1">
      <alignment horizontal="left"/>
    </xf>
    <xf numFmtId="164" fontId="9" fillId="0" borderId="0" xfId="6" quotePrefix="1" applyNumberFormat="1" applyFont="1" applyBorder="1" applyAlignment="1">
      <alignment horizontal="left"/>
    </xf>
    <xf numFmtId="165" fontId="9" fillId="0" borderId="12" xfId="5" applyNumberFormat="1" applyFont="1" applyBorder="1" applyAlignment="1">
      <alignment horizontal="right"/>
    </xf>
    <xf numFmtId="165" fontId="9" fillId="0" borderId="5" xfId="5" applyNumberFormat="1" applyFont="1" applyBorder="1" applyAlignment="1">
      <alignment horizontal="right"/>
    </xf>
    <xf numFmtId="165" fontId="9" fillId="0" borderId="1" xfId="5" applyNumberFormat="1" applyFont="1" applyBorder="1" applyAlignment="1">
      <alignment horizontal="right"/>
    </xf>
    <xf numFmtId="165" fontId="9" fillId="0" borderId="6" xfId="5" applyNumberFormat="1" applyFont="1" applyBorder="1" applyAlignment="1">
      <alignment horizontal="right"/>
    </xf>
    <xf numFmtId="165" fontId="9" fillId="0" borderId="8" xfId="5" applyNumberFormat="1" applyFont="1" applyBorder="1" applyAlignment="1">
      <alignment horizontal="right"/>
    </xf>
    <xf numFmtId="165" fontId="5" fillId="0" borderId="6" xfId="5" applyNumberFormat="1" applyFont="1" applyBorder="1"/>
    <xf numFmtId="165" fontId="9" fillId="0" borderId="7" xfId="5" applyNumberFormat="1" applyFont="1" applyBorder="1" applyAlignment="1">
      <alignment horizontal="right"/>
    </xf>
    <xf numFmtId="165" fontId="9" fillId="0" borderId="0" xfId="5" applyNumberFormat="1" applyFont="1" applyAlignment="1">
      <alignment horizontal="right"/>
    </xf>
    <xf numFmtId="165" fontId="9" fillId="0" borderId="2" xfId="5" applyNumberFormat="1" applyFont="1" applyBorder="1" applyAlignment="1">
      <alignment horizontal="right"/>
    </xf>
    <xf numFmtId="165" fontId="9" fillId="0" borderId="7" xfId="5" applyNumberFormat="1" applyFont="1" applyBorder="1"/>
    <xf numFmtId="164" fontId="9" fillId="0" borderId="0" xfId="6" applyNumberFormat="1" applyFont="1"/>
    <xf numFmtId="165" fontId="9" fillId="0" borderId="0" xfId="5" applyNumberFormat="1" applyFont="1"/>
    <xf numFmtId="165" fontId="9" fillId="0" borderId="0" xfId="5" applyNumberFormat="1" applyFont="1" applyBorder="1"/>
    <xf numFmtId="164" fontId="9" fillId="0" borderId="0" xfId="6" applyNumberFormat="1" applyFont="1" applyBorder="1"/>
    <xf numFmtId="165" fontId="5" fillId="0" borderId="5" xfId="5" applyNumberFormat="1" applyFont="1" applyBorder="1" applyAlignment="1">
      <alignment horizontal="center"/>
    </xf>
    <xf numFmtId="165" fontId="5" fillId="0" borderId="1" xfId="5" applyNumberFormat="1" applyFont="1" applyBorder="1" applyAlignment="1">
      <alignment horizontal="center"/>
    </xf>
    <xf numFmtId="0" fontId="23" fillId="0" borderId="0" xfId="0" applyFont="1" applyAlignment="1">
      <alignment horizontal="left"/>
    </xf>
    <xf numFmtId="9" fontId="5" fillId="0" borderId="0" xfId="0" applyNumberFormat="1" applyFont="1" applyAlignment="1">
      <alignment horizontal="center"/>
    </xf>
    <xf numFmtId="9" fontId="21" fillId="0" borderId="0" xfId="0" applyNumberFormat="1" applyFont="1" applyAlignment="1">
      <alignment horizontal="center"/>
    </xf>
    <xf numFmtId="9" fontId="5" fillId="0" borderId="0" xfId="3" applyFont="1" applyAlignment="1">
      <alignment horizontal="center"/>
    </xf>
    <xf numFmtId="164" fontId="5" fillId="0" borderId="0" xfId="5" applyNumberFormat="1" applyFont="1" applyBorder="1"/>
    <xf numFmtId="164" fontId="5" fillId="0" borderId="0" xfId="2" applyNumberFormat="1" applyFont="1" applyBorder="1"/>
    <xf numFmtId="9" fontId="5" fillId="0" borderId="0" xfId="3" applyFont="1"/>
    <xf numFmtId="42" fontId="5" fillId="0" borderId="0" xfId="0" applyNumberFormat="1" applyFont="1"/>
    <xf numFmtId="10" fontId="5" fillId="0" borderId="0" xfId="0" applyNumberFormat="1" applyFont="1"/>
    <xf numFmtId="165" fontId="5" fillId="0" borderId="1" xfId="5" applyNumberFormat="1" applyFont="1" applyBorder="1"/>
    <xf numFmtId="9" fontId="5" fillId="0" borderId="0" xfId="9" applyNumberFormat="1" applyFont="1" applyFill="1" applyBorder="1" applyAlignment="1">
      <alignment horizontal="center"/>
    </xf>
    <xf numFmtId="9" fontId="11" fillId="0" borderId="0" xfId="9" applyNumberFormat="1" applyFont="1" applyFill="1" applyBorder="1" applyAlignment="1">
      <alignment horizontal="center"/>
    </xf>
    <xf numFmtId="164" fontId="5" fillId="0" borderId="0" xfId="0" applyNumberFormat="1" applyFont="1" applyAlignment="1">
      <alignment horizontal="left" indent="1"/>
    </xf>
    <xf numFmtId="164" fontId="9" fillId="0" borderId="0" xfId="4" applyNumberFormat="1" applyFont="1" applyAlignment="1">
      <alignment horizontal="left" indent="1"/>
    </xf>
    <xf numFmtId="10" fontId="9" fillId="0" borderId="0" xfId="0" applyNumberFormat="1" applyFont="1"/>
    <xf numFmtId="165" fontId="5" fillId="0" borderId="0" xfId="1" applyNumberFormat="1" applyFont="1" applyBorder="1" applyAlignment="1">
      <alignment vertical="center"/>
    </xf>
    <xf numFmtId="165" fontId="11" fillId="0" borderId="0" xfId="1" applyNumberFormat="1" applyFont="1" applyBorder="1" applyAlignment="1">
      <alignment vertical="center"/>
    </xf>
    <xf numFmtId="165" fontId="11" fillId="0" borderId="0" xfId="1" applyNumberFormat="1" applyFont="1" applyBorder="1" applyAlignment="1">
      <alignment horizontal="center" vertical="center"/>
    </xf>
    <xf numFmtId="172" fontId="5" fillId="0" borderId="0" xfId="1" applyNumberFormat="1" applyFont="1" applyBorder="1"/>
    <xf numFmtId="165" fontId="11" fillId="0" borderId="0" xfId="1" applyNumberFormat="1" applyFont="1"/>
    <xf numFmtId="44" fontId="5" fillId="2" borderId="7" xfId="1" applyNumberFormat="1" applyFont="1" applyFill="1" applyBorder="1"/>
    <xf numFmtId="44" fontId="5" fillId="2" borderId="0" xfId="1" applyNumberFormat="1" applyFont="1" applyFill="1" applyBorder="1"/>
    <xf numFmtId="10" fontId="5" fillId="2" borderId="0" xfId="3" applyNumberFormat="1" applyFont="1" applyFill="1" applyBorder="1"/>
    <xf numFmtId="10" fontId="5" fillId="0" borderId="0" xfId="3" applyNumberFormat="1" applyFont="1" applyBorder="1" applyAlignment="1"/>
    <xf numFmtId="172" fontId="5" fillId="0" borderId="0" xfId="1" applyNumberFormat="1" applyFont="1" applyBorder="1" applyAlignment="1">
      <alignment horizontal="center"/>
    </xf>
    <xf numFmtId="165" fontId="27" fillId="0" borderId="0" xfId="11" applyNumberFormat="1" applyFont="1" applyAlignment="1">
      <alignment vertical="center"/>
    </xf>
    <xf numFmtId="165" fontId="12" fillId="0" borderId="0" xfId="1" applyNumberFormat="1" applyFont="1" applyAlignment="1">
      <alignment vertical="center"/>
    </xf>
    <xf numFmtId="173" fontId="5" fillId="0" borderId="0" xfId="1" applyNumberFormat="1" applyFont="1" applyBorder="1" applyAlignment="1"/>
    <xf numFmtId="165" fontId="8" fillId="0" borderId="0" xfId="1" applyNumberFormat="1" applyFont="1" applyBorder="1"/>
    <xf numFmtId="0" fontId="5" fillId="0" borderId="0" xfId="1" applyNumberFormat="1" applyFont="1" applyBorder="1" applyAlignment="1">
      <alignment horizontal="left"/>
    </xf>
    <xf numFmtId="0" fontId="5" fillId="0" borderId="0" xfId="1" applyNumberFormat="1" applyFont="1" applyBorder="1" applyAlignment="1">
      <alignment horizontal="right"/>
    </xf>
    <xf numFmtId="166" fontId="5" fillId="0" borderId="0" xfId="1" applyNumberFormat="1" applyFont="1" applyBorder="1" applyAlignment="1">
      <alignment horizontal="right"/>
    </xf>
    <xf numFmtId="173" fontId="5" fillId="0" borderId="0" xfId="1" applyNumberFormat="1" applyFont="1" applyBorder="1" applyAlignment="1">
      <alignment horizontal="right"/>
    </xf>
    <xf numFmtId="43" fontId="5" fillId="0" borderId="13" xfId="1" applyFont="1" applyBorder="1" applyAlignment="1"/>
    <xf numFmtId="43" fontId="5" fillId="0" borderId="14" xfId="1" applyFont="1" applyBorder="1" applyAlignment="1"/>
    <xf numFmtId="165" fontId="5" fillId="0" borderId="14" xfId="1" applyNumberFormat="1" applyFont="1" applyBorder="1" applyAlignment="1"/>
    <xf numFmtId="0" fontId="5" fillId="0" borderId="14" xfId="1" applyNumberFormat="1" applyFont="1" applyBorder="1" applyAlignment="1"/>
    <xf numFmtId="10" fontId="5" fillId="0" borderId="14" xfId="3" applyNumberFormat="1" applyFont="1" applyBorder="1" applyAlignment="1"/>
    <xf numFmtId="43" fontId="5" fillId="0" borderId="15" xfId="1" applyFont="1" applyBorder="1" applyAlignment="1"/>
    <xf numFmtId="43" fontId="5" fillId="0" borderId="16" xfId="1" applyFont="1" applyBorder="1" applyAlignment="1"/>
    <xf numFmtId="43" fontId="5" fillId="0" borderId="17" xfId="1" applyFont="1" applyBorder="1" applyAlignment="1"/>
    <xf numFmtId="43" fontId="5" fillId="0" borderId="17" xfId="1" applyFont="1" applyBorder="1" applyAlignment="1">
      <alignment vertical="center"/>
    </xf>
    <xf numFmtId="0" fontId="5" fillId="0" borderId="16" xfId="0" applyFont="1" applyBorder="1"/>
    <xf numFmtId="43" fontId="5" fillId="0" borderId="18" xfId="1" applyFont="1" applyBorder="1" applyAlignment="1"/>
    <xf numFmtId="43" fontId="5" fillId="0" borderId="19" xfId="1" applyFont="1" applyBorder="1" applyAlignment="1"/>
    <xf numFmtId="165" fontId="5" fillId="0" borderId="19" xfId="1" applyNumberFormat="1" applyFont="1" applyBorder="1" applyAlignment="1"/>
    <xf numFmtId="0" fontId="5" fillId="0" borderId="19" xfId="1" applyNumberFormat="1" applyFont="1" applyBorder="1" applyAlignment="1"/>
    <xf numFmtId="10" fontId="5" fillId="0" borderId="19" xfId="3" applyNumberFormat="1" applyFont="1" applyBorder="1" applyAlignment="1"/>
    <xf numFmtId="43" fontId="5" fillId="0" borderId="20" xfId="1" applyFont="1" applyBorder="1" applyAlignment="1"/>
    <xf numFmtId="0" fontId="5" fillId="0" borderId="14" xfId="1" applyNumberFormat="1" applyFont="1" applyBorder="1" applyAlignment="1">
      <alignment horizontal="left"/>
    </xf>
    <xf numFmtId="0" fontId="8" fillId="0" borderId="0" xfId="0" applyFont="1" applyAlignment="1">
      <alignment horizontal="left"/>
    </xf>
    <xf numFmtId="0" fontId="5" fillId="0" borderId="19" xfId="1" applyNumberFormat="1" applyFont="1" applyBorder="1" applyAlignment="1">
      <alignment horizontal="left"/>
    </xf>
    <xf numFmtId="173" fontId="5" fillId="0" borderId="0" xfId="0" applyNumberFormat="1" applyFont="1"/>
    <xf numFmtId="173" fontId="5" fillId="0" borderId="0" xfId="2" applyNumberFormat="1" applyFont="1" applyBorder="1"/>
    <xf numFmtId="3" fontId="5" fillId="0" borderId="0" xfId="1" applyNumberFormat="1" applyFont="1" applyBorder="1"/>
    <xf numFmtId="44" fontId="5" fillId="0" borderId="1" xfId="0" applyNumberFormat="1" applyFont="1" applyBorder="1"/>
    <xf numFmtId="44" fontId="5" fillId="0" borderId="1" xfId="10" applyFont="1" applyBorder="1"/>
    <xf numFmtId="0" fontId="9" fillId="0" borderId="0" xfId="0" applyFont="1" applyAlignment="1">
      <alignment horizontal="center"/>
    </xf>
    <xf numFmtId="165" fontId="5" fillId="0" borderId="0" xfId="0" applyNumberFormat="1" applyFont="1" applyAlignment="1">
      <alignment horizontal="right"/>
    </xf>
    <xf numFmtId="165" fontId="5" fillId="0" borderId="0" xfId="1" applyNumberFormat="1" applyFont="1" applyBorder="1" applyAlignment="1">
      <alignment horizontal="right"/>
    </xf>
    <xf numFmtId="165" fontId="11" fillId="0" borderId="0" xfId="1" applyNumberFormat="1" applyFont="1" applyBorder="1" applyAlignment="1">
      <alignment horizontal="right"/>
    </xf>
    <xf numFmtId="165" fontId="8" fillId="0" borderId="0" xfId="0" applyNumberFormat="1" applyFont="1"/>
    <xf numFmtId="0" fontId="9" fillId="0" borderId="13" xfId="0" applyFont="1" applyBorder="1"/>
    <xf numFmtId="165" fontId="5" fillId="0" borderId="14" xfId="1" applyNumberFormat="1" applyFont="1" applyBorder="1"/>
    <xf numFmtId="3" fontId="5" fillId="0" borderId="14" xfId="0" applyNumberFormat="1" applyFont="1" applyBorder="1" applyAlignment="1">
      <alignment horizontal="right"/>
    </xf>
    <xf numFmtId="165" fontId="5" fillId="0" borderId="14" xfId="0" applyNumberFormat="1" applyFont="1" applyBorder="1"/>
    <xf numFmtId="0" fontId="9" fillId="0" borderId="16" xfId="0" applyFont="1" applyBorder="1"/>
    <xf numFmtId="0" fontId="5" fillId="0" borderId="17" xfId="0" applyFont="1" applyBorder="1"/>
    <xf numFmtId="0" fontId="5" fillId="0" borderId="16" xfId="0" applyFont="1" applyBorder="1" applyAlignment="1">
      <alignment horizontal="right"/>
    </xf>
    <xf numFmtId="165" fontId="5" fillId="0" borderId="17" xfId="1" applyNumberFormat="1" applyFont="1" applyBorder="1"/>
    <xf numFmtId="165" fontId="11" fillId="0" borderId="17" xfId="1" applyNumberFormat="1" applyFont="1" applyBorder="1"/>
    <xf numFmtId="0" fontId="5" fillId="0" borderId="16" xfId="1" applyNumberFormat="1" applyFont="1" applyBorder="1" applyAlignment="1">
      <alignment horizontal="right"/>
    </xf>
    <xf numFmtId="165" fontId="5" fillId="0" borderId="19" xfId="1" applyNumberFormat="1" applyFont="1" applyBorder="1"/>
    <xf numFmtId="0" fontId="5" fillId="0" borderId="19" xfId="0" applyFont="1" applyBorder="1"/>
    <xf numFmtId="44" fontId="5" fillId="0" borderId="14" xfId="0" applyNumberFormat="1" applyFont="1" applyBorder="1"/>
    <xf numFmtId="0" fontId="5" fillId="0" borderId="15" xfId="0" applyFont="1" applyBorder="1"/>
    <xf numFmtId="0" fontId="5" fillId="0" borderId="20" xfId="0" applyFont="1" applyBorder="1"/>
    <xf numFmtId="0" fontId="5" fillId="0" borderId="14" xfId="0" applyFont="1" applyBorder="1"/>
    <xf numFmtId="44" fontId="5" fillId="0" borderId="19" xfId="5" applyNumberFormat="1" applyFont="1" applyBorder="1"/>
    <xf numFmtId="0" fontId="5" fillId="0" borderId="18" xfId="0" applyFont="1" applyBorder="1" applyAlignment="1">
      <alignment horizontal="right"/>
    </xf>
    <xf numFmtId="165" fontId="5" fillId="0" borderId="19" xfId="5" applyNumberFormat="1" applyFont="1" applyBorder="1"/>
    <xf numFmtId="0" fontId="5" fillId="0" borderId="17" xfId="0" quotePrefix="1" applyFont="1" applyBorder="1"/>
    <xf numFmtId="3" fontId="5" fillId="0" borderId="19" xfId="1" applyNumberFormat="1" applyFont="1" applyBorder="1"/>
    <xf numFmtId="169" fontId="5" fillId="0" borderId="0" xfId="0" quotePrefix="1" applyNumberFormat="1" applyFont="1" applyAlignment="1">
      <alignment horizontal="center"/>
    </xf>
    <xf numFmtId="165" fontId="11" fillId="0" borderId="0" xfId="1" applyNumberFormat="1" applyFont="1" applyAlignment="1">
      <alignment vertical="center"/>
    </xf>
    <xf numFmtId="37" fontId="5" fillId="0" borderId="0" xfId="0" applyNumberFormat="1" applyFont="1" applyAlignment="1">
      <alignment horizontal="right"/>
    </xf>
    <xf numFmtId="42" fontId="5" fillId="0" borderId="0" xfId="2" applyNumberFormat="1" applyFont="1"/>
    <xf numFmtId="164" fontId="5" fillId="0" borderId="0" xfId="2" applyNumberFormat="1" applyFont="1"/>
    <xf numFmtId="164" fontId="5" fillId="0" borderId="1" xfId="2" applyNumberFormat="1" applyFont="1" applyBorder="1"/>
    <xf numFmtId="0" fontId="5" fillId="0" borderId="1" xfId="0" applyFont="1" applyBorder="1"/>
    <xf numFmtId="42" fontId="5" fillId="0" borderId="1" xfId="2" applyNumberFormat="1" applyFont="1" applyBorder="1"/>
    <xf numFmtId="3" fontId="9" fillId="0" borderId="0" xfId="0" applyNumberFormat="1" applyFont="1" applyAlignment="1">
      <alignment vertical="center"/>
    </xf>
    <xf numFmtId="3" fontId="5" fillId="0" borderId="0" xfId="0" applyNumberFormat="1" applyFont="1" applyAlignment="1">
      <alignment vertical="center"/>
    </xf>
    <xf numFmtId="0" fontId="27" fillId="0" borderId="0" xfId="0" applyFont="1"/>
    <xf numFmtId="165" fontId="27" fillId="0" borderId="0" xfId="0" applyNumberFormat="1" applyFont="1"/>
    <xf numFmtId="0" fontId="5" fillId="0" borderId="0" xfId="0" applyFont="1" applyAlignment="1">
      <alignment horizontal="left" vertical="center"/>
    </xf>
    <xf numFmtId="0" fontId="5" fillId="0" borderId="0" xfId="1" applyNumberFormat="1" applyFont="1" applyAlignment="1">
      <alignment horizontal="left" vertical="center"/>
    </xf>
    <xf numFmtId="0" fontId="5" fillId="0" borderId="0" xfId="0" applyFont="1" applyAlignment="1">
      <alignment vertical="center"/>
    </xf>
    <xf numFmtId="0" fontId="5" fillId="0" borderId="0" xfId="1" applyNumberFormat="1" applyFont="1" applyAlignment="1">
      <alignment vertical="center"/>
    </xf>
    <xf numFmtId="43" fontId="5" fillId="0" borderId="0" xfId="1" applyFont="1" applyFill="1"/>
    <xf numFmtId="0" fontId="9" fillId="0" borderId="3" xfId="0" applyFont="1" applyBorder="1"/>
    <xf numFmtId="3" fontId="5" fillId="0" borderId="2" xfId="0" applyNumberFormat="1" applyFont="1" applyBorder="1" applyAlignment="1">
      <alignment horizontal="right"/>
    </xf>
    <xf numFmtId="165" fontId="5" fillId="0" borderId="2" xfId="0" applyNumberFormat="1" applyFont="1" applyBorder="1"/>
    <xf numFmtId="44" fontId="5" fillId="0" borderId="2" xfId="0" applyNumberFormat="1" applyFont="1" applyBorder="1"/>
    <xf numFmtId="0" fontId="5" fillId="0" borderId="2" xfId="0" applyFont="1" applyBorder="1"/>
    <xf numFmtId="0" fontId="5" fillId="0" borderId="4" xfId="0" applyFont="1" applyBorder="1"/>
    <xf numFmtId="0" fontId="9" fillId="0" borderId="7" xfId="0" applyFont="1" applyBorder="1"/>
    <xf numFmtId="0" fontId="5" fillId="0" borderId="8" xfId="0" applyFont="1" applyBorder="1"/>
    <xf numFmtId="0" fontId="5" fillId="0" borderId="8" xfId="0" applyFont="1" applyBorder="1" applyAlignment="1">
      <alignment horizontal="right"/>
    </xf>
    <xf numFmtId="0" fontId="5" fillId="0" borderId="7" xfId="0" applyFont="1" applyBorder="1" applyAlignment="1">
      <alignment horizontal="right"/>
    </xf>
    <xf numFmtId="165" fontId="11" fillId="0" borderId="8" xfId="1" applyNumberFormat="1" applyFont="1" applyBorder="1"/>
    <xf numFmtId="0" fontId="5" fillId="0" borderId="8" xfId="0" quotePrefix="1" applyFont="1" applyBorder="1"/>
    <xf numFmtId="0" fontId="5" fillId="0" borderId="7" xfId="1" applyNumberFormat="1" applyFont="1" applyBorder="1" applyAlignment="1">
      <alignment horizontal="right"/>
    </xf>
    <xf numFmtId="0" fontId="5" fillId="0" borderId="5" xfId="0" applyFont="1" applyBorder="1" applyAlignment="1">
      <alignment horizontal="right"/>
    </xf>
    <xf numFmtId="44" fontId="5" fillId="0" borderId="1" xfId="5" applyNumberFormat="1" applyFont="1" applyBorder="1"/>
    <xf numFmtId="0" fontId="5" fillId="0" borderId="6" xfId="0" applyFont="1" applyBorder="1"/>
    <xf numFmtId="43" fontId="5" fillId="0" borderId="1" xfId="1" applyFont="1" applyBorder="1"/>
    <xf numFmtId="44" fontId="5" fillId="0" borderId="7" xfId="1" quotePrefix="1" applyNumberFormat="1" applyFont="1" applyBorder="1"/>
    <xf numFmtId="43" fontId="11" fillId="0" borderId="0" xfId="5" applyFont="1" applyFill="1" applyBorder="1"/>
    <xf numFmtId="165" fontId="5" fillId="3" borderId="0" xfId="1" applyNumberFormat="1" applyFont="1" applyFill="1" applyAlignment="1">
      <alignment horizontal="right" vertical="center"/>
    </xf>
    <xf numFmtId="0" fontId="0" fillId="0" borderId="0" xfId="0" applyAlignment="1">
      <alignment horizontal="center" vertical="center"/>
    </xf>
    <xf numFmtId="0" fontId="3" fillId="0" borderId="0" xfId="0" applyFont="1" applyAlignment="1">
      <alignment horizontal="center" wrapText="1"/>
    </xf>
    <xf numFmtId="0" fontId="3" fillId="0" borderId="0" xfId="0" applyFont="1" applyAlignment="1">
      <alignment horizontal="center" vertical="center"/>
    </xf>
    <xf numFmtId="0" fontId="3" fillId="0" borderId="0" xfId="0" applyFont="1" applyAlignment="1">
      <alignment wrapText="1"/>
    </xf>
    <xf numFmtId="0" fontId="3" fillId="0" borderId="0" xfId="0" applyFont="1"/>
    <xf numFmtId="0" fontId="0" fillId="0" borderId="0" xfId="0" applyAlignment="1">
      <alignment wrapText="1"/>
    </xf>
    <xf numFmtId="165" fontId="5" fillId="4" borderId="0" xfId="1" applyNumberFormat="1" applyFont="1" applyFill="1" applyBorder="1"/>
    <xf numFmtId="3" fontId="5" fillId="4" borderId="0" xfId="0" applyNumberFormat="1" applyFont="1" applyFill="1" applyAlignment="1">
      <alignment horizontal="right"/>
    </xf>
    <xf numFmtId="164" fontId="5" fillId="4" borderId="0" xfId="6" applyNumberFormat="1" applyFont="1" applyFill="1" applyBorder="1"/>
    <xf numFmtId="165" fontId="11" fillId="4" borderId="0" xfId="0" applyNumberFormat="1" applyFont="1" applyFill="1"/>
    <xf numFmtId="164" fontId="11" fillId="4" borderId="0" xfId="0" applyNumberFormat="1" applyFont="1" applyFill="1"/>
    <xf numFmtId="0" fontId="5" fillId="4" borderId="0" xfId="0" applyFont="1" applyFill="1"/>
    <xf numFmtId="165" fontId="5" fillId="4" borderId="0" xfId="0" applyNumberFormat="1" applyFont="1" applyFill="1"/>
    <xf numFmtId="10" fontId="5" fillId="4" borderId="0" xfId="3" applyNumberFormat="1" applyFont="1" applyFill="1" applyBorder="1"/>
    <xf numFmtId="0" fontId="5" fillId="4" borderId="1" xfId="0" applyFont="1" applyFill="1" applyBorder="1" applyAlignment="1">
      <alignment horizontal="center"/>
    </xf>
    <xf numFmtId="164" fontId="5" fillId="4" borderId="0" xfId="3" applyNumberFormat="1" applyFont="1" applyFill="1" applyBorder="1"/>
    <xf numFmtId="165" fontId="5" fillId="3" borderId="0" xfId="1" applyNumberFormat="1" applyFont="1" applyFill="1" applyAlignment="1">
      <alignment vertical="center"/>
    </xf>
    <xf numFmtId="164" fontId="5" fillId="3" borderId="0" xfId="0" applyNumberFormat="1" applyFont="1" applyFill="1"/>
    <xf numFmtId="165" fontId="5" fillId="3" borderId="0" xfId="1" applyNumberFormat="1" applyFont="1" applyFill="1" applyBorder="1"/>
    <xf numFmtId="3" fontId="5" fillId="3" borderId="0" xfId="0" applyNumberFormat="1" applyFont="1" applyFill="1" applyAlignment="1">
      <alignment horizontal="right"/>
    </xf>
    <xf numFmtId="164" fontId="5" fillId="3" borderId="0" xfId="6" applyNumberFormat="1" applyFont="1" applyFill="1" applyBorder="1"/>
    <xf numFmtId="165" fontId="5" fillId="3" borderId="0" xfId="0" applyNumberFormat="1" applyFont="1" applyFill="1"/>
    <xf numFmtId="10" fontId="5" fillId="3" borderId="0" xfId="3" applyNumberFormat="1" applyFont="1" applyFill="1" applyBorder="1"/>
    <xf numFmtId="0" fontId="5" fillId="3" borderId="0" xfId="0" applyFont="1" applyFill="1"/>
    <xf numFmtId="43" fontId="11" fillId="0" borderId="0" xfId="1" applyFont="1" applyFill="1" applyBorder="1"/>
    <xf numFmtId="43" fontId="5" fillId="0" borderId="0" xfId="5" applyFont="1" applyBorder="1"/>
    <xf numFmtId="10" fontId="5" fillId="3" borderId="1" xfId="0" applyNumberFormat="1" applyFont="1" applyFill="1" applyBorder="1"/>
    <xf numFmtId="3" fontId="5" fillId="0" borderId="0" xfId="5" applyNumberFormat="1" applyFont="1" applyBorder="1"/>
    <xf numFmtId="3" fontId="5" fillId="0" borderId="0" xfId="0" applyNumberFormat="1" applyFont="1" applyAlignment="1">
      <alignment horizontal="center"/>
    </xf>
    <xf numFmtId="3" fontId="0" fillId="0" borderId="0" xfId="0" applyNumberFormat="1"/>
    <xf numFmtId="0" fontId="8" fillId="0" borderId="0" xfId="0" applyFont="1" applyAlignment="1">
      <alignment horizontal="center"/>
    </xf>
    <xf numFmtId="42" fontId="5" fillId="0" borderId="0" xfId="0" applyNumberFormat="1" applyFont="1" applyAlignment="1">
      <alignment horizontal="center"/>
    </xf>
    <xf numFmtId="165" fontId="11" fillId="3" borderId="0" xfId="1" applyNumberFormat="1" applyFont="1" applyFill="1" applyAlignment="1">
      <alignment vertical="center"/>
    </xf>
    <xf numFmtId="165" fontId="23" fillId="3" borderId="0" xfId="1" applyNumberFormat="1" applyFont="1" applyFill="1" applyAlignment="1">
      <alignment vertical="center"/>
    </xf>
    <xf numFmtId="165" fontId="5" fillId="3" borderId="0" xfId="1" applyNumberFormat="1" applyFont="1" applyFill="1"/>
    <xf numFmtId="165" fontId="29" fillId="3" borderId="0" xfId="1" applyNumberFormat="1" applyFont="1" applyFill="1" applyAlignment="1">
      <alignment horizontal="right" vertical="center"/>
    </xf>
    <xf numFmtId="165" fontId="29" fillId="3" borderId="0" xfId="1" applyNumberFormat="1" applyFont="1" applyFill="1" applyAlignment="1">
      <alignment vertical="center"/>
    </xf>
    <xf numFmtId="165" fontId="11" fillId="3" borderId="0" xfId="1" applyNumberFormat="1" applyFont="1" applyFill="1" applyBorder="1" applyAlignment="1">
      <alignment vertical="center"/>
    </xf>
    <xf numFmtId="44" fontId="5" fillId="0" borderId="0" xfId="2" applyFont="1"/>
    <xf numFmtId="44" fontId="5" fillId="0" borderId="0" xfId="2" applyFont="1" applyAlignment="1">
      <alignment horizontal="center"/>
    </xf>
    <xf numFmtId="165" fontId="5" fillId="3" borderId="21" xfId="1" applyNumberFormat="1" applyFont="1" applyFill="1" applyBorder="1"/>
    <xf numFmtId="175" fontId="5" fillId="0" borderId="0" xfId="3" applyNumberFormat="1" applyFont="1"/>
    <xf numFmtId="44" fontId="5" fillId="0" borderId="0" xfId="3" applyNumberFormat="1" applyFont="1"/>
    <xf numFmtId="165" fontId="0" fillId="0" borderId="0" xfId="0" applyNumberFormat="1"/>
    <xf numFmtId="165" fontId="5" fillId="0" borderId="0" xfId="1" applyNumberFormat="1" applyFont="1" applyFill="1"/>
    <xf numFmtId="44" fontId="0" fillId="0" borderId="0" xfId="2" applyFont="1"/>
    <xf numFmtId="0" fontId="3" fillId="0" borderId="0" xfId="0" applyFont="1" applyAlignment="1">
      <alignment horizontal="center"/>
    </xf>
    <xf numFmtId="164" fontId="11" fillId="0" borderId="0" xfId="0" applyNumberFormat="1" applyFont="1"/>
    <xf numFmtId="0" fontId="32" fillId="0" borderId="22" xfId="0" applyFont="1" applyBorder="1"/>
    <xf numFmtId="44" fontId="32" fillId="0" borderId="22" xfId="2" applyFont="1" applyBorder="1"/>
    <xf numFmtId="0" fontId="5" fillId="5" borderId="0" xfId="0" applyFont="1" applyFill="1"/>
    <xf numFmtId="0" fontId="5" fillId="0" borderId="0" xfId="1" applyNumberFormat="1" applyFont="1" applyAlignment="1">
      <alignment horizontal="center" vertical="center"/>
    </xf>
    <xf numFmtId="165" fontId="5" fillId="0" borderId="0" xfId="1" applyNumberFormat="1" applyFont="1" applyFill="1" applyBorder="1"/>
    <xf numFmtId="165" fontId="11" fillId="0" borderId="0" xfId="0" applyNumberFormat="1" applyFont="1"/>
    <xf numFmtId="165" fontId="12" fillId="0" borderId="0" xfId="5" applyNumberFormat="1" applyFont="1"/>
    <xf numFmtId="165" fontId="5" fillId="0" borderId="0" xfId="1" applyNumberFormat="1" applyFont="1" applyFill="1" applyAlignment="1">
      <alignment vertical="center"/>
    </xf>
    <xf numFmtId="165" fontId="11" fillId="0" borderId="0" xfId="1" applyNumberFormat="1" applyFont="1" applyFill="1" applyBorder="1" applyAlignment="1">
      <alignment vertical="center"/>
    </xf>
    <xf numFmtId="165" fontId="11" fillId="0" borderId="1" xfId="1" applyNumberFormat="1" applyFont="1" applyBorder="1"/>
    <xf numFmtId="165" fontId="5" fillId="3" borderId="23" xfId="1" applyNumberFormat="1" applyFont="1" applyFill="1" applyBorder="1"/>
    <xf numFmtId="165" fontId="3" fillId="0" borderId="0" xfId="0" applyNumberFormat="1" applyFont="1"/>
    <xf numFmtId="165" fontId="11" fillId="0" borderId="0" xfId="1" applyNumberFormat="1" applyFont="1" applyFill="1" applyAlignment="1">
      <alignment vertical="center"/>
    </xf>
    <xf numFmtId="44" fontId="5" fillId="0" borderId="0" xfId="2" applyFont="1" applyFill="1" applyBorder="1"/>
    <xf numFmtId="44" fontId="5" fillId="0" borderId="1" xfId="2" applyFont="1" applyFill="1" applyBorder="1"/>
    <xf numFmtId="0" fontId="5" fillId="0" borderId="17" xfId="0" applyFont="1" applyBorder="1" applyAlignment="1">
      <alignment horizontal="center"/>
    </xf>
    <xf numFmtId="37" fontId="11" fillId="0" borderId="0" xfId="0" applyNumberFormat="1" applyFont="1" applyAlignment="1">
      <alignment horizontal="center"/>
    </xf>
    <xf numFmtId="165" fontId="11" fillId="0" borderId="0" xfId="0" applyNumberFormat="1" applyFont="1" applyAlignment="1">
      <alignment horizontal="center"/>
    </xf>
    <xf numFmtId="0" fontId="11" fillId="0" borderId="0" xfId="0" applyFont="1" applyAlignment="1">
      <alignment horizontal="center"/>
    </xf>
    <xf numFmtId="164" fontId="11" fillId="0" borderId="1" xfId="6" applyNumberFormat="1" applyFont="1" applyBorder="1"/>
    <xf numFmtId="164" fontId="5" fillId="0" borderId="1" xfId="5" applyNumberFormat="1" applyFont="1" applyBorder="1"/>
    <xf numFmtId="0" fontId="5" fillId="6" borderId="0" xfId="0" applyFont="1" applyFill="1"/>
    <xf numFmtId="0" fontId="5" fillId="6" borderId="0" xfId="0" applyFont="1" applyFill="1" applyAlignment="1">
      <alignment horizontal="center"/>
    </xf>
    <xf numFmtId="44" fontId="5" fillId="6" borderId="0" xfId="2" applyFont="1" applyFill="1"/>
    <xf numFmtId="165" fontId="5" fillId="6" borderId="0" xfId="1" applyNumberFormat="1" applyFont="1" applyFill="1"/>
    <xf numFmtId="0" fontId="5" fillId="6" borderId="1" xfId="0" applyFont="1" applyFill="1" applyBorder="1"/>
    <xf numFmtId="44" fontId="5" fillId="6" borderId="1" xfId="2" applyFont="1" applyFill="1" applyBorder="1"/>
    <xf numFmtId="164" fontId="0" fillId="0" borderId="0" xfId="2" applyNumberFormat="1" applyFont="1"/>
    <xf numFmtId="165" fontId="5" fillId="0" borderId="0" xfId="1" quotePrefix="1" applyNumberFormat="1" applyFont="1" applyFill="1" applyAlignment="1">
      <alignment horizontal="left" vertical="center"/>
    </xf>
    <xf numFmtId="164" fontId="5" fillId="0" borderId="0" xfId="2" applyNumberFormat="1" applyFont="1" applyFill="1" applyBorder="1"/>
    <xf numFmtId="164" fontId="5" fillId="0" borderId="0" xfId="6" applyNumberFormat="1" applyFont="1" applyFill="1"/>
    <xf numFmtId="164" fontId="5" fillId="0" borderId="19" xfId="2" applyNumberFormat="1" applyFont="1" applyFill="1" applyBorder="1"/>
    <xf numFmtId="0" fontId="3" fillId="0" borderId="0" xfId="0" applyFont="1" applyAlignment="1">
      <alignment horizontal="left"/>
    </xf>
    <xf numFmtId="9" fontId="5" fillId="0" borderId="0" xfId="3" applyFont="1" applyFill="1"/>
    <xf numFmtId="174" fontId="5" fillId="0" borderId="1" xfId="1" applyNumberFormat="1" applyFont="1" applyFill="1" applyBorder="1" applyAlignment="1">
      <alignment horizontal="center"/>
    </xf>
    <xf numFmtId="1" fontId="5" fillId="0" borderId="1" xfId="3" applyNumberFormat="1" applyFont="1" applyFill="1" applyBorder="1" applyAlignment="1">
      <alignment horizontal="center"/>
    </xf>
    <xf numFmtId="164" fontId="5" fillId="0" borderId="0" xfId="2" applyNumberFormat="1" applyFont="1" applyFill="1"/>
    <xf numFmtId="9" fontId="5" fillId="0" borderId="0" xfId="3" applyFont="1" applyFill="1" applyAlignment="1">
      <alignment horizontal="center"/>
    </xf>
    <xf numFmtId="44" fontId="5" fillId="0" borderId="0" xfId="2" applyFont="1" applyFill="1"/>
    <xf numFmtId="44" fontId="5" fillId="0" borderId="0" xfId="3" applyNumberFormat="1" applyFont="1" applyFill="1" applyAlignment="1">
      <alignment horizontal="center"/>
    </xf>
    <xf numFmtId="3" fontId="5" fillId="0" borderId="0" xfId="3" applyNumberFormat="1" applyFont="1" applyFill="1"/>
    <xf numFmtId="3" fontId="5" fillId="0" borderId="0" xfId="3" applyNumberFormat="1" applyFont="1" applyFill="1" applyAlignment="1">
      <alignment horizontal="center"/>
    </xf>
    <xf numFmtId="3" fontId="8" fillId="0" borderId="0" xfId="0" applyNumberFormat="1" applyFont="1" applyAlignment="1">
      <alignment horizontal="center"/>
    </xf>
    <xf numFmtId="44" fontId="5" fillId="0" borderId="0" xfId="2" applyFont="1" applyFill="1" applyAlignment="1">
      <alignment horizontal="center"/>
    </xf>
    <xf numFmtId="44" fontId="0" fillId="0" borderId="0" xfId="2" applyFont="1" applyFill="1"/>
    <xf numFmtId="4" fontId="5" fillId="0" borderId="0" xfId="2" applyNumberFormat="1" applyFont="1" applyFill="1"/>
    <xf numFmtId="4" fontId="5" fillId="0" borderId="0" xfId="2" applyNumberFormat="1" applyFont="1" applyFill="1" applyAlignment="1">
      <alignment horizontal="center"/>
    </xf>
    <xf numFmtId="4" fontId="0" fillId="0" borderId="0" xfId="0" applyNumberFormat="1"/>
    <xf numFmtId="4" fontId="5" fillId="0" borderId="0" xfId="0" applyNumberFormat="1" applyFont="1"/>
    <xf numFmtId="4" fontId="5" fillId="0" borderId="0" xfId="0" applyNumberFormat="1" applyFont="1" applyAlignment="1">
      <alignment horizontal="center"/>
    </xf>
    <xf numFmtId="4" fontId="31" fillId="0" borderId="0" xfId="0" applyNumberFormat="1" applyFont="1"/>
    <xf numFmtId="44" fontId="5" fillId="0" borderId="2" xfId="3" applyNumberFormat="1" applyFont="1" applyFill="1" applyBorder="1"/>
    <xf numFmtId="1" fontId="8" fillId="0" borderId="0" xfId="0" applyNumberFormat="1" applyFont="1" applyAlignment="1">
      <alignment horizontal="center"/>
    </xf>
    <xf numFmtId="10" fontId="5" fillId="0" borderId="1" xfId="0" applyNumberFormat="1" applyFont="1" applyBorder="1"/>
    <xf numFmtId="165" fontId="5" fillId="0" borderId="0" xfId="5" applyNumberFormat="1" applyFont="1" applyFill="1"/>
    <xf numFmtId="43" fontId="5" fillId="0" borderId="0" xfId="0" applyNumberFormat="1" applyFont="1" applyAlignment="1">
      <alignment horizontal="left"/>
    </xf>
    <xf numFmtId="164" fontId="5" fillId="0" borderId="0" xfId="5" applyNumberFormat="1" applyFont="1" applyFill="1" applyBorder="1"/>
    <xf numFmtId="43" fontId="5" fillId="0" borderId="8" xfId="1" quotePrefix="1" applyFont="1" applyFill="1" applyBorder="1" applyAlignment="1">
      <alignment horizontal="center"/>
    </xf>
    <xf numFmtId="44" fontId="5" fillId="0" borderId="7" xfId="1" applyNumberFormat="1" applyFont="1" applyFill="1" applyBorder="1"/>
    <xf numFmtId="44" fontId="5" fillId="0" borderId="0" xfId="1" applyNumberFormat="1" applyFont="1" applyFill="1" applyBorder="1"/>
    <xf numFmtId="10" fontId="5" fillId="0" borderId="0" xfId="3" applyNumberFormat="1" applyFont="1" applyFill="1" applyBorder="1"/>
    <xf numFmtId="44" fontId="5" fillId="0" borderId="11" xfId="2" applyFont="1" applyBorder="1"/>
    <xf numFmtId="165" fontId="5" fillId="0" borderId="0" xfId="5" applyNumberFormat="1" applyFont="1" applyAlignment="1">
      <alignment vertical="center"/>
    </xf>
    <xf numFmtId="44" fontId="5" fillId="0" borderId="1" xfId="2" applyFont="1" applyBorder="1"/>
    <xf numFmtId="164" fontId="11" fillId="0" borderId="1" xfId="0" applyNumberFormat="1" applyFont="1" applyBorder="1"/>
    <xf numFmtId="10" fontId="5" fillId="0" borderId="1" xfId="3" applyNumberFormat="1" applyFont="1" applyBorder="1" applyAlignment="1">
      <alignment horizontal="center"/>
    </xf>
    <xf numFmtId="165" fontId="5" fillId="0" borderId="0" xfId="1" applyNumberFormat="1" applyFont="1" applyFill="1" applyAlignment="1">
      <alignment horizontal="center"/>
    </xf>
    <xf numFmtId="10" fontId="2" fillId="0" borderId="0" xfId="3" applyNumberFormat="1" applyFont="1" applyFill="1" applyBorder="1"/>
    <xf numFmtId="164" fontId="2" fillId="0" borderId="0" xfId="2" applyNumberFormat="1" applyFont="1" applyFill="1" applyBorder="1"/>
    <xf numFmtId="164" fontId="34" fillId="0" borderId="0" xfId="2" applyNumberFormat="1" applyFont="1" applyFill="1" applyBorder="1"/>
    <xf numFmtId="0" fontId="25" fillId="0" borderId="0" xfId="0" applyFont="1"/>
    <xf numFmtId="165" fontId="5" fillId="0" borderId="7" xfId="5" applyNumberFormat="1" applyFont="1" applyFill="1" applyBorder="1" applyAlignment="1">
      <alignment horizontal="center"/>
    </xf>
    <xf numFmtId="165" fontId="5" fillId="0" borderId="0" xfId="5" applyNumberFormat="1" applyFont="1" applyFill="1" applyAlignment="1">
      <alignment horizontal="center"/>
    </xf>
    <xf numFmtId="165" fontId="5" fillId="0" borderId="8" xfId="5" applyNumberFormat="1" applyFont="1" applyFill="1" applyBorder="1" applyAlignment="1">
      <alignment horizontal="center"/>
    </xf>
    <xf numFmtId="164" fontId="5" fillId="0" borderId="0" xfId="6" quotePrefix="1" applyNumberFormat="1" applyFont="1" applyFill="1" applyBorder="1" applyAlignment="1">
      <alignment horizontal="center"/>
    </xf>
    <xf numFmtId="165" fontId="11" fillId="0" borderId="0" xfId="5" applyNumberFormat="1" applyFont="1" applyFill="1"/>
    <xf numFmtId="0" fontId="8" fillId="0" borderId="1" xfId="0" applyFont="1" applyBorder="1" applyAlignment="1">
      <alignment horizontal="right"/>
    </xf>
    <xf numFmtId="9" fontId="5" fillId="0" borderId="1" xfId="3" applyFont="1" applyFill="1" applyBorder="1"/>
    <xf numFmtId="44" fontId="11" fillId="0" borderId="1" xfId="2" applyFont="1" applyFill="1" applyBorder="1"/>
    <xf numFmtId="42" fontId="11" fillId="0" borderId="1" xfId="0" applyNumberFormat="1" applyFont="1" applyBorder="1"/>
    <xf numFmtId="1" fontId="5" fillId="0" borderId="1" xfId="0" applyNumberFormat="1" applyFont="1" applyBorder="1" applyAlignment="1">
      <alignment horizontal="center"/>
    </xf>
    <xf numFmtId="0" fontId="8" fillId="0" borderId="2" xfId="0" applyFont="1" applyBorder="1" applyAlignment="1">
      <alignment horizontal="center"/>
    </xf>
    <xf numFmtId="165" fontId="5" fillId="0" borderId="0" xfId="1" applyNumberFormat="1" applyFont="1" applyFill="1" applyAlignment="1">
      <alignment horizontal="center" vertical="center"/>
    </xf>
    <xf numFmtId="37" fontId="5" fillId="0" borderId="0" xfId="1" applyNumberFormat="1" applyFont="1" applyFill="1" applyAlignment="1">
      <alignment horizontal="center" vertical="center"/>
    </xf>
    <xf numFmtId="165" fontId="5" fillId="0" borderId="1" xfId="5" applyNumberFormat="1" applyFont="1" applyFill="1" applyBorder="1"/>
    <xf numFmtId="164" fontId="9" fillId="0" borderId="0" xfId="6" applyNumberFormat="1" applyFont="1" applyFill="1" applyBorder="1"/>
    <xf numFmtId="9" fontId="5" fillId="0" borderId="0" xfId="3" applyFont="1" applyBorder="1" applyAlignment="1">
      <alignment horizontal="center"/>
    </xf>
    <xf numFmtId="0" fontId="0" fillId="0" borderId="0" xfId="0" applyAlignment="1">
      <alignment horizontal="center"/>
    </xf>
    <xf numFmtId="0" fontId="32" fillId="5" borderId="22" xfId="0" applyFont="1" applyFill="1" applyBorder="1"/>
    <xf numFmtId="0" fontId="18" fillId="0" borderId="1" xfId="0" applyFont="1" applyBorder="1" applyAlignment="1">
      <alignment horizontal="center"/>
    </xf>
    <xf numFmtId="0" fontId="21" fillId="0" borderId="0" xfId="4" applyFont="1" applyAlignment="1">
      <alignment horizontal="center"/>
    </xf>
    <xf numFmtId="43" fontId="11" fillId="0" borderId="0" xfId="1" applyFont="1"/>
    <xf numFmtId="166" fontId="8" fillId="0" borderId="0" xfId="1" applyNumberFormat="1" applyFont="1" applyBorder="1" applyAlignment="1">
      <alignment horizontal="center"/>
    </xf>
    <xf numFmtId="0" fontId="5" fillId="7" borderId="0" xfId="0" applyFont="1" applyFill="1" applyAlignment="1">
      <alignment horizontal="center"/>
    </xf>
    <xf numFmtId="165" fontId="5" fillId="7" borderId="0" xfId="5" applyNumberFormat="1" applyFont="1" applyFill="1"/>
    <xf numFmtId="165" fontId="5" fillId="7" borderId="1" xfId="5" applyNumberFormat="1" applyFont="1" applyFill="1" applyBorder="1"/>
    <xf numFmtId="0" fontId="10" fillId="0" borderId="0" xfId="0" applyFont="1" applyAlignment="1">
      <alignment horizontal="center"/>
    </xf>
    <xf numFmtId="0" fontId="24" fillId="0" borderId="1" xfId="0" applyFont="1" applyBorder="1" applyAlignment="1">
      <alignment horizontal="center"/>
    </xf>
    <xf numFmtId="0" fontId="0" fillId="0" borderId="21" xfId="0" applyBorder="1"/>
    <xf numFmtId="44" fontId="0" fillId="0" borderId="21" xfId="0" applyNumberFormat="1" applyBorder="1" applyProtection="1">
      <protection locked="0"/>
    </xf>
    <xf numFmtId="0" fontId="0" fillId="0" borderId="21" xfId="0" applyBorder="1" applyProtection="1">
      <protection locked="0"/>
    </xf>
    <xf numFmtId="164" fontId="5" fillId="0" borderId="1" xfId="4" applyNumberFormat="1" applyFont="1" applyBorder="1" applyAlignment="1">
      <alignment horizontal="left" indent="1"/>
    </xf>
    <xf numFmtId="44" fontId="0" fillId="0" borderId="0" xfId="0" applyNumberFormat="1" applyProtection="1">
      <protection locked="0"/>
    </xf>
    <xf numFmtId="44" fontId="32" fillId="0" borderId="22" xfId="2" applyFont="1" applyFill="1" applyBorder="1"/>
    <xf numFmtId="165" fontId="23" fillId="0" borderId="0" xfId="1" applyNumberFormat="1" applyFont="1" applyFill="1" applyAlignment="1">
      <alignment vertical="center"/>
    </xf>
    <xf numFmtId="165" fontId="11" fillId="0" borderId="1" xfId="1" applyNumberFormat="1" applyFont="1" applyFill="1" applyBorder="1"/>
    <xf numFmtId="0" fontId="5" fillId="0" borderId="0" xfId="5" applyNumberFormat="1" applyFont="1" applyBorder="1" applyAlignment="1">
      <alignment horizontal="left"/>
    </xf>
    <xf numFmtId="173" fontId="5" fillId="0" borderId="0" xfId="5" applyNumberFormat="1" applyFont="1" applyBorder="1" applyAlignment="1">
      <alignment horizontal="right"/>
    </xf>
    <xf numFmtId="166" fontId="5" fillId="0" borderId="0" xfId="5" applyNumberFormat="1" applyFont="1" applyBorder="1" applyAlignment="1"/>
    <xf numFmtId="166" fontId="8" fillId="0" borderId="0" xfId="5" applyNumberFormat="1" applyFont="1" applyBorder="1" applyAlignment="1">
      <alignment horizontal="center"/>
    </xf>
    <xf numFmtId="165" fontId="5" fillId="0" borderId="0" xfId="5" applyNumberFormat="1" applyFont="1" applyBorder="1" applyAlignment="1">
      <alignment horizontal="left"/>
    </xf>
    <xf numFmtId="165" fontId="5" fillId="0" borderId="0" xfId="5" applyNumberFormat="1" applyFont="1" applyBorder="1" applyAlignment="1"/>
    <xf numFmtId="166" fontId="5" fillId="0" borderId="0" xfId="5" applyNumberFormat="1" applyFont="1" applyBorder="1" applyAlignment="1">
      <alignment horizontal="right"/>
    </xf>
    <xf numFmtId="0" fontId="5" fillId="0" borderId="0" xfId="5" applyNumberFormat="1" applyFont="1" applyBorder="1" applyAlignment="1"/>
    <xf numFmtId="9" fontId="5" fillId="0" borderId="0" xfId="7" applyFont="1" applyBorder="1" applyAlignment="1">
      <alignment vertical="center"/>
    </xf>
    <xf numFmtId="173" fontId="5" fillId="0" borderId="0" xfId="5" applyNumberFormat="1" applyFont="1" applyBorder="1" applyAlignment="1"/>
    <xf numFmtId="10" fontId="5" fillId="0" borderId="0" xfId="7" applyNumberFormat="1" applyFont="1" applyBorder="1" applyAlignment="1">
      <alignment vertical="center"/>
    </xf>
    <xf numFmtId="44" fontId="5" fillId="0" borderId="12" xfId="1" applyNumberFormat="1" applyFont="1" applyBorder="1"/>
    <xf numFmtId="43" fontId="5" fillId="0" borderId="0" xfId="1" quotePrefix="1" applyFont="1" applyBorder="1" applyAlignment="1">
      <alignment horizontal="center"/>
    </xf>
    <xf numFmtId="167" fontId="5" fillId="0" borderId="0" xfId="3" applyNumberFormat="1" applyFont="1" applyBorder="1"/>
    <xf numFmtId="43" fontId="5" fillId="2" borderId="0" xfId="1" quotePrefix="1" applyFont="1" applyFill="1" applyBorder="1" applyAlignment="1">
      <alignment horizontal="center"/>
    </xf>
    <xf numFmtId="167" fontId="5" fillId="2" borderId="0" xfId="3" applyNumberFormat="1" applyFont="1" applyFill="1" applyBorder="1"/>
    <xf numFmtId="44" fontId="11" fillId="0" borderId="0" xfId="5" applyNumberFormat="1" applyFont="1" applyBorder="1" applyAlignment="1">
      <alignment horizontal="center"/>
    </xf>
    <xf numFmtId="165" fontId="11" fillId="0" borderId="0" xfId="5" applyNumberFormat="1" applyFont="1" applyBorder="1" applyAlignment="1">
      <alignment horizontal="center"/>
    </xf>
    <xf numFmtId="10" fontId="5" fillId="0" borderId="0" xfId="3" applyNumberFormat="1" applyFont="1"/>
    <xf numFmtId="43" fontId="5" fillId="0" borderId="0" xfId="1" quotePrefix="1" applyFont="1" applyFill="1" applyBorder="1" applyAlignment="1">
      <alignment horizontal="center"/>
    </xf>
    <xf numFmtId="10" fontId="5" fillId="0" borderId="0" xfId="3" applyNumberFormat="1" applyFont="1" applyFill="1"/>
    <xf numFmtId="0" fontId="35" fillId="0" borderId="0" xfId="0" applyFont="1" applyAlignment="1">
      <alignment horizontal="center"/>
    </xf>
    <xf numFmtId="0" fontId="35" fillId="0" borderId="0" xfId="0" applyFont="1"/>
    <xf numFmtId="4" fontId="4" fillId="0" borderId="0" xfId="1" applyNumberFormat="1"/>
    <xf numFmtId="0" fontId="36" fillId="0" borderId="0" xfId="0" applyFont="1"/>
    <xf numFmtId="4" fontId="4" fillId="0" borderId="1" xfId="1" applyNumberFormat="1" applyBorder="1"/>
    <xf numFmtId="166" fontId="4" fillId="0" borderId="0" xfId="2" applyNumberFormat="1"/>
    <xf numFmtId="0" fontId="35" fillId="5" borderId="0" xfId="0" applyFont="1" applyFill="1"/>
    <xf numFmtId="0" fontId="0" fillId="5" borderId="0" xfId="0" applyFill="1"/>
    <xf numFmtId="168" fontId="9" fillId="0" borderId="0" xfId="5" applyNumberFormat="1" applyFont="1" applyBorder="1" applyAlignment="1">
      <alignment horizontal="center"/>
    </xf>
    <xf numFmtId="170" fontId="0" fillId="0" borderId="0" xfId="0" applyNumberFormat="1"/>
    <xf numFmtId="165" fontId="5" fillId="0" borderId="0" xfId="1" applyNumberFormat="1" applyFont="1" applyFill="1" applyBorder="1" applyAlignment="1">
      <alignment horizontal="center" vertical="center"/>
    </xf>
    <xf numFmtId="165" fontId="5" fillId="0" borderId="21" xfId="1" applyNumberFormat="1" applyFont="1" applyFill="1" applyBorder="1" applyAlignment="1">
      <alignment horizontal="center"/>
    </xf>
    <xf numFmtId="165" fontId="5" fillId="0" borderId="0" xfId="1" applyNumberFormat="1" applyFont="1" applyFill="1" applyBorder="1" applyAlignment="1">
      <alignment horizontal="center"/>
    </xf>
    <xf numFmtId="165" fontId="5" fillId="0" borderId="0" xfId="3" applyNumberFormat="1" applyFont="1" applyAlignment="1">
      <alignment vertical="center"/>
    </xf>
    <xf numFmtId="10" fontId="5" fillId="0" borderId="0" xfId="3" applyNumberFormat="1" applyFont="1" applyBorder="1" applyAlignment="1">
      <alignment horizontal="center"/>
    </xf>
    <xf numFmtId="0" fontId="9" fillId="3" borderId="0" xfId="0" applyFont="1" applyFill="1"/>
    <xf numFmtId="164" fontId="9" fillId="3" borderId="0" xfId="0" applyNumberFormat="1" applyFont="1" applyFill="1"/>
    <xf numFmtId="0" fontId="31" fillId="0" borderId="0" xfId="0" applyFont="1" applyAlignment="1">
      <alignment horizontal="center"/>
    </xf>
    <xf numFmtId="164" fontId="5" fillId="0" borderId="0" xfId="3" applyNumberFormat="1" applyFont="1" applyFill="1"/>
    <xf numFmtId="165" fontId="11" fillId="0" borderId="7" xfId="1" applyNumberFormat="1" applyFont="1" applyBorder="1" applyAlignment="1">
      <alignment horizontal="center"/>
    </xf>
    <xf numFmtId="165" fontId="11" fillId="0" borderId="8" xfId="5" applyNumberFormat="1" applyFont="1" applyBorder="1" applyAlignment="1">
      <alignment horizontal="center"/>
    </xf>
    <xf numFmtId="43" fontId="5" fillId="0" borderId="7" xfId="1" applyFont="1" applyBorder="1"/>
    <xf numFmtId="44" fontId="5" fillId="0" borderId="0" xfId="2" quotePrefix="1" applyFont="1" applyBorder="1"/>
    <xf numFmtId="165" fontId="5" fillId="2" borderId="7" xfId="1" applyNumberFormat="1" applyFont="1" applyFill="1" applyBorder="1"/>
    <xf numFmtId="44" fontId="5" fillId="2" borderId="0" xfId="2" quotePrefix="1" applyFont="1" applyFill="1" applyBorder="1"/>
    <xf numFmtId="44" fontId="5" fillId="2" borderId="0" xfId="2" applyFont="1" applyFill="1" applyBorder="1"/>
    <xf numFmtId="165" fontId="5" fillId="0" borderId="1" xfId="5" quotePrefix="1" applyNumberFormat="1" applyFont="1" applyBorder="1"/>
    <xf numFmtId="44" fontId="5" fillId="0" borderId="0" xfId="2" quotePrefix="1" applyFont="1" applyFill="1" applyBorder="1"/>
    <xf numFmtId="165" fontId="5" fillId="0" borderId="0" xfId="5" applyNumberFormat="1" applyFont="1" applyAlignment="1"/>
    <xf numFmtId="44" fontId="5" fillId="0" borderId="7" xfId="2" applyFont="1" applyBorder="1"/>
    <xf numFmtId="0" fontId="5" fillId="0" borderId="7" xfId="0" applyFont="1" applyBorder="1" applyAlignment="1">
      <alignment horizontal="left"/>
    </xf>
    <xf numFmtId="165" fontId="5" fillId="5" borderId="0" xfId="1" applyNumberFormat="1" applyFont="1" applyFill="1" applyBorder="1"/>
    <xf numFmtId="0" fontId="0" fillId="0" borderId="8" xfId="0" applyBorder="1"/>
    <xf numFmtId="165" fontId="5" fillId="5" borderId="0" xfId="5" applyNumberFormat="1" applyFont="1" applyFill="1" applyBorder="1"/>
    <xf numFmtId="165" fontId="0" fillId="0" borderId="0" xfId="0" applyNumberFormat="1" applyAlignment="1">
      <alignment horizontal="left"/>
    </xf>
    <xf numFmtId="37" fontId="0" fillId="0" borderId="0" xfId="0" applyNumberFormat="1"/>
    <xf numFmtId="10" fontId="0" fillId="0" borderId="0" xfId="3" applyNumberFormat="1" applyFont="1" applyFill="1"/>
    <xf numFmtId="0" fontId="1" fillId="0" borderId="0" xfId="4" applyFont="1" applyAlignment="1">
      <alignment horizontal="left"/>
    </xf>
    <xf numFmtId="3" fontId="7" fillId="0" borderId="0" xfId="0" applyNumberFormat="1" applyFont="1" applyAlignment="1">
      <alignment horizontal="center"/>
    </xf>
    <xf numFmtId="3" fontId="13" fillId="0" borderId="0" xfId="0" applyNumberFormat="1" applyFont="1" applyAlignment="1">
      <alignment horizontal="center" vertical="center"/>
    </xf>
    <xf numFmtId="43" fontId="6" fillId="0" borderId="0" xfId="1" applyFont="1" applyBorder="1" applyAlignment="1">
      <alignment horizontal="center"/>
    </xf>
    <xf numFmtId="166" fontId="8" fillId="0" borderId="0" xfId="1" applyNumberFormat="1" applyFont="1" applyBorder="1" applyAlignment="1">
      <alignment horizontal="center"/>
    </xf>
    <xf numFmtId="43" fontId="5" fillId="0" borderId="0" xfId="1" applyFont="1" applyBorder="1" applyAlignment="1">
      <alignment horizontal="center"/>
    </xf>
    <xf numFmtId="166" fontId="8" fillId="0" borderId="0" xfId="5" applyNumberFormat="1" applyFont="1" applyBorder="1" applyAlignment="1">
      <alignment horizontal="center"/>
    </xf>
    <xf numFmtId="3" fontId="22" fillId="0" borderId="0" xfId="0" applyNumberFormat="1" applyFont="1" applyAlignment="1">
      <alignment horizontal="center" vertical="center"/>
    </xf>
    <xf numFmtId="165" fontId="6" fillId="0" borderId="0" xfId="1" applyNumberFormat="1" applyFont="1" applyAlignment="1">
      <alignment horizontal="center" vertical="center"/>
    </xf>
    <xf numFmtId="165" fontId="22" fillId="0" borderId="0" xfId="1" applyNumberFormat="1" applyFont="1" applyAlignment="1">
      <alignment horizontal="center" vertical="center"/>
    </xf>
    <xf numFmtId="0" fontId="30" fillId="0" borderId="0" xfId="0" applyFont="1" applyAlignment="1">
      <alignment horizontal="center"/>
    </xf>
    <xf numFmtId="165" fontId="30" fillId="0" borderId="0" xfId="0" applyNumberFormat="1" applyFont="1" applyAlignment="1">
      <alignment horizontal="center"/>
    </xf>
    <xf numFmtId="0" fontId="5" fillId="0" borderId="0" xfId="0" applyFont="1" applyAlignment="1">
      <alignment horizontal="center"/>
    </xf>
    <xf numFmtId="9" fontId="5" fillId="0" borderId="0" xfId="3" applyFont="1" applyFill="1" applyAlignment="1">
      <alignment horizontal="center"/>
    </xf>
    <xf numFmtId="3" fontId="6" fillId="0" borderId="0" xfId="0" applyNumberFormat="1" applyFont="1" applyAlignment="1">
      <alignment horizontal="center"/>
    </xf>
    <xf numFmtId="0" fontId="35" fillId="0" borderId="0" xfId="0" applyFont="1" applyAlignment="1">
      <alignment horizontal="center"/>
    </xf>
    <xf numFmtId="165" fontId="12" fillId="0" borderId="7" xfId="5" applyNumberFormat="1" applyFont="1" applyBorder="1" applyAlignment="1">
      <alignment horizontal="center" vertical="center"/>
    </xf>
    <xf numFmtId="165" fontId="12" fillId="0" borderId="8" xfId="5" applyNumberFormat="1" applyFont="1" applyBorder="1" applyAlignment="1">
      <alignment horizontal="center" vertical="center"/>
    </xf>
    <xf numFmtId="43" fontId="5" fillId="0" borderId="0" xfId="0" applyNumberFormat="1" applyFont="1" applyAlignment="1">
      <alignment horizontal="center"/>
    </xf>
    <xf numFmtId="0" fontId="7" fillId="0" borderId="0" xfId="0" applyFont="1" applyAlignment="1">
      <alignment horizontal="center"/>
    </xf>
    <xf numFmtId="0" fontId="7" fillId="0" borderId="8" xfId="0" applyFont="1" applyBorder="1" applyAlignment="1">
      <alignment horizontal="center"/>
    </xf>
    <xf numFmtId="3" fontId="13" fillId="0" borderId="8" xfId="0" applyNumberFormat="1" applyFont="1" applyBorder="1" applyAlignment="1">
      <alignment horizontal="center" vertical="center"/>
    </xf>
    <xf numFmtId="165" fontId="6" fillId="0" borderId="0" xfId="1" applyNumberFormat="1" applyFont="1" applyBorder="1" applyAlignment="1">
      <alignment horizontal="center"/>
    </xf>
    <xf numFmtId="165" fontId="6" fillId="0" borderId="8" xfId="1" applyNumberFormat="1" applyFont="1" applyBorder="1" applyAlignment="1">
      <alignment horizontal="center"/>
    </xf>
    <xf numFmtId="165" fontId="5" fillId="0" borderId="24" xfId="5" applyNumberFormat="1" applyFont="1" applyFill="1" applyBorder="1" applyAlignment="1">
      <alignment horizontal="center"/>
    </xf>
    <xf numFmtId="165" fontId="5" fillId="0" borderId="23" xfId="5" applyNumberFormat="1" applyFont="1" applyFill="1" applyBorder="1" applyAlignment="1">
      <alignment horizontal="center"/>
    </xf>
    <xf numFmtId="165" fontId="5" fillId="0" borderId="25" xfId="5" applyNumberFormat="1" applyFont="1" applyFill="1" applyBorder="1" applyAlignment="1">
      <alignment horizontal="center"/>
    </xf>
    <xf numFmtId="165" fontId="6" fillId="0" borderId="3" xfId="1" applyNumberFormat="1" applyFont="1" applyBorder="1" applyAlignment="1">
      <alignment horizontal="center"/>
    </xf>
    <xf numFmtId="165" fontId="6" fillId="0" borderId="2" xfId="1" applyNumberFormat="1" applyFont="1" applyBorder="1" applyAlignment="1">
      <alignment horizontal="center"/>
    </xf>
    <xf numFmtId="165" fontId="6" fillId="0" borderId="4" xfId="1" applyNumberFormat="1" applyFont="1" applyBorder="1" applyAlignment="1">
      <alignment horizontal="center"/>
    </xf>
    <xf numFmtId="0" fontId="7" fillId="0" borderId="7" xfId="0" applyFont="1" applyBorder="1" applyAlignment="1">
      <alignment horizontal="center"/>
    </xf>
    <xf numFmtId="3" fontId="13" fillId="0" borderId="7" xfId="0" applyNumberFormat="1" applyFont="1" applyBorder="1" applyAlignment="1">
      <alignment horizontal="center" vertical="center"/>
    </xf>
    <xf numFmtId="0" fontId="9" fillId="0" borderId="14" xfId="0" applyFont="1" applyBorder="1" applyAlignment="1">
      <alignment horizontal="center"/>
    </xf>
    <xf numFmtId="37" fontId="5" fillId="0" borderId="0" xfId="0" applyNumberFormat="1" applyFont="1" applyAlignment="1">
      <alignment horizontal="center"/>
    </xf>
    <xf numFmtId="0" fontId="9" fillId="0" borderId="0" xfId="0" applyFont="1" applyAlignment="1">
      <alignment horizontal="center"/>
    </xf>
    <xf numFmtId="0" fontId="9" fillId="0" borderId="2" xfId="0" applyFont="1" applyBorder="1" applyAlignment="1">
      <alignment horizontal="center"/>
    </xf>
    <xf numFmtId="0" fontId="5" fillId="6" borderId="0" xfId="0" applyFont="1" applyFill="1" applyAlignment="1">
      <alignment horizontal="center"/>
    </xf>
    <xf numFmtId="0" fontId="0" fillId="0" borderId="0" xfId="0" applyAlignment="1">
      <alignment horizontal="center"/>
    </xf>
    <xf numFmtId="0" fontId="5" fillId="0" borderId="0" xfId="0" applyFont="1" applyAlignment="1">
      <alignment wrapText="1"/>
    </xf>
    <xf numFmtId="0" fontId="22" fillId="0" borderId="0" xfId="0" applyFont="1" applyAlignment="1">
      <alignment horizontal="center"/>
    </xf>
    <xf numFmtId="165" fontId="13" fillId="0" borderId="0" xfId="5" applyNumberFormat="1" applyFont="1" applyBorder="1" applyAlignment="1">
      <alignment horizontal="center" vertical="center"/>
    </xf>
    <xf numFmtId="3" fontId="6" fillId="0" borderId="0" xfId="0" applyNumberFormat="1" applyFont="1" applyAlignment="1">
      <alignment horizontal="center" vertical="center"/>
    </xf>
  </cellXfs>
  <cellStyles count="12">
    <cellStyle name="Comma" xfId="1" builtinId="3"/>
    <cellStyle name="Comma 2" xfId="5" xr:uid="{00000000-0005-0000-0000-000001000000}"/>
    <cellStyle name="Comma 3" xfId="9" xr:uid="{00000000-0005-0000-0000-000002000000}"/>
    <cellStyle name="Currency" xfId="2" builtinId="4"/>
    <cellStyle name="Currency 2" xfId="6" xr:uid="{00000000-0005-0000-0000-000004000000}"/>
    <cellStyle name="Currency 3" xfId="10" xr:uid="{00000000-0005-0000-0000-000005000000}"/>
    <cellStyle name="Hyperlink" xfId="11" builtinId="8"/>
    <cellStyle name="Normal" xfId="0" builtinId="0"/>
    <cellStyle name="Normal 2" xfId="4" xr:uid="{00000000-0005-0000-0000-000007000000}"/>
    <cellStyle name="Normal 3" xfId="8" xr:uid="{00000000-0005-0000-0000-000008000000}"/>
    <cellStyle name="Percent" xfId="3" builtinId="5"/>
    <cellStyle name="Percent 2" xfId="7" xr:uid="{00000000-0005-0000-0000-00000A00000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0393-D2CF-4D21-9B7A-5D1DCEEBF31D}">
  <sheetPr>
    <tabColor rgb="FF92D050"/>
  </sheetPr>
  <dimension ref="B2:D32"/>
  <sheetViews>
    <sheetView showGridLines="0" workbookViewId="0">
      <selection activeCell="B2" sqref="B2:C26"/>
    </sheetView>
  </sheetViews>
  <sheetFormatPr defaultRowHeight="15.5" x14ac:dyDescent="0.35"/>
  <cols>
    <col min="2" max="2" width="2.3046875" bestFit="1" customWidth="1"/>
    <col min="3" max="3" width="78.15234375" customWidth="1"/>
    <col min="4" max="4" width="2" bestFit="1" customWidth="1"/>
  </cols>
  <sheetData>
    <row r="2" spans="2:4" x14ac:dyDescent="0.35">
      <c r="B2" s="311"/>
      <c r="C2" s="312" t="s">
        <v>222</v>
      </c>
    </row>
    <row r="3" spans="2:4" x14ac:dyDescent="0.35">
      <c r="B3" s="311"/>
      <c r="C3" s="312"/>
    </row>
    <row r="4" spans="2:4" ht="31" x14ac:dyDescent="0.35">
      <c r="B4" s="313" t="s">
        <v>194</v>
      </c>
      <c r="C4" s="314" t="s">
        <v>408</v>
      </c>
      <c r="D4" s="315"/>
    </row>
    <row r="5" spans="2:4" x14ac:dyDescent="0.35">
      <c r="B5" s="313"/>
      <c r="C5" s="314"/>
      <c r="D5" s="315"/>
    </row>
    <row r="6" spans="2:4" ht="31" x14ac:dyDescent="0.35">
      <c r="B6" s="313" t="s">
        <v>195</v>
      </c>
      <c r="C6" s="314" t="s">
        <v>407</v>
      </c>
      <c r="D6" s="315"/>
    </row>
    <row r="7" spans="2:4" x14ac:dyDescent="0.35">
      <c r="B7" s="313"/>
      <c r="C7" s="314"/>
      <c r="D7" s="315"/>
    </row>
    <row r="8" spans="2:4" ht="62" x14ac:dyDescent="0.35">
      <c r="B8" s="311" t="s">
        <v>232</v>
      </c>
      <c r="C8" s="314" t="s">
        <v>346</v>
      </c>
    </row>
    <row r="9" spans="2:4" x14ac:dyDescent="0.35">
      <c r="B9" s="313"/>
      <c r="C9" s="314"/>
    </row>
    <row r="10" spans="2:4" x14ac:dyDescent="0.35">
      <c r="B10" s="313" t="s">
        <v>233</v>
      </c>
      <c r="C10" s="314" t="s">
        <v>378</v>
      </c>
    </row>
    <row r="11" spans="2:4" x14ac:dyDescent="0.35">
      <c r="B11" s="311"/>
      <c r="C11" s="316"/>
    </row>
    <row r="12" spans="2:4" x14ac:dyDescent="0.35">
      <c r="B12" s="313" t="s">
        <v>234</v>
      </c>
      <c r="C12" s="314" t="s">
        <v>379</v>
      </c>
    </row>
    <row r="13" spans="2:4" x14ac:dyDescent="0.35">
      <c r="B13" s="311"/>
      <c r="C13" s="316"/>
    </row>
    <row r="14" spans="2:4" ht="77.5" x14ac:dyDescent="0.35">
      <c r="B14" s="313" t="s">
        <v>235</v>
      </c>
      <c r="C14" s="314" t="s">
        <v>415</v>
      </c>
    </row>
    <row r="15" spans="2:4" x14ac:dyDescent="0.35">
      <c r="B15" s="311"/>
      <c r="C15" s="316"/>
    </row>
    <row r="16" spans="2:4" ht="31" x14ac:dyDescent="0.35">
      <c r="B16" s="313" t="s">
        <v>236</v>
      </c>
      <c r="C16" s="314" t="s">
        <v>347</v>
      </c>
    </row>
    <row r="17" spans="2:3" x14ac:dyDescent="0.35">
      <c r="B17" s="311"/>
      <c r="C17" s="316"/>
    </row>
    <row r="18" spans="2:3" ht="31" x14ac:dyDescent="0.35">
      <c r="B18" s="313" t="s">
        <v>237</v>
      </c>
      <c r="C18" s="314" t="s">
        <v>324</v>
      </c>
    </row>
    <row r="19" spans="2:3" x14ac:dyDescent="0.35">
      <c r="B19" s="313"/>
      <c r="C19" s="314"/>
    </row>
    <row r="20" spans="2:3" ht="77.5" x14ac:dyDescent="0.35">
      <c r="B20" s="313" t="s">
        <v>238</v>
      </c>
      <c r="C20" s="314" t="s">
        <v>403</v>
      </c>
    </row>
    <row r="21" spans="2:3" x14ac:dyDescent="0.35">
      <c r="B21" s="311"/>
      <c r="C21" s="316"/>
    </row>
    <row r="22" spans="2:3" x14ac:dyDescent="0.35">
      <c r="B22" s="313" t="s">
        <v>239</v>
      </c>
      <c r="C22" s="315" t="s">
        <v>404</v>
      </c>
    </row>
    <row r="23" spans="2:3" x14ac:dyDescent="0.35">
      <c r="B23" s="311"/>
      <c r="C23" s="316"/>
    </row>
    <row r="24" spans="2:3" ht="31" x14ac:dyDescent="0.35">
      <c r="B24" s="313" t="s">
        <v>240</v>
      </c>
      <c r="C24" s="314" t="s">
        <v>413</v>
      </c>
    </row>
    <row r="25" spans="2:3" x14ac:dyDescent="0.35">
      <c r="B25" s="311"/>
      <c r="C25" s="316"/>
    </row>
    <row r="26" spans="2:3" ht="31" x14ac:dyDescent="0.35">
      <c r="B26" s="313" t="s">
        <v>411</v>
      </c>
      <c r="C26" s="314" t="s">
        <v>412</v>
      </c>
    </row>
    <row r="27" spans="2:3" x14ac:dyDescent="0.35">
      <c r="B27" s="311"/>
      <c r="C27" s="316"/>
    </row>
    <row r="28" spans="2:3" x14ac:dyDescent="0.35">
      <c r="B28" s="313"/>
      <c r="C28" s="314"/>
    </row>
    <row r="31" spans="2:3" x14ac:dyDescent="0.35">
      <c r="C31" s="314"/>
    </row>
    <row r="32" spans="2:3" x14ac:dyDescent="0.35">
      <c r="C32" s="31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X66"/>
  <sheetViews>
    <sheetView showGridLines="0" workbookViewId="0">
      <selection activeCell="C33" sqref="C33:M33"/>
    </sheetView>
  </sheetViews>
  <sheetFormatPr defaultColWidth="8.84375" defaultRowHeight="14.5" x14ac:dyDescent="0.35"/>
  <cols>
    <col min="1" max="1" width="5.84375" style="5" customWidth="1"/>
    <col min="2" max="2" width="1.765625" style="5" customWidth="1"/>
    <col min="3" max="4" width="9.765625" style="5" customWidth="1"/>
    <col min="5" max="7" width="9.765625" style="107" customWidth="1"/>
    <col min="8" max="8" width="8.765625" style="5" customWidth="1"/>
    <col min="9" max="9" width="1.765625" style="5" customWidth="1"/>
    <col min="10" max="10" width="8.4609375" style="5" bestFit="1" customWidth="1"/>
    <col min="11" max="11" width="9.3828125" style="5" bestFit="1" customWidth="1"/>
    <col min="12" max="12" width="8.3046875" style="5" customWidth="1"/>
    <col min="13" max="13" width="9.921875" style="5" customWidth="1"/>
    <col min="14" max="14" width="6.3046875" style="5" bestFit="1" customWidth="1"/>
    <col min="15" max="16" width="8.84375" style="5"/>
    <col min="17" max="17" width="7.23046875" style="5" customWidth="1"/>
    <col min="18" max="18" width="7.69140625" style="5" customWidth="1"/>
    <col min="19" max="19" width="8.765625" style="5" bestFit="1" customWidth="1"/>
    <col min="20" max="20" width="8.84375" style="5"/>
    <col min="21" max="21" width="7.23046875" style="5" bestFit="1" customWidth="1"/>
    <col min="22" max="22" width="6.84375" style="5" customWidth="1"/>
    <col min="23" max="16384" width="8.84375" style="5"/>
  </cols>
  <sheetData>
    <row r="1" spans="2:22" x14ac:dyDescent="0.35">
      <c r="B1" s="6"/>
      <c r="C1" s="7"/>
      <c r="D1" s="7"/>
      <c r="E1" s="102"/>
      <c r="F1" s="102"/>
      <c r="G1" s="102"/>
      <c r="H1" s="7"/>
      <c r="I1" s="8"/>
    </row>
    <row r="2" spans="2:22" ht="20" customHeight="1" x14ac:dyDescent="0.45">
      <c r="B2" s="9"/>
      <c r="C2" s="545" t="s">
        <v>168</v>
      </c>
      <c r="D2" s="545"/>
      <c r="E2" s="545"/>
      <c r="F2" s="545"/>
      <c r="G2" s="545"/>
      <c r="H2" s="545"/>
      <c r="I2" s="546"/>
    </row>
    <row r="3" spans="2:22" ht="18.5" x14ac:dyDescent="0.45">
      <c r="B3" s="9"/>
      <c r="C3" s="542" t="s">
        <v>69</v>
      </c>
      <c r="D3" s="542"/>
      <c r="E3" s="542"/>
      <c r="F3" s="542"/>
      <c r="G3" s="542"/>
      <c r="H3" s="542"/>
      <c r="I3" s="543"/>
    </row>
    <row r="4" spans="2:22" ht="15.5" x14ac:dyDescent="0.35">
      <c r="B4" s="9"/>
      <c r="C4" s="525" t="str">
        <f>SAO!A2</f>
        <v>GREEN-TAYLOR WATER DISTRICT</v>
      </c>
      <c r="D4" s="525"/>
      <c r="E4" s="525"/>
      <c r="F4" s="525"/>
      <c r="G4" s="525"/>
      <c r="H4" s="525"/>
      <c r="I4" s="544"/>
    </row>
    <row r="5" spans="2:22" ht="15.5" x14ac:dyDescent="0.35">
      <c r="B5" s="11"/>
      <c r="C5" s="3"/>
      <c r="D5" s="3"/>
      <c r="E5" s="103"/>
      <c r="F5" s="103"/>
      <c r="G5" s="103"/>
      <c r="H5" s="3"/>
      <c r="I5" s="12"/>
      <c r="M5" s="514" t="s">
        <v>377</v>
      </c>
      <c r="N5" s="514"/>
      <c r="O5" s="514"/>
      <c r="P5" s="514"/>
      <c r="Q5" s="514"/>
      <c r="R5" s="514"/>
      <c r="S5"/>
    </row>
    <row r="6" spans="2:22" ht="9.5" customHeight="1" x14ac:dyDescent="0.35">
      <c r="B6" s="9"/>
      <c r="C6" s="4"/>
      <c r="D6" s="10"/>
      <c r="E6" s="104"/>
      <c r="F6" s="108"/>
      <c r="G6" s="108"/>
      <c r="H6" s="28"/>
      <c r="I6" s="29"/>
      <c r="J6" s="27"/>
      <c r="K6" s="27"/>
    </row>
    <row r="7" spans="2:22" ht="16" x14ac:dyDescent="0.5">
      <c r="B7" s="9"/>
      <c r="C7" s="14" t="s">
        <v>13</v>
      </c>
      <c r="D7" s="26" t="s">
        <v>64</v>
      </c>
      <c r="E7" s="105" t="s">
        <v>23</v>
      </c>
      <c r="F7" s="109" t="s">
        <v>11</v>
      </c>
      <c r="G7" s="109"/>
      <c r="H7" s="14"/>
      <c r="I7" s="26"/>
      <c r="M7" s="14" t="s">
        <v>13</v>
      </c>
      <c r="N7" s="26" t="s">
        <v>64</v>
      </c>
      <c r="O7" s="105" t="s">
        <v>23</v>
      </c>
      <c r="P7" s="109" t="s">
        <v>11</v>
      </c>
      <c r="Q7" s="109"/>
      <c r="R7" s="14" t="s">
        <v>405</v>
      </c>
      <c r="S7" s="481" t="s">
        <v>11</v>
      </c>
      <c r="T7" s="481" t="s">
        <v>11</v>
      </c>
      <c r="U7" s="481"/>
      <c r="V7" s="482" t="s">
        <v>405</v>
      </c>
    </row>
    <row r="8" spans="2:22" ht="16" x14ac:dyDescent="0.5">
      <c r="B8" s="9"/>
      <c r="C8" s="14" t="s">
        <v>80</v>
      </c>
      <c r="D8" s="26" t="s">
        <v>68</v>
      </c>
      <c r="E8" s="105" t="s">
        <v>66</v>
      </c>
      <c r="F8" s="109" t="s">
        <v>66</v>
      </c>
      <c r="G8" s="109" t="s">
        <v>24</v>
      </c>
      <c r="H8" s="14" t="s">
        <v>67</v>
      </c>
      <c r="I8" s="26"/>
      <c r="M8" s="14" t="s">
        <v>321</v>
      </c>
      <c r="N8" s="26" t="s">
        <v>68</v>
      </c>
      <c r="O8" s="105" t="s">
        <v>66</v>
      </c>
      <c r="P8" s="109" t="s">
        <v>66</v>
      </c>
      <c r="Q8" s="109" t="s">
        <v>24</v>
      </c>
      <c r="R8" s="14" t="s">
        <v>371</v>
      </c>
      <c r="S8" s="481" t="s">
        <v>374</v>
      </c>
      <c r="T8" s="481" t="s">
        <v>375</v>
      </c>
      <c r="U8" s="481" t="s">
        <v>24</v>
      </c>
      <c r="V8" s="482" t="s">
        <v>371</v>
      </c>
    </row>
    <row r="9" spans="2:22" x14ac:dyDescent="0.35">
      <c r="B9" s="9"/>
      <c r="C9" s="15">
        <v>0</v>
      </c>
      <c r="D9" s="30" t="s">
        <v>181</v>
      </c>
      <c r="E9" s="106">
        <f>Rates!F9</f>
        <v>24.05</v>
      </c>
      <c r="F9" s="106">
        <f>Rates!H9</f>
        <v>24.78</v>
      </c>
      <c r="G9" s="111">
        <f>F9-E9</f>
        <v>0.73000000000000043</v>
      </c>
      <c r="H9" s="65">
        <f>G9/E9</f>
        <v>3.0353430353430369E-2</v>
      </c>
      <c r="I9" s="32"/>
      <c r="M9" s="363">
        <v>4000</v>
      </c>
      <c r="N9" s="416" t="s">
        <v>181</v>
      </c>
      <c r="O9" s="417">
        <f>E11</f>
        <v>44.41</v>
      </c>
      <c r="P9" s="417">
        <f>F11</f>
        <v>45.76</v>
      </c>
      <c r="Q9" s="418">
        <f t="shared" ref="Q9:Q10" si="0">P9-O9</f>
        <v>1.3500000000000014</v>
      </c>
      <c r="R9" s="419">
        <f t="shared" ref="R9:R10" si="1">Q9/O9</f>
        <v>3.0398558883134464E-2</v>
      </c>
      <c r="S9" s="513">
        <f>J37</f>
        <v>2.759270406774406</v>
      </c>
      <c r="T9" s="372">
        <f>S9+P9</f>
        <v>48.519270406774403</v>
      </c>
      <c r="U9" s="372">
        <f>T9-O9</f>
        <v>4.1092704067744066</v>
      </c>
      <c r="V9" s="116">
        <f>U9/O9</f>
        <v>9.2530295131150797E-2</v>
      </c>
    </row>
    <row r="10" spans="2:22" x14ac:dyDescent="0.35">
      <c r="B10" s="9"/>
      <c r="C10" s="4">
        <v>2000</v>
      </c>
      <c r="D10" s="30" t="s">
        <v>181</v>
      </c>
      <c r="E10" s="106">
        <f>Rates!F9</f>
        <v>24.05</v>
      </c>
      <c r="F10" s="106">
        <f>Rates!H9</f>
        <v>24.78</v>
      </c>
      <c r="G10" s="110">
        <f t="shared" ref="G10:G17" si="2">F10-E10</f>
        <v>0.73000000000000043</v>
      </c>
      <c r="H10" s="65">
        <f t="shared" ref="H10:H17" si="3">G10/E10</f>
        <v>3.0353430353430369E-2</v>
      </c>
      <c r="I10" s="32"/>
      <c r="M10" s="4">
        <v>6000</v>
      </c>
      <c r="N10" s="30" t="s">
        <v>182</v>
      </c>
      <c r="O10" s="417">
        <f>E12</f>
        <v>62.91</v>
      </c>
      <c r="P10" s="417">
        <f>F12</f>
        <v>64.819999999999993</v>
      </c>
      <c r="Q10" s="110">
        <f t="shared" si="0"/>
        <v>1.9099999999999966</v>
      </c>
      <c r="R10" s="65">
        <f t="shared" si="1"/>
        <v>3.036083293594018E-2</v>
      </c>
      <c r="S10" s="397">
        <f>J37</f>
        <v>2.759270406774406</v>
      </c>
      <c r="T10" s="372">
        <f t="shared" ref="T10:T15" si="4">S10+P10</f>
        <v>67.579270406774398</v>
      </c>
      <c r="U10" s="372">
        <f t="shared" ref="U10:U15" si="5">T10-O10</f>
        <v>4.6692704067744017</v>
      </c>
      <c r="V10" s="116">
        <f t="shared" ref="V10:V15" si="6">U10/O10</f>
        <v>7.4221433901993358E-2</v>
      </c>
    </row>
    <row r="11" spans="2:22" x14ac:dyDescent="0.35">
      <c r="B11" s="9"/>
      <c r="C11" s="33">
        <v>4000</v>
      </c>
      <c r="D11" s="34" t="s">
        <v>181</v>
      </c>
      <c r="E11" s="211">
        <f>Rates!F9+2000*Rates!F10</f>
        <v>44.41</v>
      </c>
      <c r="F11" s="211">
        <f>Rates!H9+2000*Rates!H10</f>
        <v>45.76</v>
      </c>
      <c r="G11" s="212">
        <f t="shared" ref="G11:G16" si="7">F11-E11</f>
        <v>1.3500000000000014</v>
      </c>
      <c r="H11" s="213">
        <f t="shared" ref="H11:H16" si="8">G11/E11</f>
        <v>3.0398558883134464E-2</v>
      </c>
      <c r="I11" s="35"/>
      <c r="M11" s="4">
        <v>15000</v>
      </c>
      <c r="N11" s="30" t="s">
        <v>25</v>
      </c>
      <c r="O11" s="420">
        <f>E15</f>
        <v>124.34</v>
      </c>
      <c r="P11" s="515">
        <f>F15</f>
        <v>128.1</v>
      </c>
      <c r="Q11" s="110">
        <f t="shared" ref="Q11:Q14" si="9">P11-O11</f>
        <v>3.7599999999999909</v>
      </c>
      <c r="R11" s="65">
        <f t="shared" ref="R11:R14" si="10">Q11/O11</f>
        <v>3.0239665433488747E-2</v>
      </c>
      <c r="S11" s="397">
        <f>J37</f>
        <v>2.759270406774406</v>
      </c>
      <c r="T11" s="372">
        <f t="shared" si="4"/>
        <v>130.85927040677441</v>
      </c>
      <c r="U11" s="372">
        <f t="shared" si="5"/>
        <v>6.5192704067744103</v>
      </c>
      <c r="V11" s="116">
        <f t="shared" si="6"/>
        <v>5.2430998928537961E-2</v>
      </c>
    </row>
    <row r="12" spans="2:22" x14ac:dyDescent="0.35">
      <c r="B12" s="9"/>
      <c r="C12" s="4">
        <v>6000</v>
      </c>
      <c r="D12" s="30" t="s">
        <v>182</v>
      </c>
      <c r="E12" s="106">
        <f>Rates!F15+2000*Rates!F16+1000*Rates!F17</f>
        <v>62.91</v>
      </c>
      <c r="F12" s="106">
        <f>Rates!H15+2000*Rates!H16+1000*Rates!H17</f>
        <v>64.819999999999993</v>
      </c>
      <c r="G12" s="110">
        <f t="shared" si="7"/>
        <v>1.9099999999999966</v>
      </c>
      <c r="H12" s="65">
        <f t="shared" si="8"/>
        <v>3.036083293594018E-2</v>
      </c>
      <c r="I12" s="32"/>
      <c r="M12" s="4">
        <v>30000</v>
      </c>
      <c r="N12" s="31" t="s">
        <v>220</v>
      </c>
      <c r="O12" s="420">
        <f>E18</f>
        <v>208.79</v>
      </c>
      <c r="P12" s="515">
        <f>F18</f>
        <v>215.12</v>
      </c>
      <c r="Q12" s="110">
        <f t="shared" si="9"/>
        <v>6.3300000000000125</v>
      </c>
      <c r="R12" s="65">
        <f t="shared" si="10"/>
        <v>3.0317543943675525E-2</v>
      </c>
      <c r="S12" s="397">
        <f>J37</f>
        <v>2.759270406774406</v>
      </c>
      <c r="T12" s="372">
        <f t="shared" si="4"/>
        <v>217.87927040677442</v>
      </c>
      <c r="U12" s="372">
        <f t="shared" si="5"/>
        <v>9.0892704067744319</v>
      </c>
      <c r="V12" s="116">
        <f t="shared" si="6"/>
        <v>4.3533073455502815E-2</v>
      </c>
    </row>
    <row r="13" spans="2:22" x14ac:dyDescent="0.35">
      <c r="B13" s="9"/>
      <c r="C13" s="4">
        <v>8000</v>
      </c>
      <c r="D13" s="30" t="s">
        <v>182</v>
      </c>
      <c r="E13" s="106">
        <f>Rates!F15+(2000*Rates!F16)+(3000*Rates!F17)</f>
        <v>79.55</v>
      </c>
      <c r="F13" s="106">
        <f>Rates!H15+(2000*Rates!H16)+(3000*Rates!H17)</f>
        <v>81.96</v>
      </c>
      <c r="G13" s="110">
        <f t="shared" si="7"/>
        <v>2.4099999999999966</v>
      </c>
      <c r="H13" s="65">
        <f t="shared" si="8"/>
        <v>3.0295411690760485E-2</v>
      </c>
      <c r="I13" s="32"/>
      <c r="M13" s="5">
        <v>60000</v>
      </c>
      <c r="N13" s="31" t="s">
        <v>26</v>
      </c>
      <c r="O13" s="420">
        <f>E21</f>
        <v>377.69</v>
      </c>
      <c r="P13" s="515">
        <f>F21</f>
        <v>389.13</v>
      </c>
      <c r="Q13" s="110">
        <f t="shared" si="9"/>
        <v>11.439999999999998</v>
      </c>
      <c r="R13" s="65">
        <f t="shared" si="10"/>
        <v>3.0289390770208365E-2</v>
      </c>
      <c r="S13" s="397">
        <f>J37</f>
        <v>2.759270406774406</v>
      </c>
      <c r="T13" s="372">
        <f t="shared" si="4"/>
        <v>391.88927040677441</v>
      </c>
      <c r="U13" s="372">
        <f t="shared" si="5"/>
        <v>14.199270406774417</v>
      </c>
      <c r="V13" s="116">
        <f t="shared" si="6"/>
        <v>3.7595039335895621E-2</v>
      </c>
    </row>
    <row r="14" spans="2:22" x14ac:dyDescent="0.35">
      <c r="B14" s="9"/>
      <c r="C14" s="4">
        <v>10000</v>
      </c>
      <c r="D14" s="30" t="s">
        <v>182</v>
      </c>
      <c r="E14" s="106">
        <f>Rates!F15+(2000*Rates!F16)+(5000*Rates!F17)</f>
        <v>96.19</v>
      </c>
      <c r="F14" s="106">
        <f>Rates!H15+(2000*Rates!H16)+(5000*Rates!H17)</f>
        <v>99.1</v>
      </c>
      <c r="G14" s="110">
        <f t="shared" si="7"/>
        <v>2.9099999999999966</v>
      </c>
      <c r="H14" s="65">
        <f t="shared" si="8"/>
        <v>3.0252625012995079E-2</v>
      </c>
      <c r="I14" s="32"/>
      <c r="M14" s="90" t="s">
        <v>322</v>
      </c>
      <c r="N14" s="10"/>
      <c r="O14" s="420">
        <f>(ExBA!D107/12)*Rates!F38</f>
        <v>1125.0564999999999</v>
      </c>
      <c r="P14" s="349">
        <f>(ExBA!D107/12)*Rates!H38</f>
        <v>1159.2772285644528</v>
      </c>
      <c r="Q14" s="110">
        <f t="shared" si="9"/>
        <v>34.220728564452884</v>
      </c>
      <c r="R14" s="65">
        <f t="shared" si="10"/>
        <v>3.0416897786424847E-2</v>
      </c>
      <c r="S14" s="397">
        <f>J37</f>
        <v>2.759270406774406</v>
      </c>
      <c r="T14" s="372">
        <f t="shared" si="4"/>
        <v>1162.0364989712273</v>
      </c>
      <c r="U14" s="372">
        <f t="shared" si="5"/>
        <v>36.97999897122736</v>
      </c>
      <c r="V14" s="116">
        <f t="shared" si="6"/>
        <v>3.2869459419351259E-2</v>
      </c>
    </row>
    <row r="15" spans="2:22" x14ac:dyDescent="0.35">
      <c r="B15" s="9"/>
      <c r="C15" s="4">
        <v>15000</v>
      </c>
      <c r="D15" s="30" t="s">
        <v>25</v>
      </c>
      <c r="E15" s="106">
        <f>Rates!F21+5000*Rates!F22+(5000*Rates!F23)</f>
        <v>124.34</v>
      </c>
      <c r="F15" s="106">
        <f>Rates!H21+5000*Rates!H22+5000*Rates!H23</f>
        <v>128.1</v>
      </c>
      <c r="G15" s="110">
        <f t="shared" si="7"/>
        <v>3.7599999999999909</v>
      </c>
      <c r="H15" s="65">
        <f t="shared" si="8"/>
        <v>3.0239665433488747E-2</v>
      </c>
      <c r="I15" s="32"/>
      <c r="M15" s="90" t="s">
        <v>256</v>
      </c>
      <c r="N15" s="10"/>
      <c r="O15" s="420">
        <f>(ExBA!D108/12)*Rates!F39</f>
        <v>1910.5322600000002</v>
      </c>
      <c r="P15" s="349">
        <f>(ExBA!D108/12)*Rates!H39</f>
        <v>1968.6447244700873</v>
      </c>
      <c r="Q15" s="110">
        <f t="shared" ref="Q15" si="11">P15-O15</f>
        <v>58.112464470087161</v>
      </c>
      <c r="R15" s="65">
        <f t="shared" ref="R15" si="12">Q15/O15</f>
        <v>3.0416897786424792E-2</v>
      </c>
      <c r="S15" s="397">
        <f>J37</f>
        <v>2.759270406774406</v>
      </c>
      <c r="T15" s="372">
        <f t="shared" si="4"/>
        <v>1971.4039948768618</v>
      </c>
      <c r="U15" s="372">
        <f t="shared" si="5"/>
        <v>60.871734876861638</v>
      </c>
      <c r="V15" s="116">
        <f t="shared" si="6"/>
        <v>3.1861139511384973E-2</v>
      </c>
    </row>
    <row r="16" spans="2:22" x14ac:dyDescent="0.35">
      <c r="B16" s="9"/>
      <c r="C16" s="4">
        <v>20000</v>
      </c>
      <c r="D16" s="30" t="s">
        <v>25</v>
      </c>
      <c r="E16" s="106">
        <f>Rates!F21+5000*Rates!F22+10000*Rates!F23</f>
        <v>152.49</v>
      </c>
      <c r="F16" s="106">
        <f>Rates!H21+5000*Rates!H22+10000*Rates!H23</f>
        <v>157.1</v>
      </c>
      <c r="G16" s="110">
        <f t="shared" si="7"/>
        <v>4.6099999999999852</v>
      </c>
      <c r="H16" s="65">
        <f t="shared" si="8"/>
        <v>3.0231490589546758E-2</v>
      </c>
      <c r="I16" s="32"/>
    </row>
    <row r="17" spans="2:24" ht="15.5" x14ac:dyDescent="0.35">
      <c r="B17" s="9"/>
      <c r="C17" s="4">
        <v>25000</v>
      </c>
      <c r="D17" s="31" t="s">
        <v>25</v>
      </c>
      <c r="E17" s="106">
        <f>Rates!F21+5000*Rates!F22+15000*Rates!F23</f>
        <v>180.64</v>
      </c>
      <c r="F17" s="106">
        <f>Rates!H21+5000*Rates!H22+15000*Rates!H23</f>
        <v>186.1</v>
      </c>
      <c r="G17" s="110">
        <f t="shared" si="2"/>
        <v>5.460000000000008</v>
      </c>
      <c r="H17" s="65">
        <f t="shared" si="3"/>
        <v>3.0225863596102791E-2</v>
      </c>
      <c r="I17" s="32"/>
      <c r="S17" s="446"/>
      <c r="T17" s="446"/>
      <c r="U17" s="446"/>
      <c r="V17" s="446"/>
      <c r="W17" s="446"/>
      <c r="X17" s="446"/>
    </row>
    <row r="18" spans="2:24" x14ac:dyDescent="0.35">
      <c r="B18" s="9"/>
      <c r="C18" s="4">
        <v>30000</v>
      </c>
      <c r="D18" s="31" t="s">
        <v>220</v>
      </c>
      <c r="E18" s="308">
        <f>Rates!F26+(20000*Rates!F27)</f>
        <v>208.79</v>
      </c>
      <c r="F18" s="308">
        <f>Rates!H26+(20000*Rates!H27)</f>
        <v>215.12</v>
      </c>
      <c r="G18" s="110">
        <f t="shared" ref="G18:G20" si="13">F18-E18</f>
        <v>6.3300000000000125</v>
      </c>
      <c r="H18" s="65">
        <f t="shared" ref="H18:H20" si="14">G18/E18</f>
        <v>3.0317543943675525E-2</v>
      </c>
      <c r="I18" s="32"/>
    </row>
    <row r="19" spans="2:24" x14ac:dyDescent="0.35">
      <c r="B19" s="9"/>
      <c r="C19" s="4">
        <v>40000</v>
      </c>
      <c r="D19" s="31" t="s">
        <v>220</v>
      </c>
      <c r="E19" s="308">
        <f>Rates!F26+(30000*Rates!F27)</f>
        <v>265.08999999999997</v>
      </c>
      <c r="F19" s="308">
        <f>Rates!H26+(30000*Rates!H27)</f>
        <v>273.12</v>
      </c>
      <c r="G19" s="110">
        <f t="shared" si="13"/>
        <v>8.0300000000000296</v>
      </c>
      <c r="H19" s="65">
        <f t="shared" si="14"/>
        <v>3.0291599079558001E-2</v>
      </c>
      <c r="I19" s="32"/>
    </row>
    <row r="20" spans="2:24" x14ac:dyDescent="0.35">
      <c r="B20" s="9"/>
      <c r="C20" s="4">
        <v>50000</v>
      </c>
      <c r="D20" s="31" t="s">
        <v>220</v>
      </c>
      <c r="E20" s="308">
        <f>Rates!F26+(40000*Rates!F27)</f>
        <v>321.39</v>
      </c>
      <c r="F20" s="308">
        <f>Rates!H26+(40000*Rates!H27)</f>
        <v>331.12</v>
      </c>
      <c r="G20" s="110">
        <f t="shared" si="13"/>
        <v>9.7300000000000182</v>
      </c>
      <c r="H20" s="65">
        <f t="shared" si="14"/>
        <v>3.0274744080400817E-2</v>
      </c>
      <c r="I20" s="32"/>
    </row>
    <row r="21" spans="2:24" x14ac:dyDescent="0.35">
      <c r="B21" s="9"/>
      <c r="C21" s="5">
        <v>60000</v>
      </c>
      <c r="D21" s="31" t="s">
        <v>26</v>
      </c>
      <c r="E21" s="308">
        <f>Rates!F30+(40000*Rates!F31)</f>
        <v>377.69</v>
      </c>
      <c r="F21" s="308">
        <f>Rates!H30+(40000*Rates!H31)</f>
        <v>389.13</v>
      </c>
      <c r="G21" s="110">
        <f t="shared" ref="G21:G23" si="15">F21-E21</f>
        <v>11.439999999999998</v>
      </c>
      <c r="H21" s="65">
        <f t="shared" ref="H21:H22" si="16">G21/E21</f>
        <v>3.0289390770208365E-2</v>
      </c>
      <c r="I21" s="32"/>
      <c r="O21" s="4"/>
    </row>
    <row r="22" spans="2:24" x14ac:dyDescent="0.35">
      <c r="B22" s="9"/>
      <c r="C22" s="5">
        <v>70000</v>
      </c>
      <c r="D22" s="31" t="s">
        <v>26</v>
      </c>
      <c r="E22" s="308">
        <f>Rates!F30+(50000*Rates!F31)</f>
        <v>433.99</v>
      </c>
      <c r="F22" s="308">
        <f>Rates!H30+(50000*Rates!H31)</f>
        <v>447.13</v>
      </c>
      <c r="G22" s="110">
        <f t="shared" si="15"/>
        <v>13.139999999999986</v>
      </c>
      <c r="H22" s="65">
        <f t="shared" si="16"/>
        <v>3.0277195327081237E-2</v>
      </c>
      <c r="I22" s="32"/>
    </row>
    <row r="23" spans="2:24" x14ac:dyDescent="0.35">
      <c r="B23" s="9"/>
      <c r="C23" s="5">
        <v>80000</v>
      </c>
      <c r="D23" s="31" t="s">
        <v>26</v>
      </c>
      <c r="E23" s="308">
        <f>Rates!F30+(60000*Rates!F31)</f>
        <v>490.28999999999996</v>
      </c>
      <c r="F23" s="308">
        <f>Rates!H30+(60000*Rates!H31)</f>
        <v>505.13</v>
      </c>
      <c r="G23" s="110">
        <f t="shared" si="15"/>
        <v>14.840000000000032</v>
      </c>
      <c r="H23" s="65">
        <f>G23/E23</f>
        <v>3.0267800689387982E-2</v>
      </c>
      <c r="I23" s="32"/>
    </row>
    <row r="24" spans="2:24" ht="17.5" customHeight="1" x14ac:dyDescent="0.35">
      <c r="B24" s="11"/>
      <c r="C24" s="3"/>
      <c r="D24" s="2"/>
      <c r="E24" s="476"/>
      <c r="F24" s="103"/>
      <c r="G24" s="103"/>
      <c r="H24" s="3"/>
      <c r="I24" s="12"/>
    </row>
    <row r="26" spans="2:24" x14ac:dyDescent="0.35">
      <c r="D26" s="44" t="s">
        <v>81</v>
      </c>
    </row>
    <row r="30" spans="2:24" x14ac:dyDescent="0.35">
      <c r="B30" s="4"/>
      <c r="C30" s="4"/>
      <c r="D30" s="4"/>
      <c r="E30" s="110"/>
      <c r="F30" s="110"/>
      <c r="G30" s="110"/>
      <c r="H30" s="4"/>
      <c r="I30" s="4"/>
    </row>
    <row r="31" spans="2:24" ht="18.5" x14ac:dyDescent="0.45">
      <c r="B31" s="4"/>
      <c r="C31" s="550" t="s">
        <v>168</v>
      </c>
      <c r="D31" s="551"/>
      <c r="E31" s="551"/>
      <c r="F31" s="551"/>
      <c r="G31" s="551"/>
      <c r="H31" s="551"/>
      <c r="I31" s="551"/>
      <c r="J31" s="551"/>
      <c r="K31" s="551"/>
      <c r="L31" s="551"/>
      <c r="M31" s="552"/>
    </row>
    <row r="32" spans="2:24" ht="18.5" x14ac:dyDescent="0.45">
      <c r="B32" s="4"/>
      <c r="C32" s="553" t="s">
        <v>420</v>
      </c>
      <c r="D32" s="542"/>
      <c r="E32" s="542"/>
      <c r="F32" s="542"/>
      <c r="G32" s="542"/>
      <c r="H32" s="542"/>
      <c r="I32" s="542"/>
      <c r="J32" s="542"/>
      <c r="K32" s="542"/>
      <c r="L32" s="542"/>
      <c r="M32" s="543"/>
    </row>
    <row r="33" spans="2:13" ht="15.5" x14ac:dyDescent="0.35">
      <c r="B33" s="4"/>
      <c r="C33" s="554" t="str">
        <f>SAO!A2</f>
        <v>GREEN-TAYLOR WATER DISTRICT</v>
      </c>
      <c r="D33" s="525"/>
      <c r="E33" s="525"/>
      <c r="F33" s="525"/>
      <c r="G33" s="525"/>
      <c r="H33" s="525"/>
      <c r="I33" s="525"/>
      <c r="J33" s="525"/>
      <c r="K33" s="525"/>
      <c r="L33" s="525"/>
      <c r="M33" s="544"/>
    </row>
    <row r="34" spans="2:13" x14ac:dyDescent="0.35">
      <c r="B34" s="4"/>
      <c r="C34" s="9"/>
      <c r="D34" s="4"/>
      <c r="E34" s="110"/>
      <c r="F34" s="110"/>
      <c r="G34" s="110"/>
      <c r="H34" s="4"/>
      <c r="I34" s="4"/>
      <c r="J34" s="4"/>
      <c r="K34" s="4"/>
      <c r="L34" s="4"/>
      <c r="M34" s="10"/>
    </row>
    <row r="35" spans="2:13" ht="16" x14ac:dyDescent="0.5">
      <c r="B35" s="4"/>
      <c r="C35" s="505" t="s">
        <v>13</v>
      </c>
      <c r="D35" s="14" t="s">
        <v>64</v>
      </c>
      <c r="E35" s="109" t="s">
        <v>23</v>
      </c>
      <c r="F35" s="109" t="s">
        <v>11</v>
      </c>
      <c r="G35" s="109"/>
      <c r="H35" s="14"/>
      <c r="I35" s="14"/>
      <c r="J35" s="481" t="s">
        <v>11</v>
      </c>
      <c r="K35" s="481" t="s">
        <v>11</v>
      </c>
      <c r="L35" s="481"/>
      <c r="M35" s="506" t="s">
        <v>67</v>
      </c>
    </row>
    <row r="36" spans="2:13" ht="16" x14ac:dyDescent="0.5">
      <c r="B36" s="4"/>
      <c r="C36" s="505" t="s">
        <v>80</v>
      </c>
      <c r="D36" s="14" t="s">
        <v>68</v>
      </c>
      <c r="E36" s="109" t="s">
        <v>66</v>
      </c>
      <c r="F36" s="109" t="s">
        <v>66</v>
      </c>
      <c r="G36" s="109" t="s">
        <v>24</v>
      </c>
      <c r="H36" s="14" t="s">
        <v>67</v>
      </c>
      <c r="I36" s="14"/>
      <c r="J36" s="481" t="s">
        <v>374</v>
      </c>
      <c r="K36" s="481" t="s">
        <v>375</v>
      </c>
      <c r="L36" s="481" t="s">
        <v>24</v>
      </c>
      <c r="M36" s="506" t="s">
        <v>371</v>
      </c>
    </row>
    <row r="37" spans="2:13" x14ac:dyDescent="0.35">
      <c r="B37" s="4"/>
      <c r="C37" s="507">
        <v>0</v>
      </c>
      <c r="D37" s="477" t="s">
        <v>181</v>
      </c>
      <c r="E37" s="110">
        <f t="shared" ref="E37:F51" si="17">E9</f>
        <v>24.05</v>
      </c>
      <c r="F37" s="110">
        <f t="shared" si="17"/>
        <v>24.78</v>
      </c>
      <c r="G37" s="111">
        <f>F37-E37</f>
        <v>0.73000000000000043</v>
      </c>
      <c r="H37" s="65">
        <f>G37/E37</f>
        <v>3.0353430353430369E-2</v>
      </c>
      <c r="I37" s="478"/>
      <c r="J37" s="111">
        <f>Rates!H42</f>
        <v>2.759270406774406</v>
      </c>
      <c r="K37" s="111">
        <f>J37+F37</f>
        <v>27.539270406774406</v>
      </c>
      <c r="L37" s="111">
        <f>K37-E37</f>
        <v>3.4892704067744056</v>
      </c>
      <c r="M37" s="32">
        <f>L37/E37</f>
        <v>0.14508400859768839</v>
      </c>
    </row>
    <row r="38" spans="2:13" x14ac:dyDescent="0.35">
      <c r="B38" s="4"/>
      <c r="C38" s="9">
        <v>2000</v>
      </c>
      <c r="D38" s="477" t="s">
        <v>181</v>
      </c>
      <c r="E38" s="110">
        <f t="shared" si="17"/>
        <v>24.05</v>
      </c>
      <c r="F38" s="110">
        <f t="shared" si="17"/>
        <v>24.78</v>
      </c>
      <c r="G38" s="110">
        <f t="shared" ref="G38:G51" si="18">F38-E38</f>
        <v>0.73000000000000043</v>
      </c>
      <c r="H38" s="65">
        <f t="shared" ref="H38:H50" si="19">G38/E38</f>
        <v>3.0353430353430369E-2</v>
      </c>
      <c r="I38" s="478"/>
      <c r="J38" s="508">
        <f>J37</f>
        <v>2.759270406774406</v>
      </c>
      <c r="K38" s="111">
        <f t="shared" ref="K38:K51" si="20">J38+F38</f>
        <v>27.539270406774406</v>
      </c>
      <c r="L38" s="111">
        <f t="shared" ref="L38:L51" si="21">K38-E38</f>
        <v>3.4892704067744056</v>
      </c>
      <c r="M38" s="32">
        <f t="shared" ref="M38:M51" si="22">L38/E38</f>
        <v>0.14508400859768839</v>
      </c>
    </row>
    <row r="39" spans="2:13" x14ac:dyDescent="0.35">
      <c r="B39" s="4"/>
      <c r="C39" s="509">
        <v>4000</v>
      </c>
      <c r="D39" s="479" t="s">
        <v>181</v>
      </c>
      <c r="E39" s="212">
        <f t="shared" si="17"/>
        <v>44.41</v>
      </c>
      <c r="F39" s="212">
        <f t="shared" si="17"/>
        <v>45.76</v>
      </c>
      <c r="G39" s="212">
        <f t="shared" si="18"/>
        <v>1.3500000000000014</v>
      </c>
      <c r="H39" s="213">
        <f t="shared" si="19"/>
        <v>3.0398558883134464E-2</v>
      </c>
      <c r="I39" s="480"/>
      <c r="J39" s="510">
        <f>J37</f>
        <v>2.759270406774406</v>
      </c>
      <c r="K39" s="511">
        <f t="shared" si="20"/>
        <v>48.519270406774403</v>
      </c>
      <c r="L39" s="511">
        <f t="shared" si="21"/>
        <v>4.1092704067744066</v>
      </c>
      <c r="M39" s="35">
        <f t="shared" si="22"/>
        <v>9.2530295131150797E-2</v>
      </c>
    </row>
    <row r="40" spans="2:13" x14ac:dyDescent="0.35">
      <c r="B40" s="4"/>
      <c r="C40" s="9">
        <v>6000</v>
      </c>
      <c r="D40" s="477" t="s">
        <v>182</v>
      </c>
      <c r="E40" s="110">
        <f t="shared" si="17"/>
        <v>62.91</v>
      </c>
      <c r="F40" s="110">
        <f t="shared" si="17"/>
        <v>64.819999999999993</v>
      </c>
      <c r="G40" s="110">
        <f t="shared" si="18"/>
        <v>1.9099999999999966</v>
      </c>
      <c r="H40" s="65">
        <f t="shared" si="19"/>
        <v>3.036083293594018E-2</v>
      </c>
      <c r="I40" s="478"/>
      <c r="J40" s="508">
        <f>J37</f>
        <v>2.759270406774406</v>
      </c>
      <c r="K40" s="111">
        <f t="shared" si="20"/>
        <v>67.579270406774398</v>
      </c>
      <c r="L40" s="111">
        <f t="shared" si="21"/>
        <v>4.6692704067744017</v>
      </c>
      <c r="M40" s="32">
        <f t="shared" si="22"/>
        <v>7.4221433901993358E-2</v>
      </c>
    </row>
    <row r="41" spans="2:13" x14ac:dyDescent="0.35">
      <c r="B41" s="4"/>
      <c r="C41" s="9">
        <v>8000</v>
      </c>
      <c r="D41" s="477" t="s">
        <v>182</v>
      </c>
      <c r="E41" s="110">
        <f t="shared" si="17"/>
        <v>79.55</v>
      </c>
      <c r="F41" s="110">
        <f t="shared" si="17"/>
        <v>81.96</v>
      </c>
      <c r="G41" s="110">
        <f t="shared" si="18"/>
        <v>2.4099999999999966</v>
      </c>
      <c r="H41" s="65">
        <f t="shared" si="19"/>
        <v>3.0295411690760485E-2</v>
      </c>
      <c r="I41" s="478"/>
      <c r="J41" s="508">
        <f>J37</f>
        <v>2.759270406774406</v>
      </c>
      <c r="K41" s="111">
        <f t="shared" si="20"/>
        <v>84.719270406774399</v>
      </c>
      <c r="L41" s="111">
        <f t="shared" si="21"/>
        <v>5.1692704067744017</v>
      </c>
      <c r="M41" s="32">
        <f t="shared" si="22"/>
        <v>6.4981400462280348E-2</v>
      </c>
    </row>
    <row r="42" spans="2:13" x14ac:dyDescent="0.35">
      <c r="B42" s="4"/>
      <c r="C42" s="9">
        <v>10000</v>
      </c>
      <c r="D42" s="477" t="s">
        <v>182</v>
      </c>
      <c r="E42" s="110">
        <f t="shared" si="17"/>
        <v>96.19</v>
      </c>
      <c r="F42" s="110">
        <f t="shared" si="17"/>
        <v>99.1</v>
      </c>
      <c r="G42" s="110">
        <f t="shared" si="18"/>
        <v>2.9099999999999966</v>
      </c>
      <c r="H42" s="65">
        <f t="shared" si="19"/>
        <v>3.0252625012995079E-2</v>
      </c>
      <c r="I42" s="478"/>
      <c r="J42" s="508">
        <f>J37</f>
        <v>2.759270406774406</v>
      </c>
      <c r="K42" s="111">
        <f t="shared" si="20"/>
        <v>101.8592704067744</v>
      </c>
      <c r="L42" s="111">
        <f t="shared" si="21"/>
        <v>5.6692704067744017</v>
      </c>
      <c r="M42" s="32">
        <f t="shared" si="22"/>
        <v>5.8938251447909366E-2</v>
      </c>
    </row>
    <row r="43" spans="2:13" x14ac:dyDescent="0.35">
      <c r="B43" s="4"/>
      <c r="C43" s="9">
        <v>15000</v>
      </c>
      <c r="D43" s="477" t="s">
        <v>25</v>
      </c>
      <c r="E43" s="110">
        <f t="shared" si="17"/>
        <v>124.34</v>
      </c>
      <c r="F43" s="110">
        <f t="shared" si="17"/>
        <v>128.1</v>
      </c>
      <c r="G43" s="110">
        <f t="shared" si="18"/>
        <v>3.7599999999999909</v>
      </c>
      <c r="H43" s="65">
        <f t="shared" si="19"/>
        <v>3.0239665433488747E-2</v>
      </c>
      <c r="I43" s="478"/>
      <c r="J43" s="508">
        <f>J37</f>
        <v>2.759270406774406</v>
      </c>
      <c r="K43" s="111">
        <f t="shared" si="20"/>
        <v>130.85927040677441</v>
      </c>
      <c r="L43" s="111">
        <f t="shared" si="21"/>
        <v>6.5192704067744103</v>
      </c>
      <c r="M43" s="32">
        <f t="shared" si="22"/>
        <v>5.2430998928537961E-2</v>
      </c>
    </row>
    <row r="44" spans="2:13" x14ac:dyDescent="0.35">
      <c r="B44" s="4"/>
      <c r="C44" s="9">
        <v>20000</v>
      </c>
      <c r="D44" s="477" t="s">
        <v>25</v>
      </c>
      <c r="E44" s="110">
        <f t="shared" si="17"/>
        <v>152.49</v>
      </c>
      <c r="F44" s="110">
        <f t="shared" si="17"/>
        <v>157.1</v>
      </c>
      <c r="G44" s="110">
        <f t="shared" si="18"/>
        <v>4.6099999999999852</v>
      </c>
      <c r="H44" s="65">
        <f t="shared" si="19"/>
        <v>3.0231490589546758E-2</v>
      </c>
      <c r="I44" s="478"/>
      <c r="J44" s="508">
        <f>J37</f>
        <v>2.759270406774406</v>
      </c>
      <c r="K44" s="111">
        <f t="shared" si="20"/>
        <v>159.85927040677441</v>
      </c>
      <c r="L44" s="111">
        <f t="shared" si="21"/>
        <v>7.3692704067744046</v>
      </c>
      <c r="M44" s="32">
        <f t="shared" si="22"/>
        <v>4.8326253569246538E-2</v>
      </c>
    </row>
    <row r="45" spans="2:13" x14ac:dyDescent="0.35">
      <c r="B45" s="4"/>
      <c r="C45" s="9">
        <v>25000</v>
      </c>
      <c r="D45" s="18" t="s">
        <v>25</v>
      </c>
      <c r="E45" s="110">
        <f t="shared" si="17"/>
        <v>180.64</v>
      </c>
      <c r="F45" s="110">
        <f t="shared" si="17"/>
        <v>186.1</v>
      </c>
      <c r="G45" s="110">
        <f t="shared" si="18"/>
        <v>5.460000000000008</v>
      </c>
      <c r="H45" s="65">
        <f t="shared" si="19"/>
        <v>3.0225863596102791E-2</v>
      </c>
      <c r="I45" s="478"/>
      <c r="J45" s="508">
        <f>J37</f>
        <v>2.759270406774406</v>
      </c>
      <c r="K45" s="111">
        <f t="shared" si="20"/>
        <v>188.85927040677441</v>
      </c>
      <c r="L45" s="111">
        <f t="shared" si="21"/>
        <v>8.2192704067744273</v>
      </c>
      <c r="M45" s="32">
        <f t="shared" si="22"/>
        <v>4.5500832632719375E-2</v>
      </c>
    </row>
    <row r="46" spans="2:13" x14ac:dyDescent="0.35">
      <c r="B46" s="4"/>
      <c r="C46" s="9">
        <v>30000</v>
      </c>
      <c r="D46" s="18" t="s">
        <v>220</v>
      </c>
      <c r="E46" s="110">
        <f t="shared" si="17"/>
        <v>208.79</v>
      </c>
      <c r="F46" s="110">
        <f t="shared" si="17"/>
        <v>215.12</v>
      </c>
      <c r="G46" s="110">
        <f t="shared" si="18"/>
        <v>6.3300000000000125</v>
      </c>
      <c r="H46" s="65">
        <f t="shared" si="19"/>
        <v>3.0317543943675525E-2</v>
      </c>
      <c r="I46" s="478"/>
      <c r="J46" s="508">
        <f>J37</f>
        <v>2.759270406774406</v>
      </c>
      <c r="K46" s="111">
        <f t="shared" si="20"/>
        <v>217.87927040677442</v>
      </c>
      <c r="L46" s="111">
        <f t="shared" si="21"/>
        <v>9.0892704067744319</v>
      </c>
      <c r="M46" s="32">
        <f t="shared" si="22"/>
        <v>4.3533073455502815E-2</v>
      </c>
    </row>
    <row r="47" spans="2:13" x14ac:dyDescent="0.35">
      <c r="B47" s="4"/>
      <c r="C47" s="9">
        <v>40000</v>
      </c>
      <c r="D47" s="18" t="s">
        <v>220</v>
      </c>
      <c r="E47" s="110">
        <f t="shared" si="17"/>
        <v>265.08999999999997</v>
      </c>
      <c r="F47" s="110">
        <f t="shared" si="17"/>
        <v>273.12</v>
      </c>
      <c r="G47" s="110">
        <f t="shared" si="18"/>
        <v>8.0300000000000296</v>
      </c>
      <c r="H47" s="65">
        <f t="shared" si="19"/>
        <v>3.0291599079558001E-2</v>
      </c>
      <c r="I47" s="478"/>
      <c r="J47" s="508">
        <f>J37</f>
        <v>2.759270406774406</v>
      </c>
      <c r="K47" s="111">
        <f t="shared" si="20"/>
        <v>275.87927040677442</v>
      </c>
      <c r="L47" s="111">
        <f t="shared" si="21"/>
        <v>10.789270406774449</v>
      </c>
      <c r="M47" s="32">
        <f t="shared" si="22"/>
        <v>4.0700405170977595E-2</v>
      </c>
    </row>
    <row r="48" spans="2:13" x14ac:dyDescent="0.35">
      <c r="B48" s="4"/>
      <c r="C48" s="9">
        <v>50000</v>
      </c>
      <c r="D48" s="18" t="s">
        <v>220</v>
      </c>
      <c r="E48" s="110">
        <f t="shared" si="17"/>
        <v>321.39</v>
      </c>
      <c r="F48" s="110">
        <f t="shared" si="17"/>
        <v>331.12</v>
      </c>
      <c r="G48" s="110">
        <f t="shared" si="18"/>
        <v>9.7300000000000182</v>
      </c>
      <c r="H48" s="65">
        <f t="shared" si="19"/>
        <v>3.0274744080400817E-2</v>
      </c>
      <c r="I48" s="478"/>
      <c r="J48" s="508">
        <f>J37</f>
        <v>2.759270406774406</v>
      </c>
      <c r="K48" s="111">
        <f t="shared" si="20"/>
        <v>333.87927040677442</v>
      </c>
      <c r="L48" s="111">
        <f t="shared" si="21"/>
        <v>12.489270406774438</v>
      </c>
      <c r="M48" s="32">
        <f t="shared" si="22"/>
        <v>3.886017115272547E-2</v>
      </c>
    </row>
    <row r="49" spans="1:13" x14ac:dyDescent="0.35">
      <c r="B49" s="4"/>
      <c r="C49" s="9">
        <v>60000</v>
      </c>
      <c r="D49" s="18" t="s">
        <v>26</v>
      </c>
      <c r="E49" s="110">
        <f t="shared" si="17"/>
        <v>377.69</v>
      </c>
      <c r="F49" s="110">
        <f t="shared" si="17"/>
        <v>389.13</v>
      </c>
      <c r="G49" s="110">
        <f t="shared" si="18"/>
        <v>11.439999999999998</v>
      </c>
      <c r="H49" s="65">
        <f t="shared" si="19"/>
        <v>3.0289390770208365E-2</v>
      </c>
      <c r="I49" s="478"/>
      <c r="J49" s="508">
        <f>J37</f>
        <v>2.759270406774406</v>
      </c>
      <c r="K49" s="111">
        <f t="shared" si="20"/>
        <v>391.88927040677441</v>
      </c>
      <c r="L49" s="111">
        <f t="shared" si="21"/>
        <v>14.199270406774417</v>
      </c>
      <c r="M49" s="32">
        <f t="shared" si="22"/>
        <v>3.7595039335895621E-2</v>
      </c>
    </row>
    <row r="50" spans="1:13" x14ac:dyDescent="0.35">
      <c r="B50" s="4"/>
      <c r="C50" s="9">
        <v>70000</v>
      </c>
      <c r="D50" s="18" t="s">
        <v>26</v>
      </c>
      <c r="E50" s="110">
        <f t="shared" si="17"/>
        <v>433.99</v>
      </c>
      <c r="F50" s="110">
        <f t="shared" si="17"/>
        <v>447.13</v>
      </c>
      <c r="G50" s="110">
        <f t="shared" si="18"/>
        <v>13.139999999999986</v>
      </c>
      <c r="H50" s="65">
        <f t="shared" si="19"/>
        <v>3.0277195327081237E-2</v>
      </c>
      <c r="I50" s="478"/>
      <c r="J50" s="508">
        <f>J37</f>
        <v>2.759270406774406</v>
      </c>
      <c r="K50" s="111">
        <f t="shared" si="20"/>
        <v>449.88927040677441</v>
      </c>
      <c r="L50" s="111">
        <f t="shared" si="21"/>
        <v>15.899270406774406</v>
      </c>
      <c r="M50" s="32">
        <f t="shared" si="22"/>
        <v>3.663510773698566E-2</v>
      </c>
    </row>
    <row r="51" spans="1:13" x14ac:dyDescent="0.35">
      <c r="B51" s="4"/>
      <c r="C51" s="9">
        <v>80000</v>
      </c>
      <c r="D51" s="18" t="s">
        <v>26</v>
      </c>
      <c r="E51" s="110">
        <f t="shared" si="17"/>
        <v>490.28999999999996</v>
      </c>
      <c r="F51" s="110">
        <f t="shared" si="17"/>
        <v>505.13</v>
      </c>
      <c r="G51" s="110">
        <f t="shared" si="18"/>
        <v>14.840000000000032</v>
      </c>
      <c r="H51" s="65">
        <f>G51/E51</f>
        <v>3.0267800689387982E-2</v>
      </c>
      <c r="I51" s="478"/>
      <c r="J51" s="508">
        <f>J37</f>
        <v>2.759270406774406</v>
      </c>
      <c r="K51" s="111">
        <f t="shared" si="20"/>
        <v>507.88927040677441</v>
      </c>
      <c r="L51" s="111">
        <f t="shared" si="21"/>
        <v>17.599270406774451</v>
      </c>
      <c r="M51" s="32">
        <f t="shared" si="22"/>
        <v>3.5895634026340439E-2</v>
      </c>
    </row>
    <row r="52" spans="1:13" ht="15.5" x14ac:dyDescent="0.35">
      <c r="B52" s="4"/>
      <c r="C52" s="9"/>
      <c r="D52"/>
      <c r="E52" s="110"/>
      <c r="F52" s="110"/>
      <c r="G52" s="110"/>
      <c r="H52" s="4"/>
      <c r="I52" s="4"/>
      <c r="J52" s="4"/>
      <c r="K52" s="4"/>
      <c r="L52" s="4"/>
      <c r="M52" s="10"/>
    </row>
    <row r="53" spans="1:13" x14ac:dyDescent="0.35">
      <c r="C53" s="9"/>
      <c r="D53" s="4"/>
      <c r="E53" s="110"/>
      <c r="F53" s="110"/>
      <c r="G53" s="110"/>
      <c r="H53" s="4"/>
      <c r="I53" s="4"/>
      <c r="J53" s="4"/>
      <c r="K53" s="4"/>
      <c r="L53" s="4"/>
      <c r="M53" s="10"/>
    </row>
    <row r="54" spans="1:13" x14ac:dyDescent="0.35">
      <c r="C54" s="11"/>
      <c r="D54" s="512" t="s">
        <v>81</v>
      </c>
      <c r="E54" s="103"/>
      <c r="F54" s="103"/>
      <c r="G54" s="103"/>
      <c r="H54" s="3"/>
      <c r="I54" s="3"/>
      <c r="J54" s="3"/>
      <c r="K54" s="3"/>
      <c r="L54" s="3"/>
      <c r="M54" s="12"/>
    </row>
    <row r="57" spans="1:13" x14ac:dyDescent="0.35">
      <c r="A57" s="547" t="s">
        <v>377</v>
      </c>
      <c r="B57" s="548"/>
      <c r="C57" s="548"/>
      <c r="D57" s="548"/>
      <c r="E57" s="548"/>
      <c r="F57" s="548"/>
      <c r="G57" s="548"/>
      <c r="H57" s="548"/>
      <c r="I57" s="548"/>
      <c r="J57" s="548"/>
      <c r="K57" s="548"/>
      <c r="L57" s="548"/>
      <c r="M57" s="549"/>
    </row>
    <row r="58" spans="1:13" ht="16" x14ac:dyDescent="0.5">
      <c r="A58" s="14" t="s">
        <v>64</v>
      </c>
      <c r="C58" s="39"/>
      <c r="D58" s="14" t="s">
        <v>376</v>
      </c>
      <c r="E58" s="109" t="s">
        <v>23</v>
      </c>
      <c r="F58" s="109" t="s">
        <v>11</v>
      </c>
      <c r="G58" s="109"/>
      <c r="H58" s="14"/>
      <c r="I58" s="14"/>
      <c r="J58" s="481" t="s">
        <v>11</v>
      </c>
      <c r="K58" s="481" t="s">
        <v>11</v>
      </c>
      <c r="L58" s="481"/>
      <c r="M58" s="482" t="s">
        <v>67</v>
      </c>
    </row>
    <row r="59" spans="1:13" ht="16" x14ac:dyDescent="0.5">
      <c r="A59" s="14" t="s">
        <v>68</v>
      </c>
      <c r="C59" s="4"/>
      <c r="D59" s="14" t="s">
        <v>321</v>
      </c>
      <c r="E59" s="109" t="s">
        <v>66</v>
      </c>
      <c r="F59" s="109" t="s">
        <v>66</v>
      </c>
      <c r="G59" s="109" t="s">
        <v>24</v>
      </c>
      <c r="H59" s="14" t="s">
        <v>67</v>
      </c>
      <c r="I59" s="14"/>
      <c r="J59" s="481" t="s">
        <v>374</v>
      </c>
      <c r="K59" s="481" t="s">
        <v>375</v>
      </c>
      <c r="L59" s="481" t="s">
        <v>24</v>
      </c>
      <c r="M59" s="482" t="s">
        <v>371</v>
      </c>
    </row>
    <row r="60" spans="1:13" x14ac:dyDescent="0.35">
      <c r="A60" s="484" t="s">
        <v>181</v>
      </c>
      <c r="D60" s="363">
        <v>4000</v>
      </c>
      <c r="E60" s="107">
        <f>E39</f>
        <v>44.41</v>
      </c>
      <c r="F60" s="107">
        <f t="shared" ref="F60:M60" si="23">F39</f>
        <v>45.76</v>
      </c>
      <c r="G60" s="107">
        <f t="shared" si="23"/>
        <v>1.3500000000000014</v>
      </c>
      <c r="H60" s="483">
        <f t="shared" si="23"/>
        <v>3.0398558883134464E-2</v>
      </c>
      <c r="I60" s="107">
        <f t="shared" si="23"/>
        <v>0</v>
      </c>
      <c r="J60" s="107">
        <f t="shared" si="23"/>
        <v>2.759270406774406</v>
      </c>
      <c r="K60" s="107">
        <f t="shared" si="23"/>
        <v>48.519270406774403</v>
      </c>
      <c r="L60" s="107">
        <f t="shared" si="23"/>
        <v>4.1092704067744066</v>
      </c>
      <c r="M60" s="483">
        <f t="shared" si="23"/>
        <v>9.2530295131150797E-2</v>
      </c>
    </row>
    <row r="61" spans="1:13" x14ac:dyDescent="0.35">
      <c r="A61" s="477" t="s">
        <v>182</v>
      </c>
      <c r="D61" s="4">
        <v>6000</v>
      </c>
      <c r="E61" s="107">
        <f>E40</f>
        <v>62.91</v>
      </c>
      <c r="F61" s="107">
        <f t="shared" ref="F61:M61" si="24">F40</f>
        <v>64.819999999999993</v>
      </c>
      <c r="G61" s="107">
        <f t="shared" si="24"/>
        <v>1.9099999999999966</v>
      </c>
      <c r="H61" s="483">
        <f t="shared" si="24"/>
        <v>3.036083293594018E-2</v>
      </c>
      <c r="I61" s="107">
        <f t="shared" si="24"/>
        <v>0</v>
      </c>
      <c r="J61" s="107">
        <f t="shared" si="24"/>
        <v>2.759270406774406</v>
      </c>
      <c r="K61" s="107">
        <f t="shared" si="24"/>
        <v>67.579270406774398</v>
      </c>
      <c r="L61" s="107">
        <f t="shared" si="24"/>
        <v>4.6692704067744017</v>
      </c>
      <c r="M61" s="483">
        <f t="shared" si="24"/>
        <v>7.4221433901993358E-2</v>
      </c>
    </row>
    <row r="62" spans="1:13" x14ac:dyDescent="0.35">
      <c r="A62" s="477" t="s">
        <v>25</v>
      </c>
      <c r="D62" s="4">
        <v>15000</v>
      </c>
      <c r="E62" s="107">
        <f>E43</f>
        <v>124.34</v>
      </c>
      <c r="F62" s="107">
        <f t="shared" ref="F62:M62" si="25">F43</f>
        <v>128.1</v>
      </c>
      <c r="G62" s="107">
        <f t="shared" si="25"/>
        <v>3.7599999999999909</v>
      </c>
      <c r="H62" s="483">
        <f t="shared" si="25"/>
        <v>3.0239665433488747E-2</v>
      </c>
      <c r="I62" s="107">
        <f t="shared" si="25"/>
        <v>0</v>
      </c>
      <c r="J62" s="107">
        <f t="shared" si="25"/>
        <v>2.759270406774406</v>
      </c>
      <c r="K62" s="107">
        <f t="shared" si="25"/>
        <v>130.85927040677441</v>
      </c>
      <c r="L62" s="107">
        <f t="shared" si="25"/>
        <v>6.5192704067744103</v>
      </c>
      <c r="M62" s="483">
        <f t="shared" si="25"/>
        <v>5.2430998928537961E-2</v>
      </c>
    </row>
    <row r="63" spans="1:13" x14ac:dyDescent="0.35">
      <c r="A63" s="18" t="s">
        <v>220</v>
      </c>
      <c r="D63" s="4">
        <v>30000</v>
      </c>
      <c r="E63" s="107">
        <f>E46</f>
        <v>208.79</v>
      </c>
      <c r="F63" s="107">
        <f t="shared" ref="F63:M63" si="26">F46</f>
        <v>215.12</v>
      </c>
      <c r="G63" s="107">
        <f t="shared" si="26"/>
        <v>6.3300000000000125</v>
      </c>
      <c r="H63" s="483">
        <f t="shared" si="26"/>
        <v>3.0317543943675525E-2</v>
      </c>
      <c r="I63" s="107">
        <f t="shared" si="26"/>
        <v>0</v>
      </c>
      <c r="J63" s="107">
        <f t="shared" si="26"/>
        <v>2.759270406774406</v>
      </c>
      <c r="K63" s="107">
        <f t="shared" si="26"/>
        <v>217.87927040677442</v>
      </c>
      <c r="L63" s="107">
        <f t="shared" si="26"/>
        <v>9.0892704067744319</v>
      </c>
      <c r="M63" s="483">
        <f t="shared" si="26"/>
        <v>4.3533073455502815E-2</v>
      </c>
    </row>
    <row r="64" spans="1:13" x14ac:dyDescent="0.35">
      <c r="A64" s="18" t="s">
        <v>26</v>
      </c>
      <c r="D64" s="5">
        <v>60000</v>
      </c>
      <c r="E64" s="107">
        <f>E49</f>
        <v>377.69</v>
      </c>
      <c r="F64" s="107">
        <f t="shared" ref="F64:M64" si="27">F49</f>
        <v>389.13</v>
      </c>
      <c r="G64" s="107">
        <f t="shared" si="27"/>
        <v>11.439999999999998</v>
      </c>
      <c r="H64" s="483">
        <f t="shared" si="27"/>
        <v>3.0289390770208365E-2</v>
      </c>
      <c r="I64" s="107">
        <f t="shared" si="27"/>
        <v>0</v>
      </c>
      <c r="J64" s="107">
        <f t="shared" si="27"/>
        <v>2.759270406774406</v>
      </c>
      <c r="K64" s="107">
        <f t="shared" si="27"/>
        <v>391.88927040677441</v>
      </c>
      <c r="L64" s="107">
        <f t="shared" si="27"/>
        <v>14.199270406774417</v>
      </c>
      <c r="M64" s="483">
        <f t="shared" si="27"/>
        <v>3.7595039335895621E-2</v>
      </c>
    </row>
    <row r="65" spans="1:13" x14ac:dyDescent="0.35">
      <c r="A65" s="90" t="s">
        <v>322</v>
      </c>
      <c r="D65" s="5">
        <f>ExBA!D107/12</f>
        <v>311650</v>
      </c>
      <c r="E65" s="107">
        <f>D65*Rates!F38</f>
        <v>1125.0564999999999</v>
      </c>
      <c r="F65" s="107">
        <f>D65*Rates!H38</f>
        <v>1159.2772285644528</v>
      </c>
      <c r="G65" s="107">
        <f>F65-E65</f>
        <v>34.220728564452884</v>
      </c>
      <c r="H65" s="483">
        <f>G65/F65</f>
        <v>2.951902074953101E-2</v>
      </c>
      <c r="J65" s="349">
        <f>J49</f>
        <v>2.759270406774406</v>
      </c>
      <c r="K65" s="349">
        <f t="shared" ref="K65:K66" si="28">J65+F65</f>
        <v>1162.0364989712273</v>
      </c>
      <c r="L65" s="397">
        <f t="shared" ref="L65:L66" si="29">K65-E65</f>
        <v>36.97999897122736</v>
      </c>
      <c r="M65" s="485">
        <f t="shared" ref="M65:M66" si="30">L65/E65</f>
        <v>3.2869459419351259E-2</v>
      </c>
    </row>
    <row r="66" spans="1:13" x14ac:dyDescent="0.35">
      <c r="A66" s="90" t="s">
        <v>256</v>
      </c>
      <c r="D66" s="5">
        <f>ExBA!D108/12</f>
        <v>593333</v>
      </c>
      <c r="E66" s="107">
        <f>D66*Rates!F39</f>
        <v>1910.5322600000002</v>
      </c>
      <c r="F66" s="107">
        <f>D66*Rates!H39</f>
        <v>1968.6447244700873</v>
      </c>
      <c r="G66" s="107">
        <f>F66-E66</f>
        <v>58.112464470087161</v>
      </c>
      <c r="H66" s="483">
        <f>G66/F66</f>
        <v>2.9519020749530958E-2</v>
      </c>
      <c r="J66" s="349">
        <f>J49</f>
        <v>2.759270406774406</v>
      </c>
      <c r="K66" s="349">
        <f t="shared" si="28"/>
        <v>1971.4039948768618</v>
      </c>
      <c r="L66" s="397">
        <f t="shared" si="29"/>
        <v>60.871734876861638</v>
      </c>
      <c r="M66" s="485">
        <f t="shared" si="30"/>
        <v>3.1861139511384973E-2</v>
      </c>
    </row>
  </sheetData>
  <mergeCells count="7">
    <mergeCell ref="C3:I3"/>
    <mergeCell ref="C4:I4"/>
    <mergeCell ref="C2:I2"/>
    <mergeCell ref="A57:M57"/>
    <mergeCell ref="C31:M31"/>
    <mergeCell ref="C32:M32"/>
    <mergeCell ref="C33:M33"/>
  </mergeCells>
  <printOptions horizontalCentered="1"/>
  <pageMargins left="0.7" right="0.7" top="1.1000000000000001"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B1:GH44"/>
  <sheetViews>
    <sheetView showGridLines="0" tabSelected="1" workbookViewId="0">
      <selection activeCell="O16" sqref="O16"/>
    </sheetView>
  </sheetViews>
  <sheetFormatPr defaultColWidth="8.84375" defaultRowHeight="14.5" x14ac:dyDescent="0.35"/>
  <cols>
    <col min="1" max="1" width="2.61328125" style="15" customWidth="1"/>
    <col min="2" max="2" width="1.765625" style="24" customWidth="1"/>
    <col min="3" max="3" width="4.61328125" style="24" customWidth="1"/>
    <col min="4" max="4" width="7.61328125" style="91" customWidth="1"/>
    <col min="5" max="5" width="17.3828125" style="220" customWidth="1"/>
    <col min="6" max="6" width="10.61328125" style="24" customWidth="1"/>
    <col min="7" max="7" width="12.61328125" style="24" customWidth="1"/>
    <col min="8" max="8" width="10.61328125" style="24" customWidth="1"/>
    <col min="9" max="9" width="9.69140625" style="80" customWidth="1"/>
    <col min="10" max="10" width="8.921875" style="24" customWidth="1"/>
    <col min="11" max="11" width="9.07421875" style="214" customWidth="1"/>
    <col min="12" max="12" width="1.765625" style="24" customWidth="1"/>
    <col min="13" max="13" width="2.3046875" style="24" customWidth="1"/>
    <col min="14" max="190" width="9.69140625" style="24" customWidth="1"/>
    <col min="191" max="16384" width="8.84375" style="15"/>
  </cols>
  <sheetData>
    <row r="1" spans="2:190" ht="15" thickBot="1" x14ac:dyDescent="0.4"/>
    <row r="2" spans="2:190" x14ac:dyDescent="0.35">
      <c r="B2" s="224"/>
      <c r="C2" s="225"/>
      <c r="D2" s="226"/>
      <c r="E2" s="240"/>
      <c r="F2" s="225"/>
      <c r="G2" s="225"/>
      <c r="H2" s="225"/>
      <c r="I2" s="227"/>
      <c r="J2" s="225"/>
      <c r="K2" s="228"/>
      <c r="L2" s="229"/>
    </row>
    <row r="3" spans="2:190" ht="15.5" hidden="1" customHeight="1" x14ac:dyDescent="0.45">
      <c r="B3" s="230"/>
      <c r="C3" s="526" t="s">
        <v>79</v>
      </c>
      <c r="D3" s="526"/>
      <c r="E3" s="526"/>
      <c r="F3" s="526"/>
      <c r="G3" s="526"/>
      <c r="H3" s="526"/>
      <c r="I3" s="526"/>
      <c r="J3" s="526"/>
      <c r="L3" s="231"/>
    </row>
    <row r="4" spans="2:190" ht="12" hidden="1" customHeight="1" x14ac:dyDescent="0.35">
      <c r="B4" s="230"/>
      <c r="L4" s="231"/>
    </row>
    <row r="5" spans="2:190" ht="18.5" x14ac:dyDescent="0.45">
      <c r="B5" s="230"/>
      <c r="C5" s="524" t="s">
        <v>56</v>
      </c>
      <c r="D5" s="524"/>
      <c r="E5" s="524"/>
      <c r="F5" s="524"/>
      <c r="G5" s="524"/>
      <c r="H5" s="524"/>
      <c r="I5" s="524"/>
      <c r="J5" s="524"/>
      <c r="L5" s="231"/>
    </row>
    <row r="6" spans="2:190" ht="18" customHeight="1" x14ac:dyDescent="0.35">
      <c r="B6" s="230"/>
      <c r="C6" s="525" t="str">
        <f>SAO!A2</f>
        <v>GREEN-TAYLOR WATER DISTRICT</v>
      </c>
      <c r="D6" s="525"/>
      <c r="E6" s="525"/>
      <c r="F6" s="525"/>
      <c r="G6" s="525"/>
      <c r="H6" s="525"/>
      <c r="I6" s="525"/>
      <c r="J6" s="525"/>
      <c r="L6" s="231"/>
    </row>
    <row r="7" spans="2:190" ht="17.5" customHeight="1" x14ac:dyDescent="0.35">
      <c r="B7" s="230"/>
      <c r="F7" s="528"/>
      <c r="G7" s="528"/>
      <c r="K7" s="500" t="s">
        <v>405</v>
      </c>
      <c r="L7" s="231"/>
    </row>
    <row r="8" spans="2:190" ht="14.25" customHeight="1" x14ac:dyDescent="0.35">
      <c r="B8" s="230"/>
      <c r="C8" s="76" t="s">
        <v>174</v>
      </c>
      <c r="D8" s="219"/>
      <c r="E8" s="241"/>
      <c r="F8" s="527" t="s">
        <v>170</v>
      </c>
      <c r="G8" s="527"/>
      <c r="H8" s="527" t="s">
        <v>11</v>
      </c>
      <c r="I8" s="527"/>
      <c r="J8" s="451" t="s">
        <v>65</v>
      </c>
      <c r="K8" s="451" t="s">
        <v>371</v>
      </c>
      <c r="L8" s="232"/>
      <c r="GH8" s="15"/>
    </row>
    <row r="9" spans="2:190" ht="17.25" customHeight="1" x14ac:dyDescent="0.35">
      <c r="B9" s="230"/>
      <c r="C9" s="89" t="s">
        <v>177</v>
      </c>
      <c r="D9" s="4">
        <v>2000</v>
      </c>
      <c r="E9" s="90" t="s">
        <v>176</v>
      </c>
      <c r="F9" s="222">
        <v>24.05</v>
      </c>
      <c r="G9" s="45" t="s">
        <v>105</v>
      </c>
      <c r="H9" s="45">
        <f>ROUND(F9*(1+'Revenue Requirements'!$G$15),2)</f>
        <v>24.78</v>
      </c>
      <c r="I9" s="80" t="s">
        <v>105</v>
      </c>
      <c r="J9" s="45">
        <f>H9-F9</f>
        <v>0.73000000000000043</v>
      </c>
      <c r="K9" s="64">
        <f>J9/F9</f>
        <v>3.0353430353430369E-2</v>
      </c>
      <c r="L9" s="232"/>
      <c r="GH9" s="15"/>
    </row>
    <row r="10" spans="2:190" ht="14.25" customHeight="1" x14ac:dyDescent="0.35">
      <c r="B10" s="230"/>
      <c r="C10" s="89" t="s">
        <v>178</v>
      </c>
      <c r="D10" s="4">
        <v>3000</v>
      </c>
      <c r="E10" s="90" t="s">
        <v>176</v>
      </c>
      <c r="F10" s="223">
        <v>1.018E-2</v>
      </c>
      <c r="G10" s="45" t="s">
        <v>175</v>
      </c>
      <c r="H10" s="218">
        <f>ROUND(F10*(1+'Revenue Requirements'!$G$15),5)</f>
        <v>1.0489999999999999E-2</v>
      </c>
      <c r="I10" s="80" t="s">
        <v>175</v>
      </c>
      <c r="J10" s="218">
        <f>H10-F10</f>
        <v>3.0999999999999951E-4</v>
      </c>
      <c r="K10" s="64">
        <f t="shared" ref="K10:K12" si="0">J10/F10</f>
        <v>3.0451866404715082E-2</v>
      </c>
      <c r="L10" s="232"/>
      <c r="GH10" s="15"/>
    </row>
    <row r="11" spans="2:190" ht="14.25" customHeight="1" x14ac:dyDescent="0.35">
      <c r="B11" s="233"/>
      <c r="C11" s="89" t="s">
        <v>178</v>
      </c>
      <c r="D11" s="4">
        <v>5000</v>
      </c>
      <c r="E11" s="90" t="s">
        <v>176</v>
      </c>
      <c r="F11" s="223">
        <v>8.3199999999999993E-3</v>
      </c>
      <c r="G11" s="45" t="s">
        <v>175</v>
      </c>
      <c r="H11" s="218">
        <f>ROUND(F11*(1+'Revenue Requirements'!$G$15),5)</f>
        <v>8.5699999999999995E-3</v>
      </c>
      <c r="I11" s="80" t="s">
        <v>175</v>
      </c>
      <c r="J11" s="218">
        <f t="shared" ref="J11:J12" si="1">H11-F11</f>
        <v>2.5000000000000022E-4</v>
      </c>
      <c r="K11" s="64">
        <f t="shared" si="0"/>
        <v>3.0048076923076952E-2</v>
      </c>
      <c r="L11" s="232"/>
      <c r="GH11" s="15"/>
    </row>
    <row r="12" spans="2:190" ht="15" customHeight="1" x14ac:dyDescent="0.35">
      <c r="B12" s="230"/>
      <c r="C12" s="221" t="s">
        <v>179</v>
      </c>
      <c r="D12" s="94">
        <v>10000</v>
      </c>
      <c r="E12" s="220" t="s">
        <v>176</v>
      </c>
      <c r="F12" s="223">
        <v>5.6299999999999996E-3</v>
      </c>
      <c r="G12" s="45" t="s">
        <v>175</v>
      </c>
      <c r="H12" s="218">
        <f>ROUND(F12*(1+'Revenue Requirements'!$G$15),5)</f>
        <v>5.7999999999999996E-3</v>
      </c>
      <c r="I12" s="80" t="s">
        <v>175</v>
      </c>
      <c r="J12" s="218">
        <f t="shared" si="1"/>
        <v>1.7000000000000001E-4</v>
      </c>
      <c r="K12" s="64">
        <f t="shared" si="0"/>
        <v>3.0195381882770874E-2</v>
      </c>
      <c r="L12" s="232"/>
      <c r="GH12" s="15"/>
    </row>
    <row r="13" spans="2:190" ht="15" customHeight="1" x14ac:dyDescent="0.35">
      <c r="B13" s="230"/>
      <c r="C13" s="73"/>
      <c r="D13" s="94"/>
      <c r="F13" s="74"/>
      <c r="G13" s="73"/>
      <c r="H13" s="45"/>
      <c r="I13" s="81"/>
      <c r="J13" s="45"/>
      <c r="K13" s="500"/>
      <c r="L13" s="232"/>
      <c r="GH13" s="15"/>
    </row>
    <row r="14" spans="2:190" ht="15" customHeight="1" x14ac:dyDescent="0.35">
      <c r="B14" s="230"/>
      <c r="C14" s="76" t="s">
        <v>180</v>
      </c>
      <c r="D14" s="219"/>
      <c r="E14" s="241"/>
      <c r="F14" s="527" t="s">
        <v>170</v>
      </c>
      <c r="G14" s="527"/>
      <c r="H14" s="527" t="s">
        <v>11</v>
      </c>
      <c r="I14" s="527"/>
      <c r="J14" s="451" t="s">
        <v>65</v>
      </c>
      <c r="K14" s="451" t="s">
        <v>406</v>
      </c>
      <c r="L14" s="232"/>
      <c r="GH14" s="15"/>
    </row>
    <row r="15" spans="2:190" ht="15" customHeight="1" x14ac:dyDescent="0.35">
      <c r="B15" s="230"/>
      <c r="C15" s="89" t="s">
        <v>177</v>
      </c>
      <c r="D15" s="4">
        <v>3000</v>
      </c>
      <c r="E15" s="90" t="s">
        <v>176</v>
      </c>
      <c r="F15" s="222">
        <v>34.229999999999997</v>
      </c>
      <c r="G15" s="45" t="s">
        <v>105</v>
      </c>
      <c r="H15" s="45">
        <f>ROUND(F15*(1+'Revenue Requirements'!$G$15),2)</f>
        <v>35.270000000000003</v>
      </c>
      <c r="I15" s="80" t="s">
        <v>105</v>
      </c>
      <c r="J15" s="45">
        <f>H15-F15</f>
        <v>1.0400000000000063</v>
      </c>
      <c r="K15" s="64">
        <f>J15/F15</f>
        <v>3.0382705229331182E-2</v>
      </c>
      <c r="L15" s="232"/>
      <c r="GH15" s="15"/>
    </row>
    <row r="16" spans="2:190" ht="15" customHeight="1" x14ac:dyDescent="0.35">
      <c r="B16" s="230"/>
      <c r="C16" s="89" t="s">
        <v>178</v>
      </c>
      <c r="D16" s="4">
        <v>2000</v>
      </c>
      <c r="E16" s="90" t="s">
        <v>176</v>
      </c>
      <c r="F16" s="223">
        <v>1.018E-2</v>
      </c>
      <c r="G16" s="45" t="s">
        <v>175</v>
      </c>
      <c r="H16" s="218">
        <f>ROUND(F16*(1+'Revenue Requirements'!$G$15),5)</f>
        <v>1.0489999999999999E-2</v>
      </c>
      <c r="I16" s="80" t="s">
        <v>175</v>
      </c>
      <c r="J16" s="218">
        <f t="shared" ref="J16:J18" si="2">H16-F16</f>
        <v>3.0999999999999951E-4</v>
      </c>
      <c r="K16" s="64">
        <f t="shared" ref="K16:K18" si="3">J16/F16</f>
        <v>3.0451866404715082E-2</v>
      </c>
      <c r="L16" s="232"/>
      <c r="GH16" s="15"/>
    </row>
    <row r="17" spans="2:190" ht="15" customHeight="1" x14ac:dyDescent="0.35">
      <c r="B17" s="230"/>
      <c r="C17" s="89" t="s">
        <v>178</v>
      </c>
      <c r="D17" s="4">
        <v>5000</v>
      </c>
      <c r="E17" s="90" t="s">
        <v>176</v>
      </c>
      <c r="F17" s="223">
        <v>8.3199999999999993E-3</v>
      </c>
      <c r="G17" s="45" t="s">
        <v>175</v>
      </c>
      <c r="H17" s="218">
        <f>ROUND(F17*(1+'Revenue Requirements'!$G$15),5)</f>
        <v>8.5699999999999995E-3</v>
      </c>
      <c r="I17" s="80" t="s">
        <v>175</v>
      </c>
      <c r="J17" s="218">
        <f t="shared" si="2"/>
        <v>2.5000000000000022E-4</v>
      </c>
      <c r="K17" s="64">
        <f t="shared" si="3"/>
        <v>3.0048076923076952E-2</v>
      </c>
      <c r="L17" s="232"/>
      <c r="GH17" s="15"/>
    </row>
    <row r="18" spans="2:190" ht="14.25" customHeight="1" x14ac:dyDescent="0.35">
      <c r="B18" s="230"/>
      <c r="C18" s="221" t="s">
        <v>179</v>
      </c>
      <c r="D18" s="94">
        <v>10000</v>
      </c>
      <c r="E18" s="220" t="s">
        <v>176</v>
      </c>
      <c r="F18" s="223">
        <v>5.6299999999999996E-3</v>
      </c>
      <c r="G18" s="45" t="s">
        <v>175</v>
      </c>
      <c r="H18" s="218">
        <f>ROUND(F18*(1+'Revenue Requirements'!$G$15),5)</f>
        <v>5.7999999999999996E-3</v>
      </c>
      <c r="I18" s="80" t="s">
        <v>175</v>
      </c>
      <c r="J18" s="218">
        <f t="shared" si="2"/>
        <v>1.7000000000000001E-4</v>
      </c>
      <c r="K18" s="64">
        <f t="shared" si="3"/>
        <v>3.0195381882770874E-2</v>
      </c>
      <c r="L18" s="231"/>
      <c r="GH18" s="15"/>
    </row>
    <row r="19" spans="2:190" ht="14.25" customHeight="1" x14ac:dyDescent="0.35">
      <c r="B19" s="230"/>
      <c r="C19" s="76"/>
      <c r="D19" s="219"/>
      <c r="E19" s="241"/>
      <c r="F19" s="78"/>
      <c r="G19" s="1"/>
      <c r="H19" s="45"/>
      <c r="I19" s="1"/>
      <c r="J19" s="45"/>
      <c r="K19" s="500"/>
      <c r="L19" s="231"/>
      <c r="GH19" s="15"/>
    </row>
    <row r="20" spans="2:190" ht="14.25" customHeight="1" x14ac:dyDescent="0.35">
      <c r="B20" s="230"/>
      <c r="C20" s="76" t="s">
        <v>106</v>
      </c>
      <c r="D20" s="219"/>
      <c r="E20" s="241"/>
      <c r="F20" s="527" t="s">
        <v>170</v>
      </c>
      <c r="G20" s="527"/>
      <c r="H20" s="527" t="s">
        <v>11</v>
      </c>
      <c r="I20" s="527"/>
      <c r="J20" s="451" t="s">
        <v>65</v>
      </c>
      <c r="K20" s="451" t="s">
        <v>406</v>
      </c>
      <c r="L20" s="231"/>
      <c r="GH20" s="15"/>
    </row>
    <row r="21" spans="2:190" ht="14.25" customHeight="1" x14ac:dyDescent="0.35">
      <c r="B21" s="230"/>
      <c r="C21" s="89" t="s">
        <v>177</v>
      </c>
      <c r="D21" s="4">
        <v>5000</v>
      </c>
      <c r="E21" s="90" t="s">
        <v>176</v>
      </c>
      <c r="F21" s="222">
        <v>54.59</v>
      </c>
      <c r="G21" s="45" t="s">
        <v>105</v>
      </c>
      <c r="H21" s="45">
        <f>ROUND(F21*(1+'Revenue Requirements'!$G$15),2)</f>
        <v>56.25</v>
      </c>
      <c r="I21" s="80" t="s">
        <v>105</v>
      </c>
      <c r="J21" s="45">
        <f>H21-F21</f>
        <v>1.6599999999999966</v>
      </c>
      <c r="K21" s="64">
        <f>J21/F21</f>
        <v>3.0408499725224334E-2</v>
      </c>
      <c r="L21" s="231"/>
      <c r="GH21" s="15"/>
    </row>
    <row r="22" spans="2:190" ht="14.25" customHeight="1" x14ac:dyDescent="0.35">
      <c r="B22" s="230"/>
      <c r="C22" s="89" t="s">
        <v>178</v>
      </c>
      <c r="D22" s="4">
        <v>5000</v>
      </c>
      <c r="E22" s="90" t="s">
        <v>176</v>
      </c>
      <c r="F22" s="223">
        <f>F11</f>
        <v>8.3199999999999993E-3</v>
      </c>
      <c r="G22" s="45" t="s">
        <v>175</v>
      </c>
      <c r="H22" s="218">
        <f>ROUND(F22*(1+'Revenue Requirements'!$G$15),5)</f>
        <v>8.5699999999999995E-3</v>
      </c>
      <c r="I22" s="80" t="s">
        <v>175</v>
      </c>
      <c r="J22" s="218">
        <f t="shared" ref="J22:J23" si="4">H22-F22</f>
        <v>2.5000000000000022E-4</v>
      </c>
      <c r="K22" s="64">
        <f t="shared" ref="K22:K23" si="5">J22/F22</f>
        <v>3.0048076923076952E-2</v>
      </c>
      <c r="L22" s="231"/>
      <c r="GH22" s="15"/>
    </row>
    <row r="23" spans="2:190" x14ac:dyDescent="0.35">
      <c r="B23" s="230"/>
      <c r="C23" s="221" t="s">
        <v>179</v>
      </c>
      <c r="D23" s="94">
        <v>10000</v>
      </c>
      <c r="E23" s="220" t="s">
        <v>176</v>
      </c>
      <c r="F23" s="223">
        <f>F12</f>
        <v>5.6299999999999996E-3</v>
      </c>
      <c r="G23" s="45" t="s">
        <v>175</v>
      </c>
      <c r="H23" s="218">
        <f>ROUND(F23*(1+'Revenue Requirements'!$G$15),5)</f>
        <v>5.7999999999999996E-3</v>
      </c>
      <c r="I23" s="80" t="s">
        <v>175</v>
      </c>
      <c r="J23" s="218">
        <f t="shared" si="4"/>
        <v>1.7000000000000001E-4</v>
      </c>
      <c r="K23" s="64">
        <f t="shared" si="5"/>
        <v>3.0195381882770874E-2</v>
      </c>
      <c r="L23" s="231"/>
    </row>
    <row r="24" spans="2:190" x14ac:dyDescent="0.35">
      <c r="B24" s="230"/>
      <c r="L24" s="231"/>
    </row>
    <row r="25" spans="2:190" x14ac:dyDescent="0.35">
      <c r="B25" s="230"/>
      <c r="C25" s="76" t="s">
        <v>107</v>
      </c>
      <c r="D25" s="219"/>
      <c r="E25" s="241"/>
      <c r="F25" s="527" t="s">
        <v>170</v>
      </c>
      <c r="G25" s="527"/>
      <c r="H25" s="527" t="s">
        <v>11</v>
      </c>
      <c r="I25" s="527"/>
      <c r="J25" s="451" t="s">
        <v>65</v>
      </c>
      <c r="K25" s="451" t="s">
        <v>406</v>
      </c>
      <c r="L25" s="231"/>
    </row>
    <row r="26" spans="2:190" x14ac:dyDescent="0.35">
      <c r="B26" s="230"/>
      <c r="C26" s="89" t="s">
        <v>177</v>
      </c>
      <c r="D26" s="4">
        <v>10000</v>
      </c>
      <c r="E26" s="90" t="s">
        <v>176</v>
      </c>
      <c r="F26" s="222">
        <v>96.19</v>
      </c>
      <c r="G26" s="45" t="s">
        <v>105</v>
      </c>
      <c r="H26" s="45">
        <f>ROUND(F26*(1+'Revenue Requirements'!$G$15),2)</f>
        <v>99.12</v>
      </c>
      <c r="I26" s="80" t="s">
        <v>105</v>
      </c>
      <c r="J26" s="45">
        <f>H26-F26</f>
        <v>2.9300000000000068</v>
      </c>
      <c r="K26" s="64">
        <f>J26/F26</f>
        <v>3.046054683439034E-2</v>
      </c>
      <c r="L26" s="231"/>
    </row>
    <row r="27" spans="2:190" x14ac:dyDescent="0.35">
      <c r="B27" s="230"/>
      <c r="C27" s="221" t="s">
        <v>179</v>
      </c>
      <c r="D27" s="94">
        <v>10000</v>
      </c>
      <c r="E27" s="220" t="s">
        <v>176</v>
      </c>
      <c r="F27" s="223">
        <f>F18</f>
        <v>5.6299999999999996E-3</v>
      </c>
      <c r="G27" s="45" t="s">
        <v>175</v>
      </c>
      <c r="H27" s="218">
        <f>ROUND(F27*(1+'Revenue Requirements'!$G$15),5)</f>
        <v>5.7999999999999996E-3</v>
      </c>
      <c r="I27" s="80" t="s">
        <v>175</v>
      </c>
      <c r="J27" s="218">
        <f t="shared" ref="J27" si="6">H27-F27</f>
        <v>1.7000000000000001E-4</v>
      </c>
      <c r="K27" s="64">
        <f t="shared" ref="K27" si="7">J27/F27</f>
        <v>3.0195381882770874E-2</v>
      </c>
      <c r="L27" s="231"/>
    </row>
    <row r="28" spans="2:190" x14ac:dyDescent="0.35">
      <c r="B28" s="230"/>
      <c r="L28" s="231"/>
    </row>
    <row r="29" spans="2:190" x14ac:dyDescent="0.35">
      <c r="B29" s="230"/>
      <c r="C29" s="76" t="s">
        <v>108</v>
      </c>
      <c r="D29" s="219"/>
      <c r="E29" s="241"/>
      <c r="F29" s="527" t="s">
        <v>170</v>
      </c>
      <c r="G29" s="527"/>
      <c r="H29" s="527" t="s">
        <v>11</v>
      </c>
      <c r="I29" s="527"/>
      <c r="J29" s="451" t="s">
        <v>65</v>
      </c>
      <c r="K29" s="451" t="s">
        <v>406</v>
      </c>
      <c r="L29" s="231"/>
    </row>
    <row r="30" spans="2:190" x14ac:dyDescent="0.35">
      <c r="B30" s="230"/>
      <c r="C30" s="89" t="s">
        <v>177</v>
      </c>
      <c r="D30" s="4">
        <v>20000</v>
      </c>
      <c r="E30" s="90" t="s">
        <v>176</v>
      </c>
      <c r="F30" s="222">
        <v>152.49</v>
      </c>
      <c r="G30" s="45" t="s">
        <v>105</v>
      </c>
      <c r="H30" s="45">
        <f>ROUND(F30*(1+'Revenue Requirements'!$G$15),2)</f>
        <v>157.13</v>
      </c>
      <c r="I30" s="80" t="s">
        <v>105</v>
      </c>
      <c r="J30" s="45">
        <f>H30-F30</f>
        <v>4.6399999999999864</v>
      </c>
      <c r="K30" s="64">
        <f>J30/F30</f>
        <v>3.0428224801626245E-2</v>
      </c>
      <c r="L30" s="231"/>
    </row>
    <row r="31" spans="2:190" x14ac:dyDescent="0.35">
      <c r="B31" s="230"/>
      <c r="C31" s="221" t="s">
        <v>179</v>
      </c>
      <c r="D31" s="94">
        <v>20000</v>
      </c>
      <c r="E31" s="220" t="s">
        <v>176</v>
      </c>
      <c r="F31" s="223">
        <f>F27</f>
        <v>5.6299999999999996E-3</v>
      </c>
      <c r="G31" s="45" t="s">
        <v>175</v>
      </c>
      <c r="H31" s="218">
        <f>ROUND(F31*(1+'Revenue Requirements'!$G$15),5)</f>
        <v>5.7999999999999996E-3</v>
      </c>
      <c r="I31" s="80" t="s">
        <v>175</v>
      </c>
      <c r="J31" s="218">
        <f t="shared" ref="J31" si="8">H31-F31</f>
        <v>1.7000000000000001E-4</v>
      </c>
      <c r="K31" s="64">
        <f t="shared" ref="K31" si="9">J31/F31</f>
        <v>3.0195381882770874E-2</v>
      </c>
      <c r="L31" s="231"/>
    </row>
    <row r="32" spans="2:190" x14ac:dyDescent="0.35">
      <c r="B32" s="230"/>
      <c r="C32" s="221"/>
      <c r="D32" s="94"/>
      <c r="F32" s="223"/>
      <c r="G32" s="45"/>
      <c r="H32" s="218"/>
      <c r="J32" s="218"/>
      <c r="K32" s="64"/>
      <c r="L32" s="231"/>
    </row>
    <row r="33" spans="2:12" x14ac:dyDescent="0.35">
      <c r="B33" s="230"/>
      <c r="C33" s="76" t="s">
        <v>219</v>
      </c>
      <c r="D33" s="219"/>
      <c r="E33" s="241"/>
      <c r="F33" s="527" t="s">
        <v>170</v>
      </c>
      <c r="G33" s="527"/>
      <c r="H33" s="527" t="s">
        <v>11</v>
      </c>
      <c r="I33" s="527"/>
      <c r="J33" s="451" t="s">
        <v>65</v>
      </c>
      <c r="K33" s="451" t="s">
        <v>406</v>
      </c>
      <c r="L33" s="231"/>
    </row>
    <row r="34" spans="2:12" x14ac:dyDescent="0.35">
      <c r="B34" s="230"/>
      <c r="C34" s="89"/>
      <c r="D34" s="4"/>
      <c r="E34" s="90"/>
      <c r="F34" s="223">
        <v>2.7200000000000002E-3</v>
      </c>
      <c r="G34" s="45" t="s">
        <v>175</v>
      </c>
      <c r="H34" s="218">
        <f>(F34*(1+'Revenue Requirements'!$G$15))</f>
        <v>2.8027339619790754E-3</v>
      </c>
      <c r="I34" s="45" t="s">
        <v>175</v>
      </c>
      <c r="J34" s="218">
        <f>H34-F34</f>
        <v>8.2733961979075156E-5</v>
      </c>
      <c r="K34" s="64">
        <f>J34/F34</f>
        <v>3.0416897786424688E-2</v>
      </c>
      <c r="L34" s="231"/>
    </row>
    <row r="35" spans="2:12" ht="3" customHeight="1" x14ac:dyDescent="0.35">
      <c r="B35" s="230"/>
      <c r="L35" s="231"/>
    </row>
    <row r="36" spans="2:12" ht="3" customHeight="1" x14ac:dyDescent="0.35">
      <c r="B36" s="230"/>
      <c r="L36" s="231"/>
    </row>
    <row r="37" spans="2:12" x14ac:dyDescent="0.35">
      <c r="B37" s="230"/>
      <c r="C37" s="76" t="s">
        <v>210</v>
      </c>
      <c r="D37" s="219"/>
      <c r="E37" s="241"/>
      <c r="F37" s="527" t="s">
        <v>170</v>
      </c>
      <c r="G37" s="527"/>
      <c r="H37" s="527" t="s">
        <v>11</v>
      </c>
      <c r="I37" s="527"/>
      <c r="J37" s="451" t="s">
        <v>65</v>
      </c>
      <c r="K37" s="451" t="s">
        <v>406</v>
      </c>
      <c r="L37" s="231"/>
    </row>
    <row r="38" spans="2:12" x14ac:dyDescent="0.35">
      <c r="B38" s="230"/>
      <c r="C38" s="90" t="s">
        <v>255</v>
      </c>
      <c r="D38" s="4"/>
      <c r="E38" s="90"/>
      <c r="F38" s="223">
        <v>3.6099999999999999E-3</v>
      </c>
      <c r="G38" s="45" t="s">
        <v>175</v>
      </c>
      <c r="H38" s="218">
        <f>(F38*(1+'Revenue Requirements'!$G$15))</f>
        <v>3.7198050010089933E-3</v>
      </c>
      <c r="I38" s="45" t="s">
        <v>175</v>
      </c>
      <c r="J38" s="218">
        <f>H38-F38</f>
        <v>1.0980500100899338E-4</v>
      </c>
      <c r="K38" s="64">
        <f>J38/F38</f>
        <v>3.041689778642476E-2</v>
      </c>
      <c r="L38" s="231"/>
    </row>
    <row r="39" spans="2:12" x14ac:dyDescent="0.35">
      <c r="B39" s="230"/>
      <c r="C39" s="90" t="s">
        <v>256</v>
      </c>
      <c r="D39" s="4"/>
      <c r="E39" s="90"/>
      <c r="F39" s="223">
        <v>3.2200000000000002E-3</v>
      </c>
      <c r="G39" s="45" t="s">
        <v>175</v>
      </c>
      <c r="H39" s="218">
        <f>(F39*(1+'Revenue Requirements'!$G$15))</f>
        <v>3.317942410872288E-3</v>
      </c>
      <c r="I39" s="45" t="s">
        <v>175</v>
      </c>
      <c r="J39" s="218">
        <f>H39-F39</f>
        <v>9.794241087228775E-5</v>
      </c>
      <c r="K39" s="64">
        <f>J39/F39</f>
        <v>3.0416897786424764E-2</v>
      </c>
      <c r="L39" s="231"/>
    </row>
    <row r="40" spans="2:12" x14ac:dyDescent="0.35">
      <c r="B40" s="230"/>
      <c r="C40" s="90"/>
      <c r="D40" s="4"/>
      <c r="E40" s="90"/>
      <c r="F40" s="223"/>
      <c r="G40" s="45"/>
      <c r="H40" s="218"/>
      <c r="I40" s="45"/>
      <c r="J40" s="218"/>
      <c r="K40" s="64"/>
      <c r="L40" s="231"/>
    </row>
    <row r="41" spans="2:12" x14ac:dyDescent="0.35">
      <c r="B41" s="230"/>
      <c r="C41" s="465"/>
      <c r="D41" s="63"/>
      <c r="E41" s="465"/>
      <c r="F41" s="466"/>
      <c r="G41" s="467"/>
      <c r="H41" s="529" t="s">
        <v>11</v>
      </c>
      <c r="I41" s="529"/>
      <c r="J41" s="468" t="s">
        <v>65</v>
      </c>
      <c r="K41" s="451" t="s">
        <v>406</v>
      </c>
      <c r="L41" s="231"/>
    </row>
    <row r="42" spans="2:12" x14ac:dyDescent="0.35">
      <c r="B42" s="230"/>
      <c r="C42" s="469" t="s">
        <v>372</v>
      </c>
      <c r="D42" s="470"/>
      <c r="E42" s="465"/>
      <c r="F42" s="471">
        <v>0</v>
      </c>
      <c r="G42" s="472" t="s">
        <v>373</v>
      </c>
      <c r="H42" s="467">
        <f>'Water Loss'!D31</f>
        <v>2.759270406774406</v>
      </c>
      <c r="I42" s="472" t="s">
        <v>373</v>
      </c>
      <c r="J42" s="467">
        <f>H42</f>
        <v>2.759270406774406</v>
      </c>
      <c r="K42" s="473">
        <f>J42/H42</f>
        <v>1</v>
      </c>
      <c r="L42" s="231"/>
    </row>
    <row r="43" spans="2:12" x14ac:dyDescent="0.35">
      <c r="B43" s="230"/>
      <c r="C43" s="465"/>
      <c r="D43" s="469" t="s">
        <v>421</v>
      </c>
      <c r="E43" s="465"/>
      <c r="F43" s="466"/>
      <c r="G43" s="467"/>
      <c r="H43" s="474"/>
      <c r="I43" s="472"/>
      <c r="J43" s="474"/>
      <c r="K43" s="475"/>
      <c r="L43" s="231"/>
    </row>
    <row r="44" spans="2:12" ht="15" thickBot="1" x14ac:dyDescent="0.4">
      <c r="B44" s="234"/>
      <c r="C44" s="235"/>
      <c r="D44" s="236"/>
      <c r="E44" s="242"/>
      <c r="F44" s="235"/>
      <c r="G44" s="235"/>
      <c r="H44" s="235"/>
      <c r="I44" s="237"/>
      <c r="J44" s="235"/>
      <c r="K44" s="238"/>
      <c r="L44" s="239"/>
    </row>
  </sheetData>
  <mergeCells count="19">
    <mergeCell ref="F29:G29"/>
    <mergeCell ref="H29:I29"/>
    <mergeCell ref="H41:I41"/>
    <mergeCell ref="F33:G33"/>
    <mergeCell ref="H33:I33"/>
    <mergeCell ref="F37:G37"/>
    <mergeCell ref="H37:I37"/>
    <mergeCell ref="F14:G14"/>
    <mergeCell ref="H14:I14"/>
    <mergeCell ref="F20:G20"/>
    <mergeCell ref="H20:I20"/>
    <mergeCell ref="F25:G25"/>
    <mergeCell ref="H25:I25"/>
    <mergeCell ref="C5:J5"/>
    <mergeCell ref="C6:J6"/>
    <mergeCell ref="C3:J3"/>
    <mergeCell ref="F8:G8"/>
    <mergeCell ref="H8:I8"/>
    <mergeCell ref="F7:G7"/>
  </mergeCells>
  <printOptions horizontalCentered="1" verticalCentered="1"/>
  <pageMargins left="0.5" right="0.5" top="0.75" bottom="0.75" header="0" footer="0"/>
  <pageSetup scale="6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9B43C-08DA-4F35-AF2D-4D6BA18A1447}">
  <sheetPr>
    <tabColor rgb="FF92D050"/>
    <pageSetUpPr fitToPage="1"/>
  </sheetPr>
  <dimension ref="A1:Q389"/>
  <sheetViews>
    <sheetView showGridLines="0" topLeftCell="A28" zoomScaleNormal="100" workbookViewId="0">
      <selection activeCell="M54" sqref="M54"/>
    </sheetView>
  </sheetViews>
  <sheetFormatPr defaultColWidth="8.84375" defaultRowHeight="15.5" x14ac:dyDescent="0.35"/>
  <cols>
    <col min="1" max="1" width="10.921875" customWidth="1"/>
    <col min="2" max="2" width="12.15234375" style="95" customWidth="1"/>
    <col min="3" max="4" width="10.53515625" customWidth="1"/>
    <col min="5" max="6" width="12.61328125" customWidth="1"/>
    <col min="7" max="7" width="12.61328125" style="101" customWidth="1"/>
    <col min="8" max="8" width="12.61328125" customWidth="1"/>
    <col min="9" max="9" width="11.23046875"/>
    <col min="10" max="10" width="8.765625" customWidth="1"/>
    <col min="11" max="11" width="10.15234375" bestFit="1" customWidth="1"/>
    <col min="13" max="13" width="12.3046875" bestFit="1" customWidth="1"/>
    <col min="14" max="14" width="11.4609375" bestFit="1" customWidth="1"/>
    <col min="15" max="15" width="11.765625" bestFit="1" customWidth="1"/>
    <col min="16" max="16" width="9.921875" customWidth="1"/>
    <col min="17" max="17" width="9.23046875" bestFit="1" customWidth="1"/>
  </cols>
  <sheetData>
    <row r="1" spans="1:17" ht="21" x14ac:dyDescent="0.5">
      <c r="A1" s="562" t="s">
        <v>282</v>
      </c>
      <c r="B1" s="562"/>
      <c r="C1" s="562"/>
      <c r="D1" s="562"/>
      <c r="E1" s="562"/>
      <c r="F1" s="562"/>
      <c r="G1" s="562"/>
      <c r="H1" s="1"/>
      <c r="I1" s="1"/>
      <c r="J1" s="1"/>
      <c r="K1" s="1"/>
      <c r="L1" s="1"/>
      <c r="M1" s="1"/>
    </row>
    <row r="2" spans="1:17" ht="21" x14ac:dyDescent="0.35">
      <c r="A2" s="530" t="str">
        <f>SAO!A2</f>
        <v>GREEN-TAYLOR WATER DISTRICT</v>
      </c>
      <c r="B2" s="530"/>
      <c r="C2" s="530"/>
      <c r="D2" s="530"/>
      <c r="E2" s="530"/>
      <c r="F2" s="530"/>
      <c r="G2" s="530"/>
      <c r="H2" s="1"/>
      <c r="I2" s="1"/>
      <c r="J2" s="1"/>
      <c r="K2" s="1"/>
      <c r="L2" s="1"/>
      <c r="M2" s="1"/>
    </row>
    <row r="3" spans="1:17" ht="18.5" x14ac:dyDescent="0.35">
      <c r="A3" s="27"/>
      <c r="B3" s="92"/>
      <c r="C3" s="27"/>
      <c r="D3" s="27"/>
      <c r="E3" s="27"/>
      <c r="F3" s="27"/>
      <c r="G3" s="96"/>
      <c r="H3" s="1"/>
      <c r="I3" s="1"/>
      <c r="J3" s="1"/>
      <c r="K3" s="1"/>
      <c r="L3" s="1"/>
      <c r="M3" s="1"/>
    </row>
    <row r="4" spans="1:17" x14ac:dyDescent="0.35">
      <c r="A4" s="86"/>
      <c r="B4" s="93"/>
      <c r="C4" s="87"/>
      <c r="D4" s="87"/>
      <c r="E4" s="87"/>
      <c r="F4" s="87"/>
      <c r="G4" s="97"/>
      <c r="H4" s="1"/>
      <c r="I4" s="1"/>
      <c r="J4" s="1"/>
      <c r="K4" s="1"/>
      <c r="L4" s="1"/>
      <c r="M4" s="560">
        <v>2025</v>
      </c>
      <c r="N4" s="560"/>
    </row>
    <row r="5" spans="1:17" x14ac:dyDescent="0.35">
      <c r="A5" s="1"/>
      <c r="B5" s="563" t="s">
        <v>49</v>
      </c>
      <c r="C5" s="563"/>
      <c r="D5" s="563"/>
      <c r="E5" s="563"/>
      <c r="F5" s="563"/>
      <c r="G5" s="563"/>
      <c r="H5" s="1"/>
      <c r="I5" s="1"/>
      <c r="J5" s="1"/>
      <c r="K5" s="1"/>
      <c r="L5" s="1"/>
      <c r="M5" s="560" t="s">
        <v>329</v>
      </c>
      <c r="N5" s="560"/>
      <c r="O5" s="356">
        <v>-32748.83</v>
      </c>
      <c r="P5">
        <f>461.06-335.28-1156.14-1765.09-532.29-810.61-109.73-475.31-11037.37-487.35-591.22-297.54-1187.83-1655-829.47-5720.56-1164.05-1338.98-2793.96</f>
        <v>-31826.720000000005</v>
      </c>
      <c r="Q5" s="101">
        <f>O5-P5</f>
        <v>-922.10999999999694</v>
      </c>
    </row>
    <row r="6" spans="1:17" s="1" customFormat="1" ht="14.5" x14ac:dyDescent="0.35">
      <c r="B6" s="4" t="s">
        <v>109</v>
      </c>
      <c r="C6" s="90"/>
      <c r="D6" s="276" t="s">
        <v>51</v>
      </c>
      <c r="E6" s="276" t="s">
        <v>52</v>
      </c>
      <c r="F6" s="83"/>
      <c r="G6" s="98" t="s">
        <v>55</v>
      </c>
      <c r="M6" s="535" t="s">
        <v>330</v>
      </c>
      <c r="N6" s="535"/>
      <c r="O6" s="422">
        <v>-304024.82</v>
      </c>
      <c r="P6" s="1" t="s">
        <v>340</v>
      </c>
    </row>
    <row r="7" spans="1:17" s="1" customFormat="1" ht="14.5" x14ac:dyDescent="0.35">
      <c r="B7" s="4" t="s">
        <v>189</v>
      </c>
      <c r="D7" s="119">
        <f>C35+C52+C68+C82+C95</f>
        <v>65461</v>
      </c>
      <c r="E7" s="119">
        <f>D30+D56+D71+D84+D97</f>
        <v>345802316</v>
      </c>
      <c r="F7" s="84"/>
      <c r="G7" s="21">
        <f>G39+G56+G71+G84+G97</f>
        <v>3396092</v>
      </c>
      <c r="O7" s="43">
        <f>SUM(O5:O6)</f>
        <v>-336773.65</v>
      </c>
    </row>
    <row r="8" spans="1:17" s="1" customFormat="1" ht="14.5" x14ac:dyDescent="0.35">
      <c r="B8" s="4" t="s">
        <v>190</v>
      </c>
      <c r="D8" s="119">
        <f>C109</f>
        <v>24</v>
      </c>
      <c r="E8" s="119">
        <f>D109</f>
        <v>10859796</v>
      </c>
      <c r="F8" s="84"/>
      <c r="G8" s="21">
        <f>G109</f>
        <v>36427</v>
      </c>
    </row>
    <row r="9" spans="1:17" s="1" customFormat="1" ht="16" x14ac:dyDescent="0.5">
      <c r="B9" s="4" t="s">
        <v>113</v>
      </c>
      <c r="C9" s="88"/>
      <c r="D9" s="378"/>
      <c r="E9" s="368"/>
      <c r="F9" s="368"/>
      <c r="G9" s="423">
        <f>O7</f>
        <v>-336773.65</v>
      </c>
      <c r="H9" s="1" t="s">
        <v>319</v>
      </c>
    </row>
    <row r="10" spans="1:17" s="1" customFormat="1" ht="14.5" x14ac:dyDescent="0.35">
      <c r="B10" s="4" t="s">
        <v>114</v>
      </c>
      <c r="C10" s="88"/>
      <c r="D10" s="363">
        <f>SUM(D7:D9)</f>
        <v>65485</v>
      </c>
      <c r="E10" s="84">
        <f>SUM(E7:E9)</f>
        <v>356662112</v>
      </c>
      <c r="F10" s="84"/>
      <c r="G10" s="21">
        <f>G7+G9</f>
        <v>3059318.35</v>
      </c>
    </row>
    <row r="11" spans="1:17" s="1" customFormat="1" ht="16" x14ac:dyDescent="0.5">
      <c r="B11" s="363" t="s">
        <v>301</v>
      </c>
      <c r="C11" s="88"/>
      <c r="D11" s="363"/>
      <c r="E11" s="364"/>
      <c r="F11" s="364"/>
      <c r="G11" s="358">
        <f>SAO!D6+SAO!D7</f>
        <v>3027150</v>
      </c>
    </row>
    <row r="12" spans="1:17" s="1" customFormat="1" ht="26.5" customHeight="1" x14ac:dyDescent="0.35">
      <c r="B12" s="363"/>
      <c r="C12" s="88"/>
      <c r="E12" s="84"/>
      <c r="F12" s="84"/>
      <c r="G12" s="21">
        <f>G10-G11</f>
        <v>32168.350000000093</v>
      </c>
      <c r="H12" s="561" t="s">
        <v>344</v>
      </c>
      <c r="I12" s="561"/>
    </row>
    <row r="13" spans="1:17" s="1" customFormat="1" ht="14.5" x14ac:dyDescent="0.35">
      <c r="B13" s="329"/>
      <c r="C13" s="330"/>
      <c r="D13" s="331"/>
      <c r="E13" s="332"/>
      <c r="F13" s="332"/>
      <c r="G13" s="333"/>
      <c r="H13" s="334"/>
      <c r="I13" s="334"/>
      <c r="J13" s="334"/>
      <c r="K13" s="334"/>
    </row>
    <row r="14" spans="1:17" s="1" customFormat="1" ht="14.5" x14ac:dyDescent="0.35">
      <c r="B14" s="4"/>
      <c r="C14" s="88"/>
      <c r="D14" s="276"/>
      <c r="E14" s="276"/>
      <c r="F14" s="84"/>
      <c r="G14" s="65"/>
    </row>
    <row r="15" spans="1:17" s="1" customFormat="1" ht="14.5" x14ac:dyDescent="0.35">
      <c r="D15" s="119"/>
      <c r="E15" s="119"/>
      <c r="F15" s="84"/>
      <c r="G15" s="21"/>
    </row>
    <row r="16" spans="1:17" s="1" customFormat="1" ht="16" hidden="1" x14ac:dyDescent="0.5">
      <c r="B16" s="317"/>
      <c r="C16" s="318"/>
      <c r="D16" s="319"/>
      <c r="E16" s="320"/>
      <c r="F16" s="320"/>
      <c r="G16" s="321"/>
      <c r="H16" s="322"/>
      <c r="I16" s="322"/>
      <c r="J16" s="322"/>
      <c r="K16" s="322"/>
    </row>
    <row r="17" spans="1:15" s="1" customFormat="1" ht="14.5" hidden="1" x14ac:dyDescent="0.35">
      <c r="B17" s="317"/>
      <c r="C17" s="318"/>
      <c r="D17" s="322"/>
      <c r="E17" s="323"/>
      <c r="F17" s="323"/>
      <c r="G17" s="328"/>
      <c r="H17" s="322" t="s">
        <v>217</v>
      </c>
      <c r="I17" s="322"/>
      <c r="J17" s="322"/>
      <c r="K17" s="322"/>
    </row>
    <row r="18" spans="1:15" s="1" customFormat="1" ht="14.5" hidden="1" x14ac:dyDescent="0.35">
      <c r="B18" s="317"/>
      <c r="C18" s="318"/>
      <c r="D18" s="317"/>
      <c r="E18" s="323"/>
      <c r="F18" s="323"/>
      <c r="G18" s="324"/>
      <c r="H18" s="322"/>
      <c r="I18" s="322"/>
      <c r="J18" s="322"/>
      <c r="K18" s="322"/>
    </row>
    <row r="19" spans="1:15" s="1" customFormat="1" ht="14.5" x14ac:dyDescent="0.35">
      <c r="B19" s="4"/>
      <c r="C19" s="88"/>
      <c r="D19" s="4"/>
      <c r="E19" s="4"/>
      <c r="F19" s="84"/>
      <c r="G19" s="4"/>
    </row>
    <row r="20" spans="1:15" s="1" customFormat="1" ht="14.5" hidden="1" x14ac:dyDescent="0.35">
      <c r="B20" s="317"/>
      <c r="C20" s="318"/>
      <c r="D20" s="317"/>
      <c r="E20" s="317"/>
      <c r="F20" s="323"/>
      <c r="G20" s="326"/>
      <c r="M20" s="325" t="s">
        <v>221</v>
      </c>
    </row>
    <row r="21" spans="1:15" s="1" customFormat="1" ht="14.5" x14ac:dyDescent="0.35">
      <c r="B21" s="329"/>
      <c r="C21" s="330"/>
      <c r="D21" s="331"/>
      <c r="E21" s="332"/>
      <c r="F21" s="332"/>
      <c r="G21" s="333"/>
      <c r="H21" s="334"/>
      <c r="I21" s="334"/>
      <c r="J21" s="334"/>
      <c r="K21" s="334"/>
    </row>
    <row r="22" spans="1:15" s="1" customFormat="1" ht="15" thickBot="1" x14ac:dyDescent="0.4">
      <c r="B22" s="4"/>
      <c r="C22" s="88"/>
      <c r="D22" s="36"/>
      <c r="E22" s="84"/>
      <c r="F22" s="84"/>
      <c r="G22" s="43"/>
    </row>
    <row r="23" spans="1:15" s="1" customFormat="1" ht="14.5" x14ac:dyDescent="0.35">
      <c r="A23" s="253" t="s">
        <v>188</v>
      </c>
      <c r="B23" s="254"/>
      <c r="C23" s="255"/>
      <c r="D23" s="555" t="s">
        <v>183</v>
      </c>
      <c r="E23" s="555"/>
      <c r="F23" s="256"/>
      <c r="G23" s="265"/>
      <c r="H23" s="268"/>
      <c r="I23" s="266"/>
    </row>
    <row r="24" spans="1:15" s="1" customFormat="1" ht="14.5" x14ac:dyDescent="0.35">
      <c r="A24" s="257"/>
      <c r="B24" s="4"/>
      <c r="C24" s="88"/>
      <c r="D24" s="248"/>
      <c r="E24" s="89" t="s">
        <v>177</v>
      </c>
      <c r="F24" s="89" t="s">
        <v>178</v>
      </c>
      <c r="G24" s="89" t="s">
        <v>178</v>
      </c>
      <c r="H24" s="221" t="s">
        <v>179</v>
      </c>
      <c r="I24" s="258"/>
    </row>
    <row r="25" spans="1:15" s="1" customFormat="1" ht="14.5" x14ac:dyDescent="0.35">
      <c r="A25" s="233"/>
      <c r="B25" s="94" t="s">
        <v>50</v>
      </c>
      <c r="C25" s="83" t="s">
        <v>51</v>
      </c>
      <c r="D25" s="83" t="s">
        <v>52</v>
      </c>
      <c r="E25" s="249">
        <f>B26</f>
        <v>2000</v>
      </c>
      <c r="F25" s="249">
        <f>B27</f>
        <v>3000</v>
      </c>
      <c r="G25" s="249">
        <f>B28</f>
        <v>5000</v>
      </c>
      <c r="H25" s="250">
        <f>B29</f>
        <v>10000</v>
      </c>
      <c r="I25" s="374" t="s">
        <v>12</v>
      </c>
    </row>
    <row r="26" spans="1:15" s="1" customFormat="1" ht="14.4" customHeight="1" x14ac:dyDescent="0.35">
      <c r="A26" s="259" t="s">
        <v>177</v>
      </c>
      <c r="B26" s="4">
        <f>Rates!D9</f>
        <v>2000</v>
      </c>
      <c r="C26" s="20">
        <f>464+25408</f>
        <v>25872</v>
      </c>
      <c r="D26" s="4">
        <f>340867+25468224</f>
        <v>25809091</v>
      </c>
      <c r="E26" s="250">
        <f>D26</f>
        <v>25809091</v>
      </c>
      <c r="F26" s="250"/>
      <c r="G26" s="250"/>
      <c r="H26" s="250"/>
      <c r="I26" s="260">
        <f>SUM(E26:H26)</f>
        <v>25809091</v>
      </c>
    </row>
    <row r="27" spans="1:15" s="1" customFormat="1" ht="14.4" customHeight="1" x14ac:dyDescent="0.35">
      <c r="A27" s="259" t="s">
        <v>178</v>
      </c>
      <c r="B27" s="4">
        <f>Rates!D10</f>
        <v>3000</v>
      </c>
      <c r="C27" s="20">
        <f>114+24304</f>
        <v>24418</v>
      </c>
      <c r="D27" s="4">
        <f>374298+80559981</f>
        <v>80934279</v>
      </c>
      <c r="E27" s="250">
        <f>C27*E25</f>
        <v>48836000</v>
      </c>
      <c r="F27" s="250">
        <f>D27-E27</f>
        <v>32098279</v>
      </c>
      <c r="G27" s="250"/>
      <c r="H27" s="250"/>
      <c r="I27" s="260">
        <f>SUM(E27:H27)</f>
        <v>80934279</v>
      </c>
      <c r="M27" s="84"/>
    </row>
    <row r="28" spans="1:15" s="1" customFormat="1" ht="14.4" customHeight="1" x14ac:dyDescent="0.35">
      <c r="A28" s="259" t="s">
        <v>178</v>
      </c>
      <c r="B28" s="4">
        <f>Rates!D11</f>
        <v>5000</v>
      </c>
      <c r="C28" s="20">
        <f>89+10429</f>
        <v>10518</v>
      </c>
      <c r="D28" s="4">
        <f>605608+70621250</f>
        <v>71226858</v>
      </c>
      <c r="E28" s="250">
        <f>C28*E25</f>
        <v>21036000</v>
      </c>
      <c r="F28" s="250">
        <f>C28*F25</f>
        <v>31554000</v>
      </c>
      <c r="G28" s="250">
        <f>D28-E28-F28</f>
        <v>18636858</v>
      </c>
      <c r="H28" s="250"/>
      <c r="I28" s="260">
        <f>SUM(E28:H28)</f>
        <v>71226858</v>
      </c>
    </row>
    <row r="29" spans="1:15" s="1" customFormat="1" ht="14.4" customHeight="1" x14ac:dyDescent="0.5">
      <c r="A29" s="262" t="s">
        <v>179</v>
      </c>
      <c r="B29" s="4">
        <f>Rates!D12</f>
        <v>10000</v>
      </c>
      <c r="C29" s="85">
        <f>50+3555</f>
        <v>3605</v>
      </c>
      <c r="D29" s="39">
        <f>1441069+124987982</f>
        <v>126429051</v>
      </c>
      <c r="E29" s="39">
        <f>C29*E25</f>
        <v>7210000</v>
      </c>
      <c r="F29" s="39">
        <f>C29*F25</f>
        <v>10815000</v>
      </c>
      <c r="G29" s="39">
        <f>C29*G25</f>
        <v>18025000</v>
      </c>
      <c r="H29" s="39">
        <f>D29-E29-F29-G29</f>
        <v>90379051</v>
      </c>
      <c r="I29" s="261">
        <f>SUM(E29:H29)</f>
        <v>126429051</v>
      </c>
      <c r="K29" s="380"/>
      <c r="L29" s="559" t="s">
        <v>288</v>
      </c>
      <c r="M29" s="559"/>
      <c r="N29" s="559"/>
      <c r="O29" s="559"/>
    </row>
    <row r="30" spans="1:15" s="1" customFormat="1" ht="14.4" customHeight="1" x14ac:dyDescent="0.35">
      <c r="A30" s="259"/>
      <c r="B30" s="4"/>
      <c r="C30" s="20">
        <f t="shared" ref="C30:I30" si="0">SUM(C26:C29)</f>
        <v>64413</v>
      </c>
      <c r="D30" s="4">
        <f t="shared" si="0"/>
        <v>304399279</v>
      </c>
      <c r="E30" s="4">
        <f t="shared" si="0"/>
        <v>102891091</v>
      </c>
      <c r="F30" s="4">
        <f t="shared" si="0"/>
        <v>74467279</v>
      </c>
      <c r="G30" s="4">
        <f t="shared" si="0"/>
        <v>36661858</v>
      </c>
      <c r="H30" s="4">
        <f t="shared" si="0"/>
        <v>90379051</v>
      </c>
      <c r="I30" s="260">
        <f t="shared" si="0"/>
        <v>304399279</v>
      </c>
      <c r="K30" s="380"/>
      <c r="L30" s="380"/>
      <c r="M30" s="381" t="s">
        <v>13</v>
      </c>
      <c r="N30" s="381" t="s">
        <v>285</v>
      </c>
      <c r="O30" s="381" t="s">
        <v>38</v>
      </c>
    </row>
    <row r="31" spans="1:15" s="1" customFormat="1" ht="14.4" customHeight="1" x14ac:dyDescent="0.35">
      <c r="A31" s="233"/>
      <c r="B31" s="4"/>
      <c r="C31" s="88"/>
      <c r="D31" s="36"/>
      <c r="E31" s="84"/>
      <c r="F31" s="84"/>
      <c r="G31" s="43"/>
      <c r="I31" s="258"/>
      <c r="K31" s="380"/>
      <c r="L31" s="380" t="s">
        <v>283</v>
      </c>
      <c r="M31" s="380">
        <v>2761842</v>
      </c>
      <c r="N31" s="382"/>
      <c r="O31" s="382"/>
    </row>
    <row r="32" spans="1:15" s="1" customFormat="1" ht="14.4" customHeight="1" x14ac:dyDescent="0.35">
      <c r="A32" s="257" t="s">
        <v>187</v>
      </c>
      <c r="D32" s="557" t="s">
        <v>183</v>
      </c>
      <c r="E32" s="557"/>
      <c r="F32" s="112"/>
      <c r="G32" s="112"/>
      <c r="H32" s="4"/>
      <c r="I32" s="272"/>
      <c r="K32" s="383">
        <f>M31+M32</f>
        <v>304399279</v>
      </c>
      <c r="L32" s="380" t="s">
        <v>284</v>
      </c>
      <c r="M32" s="380">
        <v>301637437</v>
      </c>
      <c r="N32" s="382">
        <v>3073358.58</v>
      </c>
      <c r="O32" s="382">
        <v>310049.06</v>
      </c>
    </row>
    <row r="33" spans="1:15" s="1" customFormat="1" ht="14.4" customHeight="1" x14ac:dyDescent="0.35">
      <c r="A33" s="257"/>
      <c r="D33" s="248"/>
      <c r="E33" s="248"/>
      <c r="F33" s="112"/>
      <c r="G33" s="112"/>
      <c r="H33" s="4"/>
      <c r="I33" s="272"/>
      <c r="K33" s="383"/>
      <c r="L33" s="380" t="s">
        <v>289</v>
      </c>
      <c r="M33" s="380">
        <v>5851044</v>
      </c>
      <c r="N33" s="382">
        <v>61020.81</v>
      </c>
      <c r="O33" s="382">
        <v>356.93</v>
      </c>
    </row>
    <row r="34" spans="1:15" s="1" customFormat="1" ht="14.4" customHeight="1" x14ac:dyDescent="0.35">
      <c r="A34" s="233"/>
      <c r="B34" s="94" t="s">
        <v>50</v>
      </c>
      <c r="C34" s="83" t="s">
        <v>51</v>
      </c>
      <c r="D34" s="83" t="s">
        <v>52</v>
      </c>
      <c r="E34" s="556" t="s">
        <v>54</v>
      </c>
      <c r="F34" s="556"/>
      <c r="G34" s="98" t="s">
        <v>55</v>
      </c>
      <c r="I34" s="258"/>
      <c r="K34" s="383">
        <f>M33+M34</f>
        <v>9715861</v>
      </c>
      <c r="L34" s="380" t="s">
        <v>292</v>
      </c>
      <c r="M34" s="380">
        <v>3864817</v>
      </c>
      <c r="N34" s="382">
        <v>24617.96</v>
      </c>
      <c r="O34" s="382">
        <v>0</v>
      </c>
    </row>
    <row r="35" spans="1:15" s="1" customFormat="1" ht="14.4" customHeight="1" x14ac:dyDescent="0.35">
      <c r="A35" s="259" t="s">
        <v>177</v>
      </c>
      <c r="B35" s="4">
        <f>Rates!D9</f>
        <v>2000</v>
      </c>
      <c r="C35" s="20">
        <f>C30</f>
        <v>64413</v>
      </c>
      <c r="D35" s="20">
        <f>E30</f>
        <v>102891091</v>
      </c>
      <c r="E35" s="222">
        <f>Rates!F9</f>
        <v>24.05</v>
      </c>
      <c r="F35" s="45" t="s">
        <v>105</v>
      </c>
      <c r="G35" s="99">
        <f>ROUND(C35*E35,0)</f>
        <v>1549133</v>
      </c>
      <c r="I35" s="258"/>
      <c r="K35" s="383"/>
      <c r="L35" s="380" t="s">
        <v>291</v>
      </c>
      <c r="M35" s="380">
        <v>22039679</v>
      </c>
      <c r="N35" s="382">
        <v>132351.16</v>
      </c>
      <c r="O35" s="382">
        <v>11011.63</v>
      </c>
    </row>
    <row r="36" spans="1:15" s="1" customFormat="1" ht="14.4" customHeight="1" x14ac:dyDescent="0.35">
      <c r="A36" s="259" t="s">
        <v>178</v>
      </c>
      <c r="B36" s="4">
        <f>Rates!D10</f>
        <v>3000</v>
      </c>
      <c r="C36" s="20"/>
      <c r="D36" s="20">
        <f>F30</f>
        <v>74467279</v>
      </c>
      <c r="E36" s="223">
        <f>Rates!F10</f>
        <v>1.018E-2</v>
      </c>
      <c r="F36" s="45" t="s">
        <v>175</v>
      </c>
      <c r="G36" s="99">
        <f>ROUND(D36*E36,0)</f>
        <v>758077</v>
      </c>
      <c r="I36" s="258"/>
      <c r="K36" s="383">
        <f>M35+M36</f>
        <v>31687176</v>
      </c>
      <c r="L36" s="380" t="s">
        <v>290</v>
      </c>
      <c r="M36" s="380">
        <v>9647497</v>
      </c>
      <c r="N36" s="382">
        <v>55294.36</v>
      </c>
      <c r="O36" s="382">
        <v>0</v>
      </c>
    </row>
    <row r="37" spans="1:15" s="1" customFormat="1" ht="14.4" customHeight="1" x14ac:dyDescent="0.35">
      <c r="A37" s="259" t="s">
        <v>178</v>
      </c>
      <c r="B37" s="4">
        <f>Rates!D11</f>
        <v>5000</v>
      </c>
      <c r="C37" s="20"/>
      <c r="D37" s="20">
        <f>G30</f>
        <v>36661858</v>
      </c>
      <c r="E37" s="223">
        <f>Rates!F11</f>
        <v>8.3199999999999993E-3</v>
      </c>
      <c r="F37" s="45" t="s">
        <v>175</v>
      </c>
      <c r="G37" s="99">
        <f t="shared" ref="G37:G38" si="1">ROUND(D37*E37,0)</f>
        <v>305027</v>
      </c>
      <c r="I37" s="258"/>
      <c r="K37" s="383"/>
      <c r="L37" s="380" t="s">
        <v>287</v>
      </c>
      <c r="M37" s="380">
        <v>3739800</v>
      </c>
      <c r="N37" s="382">
        <v>13329.19</v>
      </c>
      <c r="O37" s="382">
        <v>1912.3</v>
      </c>
    </row>
    <row r="38" spans="1:15" s="1" customFormat="1" ht="14.4" customHeight="1" x14ac:dyDescent="0.5">
      <c r="A38" s="262" t="s">
        <v>179</v>
      </c>
      <c r="B38" s="4">
        <f>Rates!D12</f>
        <v>10000</v>
      </c>
      <c r="C38" s="85"/>
      <c r="D38" s="85">
        <f>H30</f>
        <v>90379051</v>
      </c>
      <c r="E38" s="223">
        <f>Rates!F12</f>
        <v>5.6299999999999996E-3</v>
      </c>
      <c r="F38" s="45" t="s">
        <v>175</v>
      </c>
      <c r="G38" s="100">
        <f t="shared" si="1"/>
        <v>508834</v>
      </c>
      <c r="I38" s="258"/>
      <c r="K38" s="383">
        <f>M37+M38</f>
        <v>10859796</v>
      </c>
      <c r="L38" s="380" t="s">
        <v>273</v>
      </c>
      <c r="M38" s="384">
        <v>7119996</v>
      </c>
      <c r="N38" s="385">
        <v>22632.52</v>
      </c>
      <c r="O38" s="385"/>
    </row>
    <row r="39" spans="1:15" s="1" customFormat="1" ht="14.4" customHeight="1" thickBot="1" x14ac:dyDescent="0.4">
      <c r="A39" s="270"/>
      <c r="B39" s="263"/>
      <c r="C39" s="271"/>
      <c r="D39" s="273">
        <f>SUM(D35:D38)</f>
        <v>304399279</v>
      </c>
      <c r="E39" s="271"/>
      <c r="F39" s="271"/>
      <c r="G39" s="269">
        <f>SUM(G35:G38)</f>
        <v>3121071</v>
      </c>
      <c r="H39" s="264"/>
      <c r="I39" s="267"/>
      <c r="K39" s="380"/>
      <c r="L39" s="380"/>
      <c r="M39" s="383">
        <f>SUM(M31:M38)</f>
        <v>356662112</v>
      </c>
      <c r="N39" s="383">
        <f t="shared" ref="N39:O39" si="2">SUM(N31:N38)</f>
        <v>3382604.58</v>
      </c>
      <c r="O39" s="383">
        <f t="shared" si="2"/>
        <v>323329.91999999998</v>
      </c>
    </row>
    <row r="40" spans="1:15" s="1" customFormat="1" ht="14.5" x14ac:dyDescent="0.35">
      <c r="A40" s="89"/>
      <c r="B40" s="4"/>
      <c r="C40" s="20"/>
      <c r="D40" s="245"/>
      <c r="E40" s="20"/>
      <c r="F40" s="20"/>
      <c r="G40" s="99"/>
    </row>
    <row r="41" spans="1:15" s="1" customFormat="1" ht="14.4" customHeight="1" x14ac:dyDescent="0.35">
      <c r="A41" s="291" t="s">
        <v>188</v>
      </c>
      <c r="B41" s="7"/>
      <c r="C41" s="292"/>
      <c r="D41" s="558" t="s">
        <v>184</v>
      </c>
      <c r="E41" s="558"/>
      <c r="F41" s="293"/>
      <c r="G41" s="294"/>
      <c r="H41" s="295"/>
      <c r="I41" s="296"/>
    </row>
    <row r="42" spans="1:15" s="1" customFormat="1" ht="14.4" customHeight="1" x14ac:dyDescent="0.35">
      <c r="A42" s="297"/>
      <c r="B42" s="4"/>
      <c r="C42" s="88"/>
      <c r="D42" s="248"/>
      <c r="E42" s="89" t="s">
        <v>177</v>
      </c>
      <c r="F42" s="89" t="s">
        <v>178</v>
      </c>
      <c r="G42" s="89" t="s">
        <v>178</v>
      </c>
      <c r="H42" s="221" t="s">
        <v>179</v>
      </c>
      <c r="I42" s="298"/>
    </row>
    <row r="43" spans="1:15" s="1" customFormat="1" ht="14.4" customHeight="1" x14ac:dyDescent="0.35">
      <c r="A43" s="46"/>
      <c r="B43" s="94" t="s">
        <v>50</v>
      </c>
      <c r="C43" s="83" t="s">
        <v>51</v>
      </c>
      <c r="D43" s="83" t="s">
        <v>52</v>
      </c>
      <c r="E43" s="249">
        <f>B44</f>
        <v>3000</v>
      </c>
      <c r="F43" s="249">
        <f>B45</f>
        <v>2000</v>
      </c>
      <c r="G43" s="249">
        <f>B46</f>
        <v>5000</v>
      </c>
      <c r="H43" s="250">
        <f>B47</f>
        <v>10000</v>
      </c>
      <c r="I43" s="299" t="s">
        <v>12</v>
      </c>
    </row>
    <row r="44" spans="1:15" s="1" customFormat="1" ht="14.4" customHeight="1" x14ac:dyDescent="0.35">
      <c r="A44" s="300" t="s">
        <v>177</v>
      </c>
      <c r="B44" s="4">
        <f>Rates!D15</f>
        <v>3000</v>
      </c>
      <c r="C44" s="20"/>
      <c r="D44" s="4"/>
      <c r="E44" s="250">
        <f>D44</f>
        <v>0</v>
      </c>
      <c r="F44" s="250"/>
      <c r="G44" s="250"/>
      <c r="H44" s="250"/>
      <c r="I44" s="10">
        <f>SUM(E44:H44)</f>
        <v>0</v>
      </c>
    </row>
    <row r="45" spans="1:15" s="1" customFormat="1" ht="14.4" customHeight="1" x14ac:dyDescent="0.35">
      <c r="A45" s="300" t="s">
        <v>178</v>
      </c>
      <c r="B45" s="4">
        <f>Rates!D16</f>
        <v>2000</v>
      </c>
      <c r="C45" s="20"/>
      <c r="D45" s="4"/>
      <c r="E45" s="250">
        <f>C45*E43</f>
        <v>0</v>
      </c>
      <c r="F45" s="250">
        <f>D45-E45</f>
        <v>0</v>
      </c>
      <c r="G45" s="250"/>
      <c r="H45" s="250"/>
      <c r="I45" s="10">
        <f>SUM(E45:H45)</f>
        <v>0</v>
      </c>
    </row>
    <row r="46" spans="1:15" s="1" customFormat="1" ht="14.4" customHeight="1" x14ac:dyDescent="0.35">
      <c r="A46" s="300" t="s">
        <v>178</v>
      </c>
      <c r="B46" s="4">
        <f>Rates!D17</f>
        <v>5000</v>
      </c>
      <c r="C46" s="20"/>
      <c r="D46" s="4"/>
      <c r="E46" s="250">
        <f>C46*E43</f>
        <v>0</v>
      </c>
      <c r="F46" s="250">
        <f>C46*F43</f>
        <v>0</v>
      </c>
      <c r="G46" s="250">
        <f>D46-E46-F46</f>
        <v>0</v>
      </c>
      <c r="H46" s="250"/>
      <c r="I46" s="10">
        <f>SUM(E46:H46)</f>
        <v>0</v>
      </c>
    </row>
    <row r="47" spans="1:15" s="1" customFormat="1" ht="14.4" customHeight="1" x14ac:dyDescent="0.5">
      <c r="A47" s="300" t="s">
        <v>179</v>
      </c>
      <c r="B47" s="4">
        <f>Rates!D18</f>
        <v>10000</v>
      </c>
      <c r="C47" s="85"/>
      <c r="D47" s="39"/>
      <c r="E47" s="39">
        <f>C47*E43</f>
        <v>0</v>
      </c>
      <c r="F47" s="39">
        <f>C47*F43</f>
        <v>0</v>
      </c>
      <c r="G47" s="39">
        <f>C47*G43</f>
        <v>0</v>
      </c>
      <c r="H47" s="39">
        <f>D47-E47-F47-G47</f>
        <v>0</v>
      </c>
      <c r="I47" s="301">
        <f>SUM(E47:H47)</f>
        <v>0</v>
      </c>
    </row>
    <row r="48" spans="1:15" s="1" customFormat="1" ht="14.4" customHeight="1" x14ac:dyDescent="0.35">
      <c r="A48" s="300"/>
      <c r="B48" s="4"/>
      <c r="C48" s="20">
        <f t="shared" ref="C48:G48" si="3">SUM(C44:C47)</f>
        <v>0</v>
      </c>
      <c r="D48" s="4">
        <f t="shared" si="3"/>
        <v>0</v>
      </c>
      <c r="E48" s="4">
        <f t="shared" si="3"/>
        <v>0</v>
      </c>
      <c r="F48" s="4">
        <f t="shared" si="3"/>
        <v>0</v>
      </c>
      <c r="G48" s="4">
        <f t="shared" si="3"/>
        <v>0</v>
      </c>
      <c r="H48" s="4">
        <f t="shared" ref="H48" si="4">SUM(H44:H47)</f>
        <v>0</v>
      </c>
      <c r="I48" s="10">
        <f t="shared" ref="I48" si="5">SUM(I44:I47)</f>
        <v>0</v>
      </c>
    </row>
    <row r="49" spans="1:9" s="1" customFormat="1" ht="14.4" customHeight="1" x14ac:dyDescent="0.35">
      <c r="A49" s="300"/>
      <c r="B49" s="4" t="s">
        <v>316</v>
      </c>
      <c r="C49" s="20"/>
      <c r="D49" s="20"/>
      <c r="E49" s="20"/>
      <c r="F49" s="20"/>
      <c r="G49" s="99"/>
      <c r="I49" s="298"/>
    </row>
    <row r="50" spans="1:9" s="1" customFormat="1" ht="14.4" customHeight="1" x14ac:dyDescent="0.35">
      <c r="A50" s="297" t="s">
        <v>187</v>
      </c>
      <c r="C50" s="112"/>
      <c r="D50" s="557" t="s">
        <v>184</v>
      </c>
      <c r="E50" s="557"/>
      <c r="F50" s="112"/>
      <c r="G50" s="112"/>
      <c r="H50" s="4"/>
      <c r="I50" s="302"/>
    </row>
    <row r="51" spans="1:9" s="1" customFormat="1" ht="14.4" customHeight="1" x14ac:dyDescent="0.35">
      <c r="A51" s="46"/>
      <c r="B51" s="94" t="s">
        <v>50</v>
      </c>
      <c r="C51" s="83" t="s">
        <v>51</v>
      </c>
      <c r="D51" s="83" t="s">
        <v>52</v>
      </c>
      <c r="E51" s="556" t="s">
        <v>54</v>
      </c>
      <c r="F51" s="556"/>
      <c r="G51" s="98" t="s">
        <v>55</v>
      </c>
      <c r="H51" s="4"/>
      <c r="I51" s="302"/>
    </row>
    <row r="52" spans="1:9" s="1" customFormat="1" ht="14.4" customHeight="1" x14ac:dyDescent="0.35">
      <c r="A52" s="300" t="s">
        <v>177</v>
      </c>
      <c r="B52" s="4">
        <f>Rates!D15</f>
        <v>3000</v>
      </c>
      <c r="C52" s="20">
        <f>C48</f>
        <v>0</v>
      </c>
      <c r="D52" s="20">
        <f>E48</f>
        <v>0</v>
      </c>
      <c r="E52" s="222">
        <f>Rates!F15</f>
        <v>34.229999999999997</v>
      </c>
      <c r="F52" s="45" t="s">
        <v>105</v>
      </c>
      <c r="G52" s="99">
        <f>ROUND(C52*E52,0)</f>
        <v>0</v>
      </c>
      <c r="I52" s="298"/>
    </row>
    <row r="53" spans="1:9" s="1" customFormat="1" ht="14.4" customHeight="1" x14ac:dyDescent="0.35">
      <c r="A53" s="300" t="s">
        <v>178</v>
      </c>
      <c r="B53" s="4">
        <f>Rates!D16</f>
        <v>2000</v>
      </c>
      <c r="C53" s="20"/>
      <c r="D53" s="20">
        <f>F48</f>
        <v>0</v>
      </c>
      <c r="E53" s="223">
        <f>Rates!F16</f>
        <v>1.018E-2</v>
      </c>
      <c r="F53" s="45" t="s">
        <v>175</v>
      </c>
      <c r="G53" s="99">
        <f t="shared" ref="G53:G55" si="6">ROUND(D53*E53,0)</f>
        <v>0</v>
      </c>
      <c r="I53" s="298"/>
    </row>
    <row r="54" spans="1:9" s="1" customFormat="1" ht="14.4" customHeight="1" x14ac:dyDescent="0.35">
      <c r="A54" s="300" t="s">
        <v>178</v>
      </c>
      <c r="B54" s="4">
        <f>Rates!D17</f>
        <v>5000</v>
      </c>
      <c r="C54" s="20"/>
      <c r="D54" s="20">
        <f>G48</f>
        <v>0</v>
      </c>
      <c r="E54" s="223">
        <f>Rates!F17</f>
        <v>8.3199999999999993E-3</v>
      </c>
      <c r="F54" s="45" t="s">
        <v>175</v>
      </c>
      <c r="G54" s="99">
        <f t="shared" si="6"/>
        <v>0</v>
      </c>
      <c r="I54" s="298"/>
    </row>
    <row r="55" spans="1:9" s="1" customFormat="1" ht="14.4" customHeight="1" x14ac:dyDescent="0.5">
      <c r="A55" s="303" t="s">
        <v>179</v>
      </c>
      <c r="B55" s="4">
        <f>Rates!D18</f>
        <v>10000</v>
      </c>
      <c r="C55" s="85"/>
      <c r="D55" s="85">
        <f>H48</f>
        <v>0</v>
      </c>
      <c r="E55" s="223">
        <f>Rates!F18</f>
        <v>5.6299999999999996E-3</v>
      </c>
      <c r="F55" s="45" t="s">
        <v>175</v>
      </c>
      <c r="G55" s="100">
        <f t="shared" si="6"/>
        <v>0</v>
      </c>
      <c r="I55" s="298"/>
    </row>
    <row r="56" spans="1:9" s="1" customFormat="1" ht="14.4" customHeight="1" x14ac:dyDescent="0.35">
      <c r="A56" s="304"/>
      <c r="B56" s="3"/>
      <c r="C56" s="200"/>
      <c r="D56" s="3">
        <f>SUM(D52:D55)</f>
        <v>0</v>
      </c>
      <c r="E56" s="200"/>
      <c r="F56" s="200"/>
      <c r="G56" s="305">
        <f>G52+G55</f>
        <v>0</v>
      </c>
      <c r="H56" s="280"/>
      <c r="I56" s="306"/>
    </row>
    <row r="57" spans="1:9" s="1" customFormat="1" ht="14.4" customHeight="1" x14ac:dyDescent="0.35">
      <c r="A57" s="89"/>
      <c r="B57" s="4"/>
      <c r="C57" s="20"/>
      <c r="D57" s="4"/>
      <c r="E57" s="20"/>
      <c r="F57" s="20"/>
      <c r="G57" s="99"/>
      <c r="I57" s="258"/>
    </row>
    <row r="58" spans="1:9" s="1" customFormat="1" ht="14.4" customHeight="1" x14ac:dyDescent="0.35">
      <c r="A58" s="291" t="s">
        <v>188</v>
      </c>
      <c r="B58" s="7"/>
      <c r="C58" s="292"/>
      <c r="D58" s="558" t="s">
        <v>110</v>
      </c>
      <c r="E58" s="558"/>
      <c r="F58" s="293"/>
      <c r="G58" s="294"/>
      <c r="H58" s="295"/>
      <c r="I58" s="296"/>
    </row>
    <row r="59" spans="1:9" s="1" customFormat="1" ht="14.4" customHeight="1" x14ac:dyDescent="0.35">
      <c r="A59" s="297"/>
      <c r="B59" s="4"/>
      <c r="C59" s="88"/>
      <c r="D59" s="248"/>
      <c r="E59" s="89" t="s">
        <v>177</v>
      </c>
      <c r="F59" s="89" t="s">
        <v>178</v>
      </c>
      <c r="G59" s="89" t="s">
        <v>179</v>
      </c>
      <c r="I59" s="298"/>
    </row>
    <row r="60" spans="1:9" s="1" customFormat="1" ht="14.4" customHeight="1" x14ac:dyDescent="0.35">
      <c r="A60" s="46"/>
      <c r="B60" s="94" t="s">
        <v>50</v>
      </c>
      <c r="C60" s="83" t="s">
        <v>51</v>
      </c>
      <c r="D60" s="83" t="s">
        <v>52</v>
      </c>
      <c r="E60" s="249">
        <f>B61</f>
        <v>5000</v>
      </c>
      <c r="F60" s="249">
        <f>B62</f>
        <v>5000</v>
      </c>
      <c r="G60" s="249">
        <f>B63</f>
        <v>10000</v>
      </c>
      <c r="H60" s="89" t="s">
        <v>12</v>
      </c>
      <c r="I60" s="298"/>
    </row>
    <row r="61" spans="1:9" s="1" customFormat="1" ht="14.4" customHeight="1" x14ac:dyDescent="0.35">
      <c r="A61" s="300" t="s">
        <v>177</v>
      </c>
      <c r="B61" s="4">
        <f>Rates!D21</f>
        <v>5000</v>
      </c>
      <c r="C61" s="20">
        <f>445+22</f>
        <v>467</v>
      </c>
      <c r="D61" s="4">
        <f>1171543+44165</f>
        <v>1215708</v>
      </c>
      <c r="E61" s="250">
        <f>D61</f>
        <v>1215708</v>
      </c>
      <c r="F61" s="250"/>
      <c r="G61" s="250"/>
      <c r="H61" s="4">
        <f>SUM(D61:G61)</f>
        <v>2431416</v>
      </c>
      <c r="I61" s="298"/>
    </row>
    <row r="62" spans="1:9" s="1" customFormat="1" ht="14.4" customHeight="1" x14ac:dyDescent="0.35">
      <c r="A62" s="300" t="s">
        <v>178</v>
      </c>
      <c r="B62" s="4">
        <f>Rates!D22</f>
        <v>5000</v>
      </c>
      <c r="C62" s="20">
        <f>170+18</f>
        <v>188</v>
      </c>
      <c r="D62" s="4">
        <f>1241199+121540</f>
        <v>1362739</v>
      </c>
      <c r="E62" s="250">
        <f>C62*E60</f>
        <v>940000</v>
      </c>
      <c r="F62" s="250">
        <f>D62-E62</f>
        <v>422739</v>
      </c>
      <c r="G62" s="250"/>
      <c r="H62" s="4">
        <f>SUM(D62:G62)</f>
        <v>2725478</v>
      </c>
      <c r="I62" s="298"/>
    </row>
    <row r="63" spans="1:9" s="1" customFormat="1" ht="14.4" customHeight="1" x14ac:dyDescent="0.5">
      <c r="A63" s="300" t="s">
        <v>179</v>
      </c>
      <c r="B63" s="4">
        <f>Rates!D23</f>
        <v>10000</v>
      </c>
      <c r="C63" s="85">
        <f>129+38</f>
        <v>167</v>
      </c>
      <c r="D63" s="39">
        <f>3438302+3699112</f>
        <v>7137414</v>
      </c>
      <c r="E63" s="251">
        <f>C63*E60</f>
        <v>835000</v>
      </c>
      <c r="F63" s="251">
        <f>C63*F60</f>
        <v>835000</v>
      </c>
      <c r="G63" s="251">
        <f>D63-E63-F63</f>
        <v>5467414</v>
      </c>
      <c r="H63" s="39">
        <f>SUM(E63:G63)</f>
        <v>7137414</v>
      </c>
      <c r="I63" s="298"/>
    </row>
    <row r="64" spans="1:9" s="1" customFormat="1" ht="14.4" customHeight="1" x14ac:dyDescent="0.35">
      <c r="A64" s="300"/>
      <c r="B64" s="4"/>
      <c r="C64" s="20">
        <f>SUM(C61:C63)</f>
        <v>822</v>
      </c>
      <c r="D64" s="4">
        <f>SUM(D61:D63)</f>
        <v>9715861</v>
      </c>
      <c r="E64" s="4">
        <f>SUM(E61:E63)</f>
        <v>2990708</v>
      </c>
      <c r="F64" s="4">
        <f>SUM(F61:F63)</f>
        <v>1257739</v>
      </c>
      <c r="G64" s="4">
        <f>SUM(G61:G63)</f>
        <v>5467414</v>
      </c>
      <c r="H64" s="4">
        <f>SUM(E64:G64)</f>
        <v>9715861</v>
      </c>
      <c r="I64" s="298"/>
    </row>
    <row r="65" spans="1:9" s="1" customFormat="1" ht="14.4" customHeight="1" x14ac:dyDescent="0.35">
      <c r="A65" s="300"/>
      <c r="B65" s="4"/>
      <c r="C65" s="20"/>
      <c r="D65" s="4"/>
      <c r="E65" s="4"/>
      <c r="F65" s="4"/>
      <c r="G65" s="4"/>
      <c r="H65" s="4"/>
      <c r="I65" s="298"/>
    </row>
    <row r="66" spans="1:9" s="1" customFormat="1" ht="14.4" customHeight="1" x14ac:dyDescent="0.35">
      <c r="A66" s="297" t="s">
        <v>187</v>
      </c>
      <c r="C66" s="112"/>
      <c r="D66" s="557" t="s">
        <v>110</v>
      </c>
      <c r="E66" s="557"/>
      <c r="F66" s="112"/>
      <c r="G66" s="112"/>
      <c r="I66" s="298"/>
    </row>
    <row r="67" spans="1:9" s="1" customFormat="1" ht="14.4" customHeight="1" x14ac:dyDescent="0.35">
      <c r="A67" s="46"/>
      <c r="B67" s="94" t="s">
        <v>50</v>
      </c>
      <c r="C67" s="83" t="s">
        <v>51</v>
      </c>
      <c r="D67" s="83" t="s">
        <v>52</v>
      </c>
      <c r="E67" s="556" t="s">
        <v>54</v>
      </c>
      <c r="F67" s="556"/>
      <c r="G67" s="98" t="s">
        <v>55</v>
      </c>
      <c r="I67" s="298"/>
    </row>
    <row r="68" spans="1:9" s="1" customFormat="1" ht="14.4" customHeight="1" x14ac:dyDescent="0.35">
      <c r="A68" s="300" t="s">
        <v>177</v>
      </c>
      <c r="B68" s="4">
        <f>Rates!D21</f>
        <v>5000</v>
      </c>
      <c r="C68" s="84">
        <f>C64</f>
        <v>822</v>
      </c>
      <c r="D68" s="84">
        <f>E64</f>
        <v>2990708</v>
      </c>
      <c r="E68" s="222">
        <f>Rates!F21</f>
        <v>54.59</v>
      </c>
      <c r="F68" s="45" t="s">
        <v>105</v>
      </c>
      <c r="G68" s="99">
        <f>ROUND(C68*E68,0)</f>
        <v>44873</v>
      </c>
      <c r="I68" s="298"/>
    </row>
    <row r="69" spans="1:9" s="1" customFormat="1" ht="14.4" customHeight="1" x14ac:dyDescent="0.35">
      <c r="A69" s="300" t="s">
        <v>178</v>
      </c>
      <c r="B69" s="4">
        <f>Rates!D22</f>
        <v>5000</v>
      </c>
      <c r="D69" s="84">
        <f>F64</f>
        <v>1257739</v>
      </c>
      <c r="E69" s="223">
        <f>Rates!F22</f>
        <v>8.3199999999999993E-3</v>
      </c>
      <c r="F69" s="45" t="s">
        <v>175</v>
      </c>
      <c r="G69" s="99">
        <f t="shared" ref="G69:G70" si="7">ROUND(D69*E69,0)</f>
        <v>10464</v>
      </c>
      <c r="I69" s="298"/>
    </row>
    <row r="70" spans="1:9" s="1" customFormat="1" ht="14.4" customHeight="1" x14ac:dyDescent="0.5">
      <c r="A70" s="303" t="s">
        <v>179</v>
      </c>
      <c r="B70" s="4">
        <f>Rates!D23</f>
        <v>10000</v>
      </c>
      <c r="C70" s="76"/>
      <c r="D70" s="252">
        <f>G64</f>
        <v>5467414</v>
      </c>
      <c r="E70" s="223">
        <f>Rates!F23</f>
        <v>5.6299999999999996E-3</v>
      </c>
      <c r="F70" s="45" t="s">
        <v>175</v>
      </c>
      <c r="G70" s="100">
        <f t="shared" si="7"/>
        <v>30782</v>
      </c>
      <c r="I70" s="298"/>
    </row>
    <row r="71" spans="1:9" s="1" customFormat="1" ht="14.4" customHeight="1" x14ac:dyDescent="0.35">
      <c r="A71" s="79"/>
      <c r="B71" s="3"/>
      <c r="C71" s="307"/>
      <c r="D71" s="3">
        <f>SUM(D68:D70)</f>
        <v>9715861</v>
      </c>
      <c r="E71" s="280"/>
      <c r="F71" s="280"/>
      <c r="G71" s="305">
        <f>SUM(G68:G70)</f>
        <v>86119</v>
      </c>
      <c r="H71" s="280"/>
      <c r="I71" s="306"/>
    </row>
    <row r="72" spans="1:9" s="1" customFormat="1" ht="14.4" customHeight="1" x14ac:dyDescent="0.35">
      <c r="B72" s="4"/>
      <c r="C72" s="15"/>
      <c r="D72" s="4"/>
      <c r="G72" s="99"/>
    </row>
    <row r="73" spans="1:9" s="1" customFormat="1" ht="14.4" customHeight="1" x14ac:dyDescent="0.35">
      <c r="A73" s="291" t="s">
        <v>188</v>
      </c>
      <c r="B73" s="7"/>
      <c r="C73" s="292"/>
      <c r="D73" s="558" t="s">
        <v>111</v>
      </c>
      <c r="E73" s="558"/>
      <c r="F73" s="293"/>
      <c r="G73" s="294"/>
      <c r="H73" s="295"/>
      <c r="I73" s="296"/>
    </row>
    <row r="74" spans="1:9" s="1" customFormat="1" ht="14.4" customHeight="1" x14ac:dyDescent="0.35">
      <c r="A74" s="297"/>
      <c r="B74" s="4"/>
      <c r="C74" s="88"/>
      <c r="D74" s="248"/>
      <c r="E74" s="89" t="s">
        <v>177</v>
      </c>
      <c r="F74" s="89"/>
      <c r="G74" s="89" t="s">
        <v>179</v>
      </c>
      <c r="I74" s="298"/>
    </row>
    <row r="75" spans="1:9" s="1" customFormat="1" ht="14.4" customHeight="1" x14ac:dyDescent="0.35">
      <c r="A75" s="46"/>
      <c r="B75" s="94" t="s">
        <v>50</v>
      </c>
      <c r="C75" s="83" t="s">
        <v>51</v>
      </c>
      <c r="D75" s="83" t="s">
        <v>52</v>
      </c>
      <c r="E75" s="249">
        <f>B76</f>
        <v>10000</v>
      </c>
      <c r="F75" s="249"/>
      <c r="G75" s="249">
        <f>B77</f>
        <v>10000</v>
      </c>
      <c r="H75" s="89" t="s">
        <v>12</v>
      </c>
      <c r="I75" s="298"/>
    </row>
    <row r="76" spans="1:9" s="1" customFormat="1" ht="14.4" customHeight="1" x14ac:dyDescent="0.35">
      <c r="A76" s="300" t="s">
        <v>177</v>
      </c>
      <c r="B76" s="4">
        <f>Rates!D26</f>
        <v>10000</v>
      </c>
      <c r="C76" s="20"/>
      <c r="D76" s="4"/>
      <c r="E76" s="250">
        <f>D76</f>
        <v>0</v>
      </c>
      <c r="F76" s="250"/>
      <c r="G76" s="250"/>
      <c r="H76" s="4">
        <f>SUM(D76:G76)</f>
        <v>0</v>
      </c>
      <c r="I76" s="298"/>
    </row>
    <row r="77" spans="1:9" s="1" customFormat="1" ht="14.4" customHeight="1" x14ac:dyDescent="0.5">
      <c r="A77" s="300" t="s">
        <v>179</v>
      </c>
      <c r="B77" s="4">
        <f>Rates!D27</f>
        <v>10000</v>
      </c>
      <c r="C77" s="85"/>
      <c r="D77" s="39"/>
      <c r="E77" s="251">
        <f>C77*E75</f>
        <v>0</v>
      </c>
      <c r="F77" s="251"/>
      <c r="G77" s="251">
        <f>D77-E77-F77</f>
        <v>0</v>
      </c>
      <c r="H77" s="39">
        <f>SUM(E77:G77)</f>
        <v>0</v>
      </c>
      <c r="I77" s="298"/>
    </row>
    <row r="78" spans="1:9" s="1" customFormat="1" ht="14.4" customHeight="1" x14ac:dyDescent="0.35">
      <c r="A78" s="300"/>
      <c r="B78" s="4"/>
      <c r="C78" s="20">
        <f>SUM(C76:C77)</f>
        <v>0</v>
      </c>
      <c r="D78" s="20">
        <f>SUM(D76:D77)</f>
        <v>0</v>
      </c>
      <c r="E78" s="4">
        <f>SUM(E76:E77)</f>
        <v>0</v>
      </c>
      <c r="F78" s="4">
        <f>SUM(F76:F77)</f>
        <v>0</v>
      </c>
      <c r="G78" s="4">
        <f>SUM(G76:G77)</f>
        <v>0</v>
      </c>
      <c r="H78" s="4">
        <f>SUM(E78:G78)</f>
        <v>0</v>
      </c>
      <c r="I78" s="298"/>
    </row>
    <row r="79" spans="1:9" s="1" customFormat="1" ht="14.4" customHeight="1" x14ac:dyDescent="0.35">
      <c r="A79" s="46"/>
      <c r="B79" s="4" t="s">
        <v>317</v>
      </c>
      <c r="G79" s="4"/>
      <c r="H79" s="4"/>
      <c r="I79" s="298"/>
    </row>
    <row r="80" spans="1:9" s="1" customFormat="1" ht="14.4" customHeight="1" x14ac:dyDescent="0.35">
      <c r="A80" s="297" t="s">
        <v>187</v>
      </c>
      <c r="B80" s="4"/>
      <c r="C80" s="88"/>
      <c r="D80" s="557" t="s">
        <v>111</v>
      </c>
      <c r="E80" s="557"/>
      <c r="F80" s="112"/>
      <c r="G80" s="112"/>
      <c r="I80" s="298"/>
    </row>
    <row r="81" spans="1:9" s="1" customFormat="1" ht="14.4" customHeight="1" x14ac:dyDescent="0.35">
      <c r="A81" s="46"/>
      <c r="B81" s="94" t="s">
        <v>50</v>
      </c>
      <c r="C81" s="83" t="s">
        <v>51</v>
      </c>
      <c r="D81" s="83" t="s">
        <v>52</v>
      </c>
      <c r="E81" s="556" t="s">
        <v>54</v>
      </c>
      <c r="F81" s="556"/>
      <c r="G81" s="98" t="s">
        <v>55</v>
      </c>
      <c r="I81" s="298"/>
    </row>
    <row r="82" spans="1:9" s="1" customFormat="1" ht="14.4" customHeight="1" x14ac:dyDescent="0.35">
      <c r="A82" s="300" t="s">
        <v>177</v>
      </c>
      <c r="B82" s="4">
        <f>Rates!D26</f>
        <v>10000</v>
      </c>
      <c r="C82" s="84">
        <f>C78</f>
        <v>0</v>
      </c>
      <c r="D82" s="84">
        <f>E78</f>
        <v>0</v>
      </c>
      <c r="E82" s="75">
        <f>Rates!F26</f>
        <v>96.19</v>
      </c>
      <c r="F82" s="45" t="s">
        <v>105</v>
      </c>
      <c r="G82" s="99">
        <f>ROUND(C82*E82,0)</f>
        <v>0</v>
      </c>
      <c r="I82" s="298"/>
    </row>
    <row r="83" spans="1:9" s="1" customFormat="1" ht="14.4" customHeight="1" x14ac:dyDescent="0.5">
      <c r="A83" s="303" t="s">
        <v>179</v>
      </c>
      <c r="B83" s="4">
        <f>Rates!D27</f>
        <v>10000</v>
      </c>
      <c r="C83" s="76"/>
      <c r="D83" s="252">
        <f>G78</f>
        <v>0</v>
      </c>
      <c r="E83" s="243">
        <f>Rates!F27</f>
        <v>5.6299999999999996E-3</v>
      </c>
      <c r="F83" s="45" t="s">
        <v>175</v>
      </c>
      <c r="G83" s="100">
        <f t="shared" ref="G83" si="8">ROUND(D83*E83,0)</f>
        <v>0</v>
      </c>
      <c r="I83" s="298"/>
    </row>
    <row r="84" spans="1:9" s="1" customFormat="1" ht="14.4" customHeight="1" x14ac:dyDescent="0.35">
      <c r="A84" s="79"/>
      <c r="B84" s="3"/>
      <c r="C84" s="279"/>
      <c r="D84" s="3">
        <f>SUM(D82:D83)</f>
        <v>0</v>
      </c>
      <c r="E84" s="280"/>
      <c r="F84" s="280"/>
      <c r="G84" s="305">
        <f>SUM(G82:G83)</f>
        <v>0</v>
      </c>
      <c r="H84" s="280"/>
      <c r="I84" s="306"/>
    </row>
    <row r="85" spans="1:9" s="1" customFormat="1" ht="14.4" customHeight="1" x14ac:dyDescent="0.35">
      <c r="B85" s="4"/>
      <c r="C85" s="196"/>
      <c r="D85" s="4"/>
      <c r="G85" s="196"/>
    </row>
    <row r="86" spans="1:9" s="1" customFormat="1" ht="14.4" customHeight="1" x14ac:dyDescent="0.35">
      <c r="A86" s="291" t="s">
        <v>188</v>
      </c>
      <c r="B86" s="7"/>
      <c r="C86" s="292"/>
      <c r="D86" s="558" t="s">
        <v>112</v>
      </c>
      <c r="E86" s="558"/>
      <c r="F86" s="293"/>
      <c r="G86" s="294"/>
      <c r="H86" s="295"/>
      <c r="I86" s="296"/>
    </row>
    <row r="87" spans="1:9" s="1" customFormat="1" ht="14.4" customHeight="1" x14ac:dyDescent="0.35">
      <c r="A87" s="297"/>
      <c r="B87" s="4"/>
      <c r="C87" s="88"/>
      <c r="D87" s="248"/>
      <c r="E87" s="89" t="s">
        <v>177</v>
      </c>
      <c r="F87" s="89"/>
      <c r="G87" s="89" t="s">
        <v>179</v>
      </c>
      <c r="I87" s="298"/>
    </row>
    <row r="88" spans="1:9" s="1" customFormat="1" ht="14.4" customHeight="1" x14ac:dyDescent="0.5">
      <c r="A88" s="46"/>
      <c r="B88" s="14" t="s">
        <v>50</v>
      </c>
      <c r="C88" s="375" t="s">
        <v>51</v>
      </c>
      <c r="D88" s="375" t="s">
        <v>52</v>
      </c>
      <c r="E88" s="376">
        <f>B89</f>
        <v>20000</v>
      </c>
      <c r="F88" s="376"/>
      <c r="G88" s="376">
        <f>B90</f>
        <v>20000</v>
      </c>
      <c r="H88" s="377" t="s">
        <v>12</v>
      </c>
      <c r="I88" s="298"/>
    </row>
    <row r="89" spans="1:9" s="1" customFormat="1" ht="14.4" customHeight="1" x14ac:dyDescent="0.35">
      <c r="A89" s="300" t="s">
        <v>177</v>
      </c>
      <c r="B89" s="4">
        <f>Rates!D30</f>
        <v>20000</v>
      </c>
      <c r="C89" s="20">
        <f>4+41</f>
        <v>45</v>
      </c>
      <c r="D89" s="4">
        <f>80000+555654</f>
        <v>635654</v>
      </c>
      <c r="E89" s="250">
        <f>D89</f>
        <v>635654</v>
      </c>
      <c r="F89" s="250"/>
      <c r="G89" s="250"/>
      <c r="H89" s="4">
        <f>SUM(D89:G89)</f>
        <v>1271308</v>
      </c>
      <c r="I89" s="298"/>
    </row>
    <row r="90" spans="1:9" s="1" customFormat="1" ht="14.4" customHeight="1" x14ac:dyDescent="0.5">
      <c r="A90" s="300" t="s">
        <v>179</v>
      </c>
      <c r="B90" s="4">
        <f>Rates!D31</f>
        <v>20000</v>
      </c>
      <c r="C90" s="85">
        <f>32+149</f>
        <v>181</v>
      </c>
      <c r="D90" s="39">
        <f>9567497+21484025</f>
        <v>31051522</v>
      </c>
      <c r="E90" s="251">
        <f>C90*E88</f>
        <v>3620000</v>
      </c>
      <c r="F90" s="251"/>
      <c r="G90" s="251">
        <f>D90-E90-F90</f>
        <v>27431522</v>
      </c>
      <c r="H90" s="39">
        <f>SUM(E90:G90)</f>
        <v>31051522</v>
      </c>
      <c r="I90" s="298"/>
    </row>
    <row r="91" spans="1:9" s="1" customFormat="1" ht="14.4" customHeight="1" x14ac:dyDescent="0.35">
      <c r="A91" s="300"/>
      <c r="B91" s="4"/>
      <c r="C91" s="20">
        <f>SUM(C89:C90)</f>
        <v>226</v>
      </c>
      <c r="D91" s="4">
        <f>SUM(D89:D90)</f>
        <v>31687176</v>
      </c>
      <c r="E91" s="4">
        <f>SUM(E89:E90)</f>
        <v>4255654</v>
      </c>
      <c r="F91" s="4"/>
      <c r="G91" s="4">
        <f>SUM(G89:G90)</f>
        <v>27431522</v>
      </c>
      <c r="H91" s="4">
        <f>SUM(E91:G91)</f>
        <v>31687176</v>
      </c>
      <c r="I91" s="298"/>
    </row>
    <row r="92" spans="1:9" s="1" customFormat="1" ht="14.4" customHeight="1" x14ac:dyDescent="0.35">
      <c r="A92" s="46"/>
      <c r="B92" s="4"/>
      <c r="G92" s="4"/>
      <c r="H92" s="4"/>
      <c r="I92" s="298"/>
    </row>
    <row r="93" spans="1:9" s="1" customFormat="1" ht="14.4" customHeight="1" x14ac:dyDescent="0.35">
      <c r="A93" s="297" t="s">
        <v>187</v>
      </c>
      <c r="B93" s="112"/>
      <c r="C93" s="112"/>
      <c r="D93" s="557" t="s">
        <v>112</v>
      </c>
      <c r="E93" s="557"/>
      <c r="F93" s="112"/>
      <c r="G93" s="112"/>
      <c r="I93" s="298"/>
    </row>
    <row r="94" spans="1:9" s="1" customFormat="1" ht="14.4" customHeight="1" x14ac:dyDescent="0.35">
      <c r="A94" s="46"/>
      <c r="B94" s="94" t="s">
        <v>50</v>
      </c>
      <c r="C94" s="83" t="s">
        <v>51</v>
      </c>
      <c r="D94" s="83" t="s">
        <v>52</v>
      </c>
      <c r="E94" s="556" t="s">
        <v>54</v>
      </c>
      <c r="F94" s="556"/>
      <c r="G94" s="98" t="s">
        <v>55</v>
      </c>
      <c r="I94" s="298"/>
    </row>
    <row r="95" spans="1:9" s="1" customFormat="1" ht="14.4" customHeight="1" x14ac:dyDescent="0.35">
      <c r="A95" s="300" t="s">
        <v>177</v>
      </c>
      <c r="B95" s="4">
        <f>Rates!D30</f>
        <v>20000</v>
      </c>
      <c r="C95" s="84">
        <f>C91</f>
        <v>226</v>
      </c>
      <c r="D95" s="84">
        <f>E91</f>
        <v>4255654</v>
      </c>
      <c r="E95" s="75">
        <f>Rates!F30</f>
        <v>152.49</v>
      </c>
      <c r="F95" s="45" t="s">
        <v>105</v>
      </c>
      <c r="G95" s="99">
        <f>ROUND(C95*E95,0)</f>
        <v>34463</v>
      </c>
      <c r="I95" s="298"/>
    </row>
    <row r="96" spans="1:9" s="1" customFormat="1" ht="14.4" customHeight="1" x14ac:dyDescent="0.5">
      <c r="A96" s="303" t="s">
        <v>179</v>
      </c>
      <c r="B96" s="4">
        <f>Rates!D31</f>
        <v>20000</v>
      </c>
      <c r="C96" s="76"/>
      <c r="D96" s="252">
        <f>G91</f>
        <v>27431522</v>
      </c>
      <c r="E96" s="243">
        <f>Rates!F31</f>
        <v>5.6299999999999996E-3</v>
      </c>
      <c r="F96" s="45" t="s">
        <v>175</v>
      </c>
      <c r="G96" s="100">
        <f t="shared" ref="G96" si="9">ROUND(D96*E96,0)</f>
        <v>154439</v>
      </c>
      <c r="I96" s="298"/>
    </row>
    <row r="97" spans="1:13" s="1" customFormat="1" ht="14.4" customHeight="1" x14ac:dyDescent="0.35">
      <c r="A97" s="79"/>
      <c r="B97" s="3"/>
      <c r="C97" s="279"/>
      <c r="D97" s="3">
        <f>SUM(D95:D96)</f>
        <v>31687176</v>
      </c>
      <c r="E97" s="280"/>
      <c r="F97" s="280"/>
      <c r="G97" s="305">
        <f>SUM(G95:G96)</f>
        <v>188902</v>
      </c>
      <c r="H97" s="280"/>
      <c r="I97" s="306"/>
    </row>
    <row r="98" spans="1:13" s="1" customFormat="1" ht="14.4" customHeight="1" x14ac:dyDescent="0.35">
      <c r="B98" s="4"/>
      <c r="C98" s="196"/>
      <c r="D98" s="4"/>
      <c r="G98" s="196"/>
    </row>
    <row r="99" spans="1:13" s="1" customFormat="1" ht="14.4" customHeight="1" x14ac:dyDescent="0.35">
      <c r="A99" s="291" t="s">
        <v>188</v>
      </c>
      <c r="B99" s="7"/>
      <c r="C99" s="292"/>
      <c r="D99" s="558" t="s">
        <v>209</v>
      </c>
      <c r="E99" s="558"/>
      <c r="F99" s="293"/>
      <c r="G99" s="294"/>
      <c r="H99" s="295"/>
      <c r="I99" s="296"/>
    </row>
    <row r="100" spans="1:13" s="1" customFormat="1" ht="14.4" customHeight="1" x14ac:dyDescent="0.35">
      <c r="A100" s="297"/>
      <c r="B100" s="4"/>
      <c r="C100" s="88"/>
      <c r="D100" s="248"/>
      <c r="E100" s="89"/>
      <c r="F100" s="89"/>
      <c r="G100" s="89"/>
      <c r="I100" s="298"/>
    </row>
    <row r="101" spans="1:13" s="1" customFormat="1" ht="14.4" customHeight="1" x14ac:dyDescent="0.35">
      <c r="A101" s="46"/>
      <c r="B101" s="94"/>
      <c r="C101" s="83" t="s">
        <v>51</v>
      </c>
      <c r="D101" s="83" t="s">
        <v>52</v>
      </c>
      <c r="E101" s="249"/>
      <c r="F101" s="249"/>
      <c r="G101" s="249"/>
      <c r="I101" s="298"/>
    </row>
    <row r="102" spans="1:13" s="1" customFormat="1" ht="14.4" customHeight="1" x14ac:dyDescent="0.35">
      <c r="A102" s="300"/>
      <c r="B102" s="4"/>
      <c r="C102" s="20">
        <v>12</v>
      </c>
      <c r="D102" s="4"/>
      <c r="E102" s="250">
        <f>D102</f>
        <v>0</v>
      </c>
      <c r="F102" s="250"/>
      <c r="G102" s="250"/>
      <c r="I102" s="298"/>
    </row>
    <row r="103" spans="1:13" s="1" customFormat="1" ht="14.4" customHeight="1" x14ac:dyDescent="0.35">
      <c r="A103" s="300"/>
      <c r="B103" s="4"/>
      <c r="C103" s="20"/>
      <c r="D103" s="20"/>
      <c r="E103" s="4"/>
      <c r="F103" s="4"/>
      <c r="G103" s="4"/>
      <c r="I103" s="298"/>
    </row>
    <row r="104" spans="1:13" s="1" customFormat="1" ht="14.4" customHeight="1" thickBot="1" x14ac:dyDescent="0.4">
      <c r="A104" s="46"/>
      <c r="B104" s="4"/>
      <c r="G104" s="43"/>
      <c r="I104" s="298"/>
    </row>
    <row r="105" spans="1:13" s="1" customFormat="1" ht="14.4" customHeight="1" x14ac:dyDescent="0.35">
      <c r="A105" s="297" t="s">
        <v>187</v>
      </c>
      <c r="B105" s="112"/>
      <c r="C105" s="112"/>
      <c r="D105" s="555" t="s">
        <v>209</v>
      </c>
      <c r="E105" s="555"/>
      <c r="F105" s="112"/>
      <c r="G105" s="112"/>
      <c r="I105" s="298"/>
    </row>
    <row r="106" spans="1:13" s="1" customFormat="1" ht="14.4" customHeight="1" x14ac:dyDescent="0.35">
      <c r="A106" s="46"/>
      <c r="B106" s="94"/>
      <c r="C106" s="83" t="s">
        <v>51</v>
      </c>
      <c r="D106" s="83" t="s">
        <v>52</v>
      </c>
      <c r="E106" s="556" t="s">
        <v>54</v>
      </c>
      <c r="F106" s="556"/>
      <c r="G106" s="98" t="s">
        <v>55</v>
      </c>
      <c r="I106" s="298"/>
    </row>
    <row r="107" spans="1:13" s="1" customFormat="1" ht="14.4" customHeight="1" x14ac:dyDescent="0.35">
      <c r="A107" s="516" t="s">
        <v>255</v>
      </c>
      <c r="B107" s="4"/>
      <c r="C107" s="84">
        <v>12</v>
      </c>
      <c r="D107" s="84">
        <v>3739800</v>
      </c>
      <c r="E107" s="244">
        <f>Rates!F38</f>
        <v>3.6099999999999999E-3</v>
      </c>
      <c r="F107" s="45" t="s">
        <v>175</v>
      </c>
      <c r="G107" s="195">
        <f>ROUND(D107*E107,0)</f>
        <v>13501</v>
      </c>
      <c r="I107" s="298"/>
      <c r="K107" s="361" t="s">
        <v>307</v>
      </c>
      <c r="L107" s="361"/>
      <c r="M107" s="361"/>
    </row>
    <row r="108" spans="1:13" s="1" customFormat="1" ht="14.4" customHeight="1" thickBot="1" x14ac:dyDescent="0.4">
      <c r="A108" s="516" t="s">
        <v>256</v>
      </c>
      <c r="B108" s="4"/>
      <c r="C108" s="390">
        <v>12</v>
      </c>
      <c r="D108" s="263">
        <v>7119996</v>
      </c>
      <c r="E108" s="264">
        <f>Rates!F39</f>
        <v>3.2200000000000002E-3</v>
      </c>
      <c r="F108" s="45" t="s">
        <v>175</v>
      </c>
      <c r="G108" s="379">
        <f>ROUND(D108*E108,0)</f>
        <v>22926</v>
      </c>
      <c r="I108" s="298"/>
      <c r="K108" s="361" t="s">
        <v>306</v>
      </c>
      <c r="L108" s="361"/>
    </row>
    <row r="109" spans="1:13" s="1" customFormat="1" ht="14.4" customHeight="1" x14ac:dyDescent="0.35">
      <c r="A109" s="79"/>
      <c r="B109" s="3"/>
      <c r="C109" s="279">
        <f>SUM(C107:C108)</f>
        <v>24</v>
      </c>
      <c r="D109" s="3">
        <f>SUM(D107:D108)</f>
        <v>10859796</v>
      </c>
      <c r="E109" s="280"/>
      <c r="F109" s="280"/>
      <c r="G109" s="279">
        <f>SUM(G107:G108)</f>
        <v>36427</v>
      </c>
      <c r="H109" s="280"/>
      <c r="I109" s="306"/>
    </row>
    <row r="110" spans="1:13" s="1" customFormat="1" ht="14.4" customHeight="1" x14ac:dyDescent="0.35">
      <c r="B110" s="4"/>
      <c r="D110" s="84"/>
      <c r="G110" s="43"/>
    </row>
    <row r="111" spans="1:13" s="1" customFormat="1" ht="14.4" customHeight="1" x14ac:dyDescent="0.35">
      <c r="B111" s="4"/>
      <c r="G111" s="43"/>
    </row>
    <row r="112" spans="1:13" s="1" customFormat="1" ht="14.4" customHeight="1" x14ac:dyDescent="0.35">
      <c r="B112" s="4"/>
      <c r="G112" s="43"/>
    </row>
    <row r="113" spans="2:7" s="1" customFormat="1" ht="14.4" customHeight="1" x14ac:dyDescent="0.35">
      <c r="B113" s="4"/>
      <c r="G113" s="43"/>
    </row>
    <row r="114" spans="2:7" s="1" customFormat="1" ht="14.4" customHeight="1" x14ac:dyDescent="0.35">
      <c r="B114" s="4"/>
      <c r="G114" s="43"/>
    </row>
    <row r="115" spans="2:7" s="1" customFormat="1" ht="14.4" customHeight="1" x14ac:dyDescent="0.35">
      <c r="B115" s="4"/>
      <c r="G115" s="43"/>
    </row>
    <row r="116" spans="2:7" s="1" customFormat="1" ht="14.4" customHeight="1" x14ac:dyDescent="0.35">
      <c r="B116" s="4"/>
      <c r="G116" s="43"/>
    </row>
    <row r="117" spans="2:7" s="1" customFormat="1" ht="14.4" customHeight="1" x14ac:dyDescent="0.35">
      <c r="B117" s="4"/>
      <c r="G117" s="43"/>
    </row>
    <row r="118" spans="2:7" s="1" customFormat="1" ht="14.4" customHeight="1" x14ac:dyDescent="0.35">
      <c r="B118" s="4"/>
      <c r="G118" s="43"/>
    </row>
    <row r="119" spans="2:7" s="1" customFormat="1" ht="14.4" customHeight="1" x14ac:dyDescent="0.35">
      <c r="B119" s="4"/>
      <c r="G119" s="43"/>
    </row>
    <row r="120" spans="2:7" s="1" customFormat="1" ht="14.4" customHeight="1" x14ac:dyDescent="0.35">
      <c r="B120" s="4"/>
      <c r="G120" s="43"/>
    </row>
    <row r="121" spans="2:7" s="1" customFormat="1" ht="14.4" customHeight="1" x14ac:dyDescent="0.35">
      <c r="B121" s="4"/>
      <c r="G121" s="43"/>
    </row>
    <row r="122" spans="2:7" s="1" customFormat="1" ht="14.4" customHeight="1" x14ac:dyDescent="0.35">
      <c r="B122" s="4"/>
      <c r="G122" s="43"/>
    </row>
    <row r="123" spans="2:7" s="1" customFormat="1" ht="14.4" customHeight="1" x14ac:dyDescent="0.35">
      <c r="B123" s="4"/>
      <c r="G123" s="43"/>
    </row>
    <row r="124" spans="2:7" s="1" customFormat="1" ht="14.4" customHeight="1" x14ac:dyDescent="0.35">
      <c r="B124" s="4"/>
      <c r="G124" s="43"/>
    </row>
    <row r="125" spans="2:7" s="1" customFormat="1" ht="14.4" customHeight="1" x14ac:dyDescent="0.35">
      <c r="B125" s="4"/>
      <c r="G125" s="43"/>
    </row>
    <row r="126" spans="2:7" s="1" customFormat="1" ht="14.4" customHeight="1" x14ac:dyDescent="0.35">
      <c r="B126" s="4"/>
      <c r="G126" s="43"/>
    </row>
    <row r="127" spans="2:7" s="1" customFormat="1" ht="14.4" customHeight="1" x14ac:dyDescent="0.35">
      <c r="B127" s="4"/>
      <c r="G127" s="43"/>
    </row>
    <row r="128" spans="2:7" s="1" customFormat="1" ht="14.4" customHeight="1" x14ac:dyDescent="0.35">
      <c r="B128" s="4"/>
      <c r="G128" s="43"/>
    </row>
    <row r="129" spans="2:7" s="1" customFormat="1" ht="14.4" customHeight="1" x14ac:dyDescent="0.35">
      <c r="B129" s="4"/>
      <c r="G129" s="43"/>
    </row>
    <row r="130" spans="2:7" s="1" customFormat="1" ht="14.4" customHeight="1" x14ac:dyDescent="0.35">
      <c r="B130" s="4"/>
      <c r="G130" s="43"/>
    </row>
    <row r="131" spans="2:7" s="1" customFormat="1" ht="14.4" customHeight="1" x14ac:dyDescent="0.35">
      <c r="B131" s="4"/>
      <c r="G131" s="43"/>
    </row>
    <row r="132" spans="2:7" s="1" customFormat="1" ht="14.4" customHeight="1" x14ac:dyDescent="0.35">
      <c r="B132" s="4"/>
      <c r="G132" s="43"/>
    </row>
    <row r="133" spans="2:7" s="1" customFormat="1" ht="14.4" customHeight="1" x14ac:dyDescent="0.35">
      <c r="B133" s="4"/>
      <c r="G133" s="43"/>
    </row>
    <row r="134" spans="2:7" s="1" customFormat="1" ht="14.4" customHeight="1" x14ac:dyDescent="0.35">
      <c r="B134" s="4"/>
      <c r="G134" s="43"/>
    </row>
    <row r="135" spans="2:7" s="1" customFormat="1" ht="14.4" customHeight="1" x14ac:dyDescent="0.35">
      <c r="B135" s="4"/>
      <c r="G135" s="43"/>
    </row>
    <row r="136" spans="2:7" s="1" customFormat="1" ht="14.4" customHeight="1" x14ac:dyDescent="0.35">
      <c r="B136" s="4"/>
      <c r="G136" s="43"/>
    </row>
    <row r="137" spans="2:7" s="1" customFormat="1" ht="14.4" customHeight="1" x14ac:dyDescent="0.35">
      <c r="B137" s="4"/>
      <c r="G137" s="43"/>
    </row>
    <row r="138" spans="2:7" s="1" customFormat="1" ht="14.4" customHeight="1" x14ac:dyDescent="0.35">
      <c r="B138" s="4"/>
      <c r="G138" s="43"/>
    </row>
    <row r="139" spans="2:7" s="1" customFormat="1" ht="14.4" customHeight="1" x14ac:dyDescent="0.35">
      <c r="B139" s="4"/>
      <c r="G139" s="43"/>
    </row>
    <row r="140" spans="2:7" s="1" customFormat="1" ht="14.4" customHeight="1" x14ac:dyDescent="0.35">
      <c r="B140" s="4"/>
      <c r="G140" s="43"/>
    </row>
    <row r="141" spans="2:7" s="1" customFormat="1" ht="14.4" customHeight="1" x14ac:dyDescent="0.35">
      <c r="B141" s="4"/>
      <c r="G141" s="43"/>
    </row>
    <row r="142" spans="2:7" s="1" customFormat="1" ht="14.4" customHeight="1" x14ac:dyDescent="0.35">
      <c r="B142" s="4"/>
      <c r="G142" s="43"/>
    </row>
    <row r="143" spans="2:7" s="1" customFormat="1" ht="14.4" customHeight="1" x14ac:dyDescent="0.35">
      <c r="B143" s="4"/>
      <c r="G143" s="43"/>
    </row>
    <row r="144" spans="2:7" s="1" customFormat="1" ht="14.4" customHeight="1" x14ac:dyDescent="0.35">
      <c r="B144" s="4"/>
      <c r="G144" s="43"/>
    </row>
    <row r="145" spans="2:7" s="1" customFormat="1" ht="14.4" customHeight="1" x14ac:dyDescent="0.35">
      <c r="B145" s="4"/>
      <c r="G145" s="43"/>
    </row>
    <row r="146" spans="2:7" s="1" customFormat="1" ht="14.4" customHeight="1" x14ac:dyDescent="0.35">
      <c r="B146" s="4"/>
      <c r="G146" s="43"/>
    </row>
    <row r="147" spans="2:7" s="1" customFormat="1" ht="14.4" customHeight="1" x14ac:dyDescent="0.35">
      <c r="B147" s="4"/>
      <c r="G147" s="43"/>
    </row>
    <row r="148" spans="2:7" s="1" customFormat="1" ht="14.4" customHeight="1" x14ac:dyDescent="0.35">
      <c r="B148" s="4"/>
      <c r="G148" s="43"/>
    </row>
    <row r="149" spans="2:7" s="1" customFormat="1" ht="14.4" customHeight="1" x14ac:dyDescent="0.35">
      <c r="B149" s="4"/>
      <c r="G149" s="43"/>
    </row>
    <row r="150" spans="2:7" s="1" customFormat="1" ht="14.4" customHeight="1" x14ac:dyDescent="0.35">
      <c r="B150" s="4"/>
      <c r="G150" s="43"/>
    </row>
    <row r="151" spans="2:7" s="1" customFormat="1" ht="14.4" customHeight="1" x14ac:dyDescent="0.35">
      <c r="B151" s="4"/>
      <c r="G151" s="43"/>
    </row>
    <row r="152" spans="2:7" s="1" customFormat="1" ht="14.4" customHeight="1" x14ac:dyDescent="0.35">
      <c r="B152" s="4"/>
      <c r="G152" s="43"/>
    </row>
    <row r="153" spans="2:7" s="1" customFormat="1" ht="14.4" customHeight="1" x14ac:dyDescent="0.35">
      <c r="B153" s="4"/>
      <c r="G153" s="43"/>
    </row>
    <row r="154" spans="2:7" s="1" customFormat="1" ht="14.4" customHeight="1" x14ac:dyDescent="0.35">
      <c r="B154" s="4"/>
      <c r="G154" s="43"/>
    </row>
    <row r="155" spans="2:7" s="1" customFormat="1" ht="14.4" customHeight="1" x14ac:dyDescent="0.35">
      <c r="B155" s="4"/>
      <c r="G155" s="43"/>
    </row>
    <row r="156" spans="2:7" s="1" customFormat="1" ht="14.4" customHeight="1" x14ac:dyDescent="0.35">
      <c r="B156" s="4"/>
      <c r="G156" s="43"/>
    </row>
    <row r="157" spans="2:7" s="1" customFormat="1" ht="14.4" customHeight="1" x14ac:dyDescent="0.35">
      <c r="B157" s="4"/>
      <c r="G157" s="43"/>
    </row>
    <row r="158" spans="2:7" s="1" customFormat="1" ht="14.4" customHeight="1" x14ac:dyDescent="0.35">
      <c r="B158" s="4"/>
      <c r="G158" s="43"/>
    </row>
    <row r="159" spans="2:7" s="1" customFormat="1" ht="14.4" customHeight="1" x14ac:dyDescent="0.35">
      <c r="B159" s="4"/>
      <c r="G159" s="43"/>
    </row>
    <row r="160" spans="2:7" s="1" customFormat="1" ht="14.4" customHeight="1" x14ac:dyDescent="0.35">
      <c r="B160" s="4"/>
      <c r="G160" s="43"/>
    </row>
    <row r="161" spans="2:7" s="1" customFormat="1" ht="14.4" customHeight="1" x14ac:dyDescent="0.35">
      <c r="B161" s="4"/>
      <c r="G161" s="43"/>
    </row>
    <row r="162" spans="2:7" s="1" customFormat="1" ht="14.4" customHeight="1" x14ac:dyDescent="0.35">
      <c r="B162" s="4"/>
      <c r="G162" s="43"/>
    </row>
    <row r="163" spans="2:7" s="1" customFormat="1" ht="14.4" customHeight="1" x14ac:dyDescent="0.35">
      <c r="B163" s="4"/>
      <c r="G163" s="43"/>
    </row>
    <row r="164" spans="2:7" s="1" customFormat="1" ht="14.4" customHeight="1" x14ac:dyDescent="0.35">
      <c r="B164" s="4"/>
      <c r="G164" s="43"/>
    </row>
    <row r="165" spans="2:7" s="1" customFormat="1" ht="14.4" customHeight="1" x14ac:dyDescent="0.35">
      <c r="B165" s="4"/>
      <c r="G165" s="43"/>
    </row>
    <row r="166" spans="2:7" s="1" customFormat="1" ht="14.4" customHeight="1" x14ac:dyDescent="0.35">
      <c r="B166" s="4"/>
      <c r="G166" s="43"/>
    </row>
    <row r="167" spans="2:7" s="1" customFormat="1" ht="14.4" customHeight="1" x14ac:dyDescent="0.35">
      <c r="B167" s="4"/>
      <c r="G167" s="43"/>
    </row>
    <row r="168" spans="2:7" s="1" customFormat="1" ht="14.4" customHeight="1" x14ac:dyDescent="0.35">
      <c r="B168" s="4"/>
      <c r="G168" s="43"/>
    </row>
    <row r="169" spans="2:7" s="1" customFormat="1" ht="14.4" customHeight="1" x14ac:dyDescent="0.35">
      <c r="B169" s="4"/>
      <c r="G169" s="43"/>
    </row>
    <row r="170" spans="2:7" s="1" customFormat="1" ht="14.4" customHeight="1" x14ac:dyDescent="0.35">
      <c r="B170" s="4"/>
      <c r="G170" s="43"/>
    </row>
    <row r="171" spans="2:7" s="1" customFormat="1" ht="14.4" customHeight="1" x14ac:dyDescent="0.35">
      <c r="B171" s="4"/>
      <c r="G171" s="43"/>
    </row>
    <row r="172" spans="2:7" s="1" customFormat="1" ht="14.4" customHeight="1" x14ac:dyDescent="0.35">
      <c r="B172" s="4"/>
      <c r="G172" s="43"/>
    </row>
    <row r="173" spans="2:7" s="1" customFormat="1" ht="14.4" customHeight="1" x14ac:dyDescent="0.35">
      <c r="B173" s="4"/>
      <c r="G173" s="43"/>
    </row>
    <row r="174" spans="2:7" s="1" customFormat="1" ht="14.4" customHeight="1" x14ac:dyDescent="0.35">
      <c r="B174" s="4"/>
      <c r="G174" s="43"/>
    </row>
    <row r="175" spans="2:7" s="1" customFormat="1" ht="14.4" customHeight="1" x14ac:dyDescent="0.35">
      <c r="B175" s="4"/>
      <c r="G175" s="43"/>
    </row>
    <row r="176" spans="2:7" s="1" customFormat="1" ht="14.4" customHeight="1" x14ac:dyDescent="0.35">
      <c r="B176" s="4"/>
      <c r="G176" s="43"/>
    </row>
    <row r="177" spans="2:7" s="1" customFormat="1" ht="14.4" customHeight="1" x14ac:dyDescent="0.35">
      <c r="B177" s="4"/>
      <c r="G177" s="43"/>
    </row>
    <row r="178" spans="2:7" s="1" customFormat="1" ht="14.4" customHeight="1" x14ac:dyDescent="0.35">
      <c r="B178" s="4"/>
      <c r="G178" s="43"/>
    </row>
    <row r="179" spans="2:7" s="1" customFormat="1" ht="14.4" customHeight="1" x14ac:dyDescent="0.35">
      <c r="B179" s="4"/>
      <c r="G179" s="43"/>
    </row>
    <row r="180" spans="2:7" s="1" customFormat="1" ht="14.4" customHeight="1" x14ac:dyDescent="0.35">
      <c r="B180" s="4"/>
      <c r="G180" s="43"/>
    </row>
    <row r="181" spans="2:7" s="1" customFormat="1" ht="14.4" customHeight="1" x14ac:dyDescent="0.35">
      <c r="B181" s="4"/>
      <c r="G181" s="43"/>
    </row>
    <row r="182" spans="2:7" s="1" customFormat="1" ht="14.4" customHeight="1" x14ac:dyDescent="0.35">
      <c r="B182" s="4"/>
      <c r="G182" s="43"/>
    </row>
    <row r="183" spans="2:7" s="1" customFormat="1" ht="14.4" customHeight="1" x14ac:dyDescent="0.35">
      <c r="B183" s="4"/>
      <c r="G183" s="43"/>
    </row>
    <row r="184" spans="2:7" s="1" customFormat="1" ht="14.4" customHeight="1" x14ac:dyDescent="0.35">
      <c r="B184" s="4"/>
      <c r="G184" s="43"/>
    </row>
    <row r="185" spans="2:7" s="1" customFormat="1" ht="14.4" customHeight="1" x14ac:dyDescent="0.35">
      <c r="B185" s="4"/>
      <c r="G185" s="43"/>
    </row>
    <row r="186" spans="2:7" s="1" customFormat="1" ht="14.4" customHeight="1" x14ac:dyDescent="0.35">
      <c r="B186" s="4"/>
      <c r="G186" s="43"/>
    </row>
    <row r="187" spans="2:7" s="1" customFormat="1" ht="14.4" customHeight="1" x14ac:dyDescent="0.35">
      <c r="B187" s="4"/>
      <c r="G187" s="43"/>
    </row>
    <row r="188" spans="2:7" s="1" customFormat="1" ht="14.4" customHeight="1" x14ac:dyDescent="0.35">
      <c r="B188" s="4"/>
      <c r="G188" s="43"/>
    </row>
    <row r="189" spans="2:7" s="1" customFormat="1" ht="14.4" customHeight="1" x14ac:dyDescent="0.35">
      <c r="B189" s="4"/>
      <c r="G189" s="43"/>
    </row>
    <row r="190" spans="2:7" s="1" customFormat="1" ht="14.4" customHeight="1" x14ac:dyDescent="0.35">
      <c r="B190" s="4"/>
      <c r="G190" s="43"/>
    </row>
    <row r="191" spans="2:7" s="1" customFormat="1" ht="14.4" customHeight="1" x14ac:dyDescent="0.35">
      <c r="B191" s="4"/>
      <c r="G191" s="43"/>
    </row>
    <row r="192" spans="2:7" s="1" customFormat="1" ht="14.4" customHeight="1" x14ac:dyDescent="0.35">
      <c r="B192" s="4"/>
      <c r="G192" s="43"/>
    </row>
    <row r="193" spans="2:7" s="1" customFormat="1" ht="14.4" customHeight="1" x14ac:dyDescent="0.35">
      <c r="B193" s="4"/>
      <c r="G193" s="43"/>
    </row>
    <row r="194" spans="2:7" s="1" customFormat="1" ht="14.4" customHeight="1" x14ac:dyDescent="0.35">
      <c r="B194" s="4"/>
      <c r="G194" s="43"/>
    </row>
    <row r="195" spans="2:7" s="1" customFormat="1" ht="14.4" customHeight="1" x14ac:dyDescent="0.35">
      <c r="B195" s="4"/>
      <c r="G195" s="43"/>
    </row>
    <row r="196" spans="2:7" s="1" customFormat="1" ht="14.4" customHeight="1" x14ac:dyDescent="0.35">
      <c r="B196" s="4"/>
      <c r="G196" s="43"/>
    </row>
    <row r="197" spans="2:7" s="1" customFormat="1" ht="14.4" customHeight="1" x14ac:dyDescent="0.35">
      <c r="B197" s="4"/>
      <c r="G197" s="43"/>
    </row>
    <row r="198" spans="2:7" s="1" customFormat="1" ht="14.4" customHeight="1" x14ac:dyDescent="0.35">
      <c r="B198" s="4"/>
      <c r="G198" s="43"/>
    </row>
    <row r="199" spans="2:7" s="1" customFormat="1" ht="14.5" x14ac:dyDescent="0.35">
      <c r="B199" s="4"/>
      <c r="G199" s="43"/>
    </row>
    <row r="200" spans="2:7" s="1" customFormat="1" ht="14.5" x14ac:dyDescent="0.35">
      <c r="B200" s="4"/>
      <c r="G200" s="43"/>
    </row>
    <row r="201" spans="2:7" s="1" customFormat="1" ht="14.5" x14ac:dyDescent="0.35">
      <c r="B201" s="4"/>
      <c r="G201" s="43"/>
    </row>
    <row r="202" spans="2:7" s="1" customFormat="1" ht="14.5" x14ac:dyDescent="0.35">
      <c r="B202" s="4"/>
      <c r="G202" s="43"/>
    </row>
    <row r="203" spans="2:7" s="1" customFormat="1" ht="14.5" x14ac:dyDescent="0.35">
      <c r="B203" s="4"/>
      <c r="G203" s="43"/>
    </row>
    <row r="204" spans="2:7" s="1" customFormat="1" ht="14.5" x14ac:dyDescent="0.35">
      <c r="B204" s="4"/>
      <c r="G204" s="43"/>
    </row>
    <row r="205" spans="2:7" s="1" customFormat="1" ht="14.5" x14ac:dyDescent="0.35">
      <c r="B205" s="4"/>
      <c r="G205" s="43"/>
    </row>
    <row r="206" spans="2:7" s="1" customFormat="1" ht="14.5" x14ac:dyDescent="0.35">
      <c r="B206" s="4"/>
      <c r="G206" s="43"/>
    </row>
    <row r="207" spans="2:7" s="1" customFormat="1" ht="14.5" x14ac:dyDescent="0.35">
      <c r="B207" s="4"/>
      <c r="G207" s="43"/>
    </row>
    <row r="208" spans="2:7" s="1" customFormat="1" ht="14.5" x14ac:dyDescent="0.35">
      <c r="B208" s="4"/>
      <c r="G208" s="43"/>
    </row>
    <row r="209" spans="2:7" s="1" customFormat="1" ht="14.5" x14ac:dyDescent="0.35">
      <c r="B209" s="4"/>
      <c r="G209" s="43"/>
    </row>
    <row r="210" spans="2:7" s="1" customFormat="1" ht="14.5" x14ac:dyDescent="0.35">
      <c r="B210" s="4"/>
      <c r="G210" s="43"/>
    </row>
    <row r="211" spans="2:7" s="1" customFormat="1" ht="14.5" x14ac:dyDescent="0.35">
      <c r="B211" s="4"/>
      <c r="G211" s="43"/>
    </row>
    <row r="212" spans="2:7" s="1" customFormat="1" ht="14.5" x14ac:dyDescent="0.35">
      <c r="B212" s="4"/>
      <c r="G212" s="43"/>
    </row>
    <row r="213" spans="2:7" s="1" customFormat="1" ht="14.5" x14ac:dyDescent="0.35">
      <c r="B213" s="4"/>
      <c r="G213" s="43"/>
    </row>
    <row r="214" spans="2:7" s="1" customFormat="1" ht="14.5" x14ac:dyDescent="0.35">
      <c r="B214" s="4"/>
      <c r="G214" s="43"/>
    </row>
    <row r="215" spans="2:7" s="1" customFormat="1" ht="14.5" x14ac:dyDescent="0.35">
      <c r="B215" s="4"/>
      <c r="G215" s="43"/>
    </row>
    <row r="216" spans="2:7" s="1" customFormat="1" ht="14.5" x14ac:dyDescent="0.35">
      <c r="B216" s="4"/>
      <c r="G216" s="43"/>
    </row>
    <row r="217" spans="2:7" s="1" customFormat="1" ht="14.5" x14ac:dyDescent="0.35">
      <c r="B217" s="4"/>
      <c r="G217" s="43"/>
    </row>
    <row r="218" spans="2:7" s="1" customFormat="1" ht="14.5" x14ac:dyDescent="0.35">
      <c r="B218" s="4"/>
      <c r="G218" s="43"/>
    </row>
    <row r="219" spans="2:7" s="1" customFormat="1" ht="14.5" x14ac:dyDescent="0.35">
      <c r="B219" s="4"/>
      <c r="G219" s="43"/>
    </row>
    <row r="220" spans="2:7" s="1" customFormat="1" ht="14.5" x14ac:dyDescent="0.35">
      <c r="B220" s="4"/>
      <c r="G220" s="43"/>
    </row>
    <row r="221" spans="2:7" s="1" customFormat="1" ht="14.5" x14ac:dyDescent="0.35">
      <c r="B221" s="4"/>
      <c r="G221" s="43"/>
    </row>
    <row r="222" spans="2:7" s="1" customFormat="1" ht="14.5" x14ac:dyDescent="0.35">
      <c r="B222" s="4"/>
      <c r="G222" s="43"/>
    </row>
    <row r="223" spans="2:7" s="1" customFormat="1" ht="14.5" x14ac:dyDescent="0.35">
      <c r="B223" s="4"/>
      <c r="G223" s="43"/>
    </row>
    <row r="224" spans="2:7" s="1" customFormat="1" ht="14.5" x14ac:dyDescent="0.35">
      <c r="B224" s="4"/>
      <c r="G224" s="43"/>
    </row>
    <row r="225" spans="2:7" s="1" customFormat="1" ht="14.5" x14ac:dyDescent="0.35">
      <c r="B225" s="4"/>
      <c r="G225" s="43"/>
    </row>
    <row r="226" spans="2:7" s="1" customFormat="1" ht="14.5" x14ac:dyDescent="0.35">
      <c r="B226" s="4"/>
      <c r="G226" s="43"/>
    </row>
    <row r="227" spans="2:7" s="1" customFormat="1" ht="14.5" x14ac:dyDescent="0.35">
      <c r="B227" s="4"/>
      <c r="G227" s="43"/>
    </row>
    <row r="228" spans="2:7" s="1" customFormat="1" ht="14.5" x14ac:dyDescent="0.35">
      <c r="B228" s="4"/>
      <c r="G228" s="43"/>
    </row>
    <row r="229" spans="2:7" s="1" customFormat="1" ht="14.5" x14ac:dyDescent="0.35">
      <c r="B229" s="4"/>
      <c r="G229" s="43"/>
    </row>
    <row r="230" spans="2:7" s="1" customFormat="1" ht="14.5" x14ac:dyDescent="0.35">
      <c r="B230" s="4"/>
      <c r="G230" s="43"/>
    </row>
    <row r="231" spans="2:7" s="1" customFormat="1" ht="14.5" x14ac:dyDescent="0.35">
      <c r="B231" s="4"/>
      <c r="G231" s="43"/>
    </row>
    <row r="232" spans="2:7" s="1" customFormat="1" ht="14.5" x14ac:dyDescent="0.35">
      <c r="B232" s="4"/>
      <c r="G232" s="43"/>
    </row>
    <row r="233" spans="2:7" s="1" customFormat="1" ht="14.5" x14ac:dyDescent="0.35">
      <c r="B233" s="4"/>
      <c r="G233" s="43"/>
    </row>
    <row r="234" spans="2:7" s="1" customFormat="1" ht="14.5" x14ac:dyDescent="0.35">
      <c r="B234" s="4"/>
      <c r="G234" s="43"/>
    </row>
    <row r="235" spans="2:7" s="1" customFormat="1" ht="14.5" x14ac:dyDescent="0.35">
      <c r="B235" s="4"/>
      <c r="G235" s="43"/>
    </row>
    <row r="236" spans="2:7" s="1" customFormat="1" ht="14.5" x14ac:dyDescent="0.35">
      <c r="B236" s="4"/>
      <c r="G236" s="43"/>
    </row>
    <row r="237" spans="2:7" s="1" customFormat="1" ht="14.5" x14ac:dyDescent="0.35">
      <c r="B237" s="4"/>
      <c r="G237" s="43"/>
    </row>
    <row r="238" spans="2:7" s="1" customFormat="1" ht="14.5" x14ac:dyDescent="0.35">
      <c r="B238" s="4"/>
      <c r="G238" s="43"/>
    </row>
    <row r="239" spans="2:7" s="1" customFormat="1" ht="14.5" x14ac:dyDescent="0.35">
      <c r="B239" s="4"/>
      <c r="G239" s="43"/>
    </row>
    <row r="240" spans="2:7" s="1" customFormat="1" ht="14.5" x14ac:dyDescent="0.35">
      <c r="B240" s="4"/>
      <c r="G240" s="43"/>
    </row>
    <row r="241" spans="2:7" s="1" customFormat="1" ht="14.5" x14ac:dyDescent="0.35">
      <c r="B241" s="4"/>
      <c r="G241" s="43"/>
    </row>
    <row r="242" spans="2:7" s="1" customFormat="1" ht="14.5" x14ac:dyDescent="0.35">
      <c r="B242" s="4"/>
      <c r="G242" s="43"/>
    </row>
    <row r="243" spans="2:7" s="1" customFormat="1" ht="14.5" x14ac:dyDescent="0.35">
      <c r="B243" s="4"/>
      <c r="G243" s="43"/>
    </row>
    <row r="244" spans="2:7" s="1" customFormat="1" ht="14.5" x14ac:dyDescent="0.35">
      <c r="B244" s="4"/>
      <c r="G244" s="43"/>
    </row>
    <row r="245" spans="2:7" s="1" customFormat="1" ht="14.5" x14ac:dyDescent="0.35">
      <c r="B245" s="4"/>
      <c r="G245" s="43"/>
    </row>
    <row r="246" spans="2:7" s="1" customFormat="1" ht="14.5" x14ac:dyDescent="0.35">
      <c r="B246" s="4"/>
      <c r="G246" s="43"/>
    </row>
    <row r="247" spans="2:7" s="1" customFormat="1" ht="14.5" x14ac:dyDescent="0.35">
      <c r="B247" s="4"/>
      <c r="G247" s="43"/>
    </row>
    <row r="248" spans="2:7" s="1" customFormat="1" ht="14.5" x14ac:dyDescent="0.35">
      <c r="B248" s="4"/>
      <c r="G248" s="43"/>
    </row>
    <row r="249" spans="2:7" s="1" customFormat="1" ht="14.5" x14ac:dyDescent="0.35">
      <c r="B249" s="4"/>
      <c r="G249" s="43"/>
    </row>
    <row r="250" spans="2:7" s="1" customFormat="1" ht="14.5" x14ac:dyDescent="0.35">
      <c r="B250" s="4"/>
      <c r="G250" s="43"/>
    </row>
    <row r="251" spans="2:7" s="1" customFormat="1" ht="14.5" x14ac:dyDescent="0.35">
      <c r="B251" s="4"/>
      <c r="G251" s="43"/>
    </row>
    <row r="252" spans="2:7" s="1" customFormat="1" ht="14.5" x14ac:dyDescent="0.35">
      <c r="B252" s="4"/>
      <c r="G252" s="43"/>
    </row>
    <row r="253" spans="2:7" s="1" customFormat="1" ht="14.5" x14ac:dyDescent="0.35">
      <c r="B253" s="4"/>
      <c r="G253" s="43"/>
    </row>
    <row r="254" spans="2:7" s="1" customFormat="1" ht="14.5" x14ac:dyDescent="0.35">
      <c r="B254" s="4"/>
      <c r="G254" s="43"/>
    </row>
    <row r="255" spans="2:7" s="1" customFormat="1" ht="14.5" x14ac:dyDescent="0.35">
      <c r="B255" s="4"/>
      <c r="G255" s="43"/>
    </row>
    <row r="256" spans="2:7" s="1" customFormat="1" ht="14.5" x14ac:dyDescent="0.35">
      <c r="B256" s="4"/>
      <c r="G256" s="43"/>
    </row>
    <row r="257" spans="2:7" s="1" customFormat="1" ht="14.5" x14ac:dyDescent="0.35">
      <c r="B257" s="4"/>
      <c r="G257" s="43"/>
    </row>
    <row r="258" spans="2:7" s="1" customFormat="1" ht="14.5" x14ac:dyDescent="0.35">
      <c r="B258" s="4"/>
      <c r="G258" s="43"/>
    </row>
    <row r="259" spans="2:7" s="1" customFormat="1" ht="14.5" x14ac:dyDescent="0.35">
      <c r="B259" s="4"/>
      <c r="G259" s="43"/>
    </row>
    <row r="260" spans="2:7" s="1" customFormat="1" ht="14.5" x14ac:dyDescent="0.35">
      <c r="B260" s="4"/>
      <c r="G260" s="43"/>
    </row>
    <row r="261" spans="2:7" s="1" customFormat="1" ht="14.5" x14ac:dyDescent="0.35">
      <c r="B261" s="4"/>
      <c r="G261" s="43"/>
    </row>
    <row r="262" spans="2:7" s="1" customFormat="1" ht="14.5" x14ac:dyDescent="0.35">
      <c r="B262" s="4"/>
      <c r="G262" s="43"/>
    </row>
    <row r="263" spans="2:7" s="1" customFormat="1" ht="14.5" x14ac:dyDescent="0.35">
      <c r="B263" s="4"/>
      <c r="G263" s="43"/>
    </row>
    <row r="264" spans="2:7" s="1" customFormat="1" ht="14.5" x14ac:dyDescent="0.35">
      <c r="B264" s="4"/>
      <c r="G264" s="43"/>
    </row>
    <row r="265" spans="2:7" s="1" customFormat="1" ht="14.5" x14ac:dyDescent="0.35">
      <c r="B265" s="4"/>
      <c r="G265" s="43"/>
    </row>
    <row r="266" spans="2:7" s="1" customFormat="1" ht="14.5" x14ac:dyDescent="0.35">
      <c r="B266" s="4"/>
      <c r="G266" s="43"/>
    </row>
    <row r="267" spans="2:7" s="1" customFormat="1" ht="14.5" x14ac:dyDescent="0.35">
      <c r="B267" s="4"/>
      <c r="G267" s="43"/>
    </row>
    <row r="268" spans="2:7" s="1" customFormat="1" ht="14.5" x14ac:dyDescent="0.35">
      <c r="B268" s="4"/>
      <c r="G268" s="43"/>
    </row>
    <row r="269" spans="2:7" s="1" customFormat="1" ht="14.5" x14ac:dyDescent="0.35">
      <c r="B269" s="4"/>
      <c r="G269" s="43"/>
    </row>
    <row r="270" spans="2:7" s="1" customFormat="1" ht="14.5" x14ac:dyDescent="0.35">
      <c r="B270" s="4"/>
      <c r="G270" s="43"/>
    </row>
    <row r="271" spans="2:7" s="1" customFormat="1" ht="14.5" x14ac:dyDescent="0.35">
      <c r="B271" s="4"/>
      <c r="G271" s="43"/>
    </row>
    <row r="272" spans="2:7" s="1" customFormat="1" ht="14.5" x14ac:dyDescent="0.35">
      <c r="B272" s="4"/>
      <c r="G272" s="43"/>
    </row>
    <row r="273" spans="2:7" s="1" customFormat="1" ht="14.5" x14ac:dyDescent="0.35">
      <c r="B273" s="4"/>
      <c r="G273" s="43"/>
    </row>
    <row r="274" spans="2:7" s="1" customFormat="1" ht="14.5" x14ac:dyDescent="0.35">
      <c r="B274" s="4"/>
      <c r="G274" s="43"/>
    </row>
    <row r="275" spans="2:7" s="1" customFormat="1" ht="14.5" x14ac:dyDescent="0.35">
      <c r="B275" s="4"/>
      <c r="G275" s="43"/>
    </row>
    <row r="276" spans="2:7" s="1" customFormat="1" ht="14.5" x14ac:dyDescent="0.35">
      <c r="B276" s="4"/>
      <c r="G276" s="43"/>
    </row>
    <row r="277" spans="2:7" s="1" customFormat="1" ht="14.5" x14ac:dyDescent="0.35">
      <c r="B277" s="4"/>
      <c r="G277" s="43"/>
    </row>
    <row r="278" spans="2:7" s="1" customFormat="1" ht="14.5" x14ac:dyDescent="0.35">
      <c r="B278" s="4"/>
      <c r="G278" s="43"/>
    </row>
    <row r="279" spans="2:7" s="1" customFormat="1" ht="14.5" x14ac:dyDescent="0.35">
      <c r="B279" s="4"/>
      <c r="G279" s="43"/>
    </row>
    <row r="280" spans="2:7" s="1" customFormat="1" ht="14.5" x14ac:dyDescent="0.35">
      <c r="B280" s="4"/>
      <c r="G280" s="43"/>
    </row>
    <row r="281" spans="2:7" s="1" customFormat="1" ht="14.5" x14ac:dyDescent="0.35">
      <c r="B281" s="4"/>
      <c r="G281" s="43"/>
    </row>
    <row r="282" spans="2:7" s="1" customFormat="1" ht="14.5" x14ac:dyDescent="0.35">
      <c r="B282" s="4"/>
      <c r="G282" s="43"/>
    </row>
    <row r="283" spans="2:7" s="1" customFormat="1" ht="14.5" x14ac:dyDescent="0.35">
      <c r="B283" s="4"/>
      <c r="G283" s="43"/>
    </row>
    <row r="284" spans="2:7" s="1" customFormat="1" ht="14.5" x14ac:dyDescent="0.35">
      <c r="B284" s="4"/>
      <c r="G284" s="43"/>
    </row>
    <row r="285" spans="2:7" s="1" customFormat="1" ht="14.5" x14ac:dyDescent="0.35">
      <c r="B285" s="4"/>
      <c r="G285" s="43"/>
    </row>
    <row r="286" spans="2:7" s="1" customFormat="1" ht="14.5" x14ac:dyDescent="0.35">
      <c r="B286" s="4"/>
      <c r="G286" s="43"/>
    </row>
    <row r="287" spans="2:7" s="1" customFormat="1" ht="14.5" x14ac:dyDescent="0.35">
      <c r="B287" s="4"/>
      <c r="G287" s="43"/>
    </row>
    <row r="288" spans="2:7" s="1" customFormat="1" ht="14.5" x14ac:dyDescent="0.35">
      <c r="B288" s="4"/>
      <c r="G288" s="43"/>
    </row>
    <row r="289" spans="2:7" s="1" customFormat="1" ht="14.5" x14ac:dyDescent="0.35">
      <c r="B289" s="4"/>
      <c r="G289" s="43"/>
    </row>
    <row r="290" spans="2:7" s="1" customFormat="1" ht="14.5" x14ac:dyDescent="0.35">
      <c r="B290" s="4"/>
      <c r="G290" s="43"/>
    </row>
    <row r="291" spans="2:7" s="1" customFormat="1" ht="14.5" x14ac:dyDescent="0.35">
      <c r="B291" s="4"/>
      <c r="G291" s="43"/>
    </row>
    <row r="292" spans="2:7" s="1" customFormat="1" ht="14.5" x14ac:dyDescent="0.35">
      <c r="B292" s="4"/>
      <c r="G292" s="43"/>
    </row>
    <row r="293" spans="2:7" s="1" customFormat="1" ht="14.5" x14ac:dyDescent="0.35">
      <c r="B293" s="4"/>
      <c r="G293" s="43"/>
    </row>
    <row r="294" spans="2:7" s="1" customFormat="1" ht="14.5" x14ac:dyDescent="0.35">
      <c r="B294" s="4"/>
      <c r="G294" s="43"/>
    </row>
    <row r="295" spans="2:7" s="1" customFormat="1" ht="14.5" x14ac:dyDescent="0.35">
      <c r="B295" s="4"/>
      <c r="G295" s="43"/>
    </row>
    <row r="296" spans="2:7" s="1" customFormat="1" ht="14.5" x14ac:dyDescent="0.35">
      <c r="B296" s="4"/>
      <c r="G296" s="43"/>
    </row>
    <row r="297" spans="2:7" s="1" customFormat="1" ht="14.5" x14ac:dyDescent="0.35">
      <c r="B297" s="4"/>
      <c r="G297" s="43"/>
    </row>
    <row r="298" spans="2:7" s="1" customFormat="1" ht="14.5" x14ac:dyDescent="0.35">
      <c r="B298" s="4"/>
      <c r="G298" s="43"/>
    </row>
    <row r="299" spans="2:7" s="1" customFormat="1" ht="14.5" x14ac:dyDescent="0.35">
      <c r="B299" s="4"/>
      <c r="G299" s="43"/>
    </row>
    <row r="300" spans="2:7" s="1" customFormat="1" ht="14.5" x14ac:dyDescent="0.35">
      <c r="B300" s="4"/>
      <c r="G300" s="43"/>
    </row>
    <row r="301" spans="2:7" s="1" customFormat="1" ht="14.5" x14ac:dyDescent="0.35">
      <c r="B301" s="4"/>
      <c r="G301" s="43"/>
    </row>
    <row r="302" spans="2:7" s="1" customFormat="1" ht="14.5" x14ac:dyDescent="0.35">
      <c r="B302" s="4"/>
      <c r="G302" s="43"/>
    </row>
    <row r="303" spans="2:7" s="1" customFormat="1" ht="14.5" x14ac:dyDescent="0.35">
      <c r="B303" s="4"/>
      <c r="G303" s="43"/>
    </row>
    <row r="304" spans="2:7" s="1" customFormat="1" ht="14.5" x14ac:dyDescent="0.35">
      <c r="B304" s="4"/>
      <c r="G304" s="43"/>
    </row>
    <row r="305" spans="2:7" s="1" customFormat="1" ht="14.5" x14ac:dyDescent="0.35">
      <c r="B305" s="4"/>
      <c r="G305" s="43"/>
    </row>
    <row r="306" spans="2:7" s="1" customFormat="1" ht="14.5" x14ac:dyDescent="0.35">
      <c r="B306" s="4"/>
      <c r="G306" s="43"/>
    </row>
    <row r="307" spans="2:7" s="1" customFormat="1" ht="14.5" x14ac:dyDescent="0.35">
      <c r="B307" s="4"/>
      <c r="G307" s="43"/>
    </row>
    <row r="308" spans="2:7" s="1" customFormat="1" ht="14.5" x14ac:dyDescent="0.35">
      <c r="B308" s="4"/>
      <c r="G308" s="43"/>
    </row>
    <row r="309" spans="2:7" s="1" customFormat="1" ht="14.5" x14ac:dyDescent="0.35">
      <c r="B309" s="4"/>
      <c r="G309" s="43"/>
    </row>
    <row r="310" spans="2:7" s="1" customFormat="1" ht="14.5" x14ac:dyDescent="0.35">
      <c r="B310" s="4"/>
      <c r="G310" s="43"/>
    </row>
    <row r="311" spans="2:7" s="1" customFormat="1" ht="14.5" x14ac:dyDescent="0.35">
      <c r="B311" s="4"/>
      <c r="G311" s="43"/>
    </row>
    <row r="312" spans="2:7" s="1" customFormat="1" ht="14.5" x14ac:dyDescent="0.35">
      <c r="B312" s="4"/>
      <c r="G312" s="43"/>
    </row>
    <row r="313" spans="2:7" s="1" customFormat="1" ht="14.5" x14ac:dyDescent="0.35">
      <c r="B313" s="4"/>
      <c r="G313" s="43"/>
    </row>
    <row r="314" spans="2:7" s="1" customFormat="1" ht="14.5" x14ac:dyDescent="0.35">
      <c r="B314" s="4"/>
      <c r="G314" s="43"/>
    </row>
    <row r="315" spans="2:7" s="1" customFormat="1" ht="14.5" x14ac:dyDescent="0.35">
      <c r="B315" s="4"/>
      <c r="G315" s="43"/>
    </row>
    <row r="316" spans="2:7" s="1" customFormat="1" ht="14.5" x14ac:dyDescent="0.35">
      <c r="B316" s="4"/>
      <c r="G316" s="43"/>
    </row>
    <row r="317" spans="2:7" s="1" customFormat="1" ht="14.5" x14ac:dyDescent="0.35">
      <c r="B317" s="4"/>
      <c r="G317" s="43"/>
    </row>
    <row r="318" spans="2:7" s="1" customFormat="1" ht="14.5" x14ac:dyDescent="0.35">
      <c r="B318" s="4"/>
      <c r="G318" s="43"/>
    </row>
    <row r="319" spans="2:7" s="1" customFormat="1" ht="14.5" x14ac:dyDescent="0.35">
      <c r="B319" s="4"/>
      <c r="G319" s="43"/>
    </row>
    <row r="320" spans="2:7" s="1" customFormat="1" ht="14.5" x14ac:dyDescent="0.35">
      <c r="B320" s="4"/>
      <c r="G320" s="43"/>
    </row>
    <row r="321" spans="2:7" s="1" customFormat="1" ht="14.5" x14ac:dyDescent="0.35">
      <c r="B321" s="4"/>
      <c r="G321" s="43"/>
    </row>
    <row r="322" spans="2:7" s="1" customFormat="1" ht="14.5" x14ac:dyDescent="0.35">
      <c r="B322" s="4"/>
      <c r="G322" s="43"/>
    </row>
    <row r="323" spans="2:7" s="1" customFormat="1" ht="14.5" x14ac:dyDescent="0.35">
      <c r="B323" s="4"/>
      <c r="G323" s="43"/>
    </row>
    <row r="324" spans="2:7" s="1" customFormat="1" ht="14.5" x14ac:dyDescent="0.35">
      <c r="B324" s="4"/>
      <c r="G324" s="43"/>
    </row>
    <row r="325" spans="2:7" s="1" customFormat="1" ht="14.5" x14ac:dyDescent="0.35">
      <c r="B325" s="4"/>
      <c r="G325" s="43"/>
    </row>
    <row r="326" spans="2:7" s="1" customFormat="1" ht="14.5" x14ac:dyDescent="0.35">
      <c r="B326" s="4"/>
      <c r="G326" s="43"/>
    </row>
    <row r="327" spans="2:7" s="1" customFormat="1" ht="14.5" x14ac:dyDescent="0.35">
      <c r="B327" s="4"/>
      <c r="G327" s="43"/>
    </row>
    <row r="328" spans="2:7" s="1" customFormat="1" ht="14.5" x14ac:dyDescent="0.35">
      <c r="B328" s="4"/>
      <c r="G328" s="43"/>
    </row>
    <row r="329" spans="2:7" s="1" customFormat="1" ht="14.5" x14ac:dyDescent="0.35">
      <c r="B329" s="4"/>
      <c r="G329" s="43"/>
    </row>
    <row r="330" spans="2:7" s="1" customFormat="1" ht="14.5" x14ac:dyDescent="0.35">
      <c r="B330" s="4"/>
      <c r="G330" s="43"/>
    </row>
    <row r="331" spans="2:7" s="1" customFormat="1" ht="14.5" x14ac:dyDescent="0.35">
      <c r="B331" s="4"/>
      <c r="G331" s="43"/>
    </row>
    <row r="332" spans="2:7" s="1" customFormat="1" ht="14.5" x14ac:dyDescent="0.35">
      <c r="B332" s="4"/>
      <c r="G332" s="43"/>
    </row>
    <row r="333" spans="2:7" s="1" customFormat="1" ht="14.5" x14ac:dyDescent="0.35">
      <c r="B333" s="4"/>
      <c r="G333" s="43"/>
    </row>
    <row r="334" spans="2:7" s="1" customFormat="1" ht="14.5" x14ac:dyDescent="0.35">
      <c r="B334" s="4"/>
      <c r="G334" s="43"/>
    </row>
    <row r="335" spans="2:7" s="1" customFormat="1" ht="14.5" x14ac:dyDescent="0.35">
      <c r="B335" s="4"/>
      <c r="G335" s="43"/>
    </row>
    <row r="336" spans="2:7" s="1" customFormat="1" ht="14.5" x14ac:dyDescent="0.35">
      <c r="B336" s="4"/>
      <c r="G336" s="43"/>
    </row>
    <row r="337" spans="2:7" s="1" customFormat="1" ht="14.5" x14ac:dyDescent="0.35">
      <c r="B337" s="4"/>
      <c r="G337" s="43"/>
    </row>
    <row r="338" spans="2:7" s="1" customFormat="1" ht="14.5" x14ac:dyDescent="0.35">
      <c r="B338" s="4"/>
      <c r="G338" s="43"/>
    </row>
    <row r="339" spans="2:7" s="1" customFormat="1" ht="14.5" x14ac:dyDescent="0.35">
      <c r="B339" s="4"/>
      <c r="G339" s="43"/>
    </row>
    <row r="340" spans="2:7" s="1" customFormat="1" ht="14.5" x14ac:dyDescent="0.35">
      <c r="B340" s="4"/>
      <c r="G340" s="43"/>
    </row>
    <row r="341" spans="2:7" s="1" customFormat="1" ht="14.5" x14ac:dyDescent="0.35">
      <c r="B341" s="4"/>
      <c r="G341" s="43"/>
    </row>
    <row r="342" spans="2:7" s="1" customFormat="1" ht="14.5" x14ac:dyDescent="0.35">
      <c r="B342" s="4"/>
      <c r="G342" s="43"/>
    </row>
    <row r="343" spans="2:7" s="1" customFormat="1" ht="14.5" x14ac:dyDescent="0.35">
      <c r="B343" s="4"/>
      <c r="G343" s="43"/>
    </row>
    <row r="344" spans="2:7" s="1" customFormat="1" ht="14.5" x14ac:dyDescent="0.35">
      <c r="B344" s="4"/>
      <c r="G344" s="43"/>
    </row>
    <row r="345" spans="2:7" s="1" customFormat="1" ht="14.5" x14ac:dyDescent="0.35">
      <c r="B345" s="4"/>
      <c r="G345" s="43"/>
    </row>
    <row r="346" spans="2:7" s="1" customFormat="1" ht="14.5" x14ac:dyDescent="0.35">
      <c r="B346" s="4"/>
      <c r="G346" s="43"/>
    </row>
    <row r="347" spans="2:7" s="1" customFormat="1" ht="14.5" x14ac:dyDescent="0.35">
      <c r="B347" s="4"/>
      <c r="G347" s="43"/>
    </row>
    <row r="348" spans="2:7" s="1" customFormat="1" ht="14.5" x14ac:dyDescent="0.35">
      <c r="B348" s="4"/>
      <c r="G348" s="43"/>
    </row>
    <row r="349" spans="2:7" s="1" customFormat="1" ht="14.5" x14ac:dyDescent="0.35">
      <c r="B349" s="4"/>
      <c r="G349" s="43"/>
    </row>
    <row r="350" spans="2:7" s="1" customFormat="1" ht="14.5" x14ac:dyDescent="0.35">
      <c r="B350" s="4"/>
      <c r="G350" s="43"/>
    </row>
    <row r="351" spans="2:7" s="1" customFormat="1" ht="14.5" x14ac:dyDescent="0.35">
      <c r="B351" s="4"/>
      <c r="G351" s="43"/>
    </row>
    <row r="352" spans="2:7" s="1" customFormat="1" ht="14.5" x14ac:dyDescent="0.35">
      <c r="B352" s="4"/>
      <c r="G352" s="43"/>
    </row>
    <row r="353" spans="2:7" s="1" customFormat="1" ht="14.5" x14ac:dyDescent="0.35">
      <c r="B353" s="4"/>
      <c r="G353" s="43"/>
    </row>
    <row r="354" spans="2:7" s="1" customFormat="1" ht="14.5" x14ac:dyDescent="0.35">
      <c r="B354" s="4"/>
      <c r="G354" s="43"/>
    </row>
    <row r="355" spans="2:7" s="1" customFormat="1" ht="14.5" x14ac:dyDescent="0.35">
      <c r="B355" s="4"/>
      <c r="G355" s="43"/>
    </row>
    <row r="356" spans="2:7" s="1" customFormat="1" ht="14.5" x14ac:dyDescent="0.35">
      <c r="B356" s="4"/>
      <c r="G356" s="43"/>
    </row>
    <row r="357" spans="2:7" s="1" customFormat="1" ht="14.5" x14ac:dyDescent="0.35">
      <c r="B357" s="4"/>
      <c r="G357" s="43"/>
    </row>
    <row r="358" spans="2:7" s="1" customFormat="1" ht="14.5" x14ac:dyDescent="0.35">
      <c r="B358" s="4"/>
      <c r="G358" s="43"/>
    </row>
    <row r="359" spans="2:7" s="1" customFormat="1" ht="14.5" x14ac:dyDescent="0.35">
      <c r="B359" s="4"/>
      <c r="G359" s="43"/>
    </row>
    <row r="360" spans="2:7" s="1" customFormat="1" ht="14.5" x14ac:dyDescent="0.35">
      <c r="B360" s="4"/>
      <c r="G360" s="43"/>
    </row>
    <row r="361" spans="2:7" s="1" customFormat="1" ht="14.5" x14ac:dyDescent="0.35">
      <c r="B361" s="4"/>
      <c r="G361" s="43"/>
    </row>
    <row r="362" spans="2:7" s="1" customFormat="1" ht="14.5" x14ac:dyDescent="0.35">
      <c r="B362" s="4"/>
      <c r="G362" s="43"/>
    </row>
    <row r="363" spans="2:7" s="1" customFormat="1" ht="14.5" x14ac:dyDescent="0.35">
      <c r="B363" s="4"/>
      <c r="G363" s="43"/>
    </row>
    <row r="364" spans="2:7" s="1" customFormat="1" ht="14.5" x14ac:dyDescent="0.35">
      <c r="B364" s="4"/>
      <c r="G364" s="43"/>
    </row>
    <row r="365" spans="2:7" s="1" customFormat="1" ht="14.5" x14ac:dyDescent="0.35">
      <c r="B365" s="4"/>
      <c r="G365" s="43"/>
    </row>
    <row r="366" spans="2:7" s="1" customFormat="1" ht="14.5" x14ac:dyDescent="0.35">
      <c r="B366" s="4"/>
      <c r="G366" s="43"/>
    </row>
    <row r="367" spans="2:7" s="1" customFormat="1" ht="14.5" x14ac:dyDescent="0.35">
      <c r="B367" s="4"/>
      <c r="G367" s="43"/>
    </row>
    <row r="368" spans="2:7" s="1" customFormat="1" ht="14.5" x14ac:dyDescent="0.35">
      <c r="B368" s="4"/>
      <c r="G368" s="43"/>
    </row>
    <row r="369" spans="1:9" s="1" customFormat="1" ht="14.5" x14ac:dyDescent="0.35">
      <c r="B369" s="4"/>
      <c r="G369" s="43"/>
    </row>
    <row r="370" spans="1:9" s="1" customFormat="1" ht="14.5" x14ac:dyDescent="0.35">
      <c r="B370" s="4"/>
      <c r="G370" s="43"/>
    </row>
    <row r="371" spans="1:9" s="1" customFormat="1" ht="14.5" x14ac:dyDescent="0.35">
      <c r="B371" s="4"/>
      <c r="G371" s="43"/>
    </row>
    <row r="372" spans="1:9" s="1" customFormat="1" ht="14.5" x14ac:dyDescent="0.35">
      <c r="B372" s="4"/>
      <c r="G372" s="43"/>
    </row>
    <row r="373" spans="1:9" s="1" customFormat="1" ht="14.5" x14ac:dyDescent="0.35">
      <c r="B373" s="4"/>
      <c r="G373" s="43"/>
    </row>
    <row r="374" spans="1:9" s="1" customFormat="1" ht="14.5" x14ac:dyDescent="0.35">
      <c r="B374" s="4"/>
      <c r="G374" s="43"/>
    </row>
    <row r="375" spans="1:9" s="1" customFormat="1" ht="14.5" x14ac:dyDescent="0.35">
      <c r="B375" s="4"/>
      <c r="G375" s="43"/>
    </row>
    <row r="376" spans="1:9" s="1" customFormat="1" ht="14.5" x14ac:dyDescent="0.35">
      <c r="B376" s="4"/>
      <c r="G376" s="43"/>
    </row>
    <row r="377" spans="1:9" x14ac:dyDescent="0.35">
      <c r="A377" s="1"/>
      <c r="B377" s="4"/>
      <c r="C377" s="1"/>
      <c r="D377" s="1"/>
      <c r="E377" s="1"/>
      <c r="F377" s="1"/>
      <c r="G377" s="43"/>
      <c r="H377" s="1"/>
      <c r="I377" s="1"/>
    </row>
    <row r="378" spans="1:9" x14ac:dyDescent="0.35">
      <c r="A378" s="1"/>
      <c r="B378" s="4"/>
      <c r="C378" s="1"/>
      <c r="D378" s="1"/>
      <c r="E378" s="1"/>
      <c r="F378" s="1"/>
      <c r="G378" s="43"/>
      <c r="H378" s="1"/>
      <c r="I378" s="1"/>
    </row>
    <row r="379" spans="1:9" x14ac:dyDescent="0.35">
      <c r="A379" s="1"/>
      <c r="B379" s="4"/>
      <c r="C379" s="1"/>
      <c r="D379" s="1"/>
      <c r="E379" s="1"/>
      <c r="F379" s="1"/>
      <c r="G379" s="43"/>
      <c r="H379" s="1"/>
      <c r="I379" s="1"/>
    </row>
    <row r="380" spans="1:9" x14ac:dyDescent="0.35">
      <c r="A380" s="1"/>
      <c r="B380" s="4"/>
      <c r="C380" s="1"/>
      <c r="D380" s="1"/>
      <c r="E380" s="1"/>
      <c r="F380" s="1"/>
      <c r="G380" s="43"/>
      <c r="H380" s="1"/>
      <c r="I380" s="1"/>
    </row>
    <row r="381" spans="1:9" x14ac:dyDescent="0.35">
      <c r="A381" s="1"/>
      <c r="B381" s="4"/>
      <c r="C381" s="1"/>
      <c r="D381" s="1"/>
      <c r="E381" s="1"/>
      <c r="F381" s="1"/>
      <c r="G381" s="43"/>
      <c r="H381" s="1"/>
      <c r="I381" s="1"/>
    </row>
    <row r="382" spans="1:9" x14ac:dyDescent="0.35">
      <c r="A382" s="1"/>
      <c r="B382" s="4"/>
      <c r="C382" s="1"/>
      <c r="D382" s="1"/>
      <c r="E382" s="1"/>
      <c r="F382" s="1"/>
      <c r="G382" s="43"/>
      <c r="H382" s="1"/>
      <c r="I382" s="1"/>
    </row>
    <row r="383" spans="1:9" x14ac:dyDescent="0.35">
      <c r="A383" s="1"/>
      <c r="B383" s="4"/>
      <c r="C383" s="1"/>
      <c r="D383" s="1"/>
      <c r="E383" s="1"/>
      <c r="F383" s="1"/>
      <c r="G383" s="43"/>
      <c r="H383" s="1"/>
      <c r="I383" s="1"/>
    </row>
    <row r="384" spans="1:9" x14ac:dyDescent="0.35">
      <c r="A384" s="1"/>
      <c r="B384" s="4"/>
      <c r="C384" s="1"/>
      <c r="D384" s="1"/>
      <c r="E384" s="1"/>
      <c r="F384" s="1"/>
      <c r="G384" s="43"/>
      <c r="H384" s="1"/>
      <c r="I384" s="1"/>
    </row>
    <row r="385" spans="1:9" x14ac:dyDescent="0.35">
      <c r="A385" s="1"/>
      <c r="B385" s="4"/>
      <c r="C385" s="1"/>
      <c r="D385" s="1"/>
      <c r="E385" s="1"/>
      <c r="F385" s="1"/>
      <c r="G385" s="43"/>
      <c r="H385" s="1"/>
      <c r="I385" s="1"/>
    </row>
    <row r="386" spans="1:9" x14ac:dyDescent="0.35">
      <c r="A386" s="1"/>
      <c r="B386" s="4"/>
      <c r="C386" s="1"/>
      <c r="D386" s="1"/>
      <c r="E386" s="1"/>
      <c r="F386" s="1"/>
      <c r="G386" s="43"/>
      <c r="H386" s="1"/>
      <c r="I386" s="1"/>
    </row>
    <row r="387" spans="1:9" x14ac:dyDescent="0.35">
      <c r="A387" s="1"/>
      <c r="B387" s="4"/>
      <c r="C387" s="1"/>
      <c r="D387" s="1"/>
      <c r="E387" s="1"/>
      <c r="F387" s="1"/>
      <c r="G387" s="43"/>
      <c r="H387" s="1"/>
      <c r="I387" s="1"/>
    </row>
    <row r="388" spans="1:9" x14ac:dyDescent="0.35">
      <c r="A388" s="1"/>
      <c r="B388" s="4"/>
      <c r="C388" s="1"/>
      <c r="D388" s="1"/>
      <c r="E388" s="1"/>
      <c r="F388" s="1"/>
      <c r="G388" s="43"/>
      <c r="H388" s="1"/>
      <c r="I388" s="1"/>
    </row>
    <row r="389" spans="1:9" x14ac:dyDescent="0.35">
      <c r="A389" s="1"/>
      <c r="B389" s="4"/>
      <c r="C389" s="1"/>
      <c r="D389" s="1"/>
      <c r="E389" s="1"/>
      <c r="F389" s="1"/>
      <c r="G389" s="43"/>
      <c r="H389" s="1"/>
      <c r="I389" s="1"/>
    </row>
  </sheetData>
  <mergeCells count="26">
    <mergeCell ref="M4:N4"/>
    <mergeCell ref="M6:N6"/>
    <mergeCell ref="A1:G1"/>
    <mergeCell ref="A2:G2"/>
    <mergeCell ref="B5:G5"/>
    <mergeCell ref="D32:E32"/>
    <mergeCell ref="D23:E23"/>
    <mergeCell ref="L29:O29"/>
    <mergeCell ref="D99:E99"/>
    <mergeCell ref="M5:N5"/>
    <mergeCell ref="H12:I12"/>
    <mergeCell ref="E34:F34"/>
    <mergeCell ref="D105:E105"/>
    <mergeCell ref="E106:F106"/>
    <mergeCell ref="E51:F51"/>
    <mergeCell ref="D50:E50"/>
    <mergeCell ref="D41:E41"/>
    <mergeCell ref="D66:E66"/>
    <mergeCell ref="D58:E58"/>
    <mergeCell ref="D73:E73"/>
    <mergeCell ref="E67:F67"/>
    <mergeCell ref="E81:F81"/>
    <mergeCell ref="E94:F94"/>
    <mergeCell ref="D80:E80"/>
    <mergeCell ref="D86:E86"/>
    <mergeCell ref="D93:E93"/>
  </mergeCells>
  <pageMargins left="0.7" right="0.7" top="0.75" bottom="0.75" header="0.3" footer="0.3"/>
  <pageSetup scale="63" fitToHeight="8" orientation="landscape" horizontalDpi="4294967293" r:id="rId1"/>
  <rowBreaks count="3" manualBreakCount="3">
    <brk id="39" max="13" man="1"/>
    <brk id="71" max="13" man="1"/>
    <brk id="97"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6B5AF-F650-490E-9EFA-EFA69AED2C73}">
  <sheetPr>
    <tabColor rgb="FF92D050"/>
  </sheetPr>
  <dimension ref="A1:R109"/>
  <sheetViews>
    <sheetView topLeftCell="A90" workbookViewId="0">
      <selection activeCell="H116" sqref="H116"/>
    </sheetView>
  </sheetViews>
  <sheetFormatPr defaultRowHeight="15.5" x14ac:dyDescent="0.35"/>
  <cols>
    <col min="1" max="8" width="12.69140625" customWidth="1"/>
    <col min="9" max="9" width="17.4609375" customWidth="1"/>
    <col min="10" max="10" width="17.07421875" customWidth="1"/>
    <col min="15" max="15" width="12.23046875" customWidth="1"/>
  </cols>
  <sheetData>
    <row r="1" spans="1:18" ht="21" x14ac:dyDescent="0.5">
      <c r="A1" s="562" t="s">
        <v>341</v>
      </c>
      <c r="B1" s="562"/>
      <c r="C1" s="562"/>
      <c r="D1" s="562"/>
      <c r="E1" s="562"/>
      <c r="F1" s="562"/>
      <c r="G1" s="562"/>
      <c r="H1" s="562"/>
      <c r="I1" s="15"/>
      <c r="J1" s="209"/>
      <c r="K1" s="1"/>
    </row>
    <row r="2" spans="1:18" ht="18.5" x14ac:dyDescent="0.35">
      <c r="A2" s="564" t="str">
        <f>SAO!A2</f>
        <v>GREEN-TAYLOR WATER DISTRICT</v>
      </c>
      <c r="B2" s="564"/>
      <c r="C2" s="564"/>
      <c r="D2" s="564"/>
      <c r="E2" s="564"/>
      <c r="F2" s="564"/>
      <c r="G2" s="564"/>
      <c r="H2" s="564"/>
      <c r="I2" s="15"/>
      <c r="J2" s="209"/>
      <c r="K2" s="1"/>
    </row>
    <row r="3" spans="1:18" ht="18.5" x14ac:dyDescent="0.35">
      <c r="A3" s="27"/>
      <c r="B3" s="92"/>
      <c r="C3" s="27"/>
      <c r="D3" s="27"/>
      <c r="E3" s="27"/>
      <c r="F3" s="27"/>
      <c r="G3" s="96"/>
      <c r="H3" s="1"/>
      <c r="I3" s="1"/>
      <c r="J3" s="1"/>
      <c r="K3" s="1"/>
      <c r="L3" s="1"/>
      <c r="M3" s="1"/>
    </row>
    <row r="4" spans="1:18" x14ac:dyDescent="0.35">
      <c r="A4" s="86"/>
      <c r="B4" s="93"/>
      <c r="C4" s="87"/>
      <c r="D4" s="87"/>
      <c r="E4" s="87"/>
      <c r="F4" s="87"/>
      <c r="G4" s="97"/>
      <c r="H4" s="1"/>
      <c r="I4" s="1"/>
      <c r="J4" s="1"/>
      <c r="K4" s="1"/>
      <c r="L4" s="1"/>
      <c r="M4" s="560">
        <v>2025</v>
      </c>
      <c r="N4" s="560"/>
    </row>
    <row r="5" spans="1:18" x14ac:dyDescent="0.35">
      <c r="A5" s="1"/>
      <c r="B5" s="563" t="s">
        <v>49</v>
      </c>
      <c r="C5" s="563"/>
      <c r="D5" s="563"/>
      <c r="E5" s="563"/>
      <c r="F5" s="563"/>
      <c r="G5" s="563"/>
      <c r="H5" s="1"/>
      <c r="I5" s="1"/>
      <c r="J5" s="1"/>
      <c r="K5" s="1"/>
      <c r="L5" s="1"/>
      <c r="M5" s="560" t="s">
        <v>329</v>
      </c>
      <c r="N5" s="560"/>
      <c r="O5" s="356">
        <v>-32748.83</v>
      </c>
      <c r="Q5" s="101"/>
    </row>
    <row r="6" spans="1:18" x14ac:dyDescent="0.35">
      <c r="A6" s="1"/>
      <c r="B6" s="4" t="s">
        <v>109</v>
      </c>
      <c r="C6" s="90"/>
      <c r="D6" s="276" t="s">
        <v>51</v>
      </c>
      <c r="E6" s="276" t="s">
        <v>52</v>
      </c>
      <c r="F6" s="83"/>
      <c r="G6" s="98" t="s">
        <v>55</v>
      </c>
      <c r="H6" s="1"/>
      <c r="I6" s="1"/>
      <c r="J6" s="1"/>
      <c r="K6" s="1"/>
      <c r="L6" s="1"/>
      <c r="M6" s="535" t="s">
        <v>330</v>
      </c>
      <c r="N6" s="535"/>
      <c r="O6" s="422">
        <v>-304024.82</v>
      </c>
      <c r="P6" s="1" t="s">
        <v>340</v>
      </c>
      <c r="Q6" s="1"/>
      <c r="R6" s="1"/>
    </row>
    <row r="7" spans="1:18" x14ac:dyDescent="0.35">
      <c r="A7" s="1"/>
      <c r="B7" s="4" t="s">
        <v>189</v>
      </c>
      <c r="C7" s="1"/>
      <c r="D7" s="119">
        <f>C35+C52+C68+C82+C95</f>
        <v>65461</v>
      </c>
      <c r="E7" s="119">
        <f>D30+D56+D71+D84+D97</f>
        <v>345802316</v>
      </c>
      <c r="F7" s="84"/>
      <c r="G7" s="21">
        <f>G39+G56+G71+G84+G97</f>
        <v>3499048</v>
      </c>
      <c r="H7" s="1"/>
      <c r="I7" s="1"/>
      <c r="J7" s="1"/>
      <c r="K7" s="485"/>
      <c r="L7" s="1"/>
      <c r="M7" s="1"/>
      <c r="N7" s="1"/>
      <c r="O7" s="43">
        <f>SUM(O5:O6)</f>
        <v>-336773.65</v>
      </c>
      <c r="P7" s="1"/>
      <c r="Q7" s="1"/>
      <c r="R7" s="1"/>
    </row>
    <row r="8" spans="1:18" x14ac:dyDescent="0.35">
      <c r="A8" s="1"/>
      <c r="B8" s="4" t="s">
        <v>190</v>
      </c>
      <c r="C8" s="1"/>
      <c r="D8" s="119">
        <f>C109</f>
        <v>24</v>
      </c>
      <c r="E8" s="119">
        <f>D109</f>
        <v>10859796</v>
      </c>
      <c r="F8" s="84"/>
      <c r="G8" s="21">
        <f>G109</f>
        <v>37535</v>
      </c>
      <c r="H8" s="1"/>
      <c r="I8" s="1"/>
      <c r="J8" s="1"/>
      <c r="K8" s="485"/>
      <c r="L8" s="1"/>
      <c r="M8" s="1"/>
      <c r="N8" s="1"/>
      <c r="O8" s="1"/>
      <c r="P8" s="1"/>
      <c r="Q8" s="1"/>
      <c r="R8" s="1"/>
    </row>
    <row r="9" spans="1:18" ht="17" x14ac:dyDescent="0.5">
      <c r="A9" s="1"/>
      <c r="B9" s="4" t="s">
        <v>113</v>
      </c>
      <c r="C9" s="88"/>
      <c r="D9" s="378"/>
      <c r="E9" s="368"/>
      <c r="F9" s="368"/>
      <c r="G9" s="423">
        <f>O7</f>
        <v>-336773.65</v>
      </c>
      <c r="H9" s="1" t="s">
        <v>319</v>
      </c>
      <c r="I9" s="1"/>
      <c r="J9" s="1"/>
      <c r="K9" s="485"/>
      <c r="L9" s="1"/>
      <c r="M9" s="1"/>
      <c r="N9" s="1"/>
      <c r="O9" s="1"/>
      <c r="P9" s="1"/>
      <c r="Q9" s="1"/>
      <c r="R9" s="1"/>
    </row>
    <row r="10" spans="1:18" x14ac:dyDescent="0.35">
      <c r="A10" s="1"/>
      <c r="B10" s="4" t="s">
        <v>114</v>
      </c>
      <c r="C10" s="88"/>
      <c r="D10" s="363">
        <f>SUM(D7:D9)</f>
        <v>65485</v>
      </c>
      <c r="E10" s="84">
        <f>SUM(E7:E9)</f>
        <v>356662112</v>
      </c>
      <c r="F10" s="84"/>
      <c r="G10" s="21">
        <f>SUM(G7:G9)</f>
        <v>3199809.35</v>
      </c>
      <c r="H10" s="1"/>
      <c r="I10" s="1"/>
      <c r="J10" s="1"/>
      <c r="K10" s="485"/>
      <c r="L10" s="1"/>
      <c r="M10" s="1"/>
      <c r="N10" s="1"/>
      <c r="O10" s="1"/>
      <c r="P10" s="1"/>
      <c r="Q10" s="1"/>
      <c r="R10" s="1"/>
    </row>
    <row r="11" spans="1:18" ht="17" hidden="1" x14ac:dyDescent="0.5">
      <c r="A11" s="1"/>
      <c r="B11" s="363"/>
      <c r="C11" s="88"/>
      <c r="D11" s="363"/>
      <c r="E11" s="364"/>
      <c r="F11" s="364"/>
      <c r="G11" s="358">
        <f>SAO!G61</f>
        <v>3152373.3235480837</v>
      </c>
      <c r="H11" s="1" t="s">
        <v>414</v>
      </c>
      <c r="I11" s="1"/>
      <c r="J11" s="1"/>
      <c r="K11" s="1"/>
      <c r="L11" s="1"/>
      <c r="M11" s="1"/>
      <c r="N11" s="1"/>
      <c r="O11" s="1"/>
      <c r="P11" s="1"/>
      <c r="Q11" s="1"/>
      <c r="R11" s="1"/>
    </row>
    <row r="12" spans="1:18" hidden="1" x14ac:dyDescent="0.35">
      <c r="A12" s="1"/>
      <c r="B12" s="363"/>
      <c r="C12" s="88"/>
      <c r="D12" s="1"/>
      <c r="E12" s="84"/>
      <c r="F12" s="84"/>
      <c r="G12" s="504">
        <f>G10-G11</f>
        <v>47436.026451916434</v>
      </c>
      <c r="H12" s="282"/>
      <c r="I12" s="1"/>
      <c r="J12" s="1"/>
      <c r="K12" s="485"/>
      <c r="L12" s="1"/>
      <c r="M12" s="1"/>
      <c r="N12" s="1"/>
      <c r="O12" s="1"/>
      <c r="P12" s="1"/>
      <c r="Q12" s="1"/>
      <c r="R12" s="1"/>
    </row>
    <row r="13" spans="1:18" hidden="1" x14ac:dyDescent="0.35">
      <c r="A13" s="1"/>
      <c r="B13" s="4"/>
      <c r="C13" s="88"/>
      <c r="D13" s="4"/>
      <c r="E13" s="4"/>
      <c r="F13" s="84"/>
      <c r="G13" s="426"/>
      <c r="H13" s="352"/>
      <c r="I13" s="1"/>
      <c r="J13" s="1"/>
      <c r="K13" s="1"/>
    </row>
    <row r="14" spans="1:18" hidden="1" x14ac:dyDescent="0.35">
      <c r="A14" s="1"/>
      <c r="B14" s="4"/>
      <c r="C14" s="88"/>
      <c r="D14" s="4"/>
      <c r="E14" s="4"/>
      <c r="F14" s="84"/>
      <c r="G14" s="427"/>
      <c r="H14" s="352"/>
      <c r="I14" s="1"/>
      <c r="J14" s="1"/>
      <c r="K14" s="1"/>
    </row>
    <row r="15" spans="1:18" ht="17" hidden="1" x14ac:dyDescent="0.5">
      <c r="A15" s="1"/>
      <c r="B15" s="4"/>
      <c r="C15" s="88"/>
      <c r="D15" s="4"/>
      <c r="E15" s="4"/>
      <c r="F15" s="84"/>
      <c r="G15" s="428"/>
      <c r="H15" s="282"/>
      <c r="I15" s="1"/>
      <c r="J15" s="1"/>
      <c r="K15" s="1"/>
    </row>
    <row r="16" spans="1:18" hidden="1" x14ac:dyDescent="0.35">
      <c r="A16" s="1"/>
      <c r="B16" s="4"/>
      <c r="C16" s="88"/>
      <c r="D16" s="4"/>
      <c r="E16" s="4"/>
      <c r="F16" s="84"/>
      <c r="G16" s="427"/>
      <c r="H16" s="352"/>
      <c r="I16" s="1"/>
      <c r="J16" s="1"/>
      <c r="K16" s="1"/>
    </row>
    <row r="17" spans="1:11" hidden="1" x14ac:dyDescent="0.35">
      <c r="A17" s="1"/>
      <c r="B17" s="4"/>
      <c r="C17" s="88"/>
      <c r="D17" s="4"/>
      <c r="E17" s="4"/>
      <c r="F17" s="84"/>
      <c r="G17" s="427"/>
      <c r="H17" s="352"/>
      <c r="I17" s="1"/>
      <c r="J17" s="1"/>
      <c r="K17" s="1"/>
    </row>
    <row r="18" spans="1:11" hidden="1" x14ac:dyDescent="0.35">
      <c r="A18" s="1"/>
      <c r="B18" s="4"/>
      <c r="C18" s="88"/>
      <c r="D18" s="36"/>
      <c r="E18" s="84"/>
      <c r="F18" s="84"/>
      <c r="G18" s="43"/>
      <c r="H18" s="1"/>
      <c r="I18" s="15"/>
      <c r="J18" s="215"/>
      <c r="K18" s="1"/>
    </row>
    <row r="19" spans="1:11" hidden="1" x14ac:dyDescent="0.35"/>
    <row r="20" spans="1:11" hidden="1" x14ac:dyDescent="0.35"/>
    <row r="22" spans="1:11" ht="16" thickBot="1" x14ac:dyDescent="0.4"/>
    <row r="23" spans="1:11" x14ac:dyDescent="0.35">
      <c r="A23" s="253" t="s">
        <v>188</v>
      </c>
      <c r="B23" s="254"/>
      <c r="C23" s="255"/>
      <c r="D23" s="555" t="s">
        <v>183</v>
      </c>
      <c r="E23" s="555"/>
      <c r="F23" s="256"/>
      <c r="G23" s="265"/>
      <c r="H23" s="268"/>
      <c r="I23" s="266"/>
      <c r="J23" s="1"/>
      <c r="K23" s="1"/>
    </row>
    <row r="24" spans="1:11" x14ac:dyDescent="0.35">
      <c r="A24" s="257"/>
      <c r="B24" s="4"/>
      <c r="C24" s="88"/>
      <c r="D24" s="248"/>
      <c r="E24" s="89" t="s">
        <v>177</v>
      </c>
      <c r="F24" s="89" t="s">
        <v>178</v>
      </c>
      <c r="G24" s="89" t="s">
        <v>178</v>
      </c>
      <c r="H24" s="221" t="s">
        <v>179</v>
      </c>
      <c r="I24" s="258"/>
      <c r="J24" s="1"/>
      <c r="K24" s="1"/>
    </row>
    <row r="25" spans="1:11" x14ac:dyDescent="0.35">
      <c r="A25" s="233"/>
      <c r="B25" s="94" t="s">
        <v>50</v>
      </c>
      <c r="C25" s="83" t="s">
        <v>51</v>
      </c>
      <c r="D25" s="83" t="s">
        <v>52</v>
      </c>
      <c r="E25" s="249">
        <f>B26</f>
        <v>2000</v>
      </c>
      <c r="F25" s="249">
        <f>B27</f>
        <v>3000</v>
      </c>
      <c r="G25" s="249">
        <f>B28</f>
        <v>5000</v>
      </c>
      <c r="H25" s="250">
        <f>B29</f>
        <v>10000</v>
      </c>
      <c r="I25" s="374" t="s">
        <v>12</v>
      </c>
      <c r="J25" s="1"/>
      <c r="K25" s="1"/>
    </row>
    <row r="26" spans="1:11" x14ac:dyDescent="0.35">
      <c r="A26" s="259" t="s">
        <v>177</v>
      </c>
      <c r="B26" s="4">
        <f>Rates!D9</f>
        <v>2000</v>
      </c>
      <c r="C26" s="20">
        <f>464+25408</f>
        <v>25872</v>
      </c>
      <c r="D26" s="4">
        <f>340867+25468224</f>
        <v>25809091</v>
      </c>
      <c r="E26" s="250">
        <f>D26</f>
        <v>25809091</v>
      </c>
      <c r="F26" s="250"/>
      <c r="G26" s="250"/>
      <c r="H26" s="250"/>
      <c r="I26" s="260">
        <f>SUM(E26:H26)</f>
        <v>25809091</v>
      </c>
      <c r="J26" s="1"/>
      <c r="K26" s="1"/>
    </row>
    <row r="27" spans="1:11" x14ac:dyDescent="0.35">
      <c r="A27" s="259" t="s">
        <v>178</v>
      </c>
      <c r="B27" s="4">
        <f>Rates!D10</f>
        <v>3000</v>
      </c>
      <c r="C27" s="20">
        <f>114+24304</f>
        <v>24418</v>
      </c>
      <c r="D27" s="4">
        <f>374298+80559981</f>
        <v>80934279</v>
      </c>
      <c r="E27" s="250">
        <f>C27*E25</f>
        <v>48836000</v>
      </c>
      <c r="F27" s="250">
        <f>D27-E27</f>
        <v>32098279</v>
      </c>
      <c r="G27" s="250"/>
      <c r="H27" s="250"/>
      <c r="I27" s="260">
        <f>SUM(E27:H27)</f>
        <v>80934279</v>
      </c>
      <c r="J27" s="1"/>
      <c r="K27" s="1"/>
    </row>
    <row r="28" spans="1:11" x14ac:dyDescent="0.35">
      <c r="A28" s="259" t="s">
        <v>178</v>
      </c>
      <c r="B28" s="4">
        <f>Rates!D11</f>
        <v>5000</v>
      </c>
      <c r="C28" s="20">
        <f>89+10429</f>
        <v>10518</v>
      </c>
      <c r="D28" s="4">
        <f>605608+70621250</f>
        <v>71226858</v>
      </c>
      <c r="E28" s="250">
        <f>C28*E25</f>
        <v>21036000</v>
      </c>
      <c r="F28" s="250">
        <f>C28*F25</f>
        <v>31554000</v>
      </c>
      <c r="G28" s="250">
        <f>D28-E28-F28</f>
        <v>18636858</v>
      </c>
      <c r="H28" s="250"/>
      <c r="I28" s="260">
        <f>SUM(E28:H28)</f>
        <v>71226858</v>
      </c>
      <c r="J28" s="1"/>
      <c r="K28" s="1"/>
    </row>
    <row r="29" spans="1:11" ht="17" x14ac:dyDescent="0.5">
      <c r="A29" s="262" t="s">
        <v>179</v>
      </c>
      <c r="B29" s="4">
        <f>Rates!D12</f>
        <v>10000</v>
      </c>
      <c r="C29" s="85">
        <f>50+3555</f>
        <v>3605</v>
      </c>
      <c r="D29" s="39">
        <f>1441069+124987982</f>
        <v>126429051</v>
      </c>
      <c r="E29" s="39">
        <f>C29*E25</f>
        <v>7210000</v>
      </c>
      <c r="F29" s="39">
        <f>C29*F25</f>
        <v>10815000</v>
      </c>
      <c r="G29" s="39">
        <f>C29*G25</f>
        <v>18025000</v>
      </c>
      <c r="H29" s="39">
        <f>D29-E29-F29-G29</f>
        <v>90379051</v>
      </c>
      <c r="I29" s="261">
        <f>SUM(E29:H29)</f>
        <v>126429051</v>
      </c>
      <c r="J29" s="1"/>
      <c r="K29" s="1"/>
    </row>
    <row r="30" spans="1:11" x14ac:dyDescent="0.35">
      <c r="A30" s="259"/>
      <c r="B30" s="4"/>
      <c r="C30" s="20">
        <f t="shared" ref="C30:I30" si="0">SUM(C26:C29)</f>
        <v>64413</v>
      </c>
      <c r="D30" s="4">
        <f t="shared" si="0"/>
        <v>304399279</v>
      </c>
      <c r="E30" s="4">
        <f t="shared" si="0"/>
        <v>102891091</v>
      </c>
      <c r="F30" s="4">
        <f t="shared" si="0"/>
        <v>74467279</v>
      </c>
      <c r="G30" s="4">
        <f t="shared" si="0"/>
        <v>36661858</v>
      </c>
      <c r="H30" s="4">
        <f t="shared" si="0"/>
        <v>90379051</v>
      </c>
      <c r="I30" s="260">
        <f t="shared" si="0"/>
        <v>304399279</v>
      </c>
      <c r="J30" s="1"/>
      <c r="K30" s="1"/>
    </row>
    <row r="31" spans="1:11" x14ac:dyDescent="0.35">
      <c r="A31" s="233"/>
      <c r="B31" s="4"/>
      <c r="C31" s="88"/>
      <c r="D31" s="36"/>
      <c r="E31" s="84"/>
      <c r="F31" s="84"/>
      <c r="G31" s="43"/>
      <c r="H31" s="1"/>
      <c r="I31" s="258"/>
      <c r="J31" s="1"/>
      <c r="K31" s="1"/>
    </row>
    <row r="32" spans="1:11" x14ac:dyDescent="0.35">
      <c r="A32" s="257" t="s">
        <v>187</v>
      </c>
      <c r="B32" s="1"/>
      <c r="C32" s="1"/>
      <c r="D32" s="557" t="s">
        <v>183</v>
      </c>
      <c r="E32" s="557"/>
      <c r="F32" s="112"/>
      <c r="G32" s="112"/>
      <c r="H32" s="4"/>
      <c r="I32" s="272"/>
      <c r="J32" s="1"/>
      <c r="K32" s="355"/>
    </row>
    <row r="33" spans="1:11" x14ac:dyDescent="0.35">
      <c r="A33" s="257"/>
      <c r="B33" s="1"/>
      <c r="C33" s="1"/>
      <c r="D33" s="248"/>
      <c r="E33" s="248"/>
      <c r="F33" s="112"/>
      <c r="G33" s="112"/>
      <c r="H33" s="4"/>
      <c r="I33" s="272"/>
      <c r="J33" s="1"/>
      <c r="K33" s="355"/>
    </row>
    <row r="34" spans="1:11" x14ac:dyDescent="0.35">
      <c r="A34" s="233"/>
      <c r="B34" s="94" t="s">
        <v>50</v>
      </c>
      <c r="C34" s="83" t="s">
        <v>51</v>
      </c>
      <c r="D34" s="83" t="s">
        <v>52</v>
      </c>
      <c r="E34" s="556" t="s">
        <v>54</v>
      </c>
      <c r="F34" s="556"/>
      <c r="G34" s="98" t="s">
        <v>55</v>
      </c>
      <c r="H34" s="1"/>
      <c r="I34" s="258"/>
      <c r="J34" s="1"/>
      <c r="K34" s="355"/>
    </row>
    <row r="35" spans="1:11" x14ac:dyDescent="0.35">
      <c r="A35" s="259" t="s">
        <v>177</v>
      </c>
      <c r="B35" s="4">
        <f>Rates!D9</f>
        <v>2000</v>
      </c>
      <c r="C35" s="20">
        <f>C30</f>
        <v>64413</v>
      </c>
      <c r="D35" s="20">
        <f>E30</f>
        <v>102891091</v>
      </c>
      <c r="E35" s="222">
        <f>Rates!H9</f>
        <v>24.78</v>
      </c>
      <c r="F35" s="45" t="s">
        <v>105</v>
      </c>
      <c r="G35" s="99">
        <f>ROUND(C35*E35,0)</f>
        <v>1596154</v>
      </c>
      <c r="H35" s="1"/>
      <c r="I35" s="258"/>
      <c r="J35" s="1"/>
      <c r="K35" s="485"/>
    </row>
    <row r="36" spans="1:11" x14ac:dyDescent="0.35">
      <c r="A36" s="259" t="s">
        <v>178</v>
      </c>
      <c r="B36" s="4">
        <f>Rates!D10</f>
        <v>3000</v>
      </c>
      <c r="C36" s="20"/>
      <c r="D36" s="20">
        <f>F30</f>
        <v>74467279</v>
      </c>
      <c r="E36" s="223">
        <f>Rates!H10</f>
        <v>1.0489999999999999E-2</v>
      </c>
      <c r="F36" s="45" t="s">
        <v>175</v>
      </c>
      <c r="G36" s="99">
        <f>ROUND(D36*E36,0)</f>
        <v>781162</v>
      </c>
      <c r="H36" s="1"/>
      <c r="I36" s="258"/>
      <c r="J36" s="1"/>
      <c r="K36" s="485"/>
    </row>
    <row r="37" spans="1:11" x14ac:dyDescent="0.35">
      <c r="A37" s="259" t="s">
        <v>178</v>
      </c>
      <c r="B37" s="4">
        <f>Rates!D11</f>
        <v>5000</v>
      </c>
      <c r="C37" s="20"/>
      <c r="D37" s="20">
        <f>G30</f>
        <v>36661858</v>
      </c>
      <c r="E37" s="223">
        <f>Rates!H11</f>
        <v>8.5699999999999995E-3</v>
      </c>
      <c r="F37" s="45" t="s">
        <v>175</v>
      </c>
      <c r="G37" s="99">
        <f t="shared" ref="G37:G38" si="1">ROUND(D37*E37,0)</f>
        <v>314192</v>
      </c>
      <c r="H37" s="1"/>
      <c r="I37" s="258"/>
      <c r="J37" s="1"/>
      <c r="K37" s="485"/>
    </row>
    <row r="38" spans="1:11" ht="17" x14ac:dyDescent="0.5">
      <c r="A38" s="262" t="s">
        <v>179</v>
      </c>
      <c r="B38" s="4">
        <f>Rates!D12</f>
        <v>10000</v>
      </c>
      <c r="C38" s="85"/>
      <c r="D38" s="85">
        <f>H30</f>
        <v>90379051</v>
      </c>
      <c r="E38" s="223">
        <f>Rates!H12</f>
        <v>5.7999999999999996E-3</v>
      </c>
      <c r="F38" s="45" t="s">
        <v>175</v>
      </c>
      <c r="G38" s="100">
        <f t="shared" si="1"/>
        <v>524198</v>
      </c>
      <c r="H38" s="1"/>
      <c r="I38" s="258"/>
      <c r="J38" s="1"/>
      <c r="K38" s="485"/>
    </row>
    <row r="39" spans="1:11" ht="16" thickBot="1" x14ac:dyDescent="0.4">
      <c r="A39" s="270"/>
      <c r="B39" s="263"/>
      <c r="C39" s="271"/>
      <c r="D39" s="273">
        <f>SUM(D35:D38)</f>
        <v>304399279</v>
      </c>
      <c r="E39" s="271"/>
      <c r="F39" s="271"/>
      <c r="G39" s="269">
        <f>SUM(G35:G38)</f>
        <v>3215706</v>
      </c>
      <c r="H39" s="264"/>
      <c r="I39" s="267"/>
      <c r="J39" s="1"/>
      <c r="K39" s="485"/>
    </row>
    <row r="40" spans="1:11" x14ac:dyDescent="0.35">
      <c r="A40" s="89"/>
      <c r="B40" s="4"/>
      <c r="C40" s="20"/>
      <c r="D40" s="245"/>
      <c r="E40" s="20"/>
      <c r="F40" s="20"/>
      <c r="G40" s="99"/>
      <c r="H40" s="1"/>
      <c r="I40" s="1"/>
      <c r="J40" s="1"/>
      <c r="K40" s="1"/>
    </row>
    <row r="41" spans="1:11" x14ac:dyDescent="0.35">
      <c r="A41" s="291" t="s">
        <v>188</v>
      </c>
      <c r="B41" s="7"/>
      <c r="C41" s="292"/>
      <c r="D41" s="558" t="s">
        <v>184</v>
      </c>
      <c r="E41" s="558"/>
      <c r="F41" s="293"/>
      <c r="G41" s="294"/>
      <c r="H41" s="295"/>
      <c r="I41" s="296"/>
      <c r="J41" s="1"/>
      <c r="K41" s="1"/>
    </row>
    <row r="42" spans="1:11" x14ac:dyDescent="0.35">
      <c r="A42" s="297"/>
      <c r="B42" s="4"/>
      <c r="C42" s="88"/>
      <c r="D42" s="248"/>
      <c r="E42" s="89" t="s">
        <v>177</v>
      </c>
      <c r="F42" s="89" t="s">
        <v>178</v>
      </c>
      <c r="G42" s="89" t="s">
        <v>178</v>
      </c>
      <c r="H42" s="221" t="s">
        <v>179</v>
      </c>
      <c r="I42" s="298"/>
      <c r="J42" s="1"/>
      <c r="K42" s="1"/>
    </row>
    <row r="43" spans="1:11" x14ac:dyDescent="0.35">
      <c r="A43" s="46"/>
      <c r="B43" s="94" t="s">
        <v>50</v>
      </c>
      <c r="C43" s="83" t="s">
        <v>51</v>
      </c>
      <c r="D43" s="83" t="s">
        <v>52</v>
      </c>
      <c r="E43" s="249">
        <f>B44</f>
        <v>3000</v>
      </c>
      <c r="F43" s="249">
        <f>B45</f>
        <v>2000</v>
      </c>
      <c r="G43" s="249">
        <f>B46</f>
        <v>5000</v>
      </c>
      <c r="H43" s="250">
        <f>B47</f>
        <v>10000</v>
      </c>
      <c r="I43" s="299" t="s">
        <v>12</v>
      </c>
      <c r="J43" s="1"/>
      <c r="K43" s="1"/>
    </row>
    <row r="44" spans="1:11" x14ac:dyDescent="0.35">
      <c r="A44" s="300" t="s">
        <v>177</v>
      </c>
      <c r="B44" s="4">
        <f>Rates!D15</f>
        <v>3000</v>
      </c>
      <c r="C44" s="20"/>
      <c r="D44" s="4"/>
      <c r="E44" s="250">
        <f>D44</f>
        <v>0</v>
      </c>
      <c r="F44" s="250"/>
      <c r="G44" s="250"/>
      <c r="H44" s="250"/>
      <c r="I44" s="10">
        <f>SUM(E44:H44)</f>
        <v>0</v>
      </c>
      <c r="J44" s="1"/>
      <c r="K44" s="1"/>
    </row>
    <row r="45" spans="1:11" x14ac:dyDescent="0.35">
      <c r="A45" s="300" t="s">
        <v>178</v>
      </c>
      <c r="B45" s="4">
        <f>Rates!D16</f>
        <v>2000</v>
      </c>
      <c r="C45" s="20"/>
      <c r="D45" s="4"/>
      <c r="E45" s="250">
        <f>C45*E43</f>
        <v>0</v>
      </c>
      <c r="F45" s="250">
        <f>D45-E45</f>
        <v>0</v>
      </c>
      <c r="G45" s="250"/>
      <c r="H45" s="250"/>
      <c r="I45" s="10">
        <f>SUM(E45:H45)</f>
        <v>0</v>
      </c>
      <c r="J45" s="1"/>
      <c r="K45" s="1"/>
    </row>
    <row r="46" spans="1:11" x14ac:dyDescent="0.35">
      <c r="A46" s="300" t="s">
        <v>178</v>
      </c>
      <c r="B46" s="4">
        <f>Rates!D17</f>
        <v>5000</v>
      </c>
      <c r="C46" s="20"/>
      <c r="D46" s="4"/>
      <c r="E46" s="250">
        <f>C46*E43</f>
        <v>0</v>
      </c>
      <c r="F46" s="250">
        <f>C46*F43</f>
        <v>0</v>
      </c>
      <c r="G46" s="250">
        <f>D46-E46-F46</f>
        <v>0</v>
      </c>
      <c r="H46" s="250"/>
      <c r="I46" s="10">
        <f>SUM(E46:H46)</f>
        <v>0</v>
      </c>
      <c r="J46" s="1"/>
      <c r="K46" s="1"/>
    </row>
    <row r="47" spans="1:11" ht="17" x14ac:dyDescent="0.5">
      <c r="A47" s="300" t="s">
        <v>179</v>
      </c>
      <c r="B47" s="4">
        <f>Rates!D18</f>
        <v>10000</v>
      </c>
      <c r="C47" s="85"/>
      <c r="D47" s="39"/>
      <c r="E47" s="39">
        <f>C47*E43</f>
        <v>0</v>
      </c>
      <c r="F47" s="39">
        <f>C47*F43</f>
        <v>0</v>
      </c>
      <c r="G47" s="39">
        <f>C47*G43</f>
        <v>0</v>
      </c>
      <c r="H47" s="39">
        <f>D47-E47-F47-G47</f>
        <v>0</v>
      </c>
      <c r="I47" s="301">
        <f>SUM(E47:H47)</f>
        <v>0</v>
      </c>
      <c r="J47" s="1"/>
      <c r="K47" s="1"/>
    </row>
    <row r="48" spans="1:11" x14ac:dyDescent="0.35">
      <c r="A48" s="300"/>
      <c r="B48" s="4"/>
      <c r="C48" s="20">
        <f t="shared" ref="C48:I48" si="2">SUM(C44:C47)</f>
        <v>0</v>
      </c>
      <c r="D48" s="4">
        <f t="shared" si="2"/>
        <v>0</v>
      </c>
      <c r="E48" s="4">
        <f t="shared" si="2"/>
        <v>0</v>
      </c>
      <c r="F48" s="4">
        <f t="shared" si="2"/>
        <v>0</v>
      </c>
      <c r="G48" s="4">
        <f t="shared" si="2"/>
        <v>0</v>
      </c>
      <c r="H48" s="4">
        <f t="shared" si="2"/>
        <v>0</v>
      </c>
      <c r="I48" s="10">
        <f t="shared" si="2"/>
        <v>0</v>
      </c>
      <c r="J48" s="1"/>
      <c r="K48" s="1"/>
    </row>
    <row r="49" spans="1:11" x14ac:dyDescent="0.35">
      <c r="A49" s="300"/>
      <c r="B49" s="517" t="s">
        <v>316</v>
      </c>
      <c r="C49" s="519"/>
      <c r="D49" s="519"/>
      <c r="E49" s="519"/>
      <c r="F49" s="519"/>
      <c r="G49" s="99"/>
      <c r="H49" s="1"/>
      <c r="I49" s="298"/>
      <c r="J49" s="1"/>
      <c r="K49" s="1"/>
    </row>
    <row r="50" spans="1:11" x14ac:dyDescent="0.35">
      <c r="A50" s="297" t="s">
        <v>187</v>
      </c>
      <c r="B50" s="1"/>
      <c r="C50" s="112"/>
      <c r="D50" s="557" t="s">
        <v>184</v>
      </c>
      <c r="E50" s="557"/>
      <c r="F50" s="112"/>
      <c r="G50" s="112"/>
      <c r="H50" s="4"/>
      <c r="I50" s="302"/>
      <c r="J50" s="1"/>
      <c r="K50" s="1"/>
    </row>
    <row r="51" spans="1:11" x14ac:dyDescent="0.35">
      <c r="A51" s="46"/>
      <c r="B51" s="94" t="s">
        <v>50</v>
      </c>
      <c r="C51" s="83" t="s">
        <v>51</v>
      </c>
      <c r="D51" s="83" t="s">
        <v>52</v>
      </c>
      <c r="E51" s="556" t="s">
        <v>54</v>
      </c>
      <c r="F51" s="556"/>
      <c r="G51" s="98" t="s">
        <v>55</v>
      </c>
      <c r="H51" s="4"/>
      <c r="I51" s="302"/>
      <c r="J51" s="1"/>
      <c r="K51" s="1"/>
    </row>
    <row r="52" spans="1:11" x14ac:dyDescent="0.35">
      <c r="A52" s="300" t="s">
        <v>177</v>
      </c>
      <c r="B52" s="4">
        <f>Rates!D15</f>
        <v>3000</v>
      </c>
      <c r="C52" s="20">
        <f>C48</f>
        <v>0</v>
      </c>
      <c r="D52" s="20">
        <f>E48</f>
        <v>0</v>
      </c>
      <c r="E52" s="222">
        <f>Rates!H15</f>
        <v>35.270000000000003</v>
      </c>
      <c r="F52" s="45" t="s">
        <v>105</v>
      </c>
      <c r="G52" s="99">
        <f>ROUND(C52*E52,0)</f>
        <v>0</v>
      </c>
      <c r="H52" s="1"/>
      <c r="I52" s="298"/>
      <c r="J52" s="1"/>
      <c r="K52" s="1"/>
    </row>
    <row r="53" spans="1:11" x14ac:dyDescent="0.35">
      <c r="A53" s="300" t="s">
        <v>178</v>
      </c>
      <c r="B53" s="4">
        <f>Rates!D16</f>
        <v>2000</v>
      </c>
      <c r="C53" s="20"/>
      <c r="D53" s="20">
        <f>F48</f>
        <v>0</v>
      </c>
      <c r="E53" s="223">
        <f>Rates!H16</f>
        <v>1.0489999999999999E-2</v>
      </c>
      <c r="F53" s="45" t="s">
        <v>175</v>
      </c>
      <c r="G53" s="99">
        <f t="shared" ref="G53:G55" si="3">ROUND(D53*E53,0)</f>
        <v>0</v>
      </c>
      <c r="H53" s="1"/>
      <c r="I53" s="298"/>
      <c r="J53" s="1"/>
      <c r="K53" s="1"/>
    </row>
    <row r="54" spans="1:11" x14ac:dyDescent="0.35">
      <c r="A54" s="300" t="s">
        <v>178</v>
      </c>
      <c r="B54" s="4">
        <f>Rates!D17</f>
        <v>5000</v>
      </c>
      <c r="C54" s="20"/>
      <c r="D54" s="20">
        <f>G48</f>
        <v>0</v>
      </c>
      <c r="E54" s="223">
        <f>Rates!H17</f>
        <v>8.5699999999999995E-3</v>
      </c>
      <c r="F54" s="45" t="s">
        <v>175</v>
      </c>
      <c r="G54" s="99">
        <f t="shared" si="3"/>
        <v>0</v>
      </c>
      <c r="H54" s="1"/>
      <c r="I54" s="298"/>
      <c r="J54" s="1"/>
      <c r="K54" s="1"/>
    </row>
    <row r="55" spans="1:11" ht="17" x14ac:dyDescent="0.5">
      <c r="A55" s="303" t="s">
        <v>179</v>
      </c>
      <c r="B55" s="4">
        <f>Rates!D18</f>
        <v>10000</v>
      </c>
      <c r="C55" s="85"/>
      <c r="D55" s="85">
        <f>H48</f>
        <v>0</v>
      </c>
      <c r="E55" s="223">
        <f>Rates!H18</f>
        <v>5.7999999999999996E-3</v>
      </c>
      <c r="F55" s="45" t="s">
        <v>175</v>
      </c>
      <c r="G55" s="100">
        <f t="shared" si="3"/>
        <v>0</v>
      </c>
      <c r="H55" s="1"/>
      <c r="I55" s="298"/>
      <c r="J55" s="1"/>
      <c r="K55" s="1"/>
    </row>
    <row r="56" spans="1:11" x14ac:dyDescent="0.35">
      <c r="A56" s="304"/>
      <c r="B56" s="3"/>
      <c r="C56" s="200"/>
      <c r="D56" s="3">
        <f>SUM(D52:D55)</f>
        <v>0</v>
      </c>
      <c r="E56" s="200"/>
      <c r="F56" s="200"/>
      <c r="G56" s="305">
        <f>G52+G55</f>
        <v>0</v>
      </c>
      <c r="H56" s="280"/>
      <c r="I56" s="306"/>
      <c r="J56" s="1"/>
      <c r="K56" s="1"/>
    </row>
    <row r="57" spans="1:11" x14ac:dyDescent="0.35">
      <c r="A57" s="89"/>
      <c r="B57" s="4"/>
      <c r="C57" s="20"/>
      <c r="D57" s="4"/>
      <c r="E57" s="20"/>
      <c r="F57" s="20"/>
      <c r="G57" s="99"/>
      <c r="H57" s="1"/>
      <c r="I57" s="258"/>
      <c r="J57" s="1"/>
      <c r="K57" s="1"/>
    </row>
    <row r="58" spans="1:11" x14ac:dyDescent="0.35">
      <c r="A58" s="291" t="s">
        <v>188</v>
      </c>
      <c r="B58" s="7"/>
      <c r="C58" s="292"/>
      <c r="D58" s="558" t="s">
        <v>110</v>
      </c>
      <c r="E58" s="558"/>
      <c r="F58" s="293"/>
      <c r="G58" s="294"/>
      <c r="H58" s="295"/>
      <c r="I58" s="296"/>
      <c r="J58" s="1"/>
      <c r="K58" s="1"/>
    </row>
    <row r="59" spans="1:11" x14ac:dyDescent="0.35">
      <c r="A59" s="297"/>
      <c r="B59" s="4"/>
      <c r="C59" s="88"/>
      <c r="D59" s="248"/>
      <c r="E59" s="89" t="s">
        <v>177</v>
      </c>
      <c r="F59" s="89" t="s">
        <v>178</v>
      </c>
      <c r="G59" s="89" t="s">
        <v>179</v>
      </c>
      <c r="H59" s="1"/>
      <c r="I59" s="298"/>
      <c r="J59" s="1"/>
      <c r="K59" s="1"/>
    </row>
    <row r="60" spans="1:11" x14ac:dyDescent="0.35">
      <c r="A60" s="46"/>
      <c r="B60" s="94" t="s">
        <v>50</v>
      </c>
      <c r="C60" s="83" t="s">
        <v>51</v>
      </c>
      <c r="D60" s="83" t="s">
        <v>52</v>
      </c>
      <c r="E60" s="249">
        <f>B61</f>
        <v>5000</v>
      </c>
      <c r="F60" s="249">
        <f>B62</f>
        <v>5000</v>
      </c>
      <c r="G60" s="249">
        <f>B63</f>
        <v>10000</v>
      </c>
      <c r="H60" s="89" t="s">
        <v>12</v>
      </c>
      <c r="I60" s="298"/>
      <c r="J60" s="1"/>
      <c r="K60" s="1"/>
    </row>
    <row r="61" spans="1:11" x14ac:dyDescent="0.35">
      <c r="A61" s="300" t="s">
        <v>177</v>
      </c>
      <c r="B61" s="4">
        <f>Rates!D21</f>
        <v>5000</v>
      </c>
      <c r="C61" s="20">
        <f>445+22</f>
        <v>467</v>
      </c>
      <c r="D61" s="4">
        <f>1171543+44165</f>
        <v>1215708</v>
      </c>
      <c r="E61" s="250">
        <f>D61</f>
        <v>1215708</v>
      </c>
      <c r="F61" s="250"/>
      <c r="G61" s="250"/>
      <c r="H61" s="4">
        <f>SUM(D61:G61)</f>
        <v>2431416</v>
      </c>
      <c r="I61" s="298"/>
      <c r="J61" s="1"/>
      <c r="K61" s="1"/>
    </row>
    <row r="62" spans="1:11" x14ac:dyDescent="0.35">
      <c r="A62" s="300" t="s">
        <v>178</v>
      </c>
      <c r="B62" s="4">
        <f>Rates!D22</f>
        <v>5000</v>
      </c>
      <c r="C62" s="20">
        <f>170+18</f>
        <v>188</v>
      </c>
      <c r="D62" s="4">
        <f>1241199+121540</f>
        <v>1362739</v>
      </c>
      <c r="E62" s="250">
        <f>C62*E60</f>
        <v>940000</v>
      </c>
      <c r="F62" s="250">
        <f>D62-E62</f>
        <v>422739</v>
      </c>
      <c r="G62" s="250"/>
      <c r="H62" s="4">
        <f>SUM(D62:G62)</f>
        <v>2725478</v>
      </c>
      <c r="I62" s="298"/>
      <c r="J62" s="1"/>
      <c r="K62" s="1"/>
    </row>
    <row r="63" spans="1:11" ht="17" x14ac:dyDescent="0.5">
      <c r="A63" s="300" t="s">
        <v>179</v>
      </c>
      <c r="B63" s="4">
        <f>Rates!D23</f>
        <v>10000</v>
      </c>
      <c r="C63" s="85">
        <f>129+38</f>
        <v>167</v>
      </c>
      <c r="D63" s="39">
        <f>3438302+3699112</f>
        <v>7137414</v>
      </c>
      <c r="E63" s="251">
        <f>C63*E60</f>
        <v>835000</v>
      </c>
      <c r="F63" s="251">
        <f>C63*F60</f>
        <v>835000</v>
      </c>
      <c r="G63" s="251">
        <f>D63-E63-F63</f>
        <v>5467414</v>
      </c>
      <c r="H63" s="39">
        <f>SUM(E63:G63)</f>
        <v>7137414</v>
      </c>
      <c r="I63" s="298"/>
      <c r="J63" s="1"/>
      <c r="K63" s="1"/>
    </row>
    <row r="64" spans="1:11" x14ac:dyDescent="0.35">
      <c r="A64" s="300"/>
      <c r="B64" s="4"/>
      <c r="C64" s="20">
        <f>SUM(C61:C63)</f>
        <v>822</v>
      </c>
      <c r="D64" s="4">
        <f>SUM(D61:D63)</f>
        <v>9715861</v>
      </c>
      <c r="E64" s="4">
        <f>SUM(E61:E63)</f>
        <v>2990708</v>
      </c>
      <c r="F64" s="4">
        <f>SUM(F61:F63)</f>
        <v>1257739</v>
      </c>
      <c r="G64" s="4">
        <f>SUM(G61:G63)</f>
        <v>5467414</v>
      </c>
      <c r="H64" s="4">
        <f>SUM(E64:G64)</f>
        <v>9715861</v>
      </c>
      <c r="I64" s="298"/>
      <c r="J64" s="1"/>
      <c r="K64" s="1"/>
    </row>
    <row r="65" spans="1:11" x14ac:dyDescent="0.35">
      <c r="A65" s="300"/>
      <c r="B65" s="4"/>
      <c r="C65" s="20"/>
      <c r="D65" s="4"/>
      <c r="E65" s="4"/>
      <c r="F65" s="4"/>
      <c r="G65" s="4"/>
      <c r="H65" s="4"/>
      <c r="I65" s="298"/>
      <c r="J65" s="1"/>
      <c r="K65" s="1"/>
    </row>
    <row r="66" spans="1:11" x14ac:dyDescent="0.35">
      <c r="A66" s="297" t="s">
        <v>187</v>
      </c>
      <c r="B66" s="1"/>
      <c r="C66" s="112"/>
      <c r="D66" s="557" t="s">
        <v>110</v>
      </c>
      <c r="E66" s="557"/>
      <c r="F66" s="112"/>
      <c r="G66" s="112"/>
      <c r="H66" s="1"/>
      <c r="I66" s="298"/>
      <c r="J66" s="1"/>
      <c r="K66" s="1"/>
    </row>
    <row r="67" spans="1:11" x14ac:dyDescent="0.35">
      <c r="A67" s="46"/>
      <c r="B67" s="94" t="s">
        <v>50</v>
      </c>
      <c r="C67" s="83" t="s">
        <v>51</v>
      </c>
      <c r="D67" s="83" t="s">
        <v>52</v>
      </c>
      <c r="E67" s="556" t="s">
        <v>54</v>
      </c>
      <c r="F67" s="556"/>
      <c r="G67" s="98" t="s">
        <v>55</v>
      </c>
      <c r="H67" s="1"/>
      <c r="I67" s="298"/>
      <c r="J67" s="1"/>
      <c r="K67" s="1"/>
    </row>
    <row r="68" spans="1:11" x14ac:dyDescent="0.35">
      <c r="A68" s="300" t="s">
        <v>177</v>
      </c>
      <c r="B68" s="4">
        <f>Rates!D21</f>
        <v>5000</v>
      </c>
      <c r="C68" s="84">
        <f>C64</f>
        <v>822</v>
      </c>
      <c r="D68" s="84">
        <f>E64</f>
        <v>2990708</v>
      </c>
      <c r="E68" s="222">
        <f>Rates!H21</f>
        <v>56.25</v>
      </c>
      <c r="F68" s="45" t="s">
        <v>105</v>
      </c>
      <c r="G68" s="99">
        <f>ROUND(C68*E68,0)</f>
        <v>46238</v>
      </c>
      <c r="H68" s="1"/>
      <c r="I68" s="298"/>
      <c r="J68" s="1"/>
      <c r="K68" s="485"/>
    </row>
    <row r="69" spans="1:11" x14ac:dyDescent="0.35">
      <c r="A69" s="300" t="s">
        <v>178</v>
      </c>
      <c r="B69" s="4">
        <f>Rates!D22</f>
        <v>5000</v>
      </c>
      <c r="C69" s="1"/>
      <c r="D69" s="84">
        <f>F64</f>
        <v>1257739</v>
      </c>
      <c r="E69" s="223">
        <f>Rates!H22</f>
        <v>8.5699999999999995E-3</v>
      </c>
      <c r="F69" s="45" t="s">
        <v>175</v>
      </c>
      <c r="G69" s="99">
        <f t="shared" ref="G69:G70" si="4">ROUND(D69*E69,0)</f>
        <v>10779</v>
      </c>
      <c r="H69" s="1"/>
      <c r="I69" s="298"/>
      <c r="J69" s="1"/>
      <c r="K69" s="485"/>
    </row>
    <row r="70" spans="1:11" ht="17" x14ac:dyDescent="0.5">
      <c r="A70" s="303" t="s">
        <v>179</v>
      </c>
      <c r="B70" s="4">
        <f>Rates!D23</f>
        <v>10000</v>
      </c>
      <c r="C70" s="76"/>
      <c r="D70" s="252">
        <f>G64</f>
        <v>5467414</v>
      </c>
      <c r="E70" s="223">
        <f>Rates!H23</f>
        <v>5.7999999999999996E-3</v>
      </c>
      <c r="F70" s="45" t="s">
        <v>175</v>
      </c>
      <c r="G70" s="100">
        <f t="shared" si="4"/>
        <v>31711</v>
      </c>
      <c r="H70" s="1"/>
      <c r="I70" s="298"/>
      <c r="J70" s="1"/>
      <c r="K70" s="485"/>
    </row>
    <row r="71" spans="1:11" x14ac:dyDescent="0.35">
      <c r="A71" s="79"/>
      <c r="B71" s="3"/>
      <c r="C71" s="307"/>
      <c r="D71" s="3">
        <f>SUM(D68:D70)</f>
        <v>9715861</v>
      </c>
      <c r="E71" s="280"/>
      <c r="F71" s="280"/>
      <c r="G71" s="305">
        <f>SUM(G68:G70)</f>
        <v>88728</v>
      </c>
      <c r="H71" s="280"/>
      <c r="I71" s="306"/>
      <c r="J71" s="1"/>
      <c r="K71" s="485"/>
    </row>
    <row r="72" spans="1:11" x14ac:dyDescent="0.35">
      <c r="A72" s="1"/>
      <c r="B72" s="4"/>
      <c r="C72" s="15"/>
      <c r="D72" s="4"/>
      <c r="E72" s="1"/>
      <c r="F72" s="1"/>
      <c r="G72" s="99"/>
      <c r="H72" s="1"/>
      <c r="I72" s="1"/>
      <c r="J72" s="1"/>
      <c r="K72" s="1"/>
    </row>
    <row r="73" spans="1:11" x14ac:dyDescent="0.35">
      <c r="A73" s="291" t="s">
        <v>188</v>
      </c>
      <c r="B73" s="7"/>
      <c r="C73" s="292"/>
      <c r="D73" s="558" t="s">
        <v>111</v>
      </c>
      <c r="E73" s="558"/>
      <c r="F73" s="293"/>
      <c r="G73" s="294"/>
      <c r="H73" s="295"/>
      <c r="I73" s="296"/>
      <c r="J73" s="1"/>
      <c r="K73" s="1"/>
    </row>
    <row r="74" spans="1:11" x14ac:dyDescent="0.35">
      <c r="A74" s="297"/>
      <c r="B74" s="4"/>
      <c r="C74" s="88"/>
      <c r="D74" s="248"/>
      <c r="E74" s="89" t="s">
        <v>177</v>
      </c>
      <c r="F74" s="89"/>
      <c r="G74" s="89" t="s">
        <v>179</v>
      </c>
      <c r="H74" s="1"/>
      <c r="I74" s="298"/>
      <c r="J74" s="1"/>
      <c r="K74" s="1"/>
    </row>
    <row r="75" spans="1:11" x14ac:dyDescent="0.35">
      <c r="A75" s="46"/>
      <c r="B75" s="94" t="s">
        <v>50</v>
      </c>
      <c r="C75" s="83" t="s">
        <v>51</v>
      </c>
      <c r="D75" s="83" t="s">
        <v>52</v>
      </c>
      <c r="E75" s="249">
        <f>B76</f>
        <v>10000</v>
      </c>
      <c r="F75" s="249"/>
      <c r="G75" s="249">
        <f>B77</f>
        <v>10000</v>
      </c>
      <c r="H75" s="89" t="s">
        <v>12</v>
      </c>
      <c r="I75" s="298"/>
      <c r="J75" s="1"/>
      <c r="K75" s="1"/>
    </row>
    <row r="76" spans="1:11" x14ac:dyDescent="0.35">
      <c r="A76" s="300" t="s">
        <v>177</v>
      </c>
      <c r="B76" s="4">
        <f>Rates!D26</f>
        <v>10000</v>
      </c>
      <c r="C76" s="20"/>
      <c r="D76" s="4"/>
      <c r="E76" s="250">
        <f>D76</f>
        <v>0</v>
      </c>
      <c r="F76" s="250"/>
      <c r="G76" s="250"/>
      <c r="H76" s="4">
        <f>SUM(D76:G76)</f>
        <v>0</v>
      </c>
      <c r="I76" s="298"/>
      <c r="J76" s="1"/>
      <c r="K76" s="1"/>
    </row>
    <row r="77" spans="1:11" ht="17" x14ac:dyDescent="0.5">
      <c r="A77" s="300" t="s">
        <v>179</v>
      </c>
      <c r="B77" s="4">
        <f>Rates!D27</f>
        <v>10000</v>
      </c>
      <c r="C77" s="85"/>
      <c r="D77" s="39"/>
      <c r="E77" s="251">
        <f>C77*E75</f>
        <v>0</v>
      </c>
      <c r="F77" s="251"/>
      <c r="G77" s="251">
        <f>D77-E77-F77</f>
        <v>0</v>
      </c>
      <c r="H77" s="39">
        <f>SUM(E77:G77)</f>
        <v>0</v>
      </c>
      <c r="I77" s="298"/>
      <c r="J77" s="1"/>
      <c r="K77" s="1"/>
    </row>
    <row r="78" spans="1:11" x14ac:dyDescent="0.35">
      <c r="A78" s="300"/>
      <c r="B78" s="4"/>
      <c r="C78" s="20">
        <f>SUM(C76:C77)</f>
        <v>0</v>
      </c>
      <c r="D78" s="20">
        <f>SUM(D76:D77)</f>
        <v>0</v>
      </c>
      <c r="E78" s="4">
        <f>SUM(E76:E77)</f>
        <v>0</v>
      </c>
      <c r="F78" s="4">
        <f>SUM(F76:F77)</f>
        <v>0</v>
      </c>
      <c r="G78" s="4">
        <f>SUM(G76:G77)</f>
        <v>0</v>
      </c>
      <c r="H78" s="4">
        <f>SUM(E78:G78)</f>
        <v>0</v>
      </c>
      <c r="I78" s="298"/>
      <c r="J78" s="1"/>
      <c r="K78" s="1"/>
    </row>
    <row r="79" spans="1:11" x14ac:dyDescent="0.35">
      <c r="A79" s="46"/>
      <c r="B79" s="517" t="s">
        <v>317</v>
      </c>
      <c r="C79" s="361"/>
      <c r="D79" s="361"/>
      <c r="E79" s="361"/>
      <c r="F79" s="361"/>
      <c r="G79" s="4"/>
      <c r="H79" s="4"/>
      <c r="I79" s="298"/>
      <c r="J79" s="1"/>
      <c r="K79" s="1"/>
    </row>
    <row r="80" spans="1:11" x14ac:dyDescent="0.35">
      <c r="A80" s="297" t="s">
        <v>187</v>
      </c>
      <c r="B80" s="4"/>
      <c r="C80" s="88"/>
      <c r="D80" s="557" t="s">
        <v>111</v>
      </c>
      <c r="E80" s="557"/>
      <c r="F80" s="112"/>
      <c r="G80" s="112"/>
      <c r="H80" s="1"/>
      <c r="I80" s="298"/>
      <c r="J80" s="1"/>
      <c r="K80" s="1"/>
    </row>
    <row r="81" spans="1:11" x14ac:dyDescent="0.35">
      <c r="A81" s="46"/>
      <c r="B81" s="94" t="s">
        <v>50</v>
      </c>
      <c r="C81" s="83" t="s">
        <v>51</v>
      </c>
      <c r="D81" s="83" t="s">
        <v>52</v>
      </c>
      <c r="E81" s="556" t="s">
        <v>54</v>
      </c>
      <c r="F81" s="556"/>
      <c r="G81" s="98" t="s">
        <v>55</v>
      </c>
      <c r="H81" s="1"/>
      <c r="I81" s="298"/>
      <c r="J81" s="1"/>
      <c r="K81" s="1"/>
    </row>
    <row r="82" spans="1:11" x14ac:dyDescent="0.35">
      <c r="A82" s="300" t="s">
        <v>177</v>
      </c>
      <c r="B82" s="4">
        <f>Rates!D26</f>
        <v>10000</v>
      </c>
      <c r="C82" s="84">
        <f>C78</f>
        <v>0</v>
      </c>
      <c r="D82" s="84">
        <f>E78</f>
        <v>0</v>
      </c>
      <c r="E82" s="75">
        <f>Rates!H26</f>
        <v>99.12</v>
      </c>
      <c r="F82" s="45" t="s">
        <v>105</v>
      </c>
      <c r="G82" s="99">
        <f>ROUND(C82*E82,0)</f>
        <v>0</v>
      </c>
      <c r="H82" s="1"/>
      <c r="I82" s="298"/>
      <c r="J82" s="1"/>
      <c r="K82" s="1"/>
    </row>
    <row r="83" spans="1:11" ht="17" x14ac:dyDescent="0.5">
      <c r="A83" s="303" t="s">
        <v>179</v>
      </c>
      <c r="B83" s="4">
        <f>Rates!D27</f>
        <v>10000</v>
      </c>
      <c r="C83" s="76"/>
      <c r="D83" s="252">
        <f>G78</f>
        <v>0</v>
      </c>
      <c r="E83" s="243">
        <f>Rates!H27</f>
        <v>5.7999999999999996E-3</v>
      </c>
      <c r="F83" s="45" t="s">
        <v>175</v>
      </c>
      <c r="G83" s="100">
        <f t="shared" ref="G83" si="5">ROUND(D83*E83,0)</f>
        <v>0</v>
      </c>
      <c r="H83" s="1"/>
      <c r="I83" s="298"/>
      <c r="J83" s="1"/>
      <c r="K83" s="1"/>
    </row>
    <row r="84" spans="1:11" x14ac:dyDescent="0.35">
      <c r="A84" s="79"/>
      <c r="B84" s="3"/>
      <c r="C84" s="279"/>
      <c r="D84" s="3">
        <f>SUM(D82:D83)</f>
        <v>0</v>
      </c>
      <c r="E84" s="280"/>
      <c r="F84" s="280"/>
      <c r="G84" s="305">
        <f>SUM(G82:G83)</f>
        <v>0</v>
      </c>
      <c r="H84" s="280"/>
      <c r="I84" s="306"/>
      <c r="J84" s="1"/>
      <c r="K84" s="1"/>
    </row>
    <row r="85" spans="1:11" x14ac:dyDescent="0.35">
      <c r="A85" s="1"/>
      <c r="B85" s="4"/>
      <c r="C85" s="196"/>
      <c r="D85" s="4"/>
      <c r="E85" s="1"/>
      <c r="F85" s="1"/>
      <c r="G85" s="196"/>
      <c r="H85" s="1"/>
      <c r="I85" s="1"/>
      <c r="J85" s="1"/>
      <c r="K85" s="1"/>
    </row>
    <row r="86" spans="1:11" x14ac:dyDescent="0.35">
      <c r="A86" s="291" t="s">
        <v>188</v>
      </c>
      <c r="B86" s="7"/>
      <c r="C86" s="292"/>
      <c r="D86" s="558" t="s">
        <v>112</v>
      </c>
      <c r="E86" s="558"/>
      <c r="F86" s="293"/>
      <c r="G86" s="294"/>
      <c r="H86" s="295"/>
      <c r="I86" s="296"/>
      <c r="J86" s="1"/>
      <c r="K86" s="1"/>
    </row>
    <row r="87" spans="1:11" x14ac:dyDescent="0.35">
      <c r="A87" s="297"/>
      <c r="B87" s="4"/>
      <c r="C87" s="88"/>
      <c r="D87" s="248"/>
      <c r="E87" s="89" t="s">
        <v>177</v>
      </c>
      <c r="F87" s="89"/>
      <c r="G87" s="89" t="s">
        <v>179</v>
      </c>
      <c r="H87" s="1"/>
      <c r="I87" s="298"/>
      <c r="J87" s="1"/>
      <c r="K87" s="1"/>
    </row>
    <row r="88" spans="1:11" ht="17" x14ac:dyDescent="0.5">
      <c r="A88" s="46"/>
      <c r="B88" s="14" t="s">
        <v>50</v>
      </c>
      <c r="C88" s="375" t="s">
        <v>51</v>
      </c>
      <c r="D88" s="375" t="s">
        <v>52</v>
      </c>
      <c r="E88" s="376">
        <f>B89</f>
        <v>20000</v>
      </c>
      <c r="F88" s="376"/>
      <c r="G88" s="376">
        <f>B90</f>
        <v>20000</v>
      </c>
      <c r="H88" s="377" t="s">
        <v>12</v>
      </c>
      <c r="I88" s="298"/>
      <c r="J88" s="1"/>
      <c r="K88" s="1"/>
    </row>
    <row r="89" spans="1:11" x14ac:dyDescent="0.35">
      <c r="A89" s="300" t="s">
        <v>177</v>
      </c>
      <c r="B89" s="4">
        <f>Rates!D30</f>
        <v>20000</v>
      </c>
      <c r="C89" s="20">
        <f>4+41</f>
        <v>45</v>
      </c>
      <c r="D89" s="4">
        <f>80000+555654</f>
        <v>635654</v>
      </c>
      <c r="E89" s="250">
        <f>D89</f>
        <v>635654</v>
      </c>
      <c r="F89" s="250"/>
      <c r="G89" s="250"/>
      <c r="H89" s="4">
        <f>SUM(D89:G89)</f>
        <v>1271308</v>
      </c>
      <c r="I89" s="298"/>
      <c r="J89" s="1"/>
      <c r="K89" s="1"/>
    </row>
    <row r="90" spans="1:11" ht="17" x14ac:dyDescent="0.5">
      <c r="A90" s="300" t="s">
        <v>179</v>
      </c>
      <c r="B90" s="4">
        <f>Rates!D31</f>
        <v>20000</v>
      </c>
      <c r="C90" s="85">
        <f>32+149</f>
        <v>181</v>
      </c>
      <c r="D90" s="39">
        <f>9567497+21484025</f>
        <v>31051522</v>
      </c>
      <c r="E90" s="251">
        <f>C90*E88</f>
        <v>3620000</v>
      </c>
      <c r="F90" s="251"/>
      <c r="G90" s="251">
        <f>D90-E90-F90</f>
        <v>27431522</v>
      </c>
      <c r="H90" s="39">
        <f>SUM(E90:G90)</f>
        <v>31051522</v>
      </c>
      <c r="I90" s="298"/>
      <c r="J90" s="1"/>
      <c r="K90" s="1"/>
    </row>
    <row r="91" spans="1:11" x14ac:dyDescent="0.35">
      <c r="A91" s="300"/>
      <c r="B91" s="4"/>
      <c r="C91" s="20">
        <f>SUM(C89:C90)</f>
        <v>226</v>
      </c>
      <c r="D91" s="4">
        <f>SUM(D89:D90)</f>
        <v>31687176</v>
      </c>
      <c r="E91" s="4">
        <f>SUM(E89:E90)</f>
        <v>4255654</v>
      </c>
      <c r="F91" s="4"/>
      <c r="G91" s="4">
        <f>SUM(G89:G90)</f>
        <v>27431522</v>
      </c>
      <c r="H91" s="4">
        <f>SUM(E91:G91)</f>
        <v>31687176</v>
      </c>
      <c r="I91" s="298"/>
      <c r="J91" s="1"/>
      <c r="K91" s="1"/>
    </row>
    <row r="92" spans="1:11" x14ac:dyDescent="0.35">
      <c r="A92" s="46"/>
      <c r="B92" s="4"/>
      <c r="C92" s="1"/>
      <c r="D92" s="1"/>
      <c r="E92" s="1"/>
      <c r="F92" s="1"/>
      <c r="G92" s="4"/>
      <c r="H92" s="4"/>
      <c r="I92" s="298"/>
      <c r="J92" s="1"/>
      <c r="K92" s="1"/>
    </row>
    <row r="93" spans="1:11" x14ac:dyDescent="0.35">
      <c r="A93" s="297" t="s">
        <v>187</v>
      </c>
      <c r="B93" s="112"/>
      <c r="C93" s="112"/>
      <c r="D93" s="557" t="s">
        <v>112</v>
      </c>
      <c r="E93" s="557"/>
      <c r="F93" s="112"/>
      <c r="G93" s="112"/>
      <c r="H93" s="1"/>
      <c r="I93" s="298"/>
      <c r="J93" s="1"/>
      <c r="K93" s="1"/>
    </row>
    <row r="94" spans="1:11" x14ac:dyDescent="0.35">
      <c r="A94" s="46"/>
      <c r="B94" s="94" t="s">
        <v>50</v>
      </c>
      <c r="C94" s="83" t="s">
        <v>51</v>
      </c>
      <c r="D94" s="83" t="s">
        <v>52</v>
      </c>
      <c r="E94" s="556" t="s">
        <v>54</v>
      </c>
      <c r="F94" s="556"/>
      <c r="G94" s="98" t="s">
        <v>55</v>
      </c>
      <c r="H94" s="1"/>
      <c r="I94" s="298"/>
      <c r="J94" s="1"/>
      <c r="K94" s="1"/>
    </row>
    <row r="95" spans="1:11" x14ac:dyDescent="0.35">
      <c r="A95" s="300" t="s">
        <v>177</v>
      </c>
      <c r="B95" s="4">
        <f>Rates!D30</f>
        <v>20000</v>
      </c>
      <c r="C95" s="84">
        <f>C91</f>
        <v>226</v>
      </c>
      <c r="D95" s="84">
        <f>E91</f>
        <v>4255654</v>
      </c>
      <c r="E95" s="75">
        <f>Rates!H30</f>
        <v>157.13</v>
      </c>
      <c r="F95" s="45" t="s">
        <v>105</v>
      </c>
      <c r="G95" s="99">
        <f>ROUND(C95*E95,0)</f>
        <v>35511</v>
      </c>
      <c r="H95" s="1"/>
      <c r="I95" s="298"/>
      <c r="J95" s="1"/>
      <c r="K95" s="485"/>
    </row>
    <row r="96" spans="1:11" ht="17" x14ac:dyDescent="0.5">
      <c r="A96" s="303" t="s">
        <v>179</v>
      </c>
      <c r="B96" s="4">
        <f>Rates!D31</f>
        <v>20000</v>
      </c>
      <c r="C96" s="76"/>
      <c r="D96" s="252">
        <f>G91</f>
        <v>27431522</v>
      </c>
      <c r="E96" s="243">
        <f>Rates!H31</f>
        <v>5.7999999999999996E-3</v>
      </c>
      <c r="F96" s="45" t="s">
        <v>175</v>
      </c>
      <c r="G96" s="100">
        <f t="shared" ref="G96" si="6">ROUND(D96*E96,0)</f>
        <v>159103</v>
      </c>
      <c r="H96" s="1"/>
      <c r="I96" s="298"/>
      <c r="J96" s="1"/>
      <c r="K96" s="485"/>
    </row>
    <row r="97" spans="1:11" x14ac:dyDescent="0.35">
      <c r="A97" s="79"/>
      <c r="B97" s="3"/>
      <c r="C97" s="279"/>
      <c r="D97" s="3">
        <f>SUM(D95:D96)</f>
        <v>31687176</v>
      </c>
      <c r="E97" s="280"/>
      <c r="F97" s="280"/>
      <c r="G97" s="305">
        <f>SUM(G95:G96)</f>
        <v>194614</v>
      </c>
      <c r="H97" s="280"/>
      <c r="I97" s="306"/>
      <c r="J97" s="1"/>
      <c r="K97" s="485"/>
    </row>
    <row r="98" spans="1:11" x14ac:dyDescent="0.35">
      <c r="A98" s="1"/>
      <c r="B98" s="4"/>
      <c r="C98" s="196"/>
      <c r="D98" s="4"/>
      <c r="E98" s="1"/>
      <c r="F98" s="1"/>
      <c r="G98" s="196"/>
      <c r="H98" s="1"/>
      <c r="I98" s="1"/>
      <c r="J98" s="1"/>
      <c r="K98" s="1"/>
    </row>
    <row r="99" spans="1:11" x14ac:dyDescent="0.35">
      <c r="A99" s="291" t="s">
        <v>188</v>
      </c>
      <c r="B99" s="7"/>
      <c r="C99" s="292"/>
      <c r="D99" s="558" t="s">
        <v>209</v>
      </c>
      <c r="E99" s="558"/>
      <c r="F99" s="293"/>
      <c r="G99" s="294"/>
      <c r="H99" s="295"/>
      <c r="I99" s="296"/>
      <c r="J99" s="1"/>
      <c r="K99" s="1"/>
    </row>
    <row r="100" spans="1:11" x14ac:dyDescent="0.35">
      <c r="A100" s="297"/>
      <c r="B100" s="4"/>
      <c r="C100" s="88"/>
      <c r="D100" s="248"/>
      <c r="E100" s="89"/>
      <c r="F100" s="89"/>
      <c r="G100" s="89"/>
      <c r="H100" s="1"/>
      <c r="I100" s="298"/>
      <c r="J100" s="1"/>
      <c r="K100" s="1"/>
    </row>
    <row r="101" spans="1:11" x14ac:dyDescent="0.35">
      <c r="A101" s="46"/>
      <c r="B101" s="94"/>
      <c r="C101" s="83" t="s">
        <v>51</v>
      </c>
      <c r="D101" s="83" t="s">
        <v>52</v>
      </c>
      <c r="E101" s="249"/>
      <c r="F101" s="249"/>
      <c r="G101" s="249"/>
      <c r="H101" s="1"/>
      <c r="I101" s="298"/>
      <c r="J101" s="1"/>
      <c r="K101" s="1"/>
    </row>
    <row r="102" spans="1:11" x14ac:dyDescent="0.35">
      <c r="A102" s="300"/>
      <c r="B102" s="4"/>
      <c r="C102" s="20">
        <v>12</v>
      </c>
      <c r="D102" s="4"/>
      <c r="E102" s="250">
        <f>D102</f>
        <v>0</v>
      </c>
      <c r="F102" s="250"/>
      <c r="G102" s="250"/>
      <c r="H102" s="1"/>
      <c r="I102" s="298"/>
      <c r="J102" s="1"/>
      <c r="K102" s="1"/>
    </row>
    <row r="103" spans="1:11" x14ac:dyDescent="0.35">
      <c r="A103" s="300"/>
      <c r="B103" s="4"/>
      <c r="C103" s="20"/>
      <c r="D103" s="20"/>
      <c r="E103" s="4"/>
      <c r="F103" s="4"/>
      <c r="G103" s="4"/>
      <c r="H103" s="1"/>
      <c r="I103" s="298"/>
      <c r="J103" s="1"/>
      <c r="K103" s="1"/>
    </row>
    <row r="104" spans="1:11" ht="16" thickBot="1" x14ac:dyDescent="0.4">
      <c r="A104" s="46"/>
      <c r="B104" s="4"/>
      <c r="C104" s="1"/>
      <c r="D104" s="1"/>
      <c r="E104" s="1"/>
      <c r="F104" s="1"/>
      <c r="G104" s="43"/>
      <c r="H104" s="1"/>
      <c r="I104" s="298"/>
      <c r="J104" s="1"/>
      <c r="K104" s="1"/>
    </row>
    <row r="105" spans="1:11" x14ac:dyDescent="0.35">
      <c r="A105" s="297" t="s">
        <v>187</v>
      </c>
      <c r="B105" s="112"/>
      <c r="C105" s="112"/>
      <c r="D105" s="555" t="s">
        <v>209</v>
      </c>
      <c r="E105" s="555"/>
      <c r="F105" s="112"/>
      <c r="G105" s="112"/>
      <c r="H105" s="1"/>
      <c r="I105" s="298"/>
      <c r="J105" s="1"/>
      <c r="K105" s="1"/>
    </row>
    <row r="106" spans="1:11" x14ac:dyDescent="0.35">
      <c r="A106" s="46"/>
      <c r="B106" s="94"/>
      <c r="C106" s="83" t="s">
        <v>51</v>
      </c>
      <c r="D106" s="83" t="s">
        <v>52</v>
      </c>
      <c r="E106" s="556" t="s">
        <v>54</v>
      </c>
      <c r="F106" s="556"/>
      <c r="G106" s="98" t="s">
        <v>55</v>
      </c>
      <c r="H106" s="1"/>
      <c r="I106" s="298"/>
      <c r="J106" s="1"/>
      <c r="K106" s="1"/>
    </row>
    <row r="107" spans="1:11" x14ac:dyDescent="0.35">
      <c r="A107" s="516" t="s">
        <v>255</v>
      </c>
      <c r="B107" s="4"/>
      <c r="C107" s="84">
        <v>12</v>
      </c>
      <c r="D107" s="84">
        <v>3739800</v>
      </c>
      <c r="E107" s="244">
        <f>Rates!H38</f>
        <v>3.7198050010089933E-3</v>
      </c>
      <c r="F107" s="45" t="s">
        <v>175</v>
      </c>
      <c r="G107" s="195">
        <f>ROUND(D107*E107,0)</f>
        <v>13911</v>
      </c>
      <c r="H107" s="1"/>
      <c r="I107" s="518"/>
      <c r="J107" s="361" t="s">
        <v>307</v>
      </c>
      <c r="K107" s="485"/>
    </row>
    <row r="108" spans="1:11" ht="16" thickBot="1" x14ac:dyDescent="0.4">
      <c r="A108" s="516" t="s">
        <v>256</v>
      </c>
      <c r="B108" s="4"/>
      <c r="C108" s="390">
        <v>12</v>
      </c>
      <c r="D108" s="263">
        <v>7119996</v>
      </c>
      <c r="E108" s="264">
        <f>Rates!H39</f>
        <v>3.317942410872288E-3</v>
      </c>
      <c r="F108" s="45" t="s">
        <v>175</v>
      </c>
      <c r="G108" s="379">
        <f>ROUND(D108*E108,0)</f>
        <v>23624</v>
      </c>
      <c r="H108" s="1"/>
      <c r="I108" s="518"/>
      <c r="J108" s="361" t="s">
        <v>306</v>
      </c>
      <c r="K108" s="485"/>
    </row>
    <row r="109" spans="1:11" x14ac:dyDescent="0.35">
      <c r="A109" s="79"/>
      <c r="B109" s="3"/>
      <c r="C109" s="279">
        <f>SUM(C107:C108)</f>
        <v>24</v>
      </c>
      <c r="D109" s="3">
        <f>SUM(D107:D108)</f>
        <v>10859796</v>
      </c>
      <c r="E109" s="280"/>
      <c r="F109" s="280"/>
      <c r="G109" s="279">
        <f>SUM(G107:G108)</f>
        <v>37535</v>
      </c>
      <c r="H109" s="280"/>
      <c r="I109" s="306"/>
      <c r="J109" s="1"/>
      <c r="K109" s="485"/>
    </row>
  </sheetData>
  <mergeCells count="24">
    <mergeCell ref="A1:H1"/>
    <mergeCell ref="A2:H2"/>
    <mergeCell ref="M4:N4"/>
    <mergeCell ref="B5:G5"/>
    <mergeCell ref="M5:N5"/>
    <mergeCell ref="D80:E80"/>
    <mergeCell ref="M6:N6"/>
    <mergeCell ref="D23:E23"/>
    <mergeCell ref="D32:E32"/>
    <mergeCell ref="E34:F34"/>
    <mergeCell ref="D41:E41"/>
    <mergeCell ref="D50:E50"/>
    <mergeCell ref="E51:F51"/>
    <mergeCell ref="D58:E58"/>
    <mergeCell ref="D66:E66"/>
    <mergeCell ref="E67:F67"/>
    <mergeCell ref="D73:E73"/>
    <mergeCell ref="E106:F106"/>
    <mergeCell ref="E81:F81"/>
    <mergeCell ref="D86:E86"/>
    <mergeCell ref="D93:E93"/>
    <mergeCell ref="E94:F94"/>
    <mergeCell ref="D99:E99"/>
    <mergeCell ref="D105:E10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65"/>
  <sheetViews>
    <sheetView showGridLines="0" workbookViewId="0">
      <selection sqref="A1:H1"/>
    </sheetView>
  </sheetViews>
  <sheetFormatPr defaultColWidth="8.765625" defaultRowHeight="14.5" x14ac:dyDescent="0.35"/>
  <cols>
    <col min="1" max="1" width="3.69140625" style="5" customWidth="1"/>
    <col min="2" max="2" width="2.69140625" style="5" customWidth="1"/>
    <col min="3" max="3" width="32" style="5" bestFit="1" customWidth="1"/>
    <col min="4" max="4" width="11.3046875" style="5" customWidth="1"/>
    <col min="5" max="5" width="11.53515625" style="5" customWidth="1"/>
    <col min="6" max="6" width="5.3046875" style="5" customWidth="1"/>
    <col min="7" max="7" width="11.53515625" style="5" customWidth="1"/>
    <col min="8" max="8" width="3.61328125" style="5" customWidth="1"/>
    <col min="9" max="9" width="54.15234375" style="5" bestFit="1" customWidth="1"/>
    <col min="10" max="10" width="11.3046875" style="5" customWidth="1"/>
    <col min="11" max="11" width="16.4609375" style="5" customWidth="1"/>
    <col min="12" max="12" width="10.84375" style="5" customWidth="1"/>
    <col min="13" max="16384" width="8.765625" style="5"/>
  </cols>
  <sheetData>
    <row r="1" spans="1:12" ht="21" x14ac:dyDescent="0.35">
      <c r="A1" s="532" t="s">
        <v>28</v>
      </c>
      <c r="B1" s="532"/>
      <c r="C1" s="532"/>
      <c r="D1" s="532"/>
      <c r="E1" s="532"/>
      <c r="F1" s="532"/>
      <c r="G1" s="532"/>
      <c r="H1" s="532"/>
      <c r="I1" s="49"/>
      <c r="J1" s="49"/>
      <c r="K1" s="49"/>
    </row>
    <row r="2" spans="1:12" ht="21" x14ac:dyDescent="0.35">
      <c r="A2" s="530" t="s">
        <v>286</v>
      </c>
      <c r="B2" s="530"/>
      <c r="C2" s="530"/>
      <c r="D2" s="530"/>
      <c r="E2" s="530"/>
      <c r="F2" s="530"/>
      <c r="G2" s="530"/>
      <c r="H2" s="530"/>
      <c r="I2" s="49"/>
      <c r="J2" s="49"/>
      <c r="K2" s="49"/>
      <c r="L2" s="49"/>
    </row>
    <row r="3" spans="1:12" x14ac:dyDescent="0.35">
      <c r="A3" s="37"/>
      <c r="B3" s="48"/>
      <c r="C3" s="48"/>
      <c r="D3" s="362">
        <v>2025</v>
      </c>
      <c r="E3" s="48"/>
      <c r="F3" s="48"/>
      <c r="G3" s="48"/>
      <c r="H3" s="49"/>
      <c r="I3" s="49"/>
      <c r="J3" s="49"/>
      <c r="K3" s="49"/>
    </row>
    <row r="4" spans="1:12" ht="16" x14ac:dyDescent="0.35">
      <c r="A4" s="49"/>
      <c r="B4" s="49"/>
      <c r="C4" s="49"/>
      <c r="D4" s="50" t="s">
        <v>29</v>
      </c>
      <c r="E4" s="50" t="s">
        <v>30</v>
      </c>
      <c r="F4" s="50" t="s">
        <v>31</v>
      </c>
      <c r="G4" s="50" t="s">
        <v>32</v>
      </c>
      <c r="H4" s="49"/>
      <c r="I4" s="60" t="s">
        <v>38</v>
      </c>
      <c r="J4" s="49"/>
      <c r="L4" s="217" t="s">
        <v>171</v>
      </c>
    </row>
    <row r="5" spans="1:12" x14ac:dyDescent="0.35">
      <c r="A5" s="51" t="s">
        <v>14</v>
      </c>
      <c r="B5" s="49"/>
      <c r="C5" s="49"/>
      <c r="D5" s="366"/>
      <c r="F5" s="49"/>
      <c r="G5" s="49"/>
      <c r="H5" s="49"/>
      <c r="J5" s="49"/>
      <c r="K5" s="49"/>
    </row>
    <row r="6" spans="1:12" x14ac:dyDescent="0.35">
      <c r="A6" s="49"/>
      <c r="B6" s="49" t="s">
        <v>40</v>
      </c>
      <c r="C6" s="49"/>
      <c r="D6" s="366">
        <v>2990366</v>
      </c>
      <c r="E6" s="327"/>
      <c r="F6" s="52"/>
      <c r="G6" s="49">
        <f>D6+E6</f>
        <v>2990366</v>
      </c>
      <c r="H6" s="53"/>
      <c r="I6" s="49"/>
      <c r="J6" s="49"/>
      <c r="K6" s="216"/>
      <c r="L6" s="5" t="s">
        <v>191</v>
      </c>
    </row>
    <row r="7" spans="1:12" x14ac:dyDescent="0.35">
      <c r="A7" s="49"/>
      <c r="B7" s="49" t="s">
        <v>15</v>
      </c>
      <c r="C7" s="49"/>
      <c r="D7" s="366">
        <v>36784</v>
      </c>
      <c r="E7" s="327"/>
      <c r="F7" s="52"/>
      <c r="G7" s="49">
        <f>D7+E7</f>
        <v>36784</v>
      </c>
      <c r="H7" s="54"/>
      <c r="I7" s="47" t="s">
        <v>300</v>
      </c>
      <c r="J7" s="49"/>
      <c r="K7" s="49"/>
    </row>
    <row r="8" spans="1:12" x14ac:dyDescent="0.35">
      <c r="A8" s="49"/>
      <c r="B8" s="49"/>
      <c r="C8" s="49"/>
      <c r="D8" s="366"/>
      <c r="E8" s="327">
        <f>ExBA!G12</f>
        <v>32168.350000000093</v>
      </c>
      <c r="F8" s="52" t="s">
        <v>194</v>
      </c>
      <c r="G8" s="49">
        <f>D8+E8</f>
        <v>32168.350000000093</v>
      </c>
      <c r="H8" s="53"/>
      <c r="I8" s="387" t="s">
        <v>345</v>
      </c>
      <c r="J8" s="49"/>
      <c r="L8" s="5" t="s">
        <v>192</v>
      </c>
    </row>
    <row r="9" spans="1:12" x14ac:dyDescent="0.35">
      <c r="A9" s="49"/>
      <c r="B9" s="49" t="s">
        <v>16</v>
      </c>
      <c r="C9" s="49"/>
      <c r="D9" s="366"/>
      <c r="E9" s="327"/>
      <c r="F9" s="52"/>
      <c r="G9" s="49"/>
      <c r="H9" s="55"/>
      <c r="I9" s="49"/>
      <c r="J9" s="49"/>
      <c r="K9" s="49"/>
    </row>
    <row r="10" spans="1:12" x14ac:dyDescent="0.35">
      <c r="A10" s="49"/>
      <c r="B10" s="49"/>
      <c r="C10" s="49" t="s">
        <v>39</v>
      </c>
      <c r="D10" s="366">
        <v>47791</v>
      </c>
      <c r="E10" s="327"/>
      <c r="F10" s="52"/>
      <c r="G10" s="49">
        <f>D10+E10</f>
        <v>47791</v>
      </c>
      <c r="H10" s="53"/>
      <c r="I10" s="49"/>
      <c r="J10" s="49"/>
      <c r="K10" s="49"/>
    </row>
    <row r="11" spans="1:12" x14ac:dyDescent="0.35">
      <c r="A11" s="49"/>
      <c r="B11" s="49"/>
      <c r="C11" s="49" t="s">
        <v>169</v>
      </c>
      <c r="D11" s="366">
        <v>92950</v>
      </c>
      <c r="E11" s="327">
        <v>0</v>
      </c>
      <c r="F11" s="52"/>
      <c r="G11" s="49">
        <f>D11+E11</f>
        <v>92950</v>
      </c>
      <c r="H11" s="53"/>
      <c r="I11" s="49"/>
      <c r="J11" s="49"/>
      <c r="K11" s="49"/>
    </row>
    <row r="12" spans="1:12" ht="16" x14ac:dyDescent="0.35">
      <c r="A12" s="49"/>
      <c r="B12" s="49"/>
      <c r="C12" s="49" t="s">
        <v>211</v>
      </c>
      <c r="D12" s="371">
        <v>7843</v>
      </c>
      <c r="E12" s="343">
        <v>0</v>
      </c>
      <c r="F12" s="52"/>
      <c r="G12" s="275">
        <f>D12+E12</f>
        <v>7843</v>
      </c>
      <c r="H12" s="53"/>
      <c r="I12" s="49"/>
      <c r="J12" s="49"/>
      <c r="K12" s="49"/>
    </row>
    <row r="13" spans="1:12" x14ac:dyDescent="0.35">
      <c r="A13" s="56" t="s">
        <v>17</v>
      </c>
      <c r="B13" s="49"/>
      <c r="C13" s="49"/>
      <c r="D13" s="366">
        <f>SUM(D6:D12)</f>
        <v>3175734</v>
      </c>
      <c r="E13" s="327">
        <f>SUM(E6:E12)</f>
        <v>32168.350000000093</v>
      </c>
      <c r="F13" s="52"/>
      <c r="G13" s="49">
        <f>SUM(G6:G12)</f>
        <v>3207902.35</v>
      </c>
      <c r="H13" s="55"/>
      <c r="J13" s="49"/>
      <c r="K13" s="49"/>
    </row>
    <row r="14" spans="1:12" x14ac:dyDescent="0.35">
      <c r="A14" s="49"/>
      <c r="B14" s="49"/>
      <c r="C14" s="49"/>
      <c r="D14" s="366"/>
      <c r="E14" s="327"/>
      <c r="F14" s="52"/>
      <c r="G14" s="49"/>
      <c r="H14" s="55"/>
      <c r="I14" s="49"/>
      <c r="J14" s="49"/>
      <c r="K14" s="49"/>
    </row>
    <row r="15" spans="1:12" x14ac:dyDescent="0.35">
      <c r="A15" s="51" t="s">
        <v>18</v>
      </c>
      <c r="B15" s="49"/>
      <c r="C15" s="49"/>
      <c r="D15" s="366"/>
      <c r="E15" s="327"/>
      <c r="F15" s="52"/>
      <c r="G15" s="49"/>
      <c r="H15" s="55"/>
      <c r="I15" s="49"/>
      <c r="J15" s="49"/>
      <c r="K15" s="49"/>
    </row>
    <row r="16" spans="1:12" x14ac:dyDescent="0.35">
      <c r="A16" s="49"/>
      <c r="B16" s="49" t="s">
        <v>33</v>
      </c>
      <c r="C16" s="49"/>
      <c r="D16" s="366"/>
      <c r="E16" s="327"/>
      <c r="F16" s="52"/>
      <c r="G16" s="49"/>
      <c r="H16" s="55"/>
      <c r="I16" s="49"/>
      <c r="J16" s="49"/>
      <c r="K16" s="49"/>
    </row>
    <row r="17" spans="1:12" x14ac:dyDescent="0.35">
      <c r="A17" s="49"/>
      <c r="B17" s="49"/>
      <c r="C17" s="49" t="s">
        <v>2</v>
      </c>
      <c r="D17" s="366">
        <v>529366</v>
      </c>
      <c r="E17" s="310">
        <f>Wages!I28</f>
        <v>21838.265000000014</v>
      </c>
      <c r="F17" s="425" t="s">
        <v>195</v>
      </c>
      <c r="G17" s="49"/>
      <c r="H17" s="53"/>
      <c r="I17" s="49" t="s">
        <v>349</v>
      </c>
      <c r="J17" s="49"/>
      <c r="K17" s="49"/>
      <c r="L17" s="5" t="s">
        <v>226</v>
      </c>
    </row>
    <row r="18" spans="1:12" x14ac:dyDescent="0.35">
      <c r="A18" s="49"/>
      <c r="B18" s="49"/>
      <c r="C18" s="49"/>
      <c r="D18" s="366"/>
      <c r="E18" s="5">
        <f>-Capital!C5</f>
        <v>-20730</v>
      </c>
      <c r="F18" s="425" t="s">
        <v>232</v>
      </c>
      <c r="G18" s="49"/>
      <c r="H18" s="53"/>
      <c r="I18" s="366" t="s">
        <v>343</v>
      </c>
      <c r="J18" s="49"/>
      <c r="K18" s="49"/>
      <c r="L18" s="5" t="s">
        <v>231</v>
      </c>
    </row>
    <row r="19" spans="1:12" x14ac:dyDescent="0.35">
      <c r="A19" s="49"/>
      <c r="B19" s="49"/>
      <c r="C19" s="49"/>
      <c r="D19" s="366"/>
      <c r="E19" s="346"/>
      <c r="F19" s="425"/>
      <c r="G19" s="49">
        <f>D17+E17+E18+E19</f>
        <v>530474.26500000001</v>
      </c>
      <c r="H19" s="53"/>
      <c r="I19" s="49"/>
      <c r="J19" s="49"/>
      <c r="K19" s="49"/>
    </row>
    <row r="20" spans="1:12" x14ac:dyDescent="0.35">
      <c r="A20" s="49"/>
      <c r="B20" s="49"/>
      <c r="C20" s="49" t="s">
        <v>3</v>
      </c>
      <c r="D20" s="366">
        <v>18200</v>
      </c>
      <c r="E20" s="347"/>
      <c r="F20" s="441"/>
      <c r="G20" s="49">
        <f>D20+E20</f>
        <v>18200</v>
      </c>
      <c r="H20" s="53"/>
    </row>
    <row r="21" spans="1:12" x14ac:dyDescent="0.35">
      <c r="A21" s="49"/>
      <c r="B21" s="49"/>
      <c r="C21" s="49" t="s">
        <v>4</v>
      </c>
      <c r="D21" s="366">
        <v>297155</v>
      </c>
      <c r="E21" s="347"/>
      <c r="F21" s="425"/>
      <c r="G21" s="49"/>
      <c r="H21" s="53"/>
      <c r="J21" s="49"/>
      <c r="K21" s="49"/>
      <c r="L21" s="345"/>
    </row>
    <row r="22" spans="1:12" x14ac:dyDescent="0.35">
      <c r="A22" s="49"/>
      <c r="B22" s="49"/>
      <c r="C22" s="49"/>
      <c r="D22" s="366"/>
      <c r="E22" s="310">
        <f>Medical!D77</f>
        <v>19726.069999999978</v>
      </c>
      <c r="F22" s="425" t="s">
        <v>233</v>
      </c>
      <c r="G22" s="49"/>
      <c r="H22" s="53"/>
      <c r="I22" s="366" t="s">
        <v>339</v>
      </c>
      <c r="J22" s="49"/>
      <c r="K22" s="49"/>
      <c r="L22" s="345" t="s">
        <v>193</v>
      </c>
    </row>
    <row r="23" spans="1:12" x14ac:dyDescent="0.35">
      <c r="A23" s="49"/>
      <c r="B23" s="49"/>
      <c r="C23" s="49"/>
      <c r="D23" s="366"/>
      <c r="E23" s="327">
        <f>Wages!I40</f>
        <v>-8692.0339105000021</v>
      </c>
      <c r="F23" s="425" t="s">
        <v>234</v>
      </c>
      <c r="G23" s="49"/>
      <c r="H23" s="53"/>
      <c r="I23" s="366" t="s">
        <v>369</v>
      </c>
      <c r="J23" s="49"/>
      <c r="K23" s="49"/>
      <c r="L23" s="345" t="s">
        <v>229</v>
      </c>
    </row>
    <row r="24" spans="1:12" x14ac:dyDescent="0.35">
      <c r="A24" s="49"/>
      <c r="B24" s="49"/>
      <c r="C24" s="49"/>
      <c r="D24" s="366"/>
      <c r="E24" s="344"/>
      <c r="F24" s="425"/>
      <c r="G24" s="206">
        <f>D21+E21+E22+E23</f>
        <v>308189.03608949995</v>
      </c>
      <c r="H24" s="53"/>
      <c r="I24" s="463"/>
      <c r="J24" s="49"/>
      <c r="K24" s="49"/>
    </row>
    <row r="25" spans="1:12" x14ac:dyDescent="0.35">
      <c r="A25" s="49"/>
      <c r="B25" s="49"/>
      <c r="C25" s="49" t="s">
        <v>5</v>
      </c>
      <c r="D25" s="366">
        <v>1275442</v>
      </c>
      <c r="E25" s="310">
        <f>'Water Loss'!D22</f>
        <v>-170277.83604787636</v>
      </c>
      <c r="F25" s="425" t="s">
        <v>235</v>
      </c>
      <c r="G25" s="49"/>
      <c r="H25" s="58"/>
      <c r="I25" s="355" t="s">
        <v>218</v>
      </c>
    </row>
    <row r="26" spans="1:12" x14ac:dyDescent="0.35">
      <c r="A26" s="49"/>
      <c r="B26" s="49"/>
      <c r="C26" s="49"/>
      <c r="D26" s="366"/>
      <c r="E26" s="310">
        <f>'Water Loss'!K12</f>
        <v>54420</v>
      </c>
      <c r="F26" s="425" t="s">
        <v>236</v>
      </c>
      <c r="G26" s="49">
        <f>D25+E25+E26</f>
        <v>1159584.1639521236</v>
      </c>
      <c r="H26" s="58"/>
      <c r="I26" s="355" t="s">
        <v>305</v>
      </c>
      <c r="L26" s="5" t="s">
        <v>250</v>
      </c>
    </row>
    <row r="27" spans="1:12" x14ac:dyDescent="0.35">
      <c r="A27" s="49"/>
      <c r="B27" s="49"/>
      <c r="C27" s="49" t="s">
        <v>6</v>
      </c>
      <c r="D27" s="366">
        <v>77997</v>
      </c>
      <c r="E27" s="310">
        <f>'Water Loss'!D23</f>
        <v>-10412.986539745603</v>
      </c>
      <c r="F27" s="425" t="s">
        <v>235</v>
      </c>
      <c r="G27" s="49">
        <f>D27+E27</f>
        <v>67584.013460254399</v>
      </c>
      <c r="H27" s="59"/>
      <c r="I27" s="355" t="s">
        <v>218</v>
      </c>
      <c r="J27" s="49"/>
      <c r="K27" s="49"/>
    </row>
    <row r="28" spans="1:12" x14ac:dyDescent="0.35">
      <c r="A28" s="49"/>
      <c r="B28" s="49"/>
      <c r="C28" s="49" t="s">
        <v>172</v>
      </c>
      <c r="D28" s="366"/>
      <c r="E28" s="327"/>
      <c r="F28" s="442"/>
      <c r="G28" s="49">
        <f>D28+E28</f>
        <v>0</v>
      </c>
      <c r="H28" s="59"/>
      <c r="I28" s="355"/>
      <c r="J28" s="49"/>
      <c r="K28" s="49"/>
    </row>
    <row r="29" spans="1:12" x14ac:dyDescent="0.35">
      <c r="A29" s="49"/>
      <c r="B29" s="49"/>
      <c r="C29" s="49" t="s">
        <v>82</v>
      </c>
      <c r="D29" s="366"/>
      <c r="E29" s="327">
        <v>0</v>
      </c>
      <c r="F29" s="425"/>
      <c r="G29" s="49">
        <f>D29+E29</f>
        <v>0</v>
      </c>
      <c r="H29" s="59"/>
      <c r="I29" s="355"/>
      <c r="J29" s="49"/>
      <c r="K29" s="49"/>
    </row>
    <row r="30" spans="1:12" x14ac:dyDescent="0.35">
      <c r="A30" s="49"/>
      <c r="B30" s="49"/>
      <c r="C30" s="49" t="s">
        <v>7</v>
      </c>
      <c r="D30" s="366">
        <v>129443</v>
      </c>
      <c r="E30" s="327">
        <f>-Capital!C6</f>
        <v>-48370</v>
      </c>
      <c r="F30" s="425" t="s">
        <v>232</v>
      </c>
      <c r="G30" s="49"/>
      <c r="H30" s="53"/>
      <c r="I30" s="366" t="s">
        <v>342</v>
      </c>
      <c r="J30" s="49"/>
      <c r="K30" s="49"/>
      <c r="L30" s="5" t="s">
        <v>227</v>
      </c>
    </row>
    <row r="31" spans="1:12" x14ac:dyDescent="0.35">
      <c r="A31" s="49"/>
      <c r="B31" s="49"/>
      <c r="C31" s="49"/>
      <c r="D31" s="366"/>
      <c r="E31" s="327">
        <v>0</v>
      </c>
      <c r="F31" s="425"/>
      <c r="G31" s="49">
        <f>D30+E30</f>
        <v>81073</v>
      </c>
      <c r="H31" s="53"/>
      <c r="I31" s="366"/>
      <c r="J31" s="49"/>
      <c r="K31" s="49"/>
    </row>
    <row r="32" spans="1:12" x14ac:dyDescent="0.35">
      <c r="A32" s="49"/>
      <c r="B32" s="49"/>
      <c r="C32" s="49" t="s">
        <v>8</v>
      </c>
      <c r="D32" s="366"/>
      <c r="E32" s="327"/>
      <c r="F32" s="425"/>
      <c r="G32" s="49">
        <f t="shared" ref="G32:G42" si="0">D32+E32</f>
        <v>0</v>
      </c>
      <c r="H32" s="53"/>
      <c r="I32" s="366"/>
      <c r="J32" s="49"/>
      <c r="K32" s="49"/>
    </row>
    <row r="33" spans="1:12" x14ac:dyDescent="0.35">
      <c r="A33" s="49"/>
      <c r="B33" s="49"/>
      <c r="C33" s="49" t="s">
        <v>215</v>
      </c>
      <c r="D33" s="366">
        <v>12000</v>
      </c>
      <c r="E33" s="327">
        <v>0</v>
      </c>
      <c r="F33" s="425"/>
      <c r="G33" s="49">
        <f t="shared" ref="G33" si="1">D33+E33</f>
        <v>12000</v>
      </c>
      <c r="H33" s="53"/>
      <c r="I33" s="366"/>
      <c r="J33" s="49"/>
      <c r="K33" s="49"/>
    </row>
    <row r="34" spans="1:12" x14ac:dyDescent="0.35">
      <c r="A34" s="49"/>
      <c r="B34" s="49"/>
      <c r="C34" s="49" t="s">
        <v>212</v>
      </c>
      <c r="D34" s="366">
        <v>3750</v>
      </c>
      <c r="E34" s="327">
        <v>0</v>
      </c>
      <c r="F34" s="425"/>
      <c r="G34" s="49">
        <f t="shared" si="0"/>
        <v>3750</v>
      </c>
      <c r="H34" s="53"/>
      <c r="I34" s="355"/>
      <c r="J34" s="49"/>
      <c r="K34" s="49"/>
    </row>
    <row r="35" spans="1:12" x14ac:dyDescent="0.35">
      <c r="A35" s="49"/>
      <c r="B35" s="49"/>
      <c r="C35" s="49" t="s">
        <v>213</v>
      </c>
      <c r="D35" s="366">
        <v>11803</v>
      </c>
      <c r="E35" s="327">
        <v>0</v>
      </c>
      <c r="F35" s="425"/>
      <c r="G35" s="49">
        <f t="shared" si="0"/>
        <v>11803</v>
      </c>
      <c r="H35" s="53"/>
      <c r="I35" s="366"/>
      <c r="J35" s="49"/>
      <c r="K35" s="49"/>
    </row>
    <row r="36" spans="1:12" x14ac:dyDescent="0.35">
      <c r="A36" s="49"/>
      <c r="B36" s="49"/>
      <c r="C36" s="49" t="s">
        <v>216</v>
      </c>
      <c r="D36" s="366">
        <v>106813</v>
      </c>
      <c r="E36" s="327"/>
      <c r="F36" s="425"/>
      <c r="G36" s="49">
        <f t="shared" ref="G36" si="2">D36+E36</f>
        <v>106813</v>
      </c>
      <c r="H36" s="53"/>
      <c r="I36" s="366"/>
      <c r="J36" s="49"/>
      <c r="K36" s="49"/>
      <c r="L36" s="5" t="s">
        <v>252</v>
      </c>
    </row>
    <row r="37" spans="1:12" x14ac:dyDescent="0.35">
      <c r="A37" s="49"/>
      <c r="B37" s="49"/>
      <c r="C37" s="49" t="s">
        <v>10</v>
      </c>
      <c r="D37" s="366">
        <v>40543</v>
      </c>
      <c r="E37" s="327">
        <v>0</v>
      </c>
      <c r="F37" s="425"/>
      <c r="G37" s="49">
        <f t="shared" si="0"/>
        <v>40543</v>
      </c>
      <c r="H37" s="55"/>
      <c r="I37" s="366"/>
      <c r="J37" s="49"/>
      <c r="K37" s="49"/>
    </row>
    <row r="38" spans="1:12" x14ac:dyDescent="0.35">
      <c r="A38" s="49"/>
      <c r="B38" s="49"/>
      <c r="C38" s="49" t="s">
        <v>57</v>
      </c>
      <c r="D38" s="366">
        <v>25530</v>
      </c>
      <c r="E38" s="327">
        <v>0</v>
      </c>
      <c r="F38" s="425"/>
      <c r="G38" s="49">
        <f t="shared" si="0"/>
        <v>25530</v>
      </c>
      <c r="H38" s="55"/>
      <c r="I38" s="366"/>
      <c r="J38" s="49"/>
      <c r="K38" s="49"/>
    </row>
    <row r="39" spans="1:12" x14ac:dyDescent="0.35">
      <c r="A39" s="49"/>
      <c r="B39" s="49"/>
      <c r="C39" s="49" t="s">
        <v>34</v>
      </c>
      <c r="D39" s="366">
        <v>826</v>
      </c>
      <c r="E39" s="366"/>
      <c r="F39" s="425"/>
      <c r="G39" s="49">
        <f t="shared" si="0"/>
        <v>826</v>
      </c>
      <c r="H39" s="55"/>
      <c r="I39" s="366"/>
      <c r="J39" s="49"/>
      <c r="K39" s="49"/>
    </row>
    <row r="40" spans="1:12" x14ac:dyDescent="0.35">
      <c r="A40" s="49"/>
      <c r="B40" s="49"/>
      <c r="C40" s="49" t="s">
        <v>214</v>
      </c>
      <c r="D40" s="366">
        <v>4575</v>
      </c>
      <c r="E40" s="327">
        <v>0</v>
      </c>
      <c r="F40" s="425"/>
      <c r="G40" s="49">
        <f t="shared" si="0"/>
        <v>4575</v>
      </c>
      <c r="H40" s="55"/>
      <c r="I40" s="366"/>
      <c r="J40" s="49"/>
      <c r="K40" s="49"/>
    </row>
    <row r="41" spans="1:12" x14ac:dyDescent="0.35">
      <c r="A41" s="49"/>
      <c r="B41" s="49"/>
      <c r="C41" s="49" t="s">
        <v>269</v>
      </c>
      <c r="D41" s="366">
        <v>3771</v>
      </c>
      <c r="E41" s="327">
        <v>0</v>
      </c>
      <c r="F41" s="441"/>
      <c r="G41" s="49">
        <f t="shared" si="0"/>
        <v>3771</v>
      </c>
      <c r="H41" s="55"/>
      <c r="I41" s="366"/>
      <c r="J41" s="49"/>
      <c r="K41" s="49"/>
    </row>
    <row r="42" spans="1:12" ht="16" x14ac:dyDescent="0.35">
      <c r="A42" s="49"/>
      <c r="B42" s="49"/>
      <c r="C42" s="49" t="s">
        <v>9</v>
      </c>
      <c r="D42" s="367">
        <v>71658</v>
      </c>
      <c r="E42" s="348"/>
      <c r="F42" s="425"/>
      <c r="G42" s="207">
        <f t="shared" si="0"/>
        <v>71658</v>
      </c>
      <c r="H42" s="55"/>
      <c r="I42" s="366"/>
      <c r="J42" s="49"/>
      <c r="K42" s="49"/>
    </row>
    <row r="43" spans="1:12" x14ac:dyDescent="0.35">
      <c r="A43" s="49"/>
      <c r="B43" s="49" t="s">
        <v>35</v>
      </c>
      <c r="C43" s="49"/>
      <c r="D43" s="366">
        <f>SUM(D17:D42)</f>
        <v>2608872</v>
      </c>
      <c r="E43" s="327">
        <f>SUM(E17:E42)</f>
        <v>-162498.52149812196</v>
      </c>
      <c r="F43" s="441"/>
      <c r="G43" s="49">
        <f>SUM(G17:G42)</f>
        <v>2446373.4785018777</v>
      </c>
      <c r="H43" s="55"/>
      <c r="I43" s="366"/>
      <c r="J43" s="49"/>
      <c r="K43" s="49"/>
    </row>
    <row r="44" spans="1:12" x14ac:dyDescent="0.35">
      <c r="A44" s="49"/>
      <c r="B44" s="49"/>
      <c r="C44" s="49"/>
      <c r="D44" s="366"/>
      <c r="E44" s="327"/>
      <c r="F44" s="441"/>
      <c r="G44" s="49"/>
      <c r="H44" s="55"/>
      <c r="I44" s="366"/>
      <c r="J44" s="49"/>
      <c r="K44" s="49"/>
    </row>
    <row r="45" spans="1:12" x14ac:dyDescent="0.35">
      <c r="A45" s="49"/>
      <c r="B45" s="49" t="s">
        <v>245</v>
      </c>
      <c r="C45" s="49"/>
      <c r="D45" s="366"/>
      <c r="E45" s="327">
        <f>9335/3</f>
        <v>3111.6666666666665</v>
      </c>
      <c r="F45" s="441" t="s">
        <v>237</v>
      </c>
      <c r="G45" s="49">
        <f>D45+E45</f>
        <v>3111.6666666666665</v>
      </c>
      <c r="H45" s="55"/>
      <c r="I45" s="421" t="s">
        <v>323</v>
      </c>
      <c r="J45" s="421"/>
      <c r="K45" s="16"/>
      <c r="L45" s="16"/>
    </row>
    <row r="46" spans="1:12" x14ac:dyDescent="0.35">
      <c r="A46" s="49"/>
      <c r="B46" s="49" t="s">
        <v>19</v>
      </c>
      <c r="C46" s="49"/>
      <c r="D46" s="366">
        <v>377234</v>
      </c>
      <c r="E46" s="327">
        <f>Depreciation!K39</f>
        <v>111746.01392126986</v>
      </c>
      <c r="F46" s="441" t="s">
        <v>238</v>
      </c>
      <c r="G46" s="49">
        <f>D46+E46</f>
        <v>488980.01392126986</v>
      </c>
      <c r="H46" s="55"/>
      <c r="I46" s="366" t="s">
        <v>266</v>
      </c>
      <c r="J46" s="49"/>
      <c r="L46" s="5" t="s">
        <v>230</v>
      </c>
    </row>
    <row r="47" spans="1:12" ht="16" x14ac:dyDescent="0.35">
      <c r="A47" s="49"/>
      <c r="B47" s="49" t="s">
        <v>1</v>
      </c>
      <c r="C47" s="49"/>
      <c r="D47" s="367">
        <v>43416</v>
      </c>
      <c r="E47" s="348">
        <f>Wages!I34</f>
        <v>143.42627250000078</v>
      </c>
      <c r="F47" s="496" t="s">
        <v>239</v>
      </c>
      <c r="G47" s="207">
        <f>D47+E47</f>
        <v>43559.426272500001</v>
      </c>
      <c r="H47" s="55"/>
      <c r="I47" s="366" t="s">
        <v>318</v>
      </c>
      <c r="J47" s="49"/>
      <c r="L47" s="5" t="s">
        <v>208</v>
      </c>
    </row>
    <row r="48" spans="1:12" ht="16" x14ac:dyDescent="0.35">
      <c r="A48" s="56" t="s">
        <v>0</v>
      </c>
      <c r="B48" s="49"/>
      <c r="C48" s="49"/>
      <c r="D48" s="207">
        <f>SUM(D43:D47)</f>
        <v>3029522</v>
      </c>
      <c r="E48" s="348">
        <f>SUM(E43:E47)</f>
        <v>-47497.414637685448</v>
      </c>
      <c r="F48" s="208"/>
      <c r="G48" s="207">
        <f>SUM(G43:G47)</f>
        <v>2982024.5853623138</v>
      </c>
      <c r="H48" s="55"/>
      <c r="I48" s="49"/>
      <c r="J48" s="49"/>
      <c r="K48" s="49"/>
    </row>
    <row r="49" spans="1:11" ht="14.5" customHeight="1" x14ac:dyDescent="0.35">
      <c r="A49" s="56"/>
      <c r="B49" s="49"/>
      <c r="C49" s="49"/>
      <c r="D49" s="49"/>
      <c r="E49" s="327"/>
      <c r="F49" s="52"/>
      <c r="G49" s="49"/>
      <c r="H49" s="49"/>
      <c r="I49" s="49"/>
      <c r="J49" s="49"/>
      <c r="K49" s="49"/>
    </row>
    <row r="50" spans="1:11" x14ac:dyDescent="0.35">
      <c r="A50" s="56" t="s">
        <v>36</v>
      </c>
      <c r="B50" s="49"/>
      <c r="C50" s="49"/>
      <c r="D50" s="49">
        <f>D13-D48+D49</f>
        <v>146212</v>
      </c>
      <c r="E50" s="327">
        <f>E13-E48</f>
        <v>79665.764637685541</v>
      </c>
      <c r="F50" s="52"/>
      <c r="G50" s="49">
        <f>G13-G48</f>
        <v>225877.76463768631</v>
      </c>
      <c r="H50" s="49"/>
      <c r="I50" s="49"/>
      <c r="K50" s="49"/>
    </row>
    <row r="51" spans="1:11" x14ac:dyDescent="0.35">
      <c r="A51" s="49"/>
      <c r="B51" s="49"/>
      <c r="C51" s="49"/>
      <c r="D51" s="49"/>
      <c r="E51" s="49"/>
      <c r="F51" s="52"/>
      <c r="G51" s="49"/>
      <c r="H51" s="49"/>
      <c r="I51" s="49"/>
      <c r="J51" s="49"/>
      <c r="K51" s="49"/>
    </row>
    <row r="52" spans="1:11" ht="18.5" x14ac:dyDescent="0.35">
      <c r="A52" s="531" t="s">
        <v>201</v>
      </c>
      <c r="B52" s="531"/>
      <c r="C52" s="531"/>
      <c r="D52" s="531"/>
      <c r="E52" s="531"/>
      <c r="F52" s="531"/>
      <c r="G52" s="531"/>
    </row>
    <row r="53" spans="1:11" x14ac:dyDescent="0.35">
      <c r="A53" s="282" t="s">
        <v>37</v>
      </c>
      <c r="B53" s="283"/>
      <c r="C53" s="283"/>
      <c r="D53" s="61"/>
      <c r="E53" s="49"/>
      <c r="F53" s="57"/>
      <c r="G53" s="5">
        <f>G48</f>
        <v>2982024.5853623138</v>
      </c>
    </row>
    <row r="54" spans="1:11" x14ac:dyDescent="0.35">
      <c r="A54" s="283" t="s">
        <v>202</v>
      </c>
      <c r="B54" s="283"/>
      <c r="C54" s="283"/>
      <c r="D54" s="61"/>
      <c r="E54" s="49"/>
      <c r="F54" s="57" t="s">
        <v>240</v>
      </c>
      <c r="G54" s="197">
        <f>'Revenue Requirements'!G4</f>
        <v>0.88</v>
      </c>
    </row>
    <row r="55" spans="1:11" x14ac:dyDescent="0.35">
      <c r="A55" s="283" t="s">
        <v>203</v>
      </c>
      <c r="B55" s="119"/>
      <c r="C55" s="119"/>
      <c r="D55" s="61"/>
      <c r="E55" s="49"/>
      <c r="F55" s="57"/>
      <c r="G55" s="4">
        <f>G53/G54</f>
        <v>3388664.3015480838</v>
      </c>
    </row>
    <row r="56" spans="1:11" ht="16" x14ac:dyDescent="0.5">
      <c r="A56" s="283" t="s">
        <v>20</v>
      </c>
      <c r="B56" s="283"/>
      <c r="C56" s="283" t="s">
        <v>204</v>
      </c>
      <c r="D56" s="61"/>
      <c r="E56" s="49"/>
      <c r="F56" s="498" t="s">
        <v>411</v>
      </c>
      <c r="G56" s="39">
        <f>'Debt Service'!M23</f>
        <v>22761.022000000001</v>
      </c>
    </row>
    <row r="57" spans="1:11" x14ac:dyDescent="0.35">
      <c r="A57" s="282" t="s">
        <v>60</v>
      </c>
      <c r="B57" s="283"/>
      <c r="C57" s="283"/>
      <c r="D57" s="61"/>
      <c r="E57" s="49"/>
      <c r="F57" s="57"/>
      <c r="G57" s="4">
        <f>G55+G56</f>
        <v>3411425.3235480837</v>
      </c>
    </row>
    <row r="58" spans="1:11" ht="15.5" x14ac:dyDescent="0.35">
      <c r="A58" s="283" t="s">
        <v>21</v>
      </c>
      <c r="B58" s="283"/>
      <c r="C58" s="288" t="s">
        <v>22</v>
      </c>
      <c r="D58" s="61"/>
      <c r="E58" s="49"/>
      <c r="F58" s="57"/>
      <c r="G58" s="340">
        <f>G10+G11+G12</f>
        <v>148584</v>
      </c>
      <c r="H58" s="354"/>
      <c r="J58" s="354"/>
    </row>
    <row r="59" spans="1:11" ht="15.5" x14ac:dyDescent="0.35">
      <c r="A59" s="283"/>
      <c r="B59" s="283"/>
      <c r="C59" s="288" t="s">
        <v>267</v>
      </c>
      <c r="D59" s="61"/>
      <c r="E59" s="49"/>
      <c r="F59" s="57"/>
      <c r="G59" s="4">
        <v>110468</v>
      </c>
      <c r="I59" s="370" t="s">
        <v>268</v>
      </c>
    </row>
    <row r="60" spans="1:11" ht="16" x14ac:dyDescent="0.5">
      <c r="A60" s="283"/>
      <c r="B60" s="283"/>
      <c r="C60" s="289" t="s">
        <v>173</v>
      </c>
      <c r="D60" s="61"/>
      <c r="E60" s="366"/>
      <c r="F60" s="425"/>
      <c r="G60" s="39">
        <v>0</v>
      </c>
      <c r="I60" s="5" t="s">
        <v>348</v>
      </c>
    </row>
    <row r="61" spans="1:11" x14ac:dyDescent="0.35">
      <c r="A61" s="282" t="s">
        <v>58</v>
      </c>
      <c r="B61" s="283"/>
      <c r="C61" s="283"/>
      <c r="D61" s="61"/>
      <c r="E61" s="49"/>
      <c r="F61" s="57"/>
      <c r="G61" s="4">
        <f>G57-G58-G59-G60</f>
        <v>3152373.3235480837</v>
      </c>
    </row>
    <row r="62" spans="1:11" ht="16" x14ac:dyDescent="0.5">
      <c r="A62" s="283" t="s">
        <v>21</v>
      </c>
      <c r="B62" s="283"/>
      <c r="C62" s="286" t="s">
        <v>59</v>
      </c>
      <c r="D62" s="61"/>
      <c r="E62" s="49"/>
      <c r="F62" s="57"/>
      <c r="G62" s="39">
        <f>G6+G7+G8</f>
        <v>3059318.35</v>
      </c>
    </row>
    <row r="63" spans="1:11" x14ac:dyDescent="0.35">
      <c r="A63" s="283"/>
      <c r="B63" s="283"/>
      <c r="C63" s="287"/>
      <c r="D63" s="61"/>
      <c r="E63" s="49"/>
      <c r="F63" s="57"/>
      <c r="G63" s="4"/>
    </row>
    <row r="64" spans="1:11" x14ac:dyDescent="0.35">
      <c r="A64" s="282" t="s">
        <v>61</v>
      </c>
      <c r="B64" s="283"/>
      <c r="C64" s="283"/>
      <c r="D64" s="61"/>
      <c r="G64" s="499">
        <f>G61-G62</f>
        <v>93054.973548083566</v>
      </c>
    </row>
    <row r="65" spans="1:7" x14ac:dyDescent="0.35">
      <c r="A65" s="282" t="s">
        <v>62</v>
      </c>
      <c r="B65" s="283"/>
      <c r="C65" s="283"/>
      <c r="G65" s="483">
        <f>G64/G62</f>
        <v>3.0416897786424733E-2</v>
      </c>
    </row>
  </sheetData>
  <mergeCells count="3">
    <mergeCell ref="A2:H2"/>
    <mergeCell ref="A52:G52"/>
    <mergeCell ref="A1:H1"/>
  </mergeCells>
  <printOptions horizontalCentered="1"/>
  <pageMargins left="0.45" right="0.25" top="0.5" bottom="0.5" header="0.3" footer="0.3"/>
  <pageSetup scale="94" orientation="portrait" r:id="rId1"/>
  <rowBreaks count="2" manualBreakCount="2">
    <brk id="50" max="16383" man="1"/>
    <brk id="5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56ECB-1166-4A19-BAC2-1CAB016DEA29}">
  <sheetPr>
    <tabColor rgb="FF92D050"/>
    <pageSetUpPr fitToPage="1"/>
  </sheetPr>
  <dimension ref="A1:M36"/>
  <sheetViews>
    <sheetView workbookViewId="0">
      <selection activeCell="G21" sqref="G21"/>
    </sheetView>
  </sheetViews>
  <sheetFormatPr defaultRowHeight="15.5" x14ac:dyDescent="0.35"/>
  <cols>
    <col min="1" max="1" width="10.15234375" customWidth="1"/>
    <col min="3" max="3" width="11.3828125" customWidth="1"/>
    <col min="4" max="4" width="10.15234375" customWidth="1"/>
    <col min="5" max="5" width="10.23046875" customWidth="1"/>
    <col min="6" max="6" width="11" customWidth="1"/>
    <col min="7" max="7" width="11.4609375" bestFit="1" customWidth="1"/>
    <col min="9" max="9" width="12.921875" customWidth="1"/>
    <col min="11" max="11" width="15.23046875" customWidth="1"/>
  </cols>
  <sheetData>
    <row r="1" spans="1:13" x14ac:dyDescent="0.35">
      <c r="A1" s="5"/>
      <c r="B1" s="5"/>
      <c r="C1" s="5"/>
      <c r="D1" s="5"/>
      <c r="E1" s="5"/>
      <c r="F1" s="5"/>
      <c r="G1" s="5"/>
      <c r="H1" s="5"/>
      <c r="I1" s="5"/>
      <c r="J1" s="5"/>
      <c r="K1" s="5"/>
      <c r="L1" s="5"/>
      <c r="M1" s="5"/>
    </row>
    <row r="2" spans="1:13" ht="18.5" x14ac:dyDescent="0.35">
      <c r="A2" s="531" t="s">
        <v>201</v>
      </c>
      <c r="B2" s="531"/>
      <c r="C2" s="531"/>
      <c r="D2" s="531"/>
      <c r="E2" s="531"/>
      <c r="F2" s="531"/>
      <c r="G2" s="531"/>
      <c r="H2" s="5"/>
      <c r="I2" s="5"/>
      <c r="J2" s="5"/>
      <c r="K2" s="5"/>
      <c r="L2" s="5"/>
      <c r="M2" s="5"/>
    </row>
    <row r="3" spans="1:13" x14ac:dyDescent="0.35">
      <c r="A3" s="282" t="s">
        <v>37</v>
      </c>
      <c r="B3" s="283"/>
      <c r="C3" s="283"/>
      <c r="D3" s="61"/>
      <c r="E3" s="49"/>
      <c r="F3" s="57"/>
      <c r="G3" s="5">
        <f>SAO!G48</f>
        <v>2982024.5853623138</v>
      </c>
      <c r="H3" s="5"/>
      <c r="I3" s="5"/>
      <c r="J3" s="5"/>
      <c r="K3" s="5"/>
      <c r="L3" s="5"/>
      <c r="M3" s="5"/>
    </row>
    <row r="4" spans="1:13" x14ac:dyDescent="0.35">
      <c r="A4" s="283" t="s">
        <v>202</v>
      </c>
      <c r="B4" s="283"/>
      <c r="C4" s="283"/>
      <c r="D4" s="61"/>
      <c r="E4" s="49"/>
      <c r="F4" s="57"/>
      <c r="G4" s="197">
        <v>0.88</v>
      </c>
      <c r="H4" s="5"/>
      <c r="I4" s="5"/>
      <c r="J4" s="5"/>
      <c r="K4" s="5"/>
      <c r="L4" s="5"/>
      <c r="M4" s="5"/>
    </row>
    <row r="5" spans="1:13" x14ac:dyDescent="0.35">
      <c r="A5" s="283" t="s">
        <v>203</v>
      </c>
      <c r="B5" s="119"/>
      <c r="C5" s="119"/>
      <c r="D5" s="61"/>
      <c r="E5" s="49"/>
      <c r="F5" s="57"/>
      <c r="G5" s="5">
        <f>G3/G4</f>
        <v>3388664.3015480838</v>
      </c>
      <c r="H5" s="5"/>
      <c r="I5" s="5"/>
      <c r="J5" s="5"/>
      <c r="K5" s="5"/>
      <c r="L5" s="5"/>
      <c r="M5" s="5"/>
    </row>
    <row r="6" spans="1:13" ht="17" x14ac:dyDescent="0.5">
      <c r="A6" s="283" t="s">
        <v>20</v>
      </c>
      <c r="B6" s="283"/>
      <c r="C6" s="283" t="s">
        <v>204</v>
      </c>
      <c r="D6" s="61"/>
      <c r="E6" s="49"/>
      <c r="F6" s="497"/>
      <c r="G6" s="210">
        <f>'Debt Service'!M29</f>
        <v>22761.022000000001</v>
      </c>
      <c r="H6" s="5"/>
      <c r="I6" s="5" t="s">
        <v>241</v>
      </c>
      <c r="J6" s="49"/>
      <c r="K6" s="49"/>
      <c r="L6" s="5" t="s">
        <v>207</v>
      </c>
      <c r="M6" s="5"/>
    </row>
    <row r="7" spans="1:13" x14ac:dyDescent="0.35">
      <c r="A7" s="282" t="s">
        <v>60</v>
      </c>
      <c r="B7" s="283"/>
      <c r="C7" s="283"/>
      <c r="D7" s="61"/>
      <c r="E7" s="49"/>
      <c r="F7" s="57"/>
      <c r="G7" s="5">
        <f>G5+G6</f>
        <v>3411425.3235480837</v>
      </c>
      <c r="H7" s="5"/>
      <c r="I7" s="5"/>
      <c r="J7" s="5"/>
      <c r="K7" s="5"/>
      <c r="L7" s="5"/>
      <c r="M7" s="5"/>
    </row>
    <row r="8" spans="1:13" x14ac:dyDescent="0.35">
      <c r="A8" s="283" t="s">
        <v>21</v>
      </c>
      <c r="B8" s="283"/>
      <c r="C8" s="288" t="s">
        <v>22</v>
      </c>
      <c r="D8" s="61"/>
      <c r="E8" s="49"/>
      <c r="F8" s="57"/>
      <c r="G8" s="351">
        <f>SUM(SAO!G10:G12)</f>
        <v>148584</v>
      </c>
      <c r="H8" s="5"/>
      <c r="I8" s="5"/>
      <c r="J8" s="5"/>
      <c r="K8" s="5"/>
      <c r="L8" s="5"/>
      <c r="M8" s="5"/>
    </row>
    <row r="9" spans="1:13" x14ac:dyDescent="0.35">
      <c r="A9" s="283"/>
      <c r="B9" s="283"/>
      <c r="C9" s="288" t="s">
        <v>267</v>
      </c>
      <c r="D9" s="61"/>
      <c r="E9" s="49"/>
      <c r="F9" s="57"/>
      <c r="G9" s="369">
        <v>110468</v>
      </c>
      <c r="H9" s="5"/>
      <c r="I9" s="370" t="s">
        <v>268</v>
      </c>
      <c r="J9" s="5"/>
      <c r="K9" s="5"/>
      <c r="L9" s="5"/>
      <c r="M9" s="5"/>
    </row>
    <row r="10" spans="1:13" ht="17" x14ac:dyDescent="0.5">
      <c r="A10" s="283"/>
      <c r="B10" s="283"/>
      <c r="C10" s="289" t="s">
        <v>173</v>
      </c>
      <c r="D10" s="61"/>
      <c r="E10" s="49"/>
      <c r="F10" s="425"/>
      <c r="G10" s="464">
        <v>0</v>
      </c>
      <c r="H10" s="5"/>
      <c r="I10" s="429" t="s">
        <v>370</v>
      </c>
      <c r="J10" s="5"/>
      <c r="K10" s="355"/>
      <c r="L10" s="5"/>
      <c r="M10" s="5"/>
    </row>
    <row r="11" spans="1:13" x14ac:dyDescent="0.35">
      <c r="A11" s="282" t="s">
        <v>58</v>
      </c>
      <c r="B11" s="283"/>
      <c r="C11" s="283"/>
      <c r="D11" s="61"/>
      <c r="E11" s="49"/>
      <c r="F11" s="57"/>
      <c r="G11" s="5">
        <f>G7-G8-G9-G10</f>
        <v>3152373.3235480837</v>
      </c>
      <c r="H11" s="5"/>
      <c r="I11" s="5"/>
      <c r="J11" s="5"/>
      <c r="K11" s="5"/>
      <c r="L11" s="5"/>
      <c r="M11" s="5"/>
    </row>
    <row r="12" spans="1:13" x14ac:dyDescent="0.35">
      <c r="A12" s="283" t="s">
        <v>21</v>
      </c>
      <c r="B12" s="283"/>
      <c r="C12" s="286" t="s">
        <v>59</v>
      </c>
      <c r="D12" s="61"/>
      <c r="E12" s="49"/>
      <c r="F12" s="57"/>
      <c r="G12" s="4">
        <f>SAO!G6+SAO!G7+SAO!G8</f>
        <v>3059318.35</v>
      </c>
      <c r="H12" s="5"/>
      <c r="I12" s="5"/>
      <c r="J12" s="5"/>
      <c r="K12" s="5"/>
      <c r="L12" s="5"/>
      <c r="M12" s="5"/>
    </row>
    <row r="13" spans="1:13" ht="17" x14ac:dyDescent="0.5">
      <c r="A13" s="283"/>
      <c r="B13" s="283"/>
      <c r="C13" s="287"/>
      <c r="D13" s="61"/>
      <c r="E13" s="49"/>
      <c r="F13" s="57"/>
      <c r="G13" s="39"/>
      <c r="H13" s="5"/>
      <c r="I13" s="5"/>
      <c r="J13" s="5"/>
      <c r="K13" s="5"/>
      <c r="L13" s="5"/>
      <c r="M13" s="5"/>
    </row>
    <row r="14" spans="1:13" x14ac:dyDescent="0.35">
      <c r="A14" s="282" t="s">
        <v>61</v>
      </c>
      <c r="B14" s="283"/>
      <c r="C14" s="283"/>
      <c r="D14" s="61"/>
      <c r="E14" s="49"/>
      <c r="F14" s="57"/>
      <c r="G14" s="4">
        <f>G11-G12-G13</f>
        <v>93054.973548083566</v>
      </c>
      <c r="H14" s="5"/>
      <c r="I14" s="5"/>
      <c r="J14" s="5"/>
      <c r="K14" s="5"/>
      <c r="L14" s="5"/>
      <c r="M14" s="5"/>
    </row>
    <row r="15" spans="1:13" x14ac:dyDescent="0.35">
      <c r="A15" s="282" t="s">
        <v>62</v>
      </c>
      <c r="B15" s="283"/>
      <c r="C15" s="283"/>
      <c r="D15" s="5"/>
      <c r="E15" s="5"/>
      <c r="F15" s="5"/>
      <c r="G15" s="62">
        <f>G14/(G12)</f>
        <v>3.0416897786424733E-2</v>
      </c>
      <c r="H15" s="5"/>
      <c r="I15" s="197"/>
      <c r="J15" s="5"/>
      <c r="K15" s="5"/>
      <c r="L15" s="5"/>
      <c r="M15" s="5"/>
    </row>
    <row r="18" spans="1:13" x14ac:dyDescent="0.35">
      <c r="A18" s="533"/>
      <c r="B18" s="533"/>
      <c r="C18" s="533"/>
      <c r="D18" s="533"/>
      <c r="E18" s="533"/>
      <c r="F18" s="533"/>
      <c r="G18" s="533"/>
    </row>
    <row r="19" spans="1:13" x14ac:dyDescent="0.35">
      <c r="A19" s="534"/>
      <c r="B19" s="534"/>
      <c r="C19" s="534"/>
      <c r="D19" s="534"/>
      <c r="E19" s="534"/>
      <c r="F19" s="534"/>
      <c r="G19" s="534"/>
      <c r="H19" s="354"/>
      <c r="I19" s="354"/>
      <c r="J19" s="354"/>
      <c r="K19" s="354"/>
      <c r="L19" s="354"/>
      <c r="M19" s="354"/>
    </row>
    <row r="20" spans="1:13" x14ac:dyDescent="0.35">
      <c r="A20" s="354"/>
      <c r="B20" s="354"/>
      <c r="C20" s="354"/>
      <c r="D20" s="354"/>
      <c r="E20" s="354"/>
      <c r="F20" s="354"/>
      <c r="G20" s="340"/>
      <c r="H20" s="354"/>
      <c r="I20" s="354"/>
      <c r="J20" s="354"/>
      <c r="K20" s="354"/>
      <c r="L20" s="354"/>
      <c r="M20" s="354"/>
    </row>
    <row r="21" spans="1:13" x14ac:dyDescent="0.35">
      <c r="A21" s="354"/>
      <c r="B21" s="354"/>
      <c r="C21" s="354"/>
      <c r="D21" s="354"/>
      <c r="E21" s="354"/>
      <c r="F21" s="354"/>
      <c r="G21" s="340"/>
      <c r="H21" s="354"/>
      <c r="I21" s="354"/>
      <c r="J21" s="354"/>
      <c r="K21" s="354"/>
      <c r="L21" s="354"/>
      <c r="M21" s="354"/>
    </row>
    <row r="22" spans="1:13" x14ac:dyDescent="0.35">
      <c r="A22" s="354"/>
      <c r="B22" s="354"/>
      <c r="C22" s="354"/>
      <c r="D22" s="354"/>
      <c r="E22" s="354"/>
      <c r="F22" s="354"/>
      <c r="G22" s="340"/>
      <c r="H22" s="354"/>
      <c r="I22" s="354"/>
      <c r="J22" s="354"/>
      <c r="K22" s="354"/>
      <c r="L22" s="354"/>
      <c r="M22" s="354"/>
    </row>
    <row r="23" spans="1:13" x14ac:dyDescent="0.35">
      <c r="A23" s="354"/>
      <c r="B23" s="354"/>
      <c r="C23" s="354"/>
      <c r="D23" s="354"/>
      <c r="E23" s="354"/>
      <c r="F23" s="354"/>
      <c r="G23" s="340"/>
      <c r="H23" s="354"/>
      <c r="I23" s="354"/>
      <c r="J23" s="354"/>
      <c r="K23" s="354"/>
      <c r="L23" s="354"/>
      <c r="M23" s="354"/>
    </row>
    <row r="24" spans="1:13" x14ac:dyDescent="0.35">
      <c r="A24" s="354"/>
      <c r="B24" s="354"/>
      <c r="C24" s="520"/>
      <c r="D24" s="354"/>
      <c r="E24" s="354"/>
      <c r="F24" s="354"/>
      <c r="G24" s="340"/>
      <c r="H24" s="354"/>
      <c r="I24" s="354"/>
      <c r="J24" s="354"/>
      <c r="K24" s="354"/>
      <c r="L24" s="354"/>
      <c r="M24" s="354"/>
    </row>
    <row r="25" spans="1:13" x14ac:dyDescent="0.35">
      <c r="A25" s="354"/>
      <c r="B25" s="354"/>
      <c r="C25" s="391"/>
      <c r="D25" s="354"/>
      <c r="E25" s="354"/>
      <c r="F25" s="354"/>
      <c r="G25" s="340"/>
      <c r="H25" s="354"/>
      <c r="I25" s="370"/>
      <c r="J25" s="354"/>
      <c r="K25" s="354"/>
      <c r="L25" s="354"/>
      <c r="M25" s="354"/>
    </row>
    <row r="26" spans="1:13" x14ac:dyDescent="0.35">
      <c r="A26" s="354"/>
      <c r="B26" s="354"/>
      <c r="C26" s="520"/>
      <c r="D26" s="354"/>
      <c r="E26" s="354"/>
      <c r="F26" s="354"/>
      <c r="G26" s="340"/>
      <c r="H26" s="354"/>
      <c r="I26" s="370"/>
      <c r="J26" s="354"/>
      <c r="K26" s="429"/>
      <c r="L26" s="354"/>
      <c r="M26" s="354"/>
    </row>
    <row r="27" spans="1:13" x14ac:dyDescent="0.35">
      <c r="A27" s="354"/>
      <c r="B27" s="354"/>
      <c r="C27" s="354"/>
      <c r="D27" s="354"/>
      <c r="E27" s="354"/>
      <c r="F27" s="354"/>
      <c r="G27" s="340"/>
      <c r="H27" s="354"/>
      <c r="I27" s="354"/>
      <c r="J27" s="354"/>
      <c r="K27" s="354"/>
      <c r="L27" s="354"/>
      <c r="M27" s="354"/>
    </row>
    <row r="28" spans="1:13" x14ac:dyDescent="0.35">
      <c r="A28" s="354"/>
      <c r="B28" s="354"/>
      <c r="C28" s="354"/>
      <c r="D28" s="354"/>
      <c r="E28" s="354"/>
      <c r="F28" s="354"/>
      <c r="G28" s="340"/>
      <c r="H28" s="354"/>
      <c r="I28" s="354"/>
      <c r="J28" s="354"/>
      <c r="K28" s="354"/>
      <c r="L28" s="354"/>
      <c r="M28" s="354"/>
    </row>
    <row r="29" spans="1:13" x14ac:dyDescent="0.35">
      <c r="A29" s="354"/>
      <c r="B29" s="354"/>
      <c r="C29" s="354"/>
      <c r="D29" s="354"/>
      <c r="E29" s="354"/>
      <c r="F29" s="354"/>
      <c r="G29" s="340"/>
      <c r="H29" s="354"/>
      <c r="I29" s="354"/>
      <c r="J29" s="354"/>
      <c r="K29" s="354"/>
      <c r="L29" s="354"/>
      <c r="M29" s="354"/>
    </row>
    <row r="30" spans="1:13" x14ac:dyDescent="0.35">
      <c r="A30" s="354"/>
      <c r="B30" s="354"/>
      <c r="C30" s="354"/>
      <c r="D30" s="354"/>
      <c r="E30" s="354"/>
      <c r="F30" s="354"/>
      <c r="G30" s="521"/>
      <c r="H30" s="354"/>
      <c r="I30" s="354"/>
      <c r="J30" s="354"/>
      <c r="K30" s="354"/>
      <c r="L30" s="354"/>
      <c r="M30" s="354"/>
    </row>
    <row r="31" spans="1:13" x14ac:dyDescent="0.35">
      <c r="A31" s="354"/>
      <c r="B31" s="354"/>
      <c r="C31" s="354"/>
      <c r="D31" s="354"/>
      <c r="E31" s="354"/>
      <c r="F31" s="354"/>
      <c r="G31" s="522"/>
      <c r="H31" s="354"/>
      <c r="I31" s="354"/>
      <c r="J31" s="354"/>
      <c r="K31" s="354"/>
      <c r="L31" s="354"/>
      <c r="M31" s="354"/>
    </row>
    <row r="34" spans="9:10" x14ac:dyDescent="0.35">
      <c r="I34" s="446"/>
      <c r="J34" s="446"/>
    </row>
    <row r="35" spans="9:10" x14ac:dyDescent="0.35">
      <c r="I35" s="503"/>
      <c r="J35" s="503"/>
    </row>
    <row r="36" spans="9:10" x14ac:dyDescent="0.35">
      <c r="I36" s="354"/>
      <c r="J36" s="340"/>
    </row>
  </sheetData>
  <mergeCells count="3">
    <mergeCell ref="A2:G2"/>
    <mergeCell ref="A18:G18"/>
    <mergeCell ref="A19:G19"/>
  </mergeCells>
  <printOptions horizontalCentered="1" verticalCentered="1"/>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93153-D18D-47C6-A731-B4659C25EE06}">
  <sheetPr>
    <tabColor rgb="FF92D050"/>
  </sheetPr>
  <dimension ref="A1:O45"/>
  <sheetViews>
    <sheetView topLeftCell="A17" workbookViewId="0">
      <selection activeCell="K40" sqref="K40"/>
    </sheetView>
  </sheetViews>
  <sheetFormatPr defaultColWidth="8.84375" defaultRowHeight="14.5" x14ac:dyDescent="0.35"/>
  <cols>
    <col min="1" max="1" width="15.3046875" style="1" customWidth="1"/>
    <col min="2" max="2" width="22.69140625" style="1" customWidth="1"/>
    <col min="3" max="3" width="9.921875" style="1" customWidth="1"/>
    <col min="4" max="4" width="9.69140625" style="1" customWidth="1"/>
    <col min="5" max="5" width="10.84375" style="1" customWidth="1"/>
    <col min="6" max="6" width="10.4609375" style="1" customWidth="1"/>
    <col min="7" max="7" width="10.23046875" style="1" customWidth="1"/>
    <col min="8" max="8" width="8.84375" style="1"/>
    <col min="9" max="9" width="9.84375" style="1" bestFit="1" customWidth="1"/>
    <col min="10" max="10" width="8.84375" style="90"/>
    <col min="11" max="12" width="8.84375" style="1"/>
    <col min="13" max="13" width="18.3046875" style="1" customWidth="1"/>
    <col min="14" max="14" width="11.921875" style="1" bestFit="1" customWidth="1"/>
    <col min="15" max="16384" width="8.84375" style="1"/>
  </cols>
  <sheetData>
    <row r="1" spans="1:15" x14ac:dyDescent="0.35">
      <c r="B1" s="134" t="s">
        <v>83</v>
      </c>
      <c r="M1" s="76" t="s">
        <v>309</v>
      </c>
      <c r="N1" s="341">
        <v>2025</v>
      </c>
    </row>
    <row r="2" spans="1:15" x14ac:dyDescent="0.35">
      <c r="E2" s="18">
        <v>2026</v>
      </c>
      <c r="I2" s="18" t="s">
        <v>12</v>
      </c>
      <c r="M2" s="1" t="s">
        <v>311</v>
      </c>
      <c r="N2" s="349">
        <v>40827.620000000003</v>
      </c>
    </row>
    <row r="3" spans="1:15" x14ac:dyDescent="0.35">
      <c r="C3" s="18" t="s">
        <v>84</v>
      </c>
      <c r="D3" s="18" t="s">
        <v>84</v>
      </c>
      <c r="E3" s="18" t="s">
        <v>85</v>
      </c>
      <c r="F3" s="18" t="s">
        <v>84</v>
      </c>
      <c r="G3" s="18" t="s">
        <v>84</v>
      </c>
      <c r="H3" s="18"/>
      <c r="I3" s="18" t="s">
        <v>84</v>
      </c>
      <c r="M3" s="1" t="s">
        <v>310</v>
      </c>
      <c r="N3" s="13">
        <v>55710.99</v>
      </c>
    </row>
    <row r="4" spans="1:15" x14ac:dyDescent="0.35">
      <c r="B4" s="19" t="s">
        <v>86</v>
      </c>
      <c r="C4" s="19" t="s">
        <v>87</v>
      </c>
      <c r="D4" s="19" t="s">
        <v>88</v>
      </c>
      <c r="E4" s="19" t="s">
        <v>89</v>
      </c>
      <c r="F4" s="19" t="s">
        <v>90</v>
      </c>
      <c r="G4" s="19" t="s">
        <v>91</v>
      </c>
      <c r="H4" s="19" t="s">
        <v>223</v>
      </c>
      <c r="I4" s="19" t="s">
        <v>92</v>
      </c>
      <c r="M4" s="1" t="s">
        <v>312</v>
      </c>
      <c r="N4" s="13">
        <v>108180.95</v>
      </c>
    </row>
    <row r="5" spans="1:15" ht="15.5" x14ac:dyDescent="0.35">
      <c r="A5" s="361"/>
      <c r="B5" s="452">
        <v>1</v>
      </c>
      <c r="C5" s="359">
        <v>2080</v>
      </c>
      <c r="D5" s="359">
        <v>2</v>
      </c>
      <c r="E5" s="360">
        <v>33.659999999999997</v>
      </c>
      <c r="F5" s="16">
        <f>C5*E5</f>
        <v>70012.799999999988</v>
      </c>
      <c r="G5" s="16">
        <f>D5*E5*1.5</f>
        <v>100.97999999999999</v>
      </c>
      <c r="H5" s="16"/>
      <c r="I5" s="16">
        <f>F5+G5+H5</f>
        <v>70113.779999999984</v>
      </c>
      <c r="J5" s="414"/>
      <c r="M5" s="1" t="s">
        <v>313</v>
      </c>
      <c r="N5" s="307">
        <v>92435.25</v>
      </c>
      <c r="O5" s="18"/>
    </row>
    <row r="6" spans="1:15" ht="15.5" x14ac:dyDescent="0.35">
      <c r="A6" s="447"/>
      <c r="B6" s="452">
        <v>2</v>
      </c>
      <c r="C6" s="359">
        <v>2080</v>
      </c>
      <c r="D6" s="359">
        <v>198</v>
      </c>
      <c r="E6" s="360">
        <v>26</v>
      </c>
      <c r="F6" s="16">
        <f>C6*E6</f>
        <v>54080</v>
      </c>
      <c r="G6" s="16">
        <f>D6*E6*1.5</f>
        <v>7722</v>
      </c>
      <c r="H6" s="16"/>
      <c r="I6" s="16">
        <f t="shared" ref="I6:I10" si="0">F6+G6</f>
        <v>61802</v>
      </c>
      <c r="J6" s="414"/>
      <c r="M6" s="1" t="s">
        <v>53</v>
      </c>
      <c r="N6" s="349">
        <f>SUM(N2:N5)</f>
        <v>297154.81</v>
      </c>
      <c r="O6" s="90" t="s">
        <v>338</v>
      </c>
    </row>
    <row r="7" spans="1:15" ht="15.5" x14ac:dyDescent="0.35">
      <c r="A7" s="447"/>
      <c r="B7" s="452">
        <v>3</v>
      </c>
      <c r="C7" s="359">
        <v>2080</v>
      </c>
      <c r="D7" s="359">
        <v>163</v>
      </c>
      <c r="E7" s="360">
        <v>24</v>
      </c>
      <c r="F7" s="16">
        <f>C7*E7</f>
        <v>49920</v>
      </c>
      <c r="G7" s="16">
        <f>D7*E7*1.5</f>
        <v>5868</v>
      </c>
      <c r="H7" s="16"/>
      <c r="I7" s="16">
        <f t="shared" si="0"/>
        <v>55788</v>
      </c>
      <c r="J7" s="414"/>
      <c r="O7" s="18"/>
    </row>
    <row r="8" spans="1:15" ht="15.5" x14ac:dyDescent="0.35">
      <c r="A8" s="447"/>
      <c r="B8" s="452">
        <v>4</v>
      </c>
      <c r="C8" s="359">
        <v>2080</v>
      </c>
      <c r="D8" s="359">
        <v>270.5</v>
      </c>
      <c r="E8" s="360">
        <v>20</v>
      </c>
      <c r="F8" s="16">
        <f>C8*E8</f>
        <v>41600</v>
      </c>
      <c r="G8" s="16">
        <f>D8*E8*1.5</f>
        <v>8115</v>
      </c>
      <c r="H8" s="16"/>
      <c r="I8" s="16">
        <f t="shared" si="0"/>
        <v>49715</v>
      </c>
      <c r="J8" s="414"/>
      <c r="M8" s="76" t="s">
        <v>309</v>
      </c>
      <c r="O8" s="18"/>
    </row>
    <row r="9" spans="1:15" ht="15.5" x14ac:dyDescent="0.35">
      <c r="A9" s="447"/>
      <c r="B9" s="18">
        <v>5</v>
      </c>
      <c r="C9" s="447" t="s">
        <v>366</v>
      </c>
      <c r="D9" s="447"/>
      <c r="E9" s="462"/>
      <c r="F9" s="16"/>
      <c r="G9" s="20"/>
      <c r="H9" s="20"/>
      <c r="I9" s="20"/>
      <c r="J9" s="414"/>
      <c r="M9" s="1" t="s">
        <v>352</v>
      </c>
      <c r="N9" s="13">
        <v>101453.32</v>
      </c>
      <c r="O9" s="18"/>
    </row>
    <row r="10" spans="1:15" ht="17" x14ac:dyDescent="0.5">
      <c r="A10" s="447"/>
      <c r="B10" s="452">
        <v>6</v>
      </c>
      <c r="C10" s="359">
        <v>2080</v>
      </c>
      <c r="D10" s="359">
        <v>156.5</v>
      </c>
      <c r="E10" s="360">
        <v>21</v>
      </c>
      <c r="F10" s="16">
        <f t="shared" ref="F10" si="1">C10*E10</f>
        <v>43680</v>
      </c>
      <c r="G10" s="20">
        <f t="shared" ref="G10" si="2">D10*E10*1.5</f>
        <v>4929.75</v>
      </c>
      <c r="H10" s="20"/>
      <c r="I10" s="20">
        <f t="shared" si="0"/>
        <v>48609.75</v>
      </c>
      <c r="J10" s="414"/>
      <c r="M10" s="1" t="s">
        <v>353</v>
      </c>
      <c r="N10" s="450">
        <v>195701.49</v>
      </c>
      <c r="O10" s="18"/>
    </row>
    <row r="11" spans="1:15" ht="15.5" x14ac:dyDescent="0.35">
      <c r="A11" s="447"/>
      <c r="B11" s="452">
        <v>7</v>
      </c>
      <c r="C11" s="359">
        <v>2080</v>
      </c>
      <c r="D11" s="359">
        <v>221</v>
      </c>
      <c r="E11" s="360">
        <v>21</v>
      </c>
      <c r="F11" s="16">
        <f>C11*E11</f>
        <v>43680</v>
      </c>
      <c r="G11" s="20">
        <f t="shared" ref="G11" si="3">D11*E11*1.5</f>
        <v>6961.5</v>
      </c>
      <c r="H11" s="20"/>
      <c r="I11" s="16">
        <f t="shared" ref="I11" si="4">F11+G11</f>
        <v>50641.5</v>
      </c>
      <c r="J11" s="414"/>
      <c r="M11" s="1" t="s">
        <v>53</v>
      </c>
      <c r="N11" s="349">
        <f>SUM(N9:N10)</f>
        <v>297154.81</v>
      </c>
      <c r="O11" s="18"/>
    </row>
    <row r="12" spans="1:15" ht="15.5" x14ac:dyDescent="0.35">
      <c r="A12" s="447"/>
      <c r="B12" s="452">
        <v>8</v>
      </c>
      <c r="C12" s="359">
        <v>2080</v>
      </c>
      <c r="D12" s="359">
        <v>20</v>
      </c>
      <c r="E12" s="360">
        <v>19</v>
      </c>
      <c r="F12" s="16">
        <f t="shared" ref="F12:F13" si="5">C12*E12</f>
        <v>39520</v>
      </c>
      <c r="G12" s="20">
        <f t="shared" ref="G12:G13" si="6">D12*E12*1.5</f>
        <v>570</v>
      </c>
      <c r="H12" s="20"/>
      <c r="I12" s="16">
        <f t="shared" ref="I12:I13" si="7">F12+G12</f>
        <v>40090</v>
      </c>
      <c r="J12" s="414"/>
      <c r="O12" s="18"/>
    </row>
    <row r="13" spans="1:15" ht="15.5" x14ac:dyDescent="0.35">
      <c r="A13" s="447"/>
      <c r="B13" s="452">
        <v>9</v>
      </c>
      <c r="C13" s="359">
        <v>480</v>
      </c>
      <c r="D13" s="359">
        <v>6</v>
      </c>
      <c r="E13" s="360">
        <v>29</v>
      </c>
      <c r="F13" s="16">
        <f t="shared" si="5"/>
        <v>13920</v>
      </c>
      <c r="G13" s="20">
        <f t="shared" si="6"/>
        <v>261</v>
      </c>
      <c r="H13" s="20"/>
      <c r="I13" s="16">
        <f t="shared" si="7"/>
        <v>14181</v>
      </c>
      <c r="J13" s="414"/>
      <c r="O13" s="18"/>
    </row>
    <row r="14" spans="1:15" ht="15.5" x14ac:dyDescent="0.35">
      <c r="A14" s="447"/>
      <c r="B14" s="452">
        <v>10</v>
      </c>
      <c r="C14" s="359">
        <v>480</v>
      </c>
      <c r="D14" s="359">
        <v>2</v>
      </c>
      <c r="E14" s="360">
        <v>10</v>
      </c>
      <c r="F14" s="16">
        <f t="shared" ref="F14:F18" si="8">C14*E14</f>
        <v>4800</v>
      </c>
      <c r="G14" s="20">
        <f t="shared" ref="G14:G18" si="9">D14*E14*1.5</f>
        <v>30</v>
      </c>
      <c r="H14" s="20"/>
      <c r="I14" s="16">
        <f t="shared" ref="I14:I18" si="10">F14+G14</f>
        <v>4830</v>
      </c>
      <c r="J14" s="414"/>
      <c r="O14" s="18"/>
    </row>
    <row r="15" spans="1:15" ht="15.5" x14ac:dyDescent="0.35">
      <c r="A15" s="447"/>
      <c r="B15" s="452">
        <v>11</v>
      </c>
      <c r="C15" s="359">
        <v>2080</v>
      </c>
      <c r="D15" s="359">
        <v>27</v>
      </c>
      <c r="E15" s="360">
        <v>21</v>
      </c>
      <c r="F15" s="16">
        <f t="shared" si="8"/>
        <v>43680</v>
      </c>
      <c r="G15" s="20">
        <f t="shared" si="9"/>
        <v>850.5</v>
      </c>
      <c r="H15" s="20"/>
      <c r="I15" s="16">
        <f t="shared" si="10"/>
        <v>44530.5</v>
      </c>
      <c r="J15" s="414"/>
      <c r="O15" s="18"/>
    </row>
    <row r="16" spans="1:15" ht="15.5" x14ac:dyDescent="0.35">
      <c r="A16" s="447"/>
      <c r="B16" s="452">
        <v>12</v>
      </c>
      <c r="C16" s="359">
        <v>2080</v>
      </c>
      <c r="D16" s="359">
        <v>0</v>
      </c>
      <c r="E16" s="360">
        <v>19.649999999999999</v>
      </c>
      <c r="F16" s="16">
        <f t="shared" si="8"/>
        <v>40872</v>
      </c>
      <c r="G16" s="20">
        <f t="shared" si="9"/>
        <v>0</v>
      </c>
      <c r="H16" s="20"/>
      <c r="I16" s="16">
        <f t="shared" si="10"/>
        <v>40872</v>
      </c>
      <c r="J16" s="414"/>
      <c r="O16" s="18"/>
    </row>
    <row r="17" spans="1:10" ht="15.5" x14ac:dyDescent="0.35">
      <c r="A17" s="447"/>
      <c r="B17" s="452">
        <v>13</v>
      </c>
      <c r="C17" s="359">
        <v>2056</v>
      </c>
      <c r="D17" s="359">
        <v>20.75</v>
      </c>
      <c r="E17" s="360">
        <v>17</v>
      </c>
      <c r="F17" s="16">
        <f t="shared" si="8"/>
        <v>34952</v>
      </c>
      <c r="G17" s="20">
        <f t="shared" si="9"/>
        <v>529.125</v>
      </c>
      <c r="H17" s="20"/>
      <c r="I17" s="16">
        <f t="shared" si="10"/>
        <v>35481.125</v>
      </c>
      <c r="J17" s="414"/>
    </row>
    <row r="18" spans="1:10" ht="15.5" x14ac:dyDescent="0.35">
      <c r="A18" s="447"/>
      <c r="B18" s="452">
        <v>14</v>
      </c>
      <c r="C18" s="359">
        <v>2032.33</v>
      </c>
      <c r="D18" s="359">
        <v>0</v>
      </c>
      <c r="E18" s="360">
        <v>17</v>
      </c>
      <c r="F18" s="16">
        <f t="shared" si="8"/>
        <v>34549.61</v>
      </c>
      <c r="G18" s="20">
        <f t="shared" si="9"/>
        <v>0</v>
      </c>
      <c r="H18" s="20"/>
      <c r="I18" s="16">
        <f t="shared" si="10"/>
        <v>34549.61</v>
      </c>
      <c r="J18" s="414"/>
    </row>
    <row r="19" spans="1:10" ht="16" x14ac:dyDescent="0.5">
      <c r="A19" s="112"/>
      <c r="C19" s="309"/>
      <c r="D19" s="335"/>
      <c r="E19" s="290"/>
      <c r="F19" s="85"/>
      <c r="G19" s="85"/>
      <c r="H19" s="85"/>
      <c r="I19" s="85"/>
    </row>
    <row r="20" spans="1:10" x14ac:dyDescent="0.35">
      <c r="A20" s="112"/>
      <c r="C20" s="20"/>
      <c r="D20" s="336"/>
      <c r="E20" s="82"/>
      <c r="F20" s="16"/>
      <c r="G20" s="20"/>
      <c r="H20" s="20"/>
      <c r="I20" s="20"/>
    </row>
    <row r="21" spans="1:10" x14ac:dyDescent="0.35">
      <c r="B21" s="1" t="s">
        <v>148</v>
      </c>
      <c r="C21" s="20">
        <f>SUM(C5:C19)</f>
        <v>23768.33</v>
      </c>
      <c r="D21" s="336">
        <f>SUM(D5:D19)</f>
        <v>1086.75</v>
      </c>
      <c r="E21" s="20"/>
      <c r="F21" s="20">
        <f>SUM(F5:F19)</f>
        <v>515266.41</v>
      </c>
      <c r="G21" s="20">
        <f>SUM(G5:G19)</f>
        <v>35937.854999999996</v>
      </c>
      <c r="H21" s="20">
        <f>SUM(H5:H19)</f>
        <v>0</v>
      </c>
      <c r="I21" s="195">
        <f>SUM(I5:I19)</f>
        <v>551204.26500000001</v>
      </c>
      <c r="J21" s="415"/>
    </row>
    <row r="22" spans="1:10" x14ac:dyDescent="0.35">
      <c r="C22" s="16"/>
      <c r="D22" s="16"/>
      <c r="E22" s="66"/>
      <c r="F22" s="20"/>
      <c r="G22" s="20"/>
      <c r="H22" s="20"/>
      <c r="I22" s="20"/>
    </row>
    <row r="23" spans="1:10" x14ac:dyDescent="0.35">
      <c r="B23" s="1" t="s">
        <v>149</v>
      </c>
      <c r="C23" s="16"/>
      <c r="D23" s="16"/>
      <c r="E23" s="66"/>
      <c r="F23" s="20"/>
      <c r="G23" s="20"/>
      <c r="H23" s="20"/>
      <c r="I23" s="388">
        <f>I21-I13-I14</f>
        <v>532193.26500000001</v>
      </c>
      <c r="J23" s="90" t="s">
        <v>409</v>
      </c>
    </row>
    <row r="24" spans="1:10" x14ac:dyDescent="0.35">
      <c r="B24" s="16"/>
      <c r="C24" s="16"/>
      <c r="D24" s="16"/>
      <c r="I24" s="68"/>
    </row>
    <row r="25" spans="1:10" x14ac:dyDescent="0.35">
      <c r="B25" s="69"/>
      <c r="C25" s="16"/>
      <c r="D25" s="16"/>
      <c r="I25" s="68" t="s">
        <v>30</v>
      </c>
    </row>
    <row r="26" spans="1:10" ht="16" x14ac:dyDescent="0.5">
      <c r="B26" s="365" t="s">
        <v>263</v>
      </c>
      <c r="C26" s="16"/>
      <c r="D26" s="16"/>
      <c r="E26" s="1" t="s">
        <v>93</v>
      </c>
      <c r="I26" s="70">
        <f>I21</f>
        <v>551204.26500000001</v>
      </c>
    </row>
    <row r="27" spans="1:10" ht="16" x14ac:dyDescent="0.5">
      <c r="B27" s="16" t="s">
        <v>354</v>
      </c>
      <c r="C27" s="453">
        <v>3600</v>
      </c>
      <c r="D27" s="16"/>
      <c r="E27" s="1" t="s">
        <v>94</v>
      </c>
      <c r="I27" s="434">
        <f>-SAO!D17</f>
        <v>-529366</v>
      </c>
    </row>
    <row r="28" spans="1:10" ht="15" thickBot="1" x14ac:dyDescent="0.4">
      <c r="B28" s="16" t="s">
        <v>264</v>
      </c>
      <c r="C28" s="453">
        <v>3800</v>
      </c>
      <c r="D28" s="16"/>
      <c r="E28" s="40" t="s">
        <v>95</v>
      </c>
      <c r="F28" s="40"/>
      <c r="G28" s="40"/>
      <c r="H28" s="40"/>
      <c r="I28" s="71">
        <f>I26+I27</f>
        <v>21838.265000000014</v>
      </c>
      <c r="J28" s="18"/>
    </row>
    <row r="29" spans="1:10" ht="15" thickTop="1" x14ac:dyDescent="0.35">
      <c r="B29" s="16" t="s">
        <v>303</v>
      </c>
      <c r="C29" s="453">
        <v>3600</v>
      </c>
      <c r="D29" s="16"/>
      <c r="I29" s="1" t="s">
        <v>96</v>
      </c>
      <c r="J29" s="18"/>
    </row>
    <row r="30" spans="1:10" x14ac:dyDescent="0.35">
      <c r="B30" s="16" t="s">
        <v>265</v>
      </c>
      <c r="C30" s="453">
        <v>3600</v>
      </c>
      <c r="D30" s="16"/>
      <c r="E30" s="1" t="s">
        <v>416</v>
      </c>
      <c r="I30" s="25">
        <f>I21+C32</f>
        <v>569404.26500000001</v>
      </c>
      <c r="J30" s="18"/>
    </row>
    <row r="31" spans="1:10" x14ac:dyDescent="0.35">
      <c r="B31" s="16" t="s">
        <v>302</v>
      </c>
      <c r="C31" s="454">
        <v>3600</v>
      </c>
      <c r="D31" s="16"/>
      <c r="E31" s="1" t="s">
        <v>97</v>
      </c>
      <c r="I31" s="337">
        <v>7.6499999999999999E-2</v>
      </c>
      <c r="J31" s="18"/>
    </row>
    <row r="32" spans="1:10" x14ac:dyDescent="0.35">
      <c r="B32" s="16"/>
      <c r="C32" s="16">
        <f>SUM(C27:C31)</f>
        <v>18200</v>
      </c>
      <c r="D32" s="16"/>
      <c r="E32" s="1" t="s">
        <v>98</v>
      </c>
      <c r="I32" s="16">
        <f>+I30*I31</f>
        <v>43559.426272500001</v>
      </c>
      <c r="J32" s="18"/>
    </row>
    <row r="33" spans="2:11" x14ac:dyDescent="0.35">
      <c r="B33" s="16"/>
      <c r="C33" s="16"/>
      <c r="D33" s="16"/>
      <c r="E33" s="1" t="s">
        <v>99</v>
      </c>
      <c r="I33" s="72">
        <f>-SAO!D47</f>
        <v>-43416</v>
      </c>
      <c r="J33" s="18"/>
    </row>
    <row r="34" spans="2:11" ht="15" thickBot="1" x14ac:dyDescent="0.4">
      <c r="B34" s="16"/>
      <c r="C34" s="16"/>
      <c r="D34" s="16"/>
      <c r="E34" s="40" t="s">
        <v>100</v>
      </c>
      <c r="F34" s="40"/>
      <c r="G34" s="40"/>
      <c r="H34" s="40"/>
      <c r="I34" s="71">
        <f>I32+I33</f>
        <v>143.42627250000078</v>
      </c>
      <c r="J34" s="18"/>
    </row>
    <row r="35" spans="2:11" ht="15" thickTop="1" x14ac:dyDescent="0.35">
      <c r="B35" s="16"/>
      <c r="C35" s="16"/>
      <c r="D35" s="16"/>
      <c r="J35" s="18"/>
    </row>
    <row r="36" spans="2:11" x14ac:dyDescent="0.35">
      <c r="B36" s="16"/>
      <c r="C36" s="16"/>
      <c r="D36" s="16"/>
      <c r="E36" s="334" t="s">
        <v>228</v>
      </c>
      <c r="I36" s="389">
        <f>I23</f>
        <v>532193.26500000001</v>
      </c>
      <c r="J36" s="18"/>
    </row>
    <row r="37" spans="2:11" x14ac:dyDescent="0.35">
      <c r="B37" s="16"/>
      <c r="C37" s="16"/>
      <c r="D37" s="16"/>
      <c r="E37" s="1" t="s">
        <v>101</v>
      </c>
      <c r="I37" s="412">
        <v>0.17430000000000001</v>
      </c>
      <c r="J37" s="18"/>
      <c r="K37" s="1" t="s">
        <v>320</v>
      </c>
    </row>
    <row r="38" spans="2:11" x14ac:dyDescent="0.35">
      <c r="B38" s="16"/>
      <c r="C38" s="16"/>
      <c r="D38" s="16"/>
      <c r="E38" s="1" t="s">
        <v>102</v>
      </c>
      <c r="I38" s="413">
        <f>+I36*I37</f>
        <v>92761.286089500005</v>
      </c>
      <c r="J38" s="18"/>
    </row>
    <row r="39" spans="2:11" x14ac:dyDescent="0.35">
      <c r="B39" s="16"/>
      <c r="C39" s="16"/>
      <c r="D39" s="16"/>
      <c r="E39" s="1" t="s">
        <v>103</v>
      </c>
      <c r="I39" s="443">
        <v>101453.32</v>
      </c>
      <c r="J39" s="18"/>
      <c r="K39" s="1" t="s">
        <v>418</v>
      </c>
    </row>
    <row r="40" spans="2:11" x14ac:dyDescent="0.35">
      <c r="B40" s="16"/>
      <c r="C40" s="16"/>
      <c r="D40" s="16"/>
      <c r="E40" s="112" t="s">
        <v>104</v>
      </c>
      <c r="F40" s="112"/>
      <c r="G40" s="112"/>
      <c r="H40" s="112"/>
      <c r="I40" s="444">
        <f>+I38-I39</f>
        <v>-8692.0339105000021</v>
      </c>
      <c r="J40" s="18"/>
    </row>
    <row r="41" spans="2:11" x14ac:dyDescent="0.35">
      <c r="B41" s="16"/>
      <c r="C41" s="16"/>
      <c r="D41" s="16"/>
      <c r="E41" s="112"/>
      <c r="F41" s="112"/>
      <c r="G41" s="112"/>
      <c r="H41" s="112"/>
      <c r="I41" s="188"/>
      <c r="J41" s="18"/>
    </row>
    <row r="42" spans="2:11" ht="15.5" x14ac:dyDescent="0.35">
      <c r="B42"/>
      <c r="C42" s="16"/>
      <c r="D42" s="16"/>
      <c r="E42" s="334"/>
      <c r="F42" s="501"/>
      <c r="G42" s="501"/>
      <c r="H42" s="501"/>
      <c r="I42" s="331"/>
      <c r="J42" s="18"/>
    </row>
    <row r="43" spans="2:11" x14ac:dyDescent="0.35">
      <c r="B43" s="16"/>
      <c r="C43" s="16"/>
      <c r="D43" s="16"/>
      <c r="E43" s="334"/>
      <c r="F43" s="501"/>
      <c r="G43" s="501"/>
      <c r="H43" s="501"/>
      <c r="I43" s="331"/>
      <c r="J43" s="18"/>
    </row>
    <row r="44" spans="2:11" x14ac:dyDescent="0.35">
      <c r="B44" s="16"/>
      <c r="C44" s="16"/>
      <c r="D44" s="16"/>
      <c r="E44" s="334"/>
      <c r="F44" s="501"/>
      <c r="G44" s="501"/>
      <c r="H44" s="501"/>
      <c r="I44" s="331"/>
      <c r="J44" s="18"/>
    </row>
    <row r="45" spans="2:11" x14ac:dyDescent="0.35">
      <c r="E45" s="501"/>
      <c r="F45" s="334"/>
      <c r="G45" s="334"/>
      <c r="H45" s="334"/>
      <c r="I45" s="502"/>
    </row>
  </sheetData>
  <phoneticPr fontId="33" type="noConversion"/>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94"/>
  <sheetViews>
    <sheetView topLeftCell="A62" workbookViewId="0">
      <selection activeCell="F77" sqref="F77"/>
    </sheetView>
  </sheetViews>
  <sheetFormatPr defaultColWidth="8.84375" defaultRowHeight="14.5" x14ac:dyDescent="0.35"/>
  <cols>
    <col min="1" max="1" width="12.4609375" style="1" customWidth="1"/>
    <col min="2" max="2" width="11.53515625" style="1" bestFit="1" customWidth="1"/>
    <col min="3" max="3" width="10.23046875" style="1" bestFit="1" customWidth="1"/>
    <col min="4" max="4" width="12.4609375" style="1" customWidth="1"/>
    <col min="5" max="6" width="9.765625" style="1" customWidth="1"/>
    <col min="7" max="7" width="10.69140625" style="1" customWidth="1"/>
    <col min="8" max="8" width="10.07421875" style="192" customWidth="1"/>
    <col min="9" max="9" width="10.53515625" style="1" customWidth="1"/>
    <col min="10" max="10" width="10.15234375" style="1" bestFit="1" customWidth="1"/>
    <col min="11" max="11" width="15.921875" style="1" bestFit="1" customWidth="1"/>
    <col min="12" max="12" width="11.921875" style="1" bestFit="1" customWidth="1"/>
    <col min="13" max="13" width="9" style="1" bestFit="1" customWidth="1"/>
    <col min="14" max="14" width="9.765625" style="1" bestFit="1" customWidth="1"/>
    <col min="15" max="16384" width="8.84375" style="1"/>
  </cols>
  <sheetData>
    <row r="1" spans="2:13" x14ac:dyDescent="0.35">
      <c r="B1" s="112" t="s">
        <v>75</v>
      </c>
    </row>
    <row r="2" spans="2:13" ht="15.5" x14ac:dyDescent="0.35">
      <c r="J2" s="457" t="s">
        <v>362</v>
      </c>
      <c r="K2" s="457"/>
    </row>
    <row r="3" spans="2:13" ht="15.5" x14ac:dyDescent="0.35">
      <c r="D3" s="18" t="s">
        <v>70</v>
      </c>
      <c r="G3" s="18" t="s">
        <v>147</v>
      </c>
      <c r="I3" s="18"/>
      <c r="J3" s="457" t="s">
        <v>357</v>
      </c>
      <c r="K3" s="457" t="s">
        <v>358</v>
      </c>
      <c r="L3" s="21"/>
    </row>
    <row r="4" spans="2:13" ht="15.5" x14ac:dyDescent="0.35">
      <c r="B4" s="456" t="s">
        <v>185</v>
      </c>
      <c r="C4" s="18" t="s">
        <v>70</v>
      </c>
      <c r="D4" s="18" t="s">
        <v>71</v>
      </c>
      <c r="E4" s="18" t="s">
        <v>71</v>
      </c>
      <c r="F4" s="18" t="s">
        <v>72</v>
      </c>
      <c r="G4" s="18" t="s">
        <v>74</v>
      </c>
      <c r="I4" s="18"/>
      <c r="J4" s="457" t="s">
        <v>331</v>
      </c>
      <c r="K4" s="458">
        <v>544.21</v>
      </c>
    </row>
    <row r="5" spans="2:13" ht="15.5" x14ac:dyDescent="0.35">
      <c r="B5" s="341" t="s">
        <v>71</v>
      </c>
      <c r="C5" s="19" t="s">
        <v>73</v>
      </c>
      <c r="D5" s="19" t="s">
        <v>76</v>
      </c>
      <c r="E5" s="19" t="s">
        <v>77</v>
      </c>
      <c r="F5" s="19" t="s">
        <v>77</v>
      </c>
      <c r="G5" s="41" t="s">
        <v>73</v>
      </c>
      <c r="H5" s="193"/>
      <c r="I5" s="41"/>
      <c r="J5" s="457" t="s">
        <v>359</v>
      </c>
      <c r="K5" s="458">
        <v>1142.8499999999999</v>
      </c>
    </row>
    <row r="6" spans="2:13" ht="15.5" x14ac:dyDescent="0.35">
      <c r="B6" s="18">
        <v>1</v>
      </c>
      <c r="C6" s="38">
        <v>544.21</v>
      </c>
      <c r="D6" s="38">
        <v>0</v>
      </c>
      <c r="E6" s="42">
        <f>IF(C6&gt;0,D6/C6,0)</f>
        <v>0</v>
      </c>
      <c r="F6" s="42">
        <f>1-E6</f>
        <v>1</v>
      </c>
      <c r="G6" s="43">
        <f>C6*F6*12</f>
        <v>6530.52</v>
      </c>
      <c r="H6" s="445"/>
      <c r="I6" s="43"/>
      <c r="J6" s="457" t="s">
        <v>360</v>
      </c>
      <c r="K6" s="458">
        <v>979.57</v>
      </c>
      <c r="M6" s="18"/>
    </row>
    <row r="7" spans="2:13" ht="15.5" x14ac:dyDescent="0.35">
      <c r="B7" s="18">
        <v>2</v>
      </c>
      <c r="C7" s="38">
        <v>979.57</v>
      </c>
      <c r="D7" s="38">
        <v>0</v>
      </c>
      <c r="E7" s="42">
        <f t="shared" ref="E7:E14" si="0">IF(C7&gt;0,D7/C7,0)</f>
        <v>0</v>
      </c>
      <c r="F7" s="42">
        <f t="shared" ref="F7:F14" si="1">1-E7</f>
        <v>1</v>
      </c>
      <c r="G7" s="43">
        <f t="shared" ref="G7:G14" si="2">C7*F7*12</f>
        <v>11754.84</v>
      </c>
      <c r="H7" s="445"/>
      <c r="I7" s="43"/>
      <c r="J7" s="457" t="s">
        <v>361</v>
      </c>
      <c r="K7" s="458">
        <v>1741.48</v>
      </c>
      <c r="M7" s="18"/>
    </row>
    <row r="8" spans="2:13" ht="15.5" x14ac:dyDescent="0.35">
      <c r="B8" s="18">
        <v>3</v>
      </c>
      <c r="C8" s="38">
        <v>1741.48</v>
      </c>
      <c r="D8" s="38">
        <v>0</v>
      </c>
      <c r="E8" s="42">
        <f t="shared" si="0"/>
        <v>0</v>
      </c>
      <c r="F8" s="42">
        <f t="shared" si="1"/>
        <v>1</v>
      </c>
      <c r="G8" s="43">
        <f t="shared" si="2"/>
        <v>20897.760000000002</v>
      </c>
      <c r="H8" s="445"/>
      <c r="I8" s="43"/>
      <c r="J8" s="457"/>
      <c r="K8" s="457"/>
      <c r="M8" s="18"/>
    </row>
    <row r="9" spans="2:13" ht="15.5" x14ac:dyDescent="0.35">
      <c r="B9" s="18" t="s">
        <v>367</v>
      </c>
      <c r="C9" s="38">
        <v>1142.8499999999999</v>
      </c>
      <c r="D9" s="38">
        <v>0</v>
      </c>
      <c r="E9" s="42">
        <f t="shared" ref="E9" si="3">IF(C9&gt;0,D9/C9,0)</f>
        <v>0</v>
      </c>
      <c r="F9" s="42">
        <f t="shared" ref="F9" si="4">1-E9</f>
        <v>1</v>
      </c>
      <c r="G9" s="43">
        <f t="shared" ref="G9" si="5">C9*F9*12</f>
        <v>13714.199999999999</v>
      </c>
      <c r="H9" s="445"/>
      <c r="I9" s="43"/>
      <c r="J9" s="457"/>
      <c r="K9" s="457"/>
      <c r="M9" s="18"/>
    </row>
    <row r="10" spans="2:13" ht="15.5" x14ac:dyDescent="0.35">
      <c r="B10" s="18">
        <v>6</v>
      </c>
      <c r="C10" s="38">
        <v>544.21</v>
      </c>
      <c r="D10" s="38">
        <v>0</v>
      </c>
      <c r="E10" s="42">
        <f t="shared" si="0"/>
        <v>0</v>
      </c>
      <c r="F10" s="42">
        <f t="shared" si="1"/>
        <v>1</v>
      </c>
      <c r="G10" s="43">
        <f t="shared" si="2"/>
        <v>6530.52</v>
      </c>
      <c r="H10" s="445"/>
      <c r="I10" s="43"/>
      <c r="J10" s="457"/>
      <c r="K10" s="457"/>
      <c r="M10" s="18"/>
    </row>
    <row r="11" spans="2:13" ht="15.5" x14ac:dyDescent="0.35">
      <c r="B11" s="18">
        <v>7</v>
      </c>
      <c r="C11" s="38">
        <v>979.57</v>
      </c>
      <c r="D11" s="38">
        <v>0</v>
      </c>
      <c r="E11" s="42">
        <f t="shared" si="0"/>
        <v>0</v>
      </c>
      <c r="F11" s="42">
        <f t="shared" si="1"/>
        <v>1</v>
      </c>
      <c r="G11" s="43">
        <f t="shared" si="2"/>
        <v>11754.84</v>
      </c>
      <c r="H11" s="445"/>
      <c r="I11" s="43"/>
      <c r="J11" s="457" t="s">
        <v>363</v>
      </c>
      <c r="K11" s="459" t="s">
        <v>364</v>
      </c>
      <c r="M11" s="18"/>
    </row>
    <row r="12" spans="2:13" ht="15.5" x14ac:dyDescent="0.35">
      <c r="B12" s="18">
        <v>8</v>
      </c>
      <c r="C12" s="38">
        <v>1741.48</v>
      </c>
      <c r="D12" s="38">
        <v>0</v>
      </c>
      <c r="E12" s="42">
        <f t="shared" si="0"/>
        <v>0</v>
      </c>
      <c r="F12" s="42">
        <f t="shared" si="1"/>
        <v>1</v>
      </c>
      <c r="G12" s="43">
        <f t="shared" si="2"/>
        <v>20897.760000000002</v>
      </c>
      <c r="H12" s="445"/>
      <c r="I12" s="43"/>
      <c r="J12" s="457" t="s">
        <v>331</v>
      </c>
      <c r="K12" s="458">
        <v>23.06</v>
      </c>
      <c r="M12" s="18"/>
    </row>
    <row r="13" spans="2:13" ht="15.5" x14ac:dyDescent="0.35">
      <c r="B13" s="18">
        <v>11</v>
      </c>
      <c r="C13" s="38">
        <v>979.57</v>
      </c>
      <c r="D13" s="38">
        <v>0</v>
      </c>
      <c r="E13" s="42">
        <f t="shared" si="0"/>
        <v>0</v>
      </c>
      <c r="F13" s="42">
        <f t="shared" si="1"/>
        <v>1</v>
      </c>
      <c r="G13" s="43">
        <f t="shared" si="2"/>
        <v>11754.84</v>
      </c>
      <c r="H13" s="445"/>
      <c r="I13" s="43"/>
      <c r="J13" s="457" t="s">
        <v>360</v>
      </c>
      <c r="K13" s="458">
        <v>52.2</v>
      </c>
      <c r="M13" s="18"/>
    </row>
    <row r="14" spans="2:13" ht="15.5" x14ac:dyDescent="0.35">
      <c r="B14" s="18">
        <v>12</v>
      </c>
      <c r="C14" s="38">
        <v>1142.8499999999999</v>
      </c>
      <c r="D14" s="38">
        <v>0</v>
      </c>
      <c r="E14" s="42">
        <f t="shared" si="0"/>
        <v>0</v>
      </c>
      <c r="F14" s="42">
        <f t="shared" si="1"/>
        <v>1</v>
      </c>
      <c r="G14" s="43">
        <f t="shared" si="2"/>
        <v>13714.199999999999</v>
      </c>
      <c r="H14" s="445"/>
      <c r="I14" s="43"/>
      <c r="J14" s="457" t="s">
        <v>359</v>
      </c>
      <c r="K14" s="458">
        <v>45.69</v>
      </c>
      <c r="M14" s="18"/>
    </row>
    <row r="15" spans="2:13" ht="15.5" x14ac:dyDescent="0.35">
      <c r="B15" s="18">
        <v>13</v>
      </c>
      <c r="C15" s="38">
        <v>1741.48</v>
      </c>
      <c r="D15" s="38">
        <v>0</v>
      </c>
      <c r="E15" s="42">
        <f>IF(C15&gt;0,D15/C15,0)</f>
        <v>0</v>
      </c>
      <c r="F15" s="42">
        <f t="shared" ref="F15:F16" si="6">1-E15</f>
        <v>1</v>
      </c>
      <c r="G15" s="43">
        <f>C15*F15*12</f>
        <v>20897.760000000002</v>
      </c>
      <c r="H15" s="445"/>
      <c r="I15" s="43"/>
      <c r="J15" s="457" t="s">
        <v>334</v>
      </c>
      <c r="K15" s="458">
        <v>82.68</v>
      </c>
      <c r="M15" s="18"/>
    </row>
    <row r="16" spans="2:13" ht="15.5" x14ac:dyDescent="0.35">
      <c r="B16" s="18">
        <v>14</v>
      </c>
      <c r="C16" s="38">
        <v>544.21</v>
      </c>
      <c r="D16" s="38">
        <v>0</v>
      </c>
      <c r="E16" s="42">
        <f>IF(C16&gt;0,D16/C16,0)</f>
        <v>0</v>
      </c>
      <c r="F16" s="42">
        <f t="shared" si="6"/>
        <v>1</v>
      </c>
      <c r="G16" s="43">
        <f>C16*F16*12</f>
        <v>6530.52</v>
      </c>
      <c r="H16" s="445"/>
      <c r="I16" s="43"/>
      <c r="J16"/>
      <c r="K16" s="461"/>
      <c r="M16" s="18"/>
    </row>
    <row r="17" spans="1:13" x14ac:dyDescent="0.35">
      <c r="B17" s="18"/>
      <c r="C17" s="38"/>
      <c r="D17" s="38">
        <v>0</v>
      </c>
      <c r="E17" s="42">
        <f>IF(C17&gt;0,D17/C17,0)</f>
        <v>0</v>
      </c>
      <c r="F17" s="42">
        <f t="shared" ref="F17" si="7">1-E17</f>
        <v>1</v>
      </c>
      <c r="G17" s="43">
        <f>C17*F17*12</f>
        <v>0</v>
      </c>
      <c r="H17" s="445"/>
      <c r="I17" s="43"/>
      <c r="M17" s="18"/>
    </row>
    <row r="18" spans="1:13" ht="15.5" x14ac:dyDescent="0.35">
      <c r="B18" s="18"/>
      <c r="C18" s="247"/>
      <c r="D18" s="107">
        <v>0</v>
      </c>
      <c r="E18" s="42">
        <f>IF(C18&gt;0,D18/C18,0)</f>
        <v>0</v>
      </c>
      <c r="F18" s="42">
        <f t="shared" ref="F18" si="8">1-E18</f>
        <v>1</v>
      </c>
      <c r="G18" s="246">
        <f>C18*F18*12</f>
        <v>0</v>
      </c>
      <c r="H18" s="445"/>
      <c r="I18" s="43"/>
      <c r="J18" s="457"/>
      <c r="K18" s="457"/>
      <c r="M18" s="18"/>
    </row>
    <row r="19" spans="1:13" ht="15.5" x14ac:dyDescent="0.35">
      <c r="B19" s="1" t="s">
        <v>53</v>
      </c>
      <c r="C19" s="43">
        <f>SUM(C6:C18)</f>
        <v>12081.48</v>
      </c>
      <c r="D19" s="13"/>
      <c r="E19" s="42"/>
      <c r="F19" s="42"/>
      <c r="G19" s="43">
        <f>SUM(G6:G18)</f>
        <v>144977.75999999998</v>
      </c>
      <c r="I19" s="43"/>
      <c r="J19" s="457"/>
      <c r="K19" s="457"/>
    </row>
    <row r="20" spans="1:13" ht="15.5" x14ac:dyDescent="0.35">
      <c r="B20" s="1" t="s">
        <v>368</v>
      </c>
      <c r="C20" s="43"/>
      <c r="D20" s="13"/>
      <c r="E20" s="42"/>
      <c r="F20" s="42"/>
      <c r="G20" s="43"/>
      <c r="I20" s="43"/>
      <c r="J20" s="457" t="s">
        <v>365</v>
      </c>
      <c r="K20" s="459" t="s">
        <v>364</v>
      </c>
    </row>
    <row r="21" spans="1:13" ht="15.5" x14ac:dyDescent="0.35">
      <c r="D21" s="18"/>
      <c r="G21" s="18" t="s">
        <v>147</v>
      </c>
      <c r="I21" s="43"/>
      <c r="J21" s="457" t="s">
        <v>331</v>
      </c>
      <c r="K21" s="458">
        <v>7.43</v>
      </c>
    </row>
    <row r="22" spans="1:13" ht="15.5" x14ac:dyDescent="0.35">
      <c r="C22" s="18" t="s">
        <v>70</v>
      </c>
      <c r="D22" s="18"/>
      <c r="E22" s="18"/>
      <c r="F22" s="18" t="s">
        <v>72</v>
      </c>
      <c r="G22" s="18" t="s">
        <v>74</v>
      </c>
      <c r="I22" s="43"/>
      <c r="J22" s="457" t="s">
        <v>359</v>
      </c>
      <c r="K22" s="458">
        <v>13</v>
      </c>
    </row>
    <row r="23" spans="1:13" ht="15.5" x14ac:dyDescent="0.35">
      <c r="B23" s="448" t="s">
        <v>350</v>
      </c>
      <c r="C23" s="19" t="s">
        <v>73</v>
      </c>
      <c r="D23" s="19"/>
      <c r="E23" s="19"/>
      <c r="F23" s="19" t="s">
        <v>77</v>
      </c>
      <c r="G23" s="41" t="s">
        <v>73</v>
      </c>
      <c r="I23" s="43"/>
      <c r="J23" s="457" t="s">
        <v>360</v>
      </c>
      <c r="K23" s="458">
        <v>14.1</v>
      </c>
    </row>
    <row r="24" spans="1:13" ht="15.5" x14ac:dyDescent="0.35">
      <c r="B24" s="1">
        <v>2</v>
      </c>
      <c r="C24" s="43" t="s">
        <v>351</v>
      </c>
      <c r="D24" s="13"/>
      <c r="E24" s="350">
        <v>6400</v>
      </c>
      <c r="F24" s="42">
        <f>1</f>
        <v>1</v>
      </c>
      <c r="G24" s="43">
        <f>E24*B24</f>
        <v>12800</v>
      </c>
      <c r="I24" s="43"/>
      <c r="J24" s="457" t="s">
        <v>334</v>
      </c>
      <c r="K24" s="458">
        <v>21.53</v>
      </c>
    </row>
    <row r="25" spans="1:13" x14ac:dyDescent="0.35">
      <c r="B25" s="1">
        <v>6</v>
      </c>
      <c r="C25" s="43" t="s">
        <v>334</v>
      </c>
      <c r="D25" s="13"/>
      <c r="E25" s="350">
        <v>6400</v>
      </c>
      <c r="F25" s="42">
        <f>1</f>
        <v>1</v>
      </c>
      <c r="G25" s="43">
        <f t="shared" ref="G25:G26" si="9">E25*B25</f>
        <v>38400</v>
      </c>
      <c r="I25" s="43"/>
    </row>
    <row r="26" spans="1:13" x14ac:dyDescent="0.35">
      <c r="B26" s="1">
        <v>3</v>
      </c>
      <c r="C26" s="43" t="s">
        <v>331</v>
      </c>
      <c r="D26" s="13"/>
      <c r="E26" s="350">
        <v>3200</v>
      </c>
      <c r="F26" s="42">
        <f>1</f>
        <v>1</v>
      </c>
      <c r="G26" s="43">
        <f t="shared" si="9"/>
        <v>9600</v>
      </c>
      <c r="I26" s="43"/>
    </row>
    <row r="27" spans="1:13" x14ac:dyDescent="0.35">
      <c r="B27" s="280"/>
      <c r="C27" s="43"/>
      <c r="D27" s="13"/>
      <c r="E27" s="42"/>
      <c r="F27" s="42"/>
      <c r="G27" s="246"/>
      <c r="I27" s="43"/>
    </row>
    <row r="28" spans="1:13" x14ac:dyDescent="0.35">
      <c r="A28" s="1" t="s">
        <v>53</v>
      </c>
      <c r="B28" s="1">
        <f>SUM(B24:B27)</f>
        <v>11</v>
      </c>
      <c r="C28" s="43"/>
      <c r="D28" s="13"/>
      <c r="E28" s="42"/>
      <c r="F28" s="42"/>
      <c r="G28" s="43">
        <f>SUM(G24:G27)</f>
        <v>60800</v>
      </c>
      <c r="I28" s="43"/>
    </row>
    <row r="29" spans="1:13" x14ac:dyDescent="0.35">
      <c r="C29" s="43"/>
      <c r="D29" s="13"/>
      <c r="E29" s="42"/>
      <c r="F29" s="42"/>
      <c r="G29" s="43"/>
      <c r="I29" s="43"/>
    </row>
    <row r="30" spans="1:13" x14ac:dyDescent="0.35">
      <c r="C30" s="43"/>
      <c r="D30" s="13"/>
      <c r="E30" s="42"/>
      <c r="F30" s="42"/>
      <c r="G30" s="43"/>
      <c r="I30" s="43"/>
    </row>
    <row r="31" spans="1:13" x14ac:dyDescent="0.35">
      <c r="C31" s="43"/>
      <c r="D31" s="13"/>
      <c r="E31" s="42"/>
      <c r="F31" s="42"/>
      <c r="G31" s="43"/>
      <c r="I31" s="43"/>
    </row>
    <row r="32" spans="1:13" x14ac:dyDescent="0.35">
      <c r="D32" s="18" t="s">
        <v>70</v>
      </c>
      <c r="G32" s="18" t="s">
        <v>147</v>
      </c>
      <c r="I32" s="18"/>
    </row>
    <row r="33" spans="1:9" x14ac:dyDescent="0.35">
      <c r="C33" s="18" t="s">
        <v>70</v>
      </c>
      <c r="D33" s="18" t="s">
        <v>71</v>
      </c>
      <c r="E33" s="18" t="s">
        <v>71</v>
      </c>
      <c r="F33" s="18" t="s">
        <v>72</v>
      </c>
      <c r="G33" s="18" t="s">
        <v>74</v>
      </c>
      <c r="I33" s="18"/>
    </row>
    <row r="34" spans="1:9" x14ac:dyDescent="0.35">
      <c r="B34" s="112" t="s">
        <v>186</v>
      </c>
      <c r="C34" s="19" t="s">
        <v>73</v>
      </c>
      <c r="D34" s="19" t="s">
        <v>76</v>
      </c>
      <c r="E34" s="19" t="s">
        <v>77</v>
      </c>
      <c r="F34" s="19" t="s">
        <v>77</v>
      </c>
      <c r="G34" s="41" t="s">
        <v>73</v>
      </c>
      <c r="H34" s="193"/>
      <c r="I34" s="41"/>
    </row>
    <row r="35" spans="1:9" x14ac:dyDescent="0.35">
      <c r="A35" s="1" t="s">
        <v>331</v>
      </c>
      <c r="B35" s="1">
        <v>4</v>
      </c>
      <c r="C35" s="38">
        <v>23.06</v>
      </c>
      <c r="D35" s="38">
        <v>0</v>
      </c>
      <c r="E35" s="42">
        <f>IF(C35&gt;0,D35/C35,0)</f>
        <v>0</v>
      </c>
      <c r="F35" s="42">
        <f>1-E35</f>
        <v>1</v>
      </c>
      <c r="G35" s="43">
        <f>B35*(C35*F35*12)</f>
        <v>1106.8799999999999</v>
      </c>
      <c r="H35" s="194"/>
      <c r="I35" s="43"/>
    </row>
    <row r="36" spans="1:9" x14ac:dyDescent="0.35">
      <c r="A36" s="1" t="s">
        <v>332</v>
      </c>
      <c r="B36" s="1">
        <v>1</v>
      </c>
      <c r="C36" s="38">
        <v>45.69</v>
      </c>
      <c r="D36" s="38">
        <v>0</v>
      </c>
      <c r="E36" s="42">
        <f t="shared" ref="E36:E39" si="10">IF(C36&gt;0,D36/C36,0)</f>
        <v>0</v>
      </c>
      <c r="F36" s="42">
        <f t="shared" ref="F36:F39" si="11">1-E36</f>
        <v>1</v>
      </c>
      <c r="G36" s="43">
        <f t="shared" ref="G36:G38" si="12">B36*(C36*F36*12)</f>
        <v>548.28</v>
      </c>
      <c r="H36" s="194"/>
      <c r="I36" s="43"/>
    </row>
    <row r="37" spans="1:9" x14ac:dyDescent="0.35">
      <c r="A37" s="1" t="s">
        <v>333</v>
      </c>
      <c r="B37" s="1">
        <v>2</v>
      </c>
      <c r="C37" s="38">
        <v>52.2</v>
      </c>
      <c r="D37" s="38">
        <v>0</v>
      </c>
      <c r="E37" s="42">
        <f t="shared" si="10"/>
        <v>0</v>
      </c>
      <c r="F37" s="42">
        <f t="shared" si="11"/>
        <v>1</v>
      </c>
      <c r="G37" s="43">
        <f t="shared" si="12"/>
        <v>1252.8000000000002</v>
      </c>
      <c r="H37" s="194"/>
      <c r="I37" s="43"/>
    </row>
    <row r="38" spans="1:9" x14ac:dyDescent="0.35">
      <c r="A38" s="1" t="s">
        <v>334</v>
      </c>
      <c r="B38" s="1">
        <v>3</v>
      </c>
      <c r="C38" s="38">
        <v>82.68</v>
      </c>
      <c r="D38" s="38">
        <v>0</v>
      </c>
      <c r="E38" s="42">
        <f t="shared" si="10"/>
        <v>0</v>
      </c>
      <c r="F38" s="42">
        <f t="shared" si="11"/>
        <v>1</v>
      </c>
      <c r="G38" s="43">
        <f t="shared" si="12"/>
        <v>2976.4800000000005</v>
      </c>
      <c r="H38" s="194"/>
      <c r="I38" s="43"/>
    </row>
    <row r="39" spans="1:9" x14ac:dyDescent="0.35">
      <c r="B39" s="280"/>
      <c r="C39" s="247"/>
      <c r="D39" s="247">
        <v>0</v>
      </c>
      <c r="E39" s="424">
        <f t="shared" si="10"/>
        <v>0</v>
      </c>
      <c r="F39" s="424">
        <f t="shared" si="11"/>
        <v>1</v>
      </c>
      <c r="G39" s="246">
        <f t="shared" ref="G39" si="13">C39*F39*12</f>
        <v>0</v>
      </c>
      <c r="H39" s="194"/>
      <c r="I39" s="43"/>
    </row>
    <row r="40" spans="1:9" x14ac:dyDescent="0.35">
      <c r="A40" s="1" t="s">
        <v>53</v>
      </c>
      <c r="B40" s="1">
        <f>SUM(B35:B39)</f>
        <v>10</v>
      </c>
      <c r="C40" s="43"/>
      <c r="G40" s="43">
        <f>SUM(G35:G39)</f>
        <v>5884.4400000000005</v>
      </c>
      <c r="I40" s="43"/>
    </row>
    <row r="41" spans="1:9" x14ac:dyDescent="0.35">
      <c r="C41" s="43"/>
      <c r="G41" s="43"/>
      <c r="I41" s="43"/>
    </row>
    <row r="42" spans="1:9" x14ac:dyDescent="0.35">
      <c r="D42" s="18" t="s">
        <v>70</v>
      </c>
      <c r="G42" s="18" t="s">
        <v>147</v>
      </c>
      <c r="I42" s="43"/>
    </row>
    <row r="43" spans="1:9" x14ac:dyDescent="0.35">
      <c r="C43" s="18" t="s">
        <v>70</v>
      </c>
      <c r="D43" s="18" t="s">
        <v>71</v>
      </c>
      <c r="E43" s="18" t="s">
        <v>71</v>
      </c>
      <c r="F43" s="18" t="s">
        <v>72</v>
      </c>
      <c r="G43" s="18" t="s">
        <v>74</v>
      </c>
      <c r="I43" s="43"/>
    </row>
    <row r="44" spans="1:9" x14ac:dyDescent="0.35">
      <c r="B44" s="112" t="s">
        <v>335</v>
      </c>
      <c r="C44" s="19" t="s">
        <v>73</v>
      </c>
      <c r="D44" s="19" t="s">
        <v>76</v>
      </c>
      <c r="E44" s="19" t="s">
        <v>77</v>
      </c>
      <c r="F44" s="19" t="s">
        <v>77</v>
      </c>
      <c r="G44" s="41" t="s">
        <v>73</v>
      </c>
      <c r="I44" s="43"/>
    </row>
    <row r="45" spans="1:9" x14ac:dyDescent="0.35">
      <c r="A45" s="1" t="s">
        <v>331</v>
      </c>
      <c r="B45" s="1">
        <v>4</v>
      </c>
      <c r="C45" s="38">
        <v>7.43</v>
      </c>
      <c r="D45" s="38">
        <v>0</v>
      </c>
      <c r="E45" s="42">
        <f>IF(C45&gt;0,D45/C45,0)</f>
        <v>0</v>
      </c>
      <c r="F45" s="42">
        <f>1-E45</f>
        <v>1</v>
      </c>
      <c r="G45" s="43">
        <f>B45*(C45*F45*12)</f>
        <v>356.64</v>
      </c>
      <c r="I45" s="43"/>
    </row>
    <row r="46" spans="1:9" x14ac:dyDescent="0.35">
      <c r="A46" s="1" t="s">
        <v>332</v>
      </c>
      <c r="B46" s="1">
        <v>1</v>
      </c>
      <c r="C46" s="38">
        <v>13</v>
      </c>
      <c r="D46" s="38">
        <v>0</v>
      </c>
      <c r="E46" s="42">
        <f t="shared" ref="E46:E49" si="14">IF(C46&gt;0,D46/C46,0)</f>
        <v>0</v>
      </c>
      <c r="F46" s="42">
        <f t="shared" ref="F46:F49" si="15">1-E46</f>
        <v>1</v>
      </c>
      <c r="G46" s="43">
        <f t="shared" ref="G46:G48" si="16">B46*(C46*F46*12)</f>
        <v>156</v>
      </c>
      <c r="I46" s="43"/>
    </row>
    <row r="47" spans="1:9" x14ac:dyDescent="0.35">
      <c r="A47" s="1" t="s">
        <v>333</v>
      </c>
      <c r="B47" s="1">
        <v>2</v>
      </c>
      <c r="C47" s="38">
        <v>14.1</v>
      </c>
      <c r="D47" s="38">
        <v>0</v>
      </c>
      <c r="E47" s="42">
        <f t="shared" si="14"/>
        <v>0</v>
      </c>
      <c r="F47" s="42">
        <f t="shared" si="15"/>
        <v>1</v>
      </c>
      <c r="G47" s="43">
        <f t="shared" si="16"/>
        <v>338.4</v>
      </c>
      <c r="I47" s="43"/>
    </row>
    <row r="48" spans="1:9" x14ac:dyDescent="0.35">
      <c r="A48" s="1" t="s">
        <v>334</v>
      </c>
      <c r="B48" s="1">
        <v>3</v>
      </c>
      <c r="C48" s="38">
        <v>21.53</v>
      </c>
      <c r="D48" s="38">
        <v>0</v>
      </c>
      <c r="E48" s="42">
        <f t="shared" si="14"/>
        <v>0</v>
      </c>
      <c r="F48" s="42">
        <f t="shared" si="15"/>
        <v>1</v>
      </c>
      <c r="G48" s="43">
        <f t="shared" si="16"/>
        <v>775.08</v>
      </c>
      <c r="I48" s="43"/>
    </row>
    <row r="49" spans="1:9" x14ac:dyDescent="0.35">
      <c r="B49" s="280"/>
      <c r="C49" s="247"/>
      <c r="D49" s="247">
        <v>0</v>
      </c>
      <c r="E49" s="424">
        <f t="shared" si="14"/>
        <v>0</v>
      </c>
      <c r="F49" s="424">
        <f t="shared" si="15"/>
        <v>1</v>
      </c>
      <c r="G49" s="246">
        <f t="shared" ref="G49" si="17">C49*F49*12</f>
        <v>0</v>
      </c>
      <c r="I49" s="43"/>
    </row>
    <row r="50" spans="1:9" x14ac:dyDescent="0.35">
      <c r="A50" s="1" t="s">
        <v>53</v>
      </c>
      <c r="B50" s="1">
        <f>SUM(B45:B49)</f>
        <v>10</v>
      </c>
      <c r="C50" s="43"/>
      <c r="G50" s="43">
        <f>SUM(G45:G49)</f>
        <v>1626.12</v>
      </c>
      <c r="I50" s="43"/>
    </row>
    <row r="51" spans="1:9" x14ac:dyDescent="0.35">
      <c r="C51" s="43"/>
      <c r="G51" s="43"/>
      <c r="I51" s="43"/>
    </row>
    <row r="52" spans="1:9" x14ac:dyDescent="0.35">
      <c r="D52" s="18" t="s">
        <v>70</v>
      </c>
      <c r="G52" s="18" t="s">
        <v>147</v>
      </c>
      <c r="I52" s="43"/>
    </row>
    <row r="53" spans="1:9" x14ac:dyDescent="0.35">
      <c r="B53" s="455" t="s">
        <v>355</v>
      </c>
      <c r="C53" s="18" t="s">
        <v>70</v>
      </c>
      <c r="D53" s="18" t="s">
        <v>71</v>
      </c>
      <c r="E53" s="18" t="s">
        <v>71</v>
      </c>
      <c r="F53" s="18" t="s">
        <v>72</v>
      </c>
      <c r="G53" s="18" t="s">
        <v>74</v>
      </c>
      <c r="I53" s="43"/>
    </row>
    <row r="54" spans="1:9" x14ac:dyDescent="0.35">
      <c r="B54" s="248" t="s">
        <v>86</v>
      </c>
      <c r="C54" s="19" t="s">
        <v>73</v>
      </c>
      <c r="D54" s="19" t="s">
        <v>76</v>
      </c>
      <c r="E54" s="19" t="s">
        <v>77</v>
      </c>
      <c r="F54" s="19" t="s">
        <v>77</v>
      </c>
      <c r="G54" s="41" t="s">
        <v>73</v>
      </c>
      <c r="I54" s="43"/>
    </row>
    <row r="55" spans="1:9" x14ac:dyDescent="0.35">
      <c r="B55" s="18">
        <v>7</v>
      </c>
      <c r="C55" s="38">
        <v>20.66</v>
      </c>
      <c r="D55" s="38">
        <v>0</v>
      </c>
      <c r="E55" s="42">
        <f>IF(C55&gt;0,D55/C55,0)</f>
        <v>0</v>
      </c>
      <c r="F55" s="42">
        <f>1-E55</f>
        <v>1</v>
      </c>
      <c r="G55" s="43">
        <f>(C55*F55)*12</f>
        <v>247.92000000000002</v>
      </c>
      <c r="I55" s="43"/>
    </row>
    <row r="56" spans="1:9" x14ac:dyDescent="0.35">
      <c r="B56" s="18">
        <v>1</v>
      </c>
      <c r="C56" s="38">
        <v>23.97</v>
      </c>
      <c r="D56" s="38">
        <v>0</v>
      </c>
      <c r="E56" s="42">
        <f t="shared" ref="E56:E65" si="18">IF(C56&gt;0,D56/C56,0)</f>
        <v>0</v>
      </c>
      <c r="F56" s="42">
        <f t="shared" ref="F56:F65" si="19">1-E56</f>
        <v>1</v>
      </c>
      <c r="G56" s="43">
        <f t="shared" ref="G56:G65" si="20">(C56*F56)*12</f>
        <v>287.64</v>
      </c>
      <c r="I56" s="43"/>
    </row>
    <row r="57" spans="1:9" x14ac:dyDescent="0.35">
      <c r="B57" s="18">
        <v>8</v>
      </c>
      <c r="C57" s="38">
        <v>19.11</v>
      </c>
      <c r="D57" s="38">
        <v>0</v>
      </c>
      <c r="E57" s="42">
        <f t="shared" si="18"/>
        <v>0</v>
      </c>
      <c r="F57" s="42">
        <f t="shared" si="19"/>
        <v>1</v>
      </c>
      <c r="G57" s="43">
        <f t="shared" si="20"/>
        <v>229.32</v>
      </c>
      <c r="I57" s="43"/>
    </row>
    <row r="58" spans="1:9" x14ac:dyDescent="0.35">
      <c r="B58" s="18">
        <v>13</v>
      </c>
      <c r="C58" s="38">
        <v>14.45</v>
      </c>
      <c r="D58" s="38">
        <v>0</v>
      </c>
      <c r="E58" s="42">
        <f t="shared" ref="E58:E63" si="21">IF(C58&gt;0,D58/C58,0)</f>
        <v>0</v>
      </c>
      <c r="F58" s="42">
        <f t="shared" ref="F58:F63" si="22">1-E58</f>
        <v>1</v>
      </c>
      <c r="G58" s="43">
        <f t="shared" si="20"/>
        <v>173.39999999999998</v>
      </c>
      <c r="I58" s="43"/>
    </row>
    <row r="59" spans="1:9" x14ac:dyDescent="0.35">
      <c r="B59" s="18">
        <v>2</v>
      </c>
      <c r="C59" s="38">
        <f>1.12+2.7+18.36</f>
        <v>22.18</v>
      </c>
      <c r="D59" s="38">
        <v>0</v>
      </c>
      <c r="E59" s="42">
        <f t="shared" si="21"/>
        <v>0</v>
      </c>
      <c r="F59" s="42">
        <f t="shared" si="22"/>
        <v>1</v>
      </c>
      <c r="G59" s="43">
        <f t="shared" si="20"/>
        <v>266.15999999999997</v>
      </c>
      <c r="I59" s="43"/>
    </row>
    <row r="60" spans="1:9" x14ac:dyDescent="0.35">
      <c r="B60" s="18">
        <v>12</v>
      </c>
      <c r="C60" s="38">
        <v>27.74</v>
      </c>
      <c r="D60" s="38">
        <v>0</v>
      </c>
      <c r="E60" s="42">
        <f t="shared" si="21"/>
        <v>0</v>
      </c>
      <c r="F60" s="42">
        <f t="shared" si="22"/>
        <v>1</v>
      </c>
      <c r="G60" s="43">
        <f t="shared" si="20"/>
        <v>332.88</v>
      </c>
      <c r="I60" s="43"/>
    </row>
    <row r="61" spans="1:9" x14ac:dyDescent="0.35">
      <c r="B61" s="18">
        <v>14</v>
      </c>
      <c r="C61" s="38">
        <v>14.51</v>
      </c>
      <c r="D61" s="38">
        <v>0</v>
      </c>
      <c r="E61" s="42">
        <f t="shared" si="21"/>
        <v>0</v>
      </c>
      <c r="F61" s="42">
        <f t="shared" si="22"/>
        <v>1</v>
      </c>
      <c r="G61" s="43">
        <f t="shared" si="20"/>
        <v>174.12</v>
      </c>
      <c r="I61" s="43"/>
    </row>
    <row r="62" spans="1:9" x14ac:dyDescent="0.35">
      <c r="B62" s="18">
        <v>6</v>
      </c>
      <c r="C62" s="38">
        <v>13.83</v>
      </c>
      <c r="D62" s="38">
        <v>0</v>
      </c>
      <c r="E62" s="42">
        <f t="shared" si="21"/>
        <v>0</v>
      </c>
      <c r="F62" s="42">
        <f t="shared" si="22"/>
        <v>1</v>
      </c>
      <c r="G62" s="43">
        <f t="shared" si="20"/>
        <v>165.96</v>
      </c>
      <c r="I62" s="43"/>
    </row>
    <row r="63" spans="1:9" x14ac:dyDescent="0.35">
      <c r="B63" s="18">
        <v>11</v>
      </c>
      <c r="C63" s="38">
        <v>11.75</v>
      </c>
      <c r="D63" s="38">
        <v>0</v>
      </c>
      <c r="E63" s="42">
        <f t="shared" si="21"/>
        <v>0</v>
      </c>
      <c r="F63" s="42">
        <f t="shared" si="22"/>
        <v>1</v>
      </c>
      <c r="G63" s="43">
        <f t="shared" si="20"/>
        <v>141</v>
      </c>
      <c r="I63" s="43"/>
    </row>
    <row r="64" spans="1:9" x14ac:dyDescent="0.35">
      <c r="B64" s="18">
        <v>3</v>
      </c>
      <c r="C64" s="38">
        <v>10.07</v>
      </c>
      <c r="D64" s="38">
        <v>0</v>
      </c>
      <c r="E64" s="42">
        <f t="shared" si="18"/>
        <v>0</v>
      </c>
      <c r="F64" s="42">
        <f t="shared" si="19"/>
        <v>1</v>
      </c>
      <c r="G64" s="43">
        <f t="shared" si="20"/>
        <v>120.84</v>
      </c>
      <c r="I64" s="43"/>
    </row>
    <row r="65" spans="2:12" x14ac:dyDescent="0.35">
      <c r="B65" s="280"/>
      <c r="C65" s="247"/>
      <c r="D65" s="247">
        <v>0</v>
      </c>
      <c r="E65" s="424">
        <f t="shared" si="18"/>
        <v>0</v>
      </c>
      <c r="F65" s="424">
        <f t="shared" si="19"/>
        <v>1</v>
      </c>
      <c r="G65" s="43">
        <f t="shared" si="20"/>
        <v>0</v>
      </c>
      <c r="I65" s="43"/>
    </row>
    <row r="66" spans="2:12" x14ac:dyDescent="0.35">
      <c r="B66" s="1" t="s">
        <v>12</v>
      </c>
      <c r="C66" s="43">
        <f>SUM(C55:C65)</f>
        <v>178.27</v>
      </c>
      <c r="G66" s="43">
        <f>SUM(G55:G65)</f>
        <v>2139.2399999999998</v>
      </c>
      <c r="I66" s="43"/>
    </row>
    <row r="67" spans="2:12" x14ac:dyDescent="0.35">
      <c r="C67" s="43"/>
      <c r="G67" s="43"/>
      <c r="I67" s="43"/>
    </row>
    <row r="68" spans="2:12" x14ac:dyDescent="0.35">
      <c r="C68" s="43"/>
      <c r="G68" s="43"/>
      <c r="I68" s="43"/>
    </row>
    <row r="69" spans="2:12" x14ac:dyDescent="0.35">
      <c r="C69" s="43"/>
      <c r="G69" s="43"/>
      <c r="I69" s="43"/>
    </row>
    <row r="70" spans="2:12" x14ac:dyDescent="0.35">
      <c r="C70" s="43"/>
      <c r="G70" s="43"/>
      <c r="I70" s="43"/>
    </row>
    <row r="71" spans="2:12" x14ac:dyDescent="0.35">
      <c r="C71" s="43"/>
      <c r="G71" s="43"/>
      <c r="I71" s="43"/>
    </row>
    <row r="72" spans="2:12" x14ac:dyDescent="0.35">
      <c r="G72" s="43"/>
      <c r="I72" s="43"/>
    </row>
    <row r="73" spans="2:12" x14ac:dyDescent="0.35">
      <c r="B73" s="112" t="s">
        <v>356</v>
      </c>
      <c r="G73" s="43"/>
      <c r="I73" s="43"/>
    </row>
    <row r="74" spans="2:12" x14ac:dyDescent="0.35">
      <c r="I74" s="43"/>
    </row>
    <row r="75" spans="2:12" x14ac:dyDescent="0.35">
      <c r="B75" s="1" t="s">
        <v>337</v>
      </c>
      <c r="D75" s="203">
        <f>G19+G28+G40+G50+G66</f>
        <v>215427.55999999997</v>
      </c>
      <c r="I75" s="43"/>
    </row>
    <row r="76" spans="2:12" x14ac:dyDescent="0.35">
      <c r="B76" s="1" t="s">
        <v>336</v>
      </c>
      <c r="D76" s="460">
        <f>-137101.49-58600</f>
        <v>-195701.49</v>
      </c>
      <c r="E76" s="449"/>
      <c r="F76" s="523" t="s">
        <v>417</v>
      </c>
      <c r="H76" s="193"/>
      <c r="I76" s="41"/>
      <c r="K76" s="116"/>
      <c r="L76" s="116"/>
    </row>
    <row r="77" spans="2:12" x14ac:dyDescent="0.35">
      <c r="B77" s="1" t="s">
        <v>115</v>
      </c>
      <c r="D77" s="204">
        <f>D75+D76</f>
        <v>19726.069999999978</v>
      </c>
      <c r="E77" s="117"/>
      <c r="F77" s="113"/>
      <c r="G77" s="89"/>
      <c r="H77" s="201"/>
      <c r="I77" s="113"/>
      <c r="K77" s="84"/>
    </row>
    <row r="78" spans="2:12" ht="17" x14ac:dyDescent="0.5">
      <c r="D78" s="115"/>
      <c r="E78" s="114"/>
      <c r="F78" s="114"/>
      <c r="G78" s="191"/>
      <c r="H78" s="202"/>
      <c r="I78" s="114"/>
    </row>
    <row r="79" spans="2:12" ht="15.5" x14ac:dyDescent="0.35">
      <c r="D79" s="115"/>
      <c r="E79" s="113"/>
      <c r="F79" s="113"/>
      <c r="G79" s="191"/>
      <c r="H79" s="201"/>
      <c r="I79" s="113"/>
    </row>
    <row r="81" spans="3:8" x14ac:dyDescent="0.35">
      <c r="C81" s="341"/>
      <c r="D81" s="18"/>
    </row>
    <row r="84" spans="3:8" x14ac:dyDescent="0.35">
      <c r="H84" s="192" t="s">
        <v>154</v>
      </c>
    </row>
    <row r="93" spans="3:8" x14ac:dyDescent="0.35">
      <c r="C93" s="280"/>
      <c r="D93" s="280"/>
    </row>
    <row r="94" spans="3:8" x14ac:dyDescent="0.35">
      <c r="C94" s="397"/>
      <c r="D94" s="397"/>
    </row>
  </sheetData>
  <phoneticPr fontId="28"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003B9-59C5-4DF9-BA7B-F1E3EC2BAAEC}">
  <sheetPr>
    <tabColor rgb="FF92D050"/>
  </sheetPr>
  <dimension ref="A1:H69"/>
  <sheetViews>
    <sheetView workbookViewId="0">
      <selection activeCell="F4" sqref="F4"/>
    </sheetView>
  </sheetViews>
  <sheetFormatPr defaultColWidth="8.84375" defaultRowHeight="14.5" x14ac:dyDescent="0.35"/>
  <cols>
    <col min="1" max="1" width="25.61328125" style="1" customWidth="1"/>
    <col min="2" max="2" width="11.15234375" style="197" bestFit="1" customWidth="1"/>
    <col min="3" max="3" width="14.53515625" style="198" customWidth="1"/>
    <col min="4" max="4" width="10.23046875" style="18" bestFit="1" customWidth="1"/>
    <col min="5" max="5" width="10.23046875" style="1" bestFit="1" customWidth="1"/>
    <col min="6" max="6" width="10.23046875" style="1" customWidth="1"/>
    <col min="7" max="7" width="10.3046875" style="1" customWidth="1"/>
    <col min="8" max="8" width="9.3828125" style="1" bestFit="1" customWidth="1"/>
    <col min="9" max="16384" width="8.84375" style="1"/>
  </cols>
  <sheetData>
    <row r="1" spans="1:7" x14ac:dyDescent="0.35">
      <c r="A1" s="1" t="s">
        <v>150</v>
      </c>
    </row>
    <row r="2" spans="1:7" x14ac:dyDescent="0.35">
      <c r="C2" s="411">
        <v>2025</v>
      </c>
      <c r="D2" s="341"/>
      <c r="E2" s="341"/>
    </row>
    <row r="3" spans="1:7" x14ac:dyDescent="0.35">
      <c r="A3" s="1" t="s">
        <v>151</v>
      </c>
      <c r="C3" s="198">
        <v>69100</v>
      </c>
      <c r="D3" s="342"/>
      <c r="E3" s="198"/>
      <c r="F3" s="1" t="s">
        <v>419</v>
      </c>
    </row>
    <row r="5" spans="1:7" x14ac:dyDescent="0.35">
      <c r="A5" s="1" t="s">
        <v>152</v>
      </c>
      <c r="B5" s="197">
        <v>0.3</v>
      </c>
      <c r="C5" s="198">
        <f>C3*B5</f>
        <v>20730</v>
      </c>
      <c r="D5" s="198"/>
      <c r="E5" s="198"/>
    </row>
    <row r="6" spans="1:7" x14ac:dyDescent="0.35">
      <c r="A6" s="1" t="s">
        <v>153</v>
      </c>
      <c r="B6" s="197">
        <v>0.7</v>
      </c>
      <c r="C6" s="198">
        <f>C3*B6</f>
        <v>48370</v>
      </c>
      <c r="D6" s="198"/>
      <c r="E6" s="198"/>
    </row>
    <row r="12" spans="1:7" x14ac:dyDescent="0.35">
      <c r="B12" s="392"/>
    </row>
    <row r="13" spans="1:7" x14ac:dyDescent="0.35">
      <c r="B13" s="392"/>
    </row>
    <row r="14" spans="1:7" x14ac:dyDescent="0.35">
      <c r="B14" s="536"/>
      <c r="C14" s="536"/>
      <c r="D14" s="536"/>
      <c r="E14" s="536"/>
      <c r="F14" s="536"/>
      <c r="G14" s="536"/>
    </row>
    <row r="15" spans="1:7" x14ac:dyDescent="0.35">
      <c r="B15" s="392"/>
      <c r="C15" s="341"/>
      <c r="D15" s="392"/>
      <c r="E15" s="393"/>
      <c r="F15" s="19"/>
    </row>
    <row r="16" spans="1:7" x14ac:dyDescent="0.35">
      <c r="B16" s="392"/>
      <c r="C16" s="1"/>
      <c r="D16" s="392"/>
      <c r="E16" s="198"/>
    </row>
    <row r="17" spans="1:8" x14ac:dyDescent="0.35">
      <c r="B17" s="392"/>
      <c r="C17" s="1"/>
      <c r="D17" s="392"/>
      <c r="E17" s="198"/>
      <c r="H17" s="395"/>
    </row>
    <row r="18" spans="1:8" ht="16" x14ac:dyDescent="0.5">
      <c r="B18" s="392"/>
      <c r="C18" s="435"/>
      <c r="D18" s="436"/>
      <c r="E18" s="437"/>
      <c r="F18" s="280"/>
      <c r="G18" s="280"/>
      <c r="H18" s="438"/>
    </row>
    <row r="19" spans="1:8" x14ac:dyDescent="0.35">
      <c r="B19" s="392"/>
      <c r="C19" s="1"/>
      <c r="D19" s="392"/>
      <c r="E19" s="198"/>
      <c r="H19" s="198"/>
    </row>
    <row r="20" spans="1:8" x14ac:dyDescent="0.35">
      <c r="B20" s="392"/>
    </row>
    <row r="21" spans="1:8" x14ac:dyDescent="0.35">
      <c r="A21" s="112"/>
      <c r="B21" s="392"/>
    </row>
    <row r="22" spans="1:8" x14ac:dyDescent="0.35">
      <c r="B22" s="535"/>
      <c r="C22" s="535"/>
      <c r="E22" s="393"/>
      <c r="F22" s="18"/>
    </row>
    <row r="23" spans="1:8" x14ac:dyDescent="0.35">
      <c r="B23" s="394"/>
      <c r="C23" s="439"/>
      <c r="E23" s="341"/>
      <c r="F23" s="440"/>
      <c r="G23" s="341"/>
    </row>
    <row r="24" spans="1:8" x14ac:dyDescent="0.35">
      <c r="B24" s="395"/>
      <c r="C24" s="395"/>
      <c r="D24" s="396"/>
      <c r="E24" s="397"/>
      <c r="F24" s="397"/>
      <c r="G24" s="398"/>
    </row>
    <row r="25" spans="1:8" x14ac:dyDescent="0.35">
      <c r="B25" s="399"/>
      <c r="C25" s="119"/>
      <c r="D25" s="396"/>
      <c r="E25" s="43"/>
      <c r="F25" s="43"/>
      <c r="G25" s="398"/>
    </row>
    <row r="26" spans="1:8" x14ac:dyDescent="0.35">
      <c r="B26" s="399"/>
      <c r="C26" s="119"/>
      <c r="D26" s="396"/>
    </row>
    <row r="27" spans="1:8" x14ac:dyDescent="0.35">
      <c r="A27" s="76"/>
      <c r="B27" s="399"/>
      <c r="C27" s="119"/>
      <c r="D27" s="396"/>
    </row>
    <row r="28" spans="1:8" x14ac:dyDescent="0.35">
      <c r="B28" s="399"/>
      <c r="C28" s="119"/>
      <c r="D28" s="396"/>
    </row>
    <row r="29" spans="1:8" x14ac:dyDescent="0.35">
      <c r="B29" s="399"/>
      <c r="C29" s="119"/>
      <c r="D29" s="396"/>
    </row>
    <row r="30" spans="1:8" x14ac:dyDescent="0.35">
      <c r="B30" s="399"/>
      <c r="C30" s="119"/>
      <c r="D30" s="396"/>
    </row>
    <row r="31" spans="1:8" x14ac:dyDescent="0.35">
      <c r="B31" s="399"/>
      <c r="C31" s="119"/>
      <c r="D31" s="396"/>
    </row>
    <row r="32" spans="1:8" x14ac:dyDescent="0.35">
      <c r="B32" s="399"/>
      <c r="C32" s="119"/>
      <c r="D32" s="396"/>
    </row>
    <row r="33" spans="1:4" x14ac:dyDescent="0.35">
      <c r="B33" s="399"/>
      <c r="C33" s="119"/>
      <c r="D33" s="396"/>
    </row>
    <row r="34" spans="1:4" ht="15.5" x14ac:dyDescent="0.35">
      <c r="A34" s="391"/>
      <c r="B34" s="399"/>
      <c r="C34" s="119"/>
      <c r="D34" s="396"/>
    </row>
    <row r="35" spans="1:4" x14ac:dyDescent="0.35">
      <c r="A35" s="341"/>
      <c r="B35" s="400"/>
      <c r="C35" s="339"/>
    </row>
    <row r="36" spans="1:4" ht="15.5" x14ac:dyDescent="0.35">
      <c r="A36" s="315"/>
      <c r="B36" s="357"/>
      <c r="C36" s="401"/>
      <c r="D36" s="341"/>
    </row>
    <row r="37" spans="1:4" ht="15.5" x14ac:dyDescent="0.35">
      <c r="A37"/>
      <c r="B37"/>
      <c r="C37" s="397"/>
      <c r="D37" s="402"/>
    </row>
    <row r="38" spans="1:4" ht="15.5" x14ac:dyDescent="0.35">
      <c r="A38"/>
      <c r="B38" s="403"/>
      <c r="C38" s="404"/>
      <c r="D38" s="405"/>
    </row>
    <row r="39" spans="1:4" ht="15.5" x14ac:dyDescent="0.35">
      <c r="A39"/>
      <c r="B39" s="406"/>
      <c r="C39" s="404"/>
      <c r="D39" s="405"/>
    </row>
    <row r="40" spans="1:4" ht="15.5" x14ac:dyDescent="0.35">
      <c r="A40"/>
      <c r="B40" s="406"/>
      <c r="C40" s="404"/>
      <c r="D40" s="405"/>
    </row>
    <row r="41" spans="1:4" ht="15.5" x14ac:dyDescent="0.35">
      <c r="A41"/>
      <c r="B41" s="406"/>
      <c r="C41" s="404"/>
      <c r="D41" s="405"/>
    </row>
    <row r="42" spans="1:4" ht="15.5" x14ac:dyDescent="0.35">
      <c r="A42"/>
      <c r="B42" s="406"/>
      <c r="C42" s="404"/>
      <c r="D42" s="405"/>
    </row>
    <row r="43" spans="1:4" ht="15.5" x14ac:dyDescent="0.35">
      <c r="A43"/>
      <c r="B43" s="406"/>
      <c r="C43" s="404"/>
      <c r="D43" s="405"/>
    </row>
    <row r="44" spans="1:4" ht="15.5" x14ac:dyDescent="0.35">
      <c r="A44"/>
      <c r="B44" s="406"/>
      <c r="C44" s="404"/>
      <c r="D44" s="405"/>
    </row>
    <row r="45" spans="1:4" ht="15.5" x14ac:dyDescent="0.35">
      <c r="A45"/>
      <c r="B45" s="406"/>
      <c r="C45" s="404"/>
      <c r="D45" s="405"/>
    </row>
    <row r="46" spans="1:4" ht="15.5" x14ac:dyDescent="0.35">
      <c r="A46"/>
      <c r="B46" s="406"/>
      <c r="C46" s="404"/>
      <c r="D46" s="405"/>
    </row>
    <row r="47" spans="1:4" ht="15.5" x14ac:dyDescent="0.35">
      <c r="A47"/>
      <c r="B47" s="406"/>
      <c r="C47" s="404"/>
      <c r="D47" s="405"/>
    </row>
    <row r="48" spans="1:4" ht="15.5" x14ac:dyDescent="0.35">
      <c r="A48"/>
      <c r="B48" s="406"/>
      <c r="C48" s="404"/>
      <c r="D48" s="405"/>
    </row>
    <row r="49" spans="1:5" ht="15.5" x14ac:dyDescent="0.35">
      <c r="A49"/>
      <c r="B49" s="406"/>
      <c r="C49" s="407"/>
      <c r="D49" s="408"/>
    </row>
    <row r="50" spans="1:5" ht="15.5" x14ac:dyDescent="0.35">
      <c r="A50"/>
      <c r="B50" s="406"/>
      <c r="C50" s="407"/>
      <c r="D50" s="408"/>
    </row>
    <row r="51" spans="1:5" ht="15.5" x14ac:dyDescent="0.35">
      <c r="A51"/>
      <c r="B51" s="406"/>
      <c r="C51" s="407"/>
      <c r="D51" s="408"/>
    </row>
    <row r="52" spans="1:5" ht="15.5" x14ac:dyDescent="0.35">
      <c r="A52"/>
      <c r="B52" s="406"/>
      <c r="C52" s="407"/>
      <c r="D52" s="408"/>
    </row>
    <row r="53" spans="1:5" ht="15.5" x14ac:dyDescent="0.35">
      <c r="A53"/>
      <c r="B53" s="406"/>
      <c r="C53" s="407"/>
      <c r="D53" s="408"/>
    </row>
    <row r="54" spans="1:5" ht="15.5" x14ac:dyDescent="0.35">
      <c r="A54"/>
      <c r="B54" s="406"/>
      <c r="C54" s="407"/>
      <c r="D54" s="408"/>
    </row>
    <row r="55" spans="1:5" ht="15.5" x14ac:dyDescent="0.35">
      <c r="A55"/>
      <c r="B55" s="409"/>
      <c r="C55" s="1"/>
      <c r="D55" s="1"/>
    </row>
    <row r="56" spans="1:5" ht="15.5" x14ac:dyDescent="0.35">
      <c r="A56" s="357"/>
      <c r="B56" s="403"/>
      <c r="C56" s="410"/>
      <c r="D56" s="410"/>
      <c r="E56" s="43"/>
    </row>
    <row r="58" spans="1:5" x14ac:dyDescent="0.35">
      <c r="C58" s="197"/>
      <c r="D58" s="194"/>
    </row>
    <row r="59" spans="1:5" x14ac:dyDescent="0.35">
      <c r="B59" s="349"/>
      <c r="C59" s="349"/>
      <c r="D59" s="350"/>
      <c r="E59" s="349"/>
    </row>
    <row r="60" spans="1:5" x14ac:dyDescent="0.35">
      <c r="E60" s="43"/>
    </row>
    <row r="64" spans="1:5" x14ac:dyDescent="0.35">
      <c r="B64" s="353"/>
      <c r="C64" s="43"/>
      <c r="D64" s="98"/>
      <c r="E64" s="43"/>
    </row>
    <row r="65" spans="5:7" x14ac:dyDescent="0.35">
      <c r="E65" s="43"/>
      <c r="G65" s="43"/>
    </row>
    <row r="66" spans="5:7" x14ac:dyDescent="0.35">
      <c r="E66" s="43"/>
      <c r="G66" s="43"/>
    </row>
    <row r="67" spans="5:7" x14ac:dyDescent="0.35">
      <c r="G67" s="43"/>
    </row>
    <row r="68" spans="5:7" x14ac:dyDescent="0.35">
      <c r="G68" s="43"/>
    </row>
    <row r="69" spans="5:7" x14ac:dyDescent="0.35">
      <c r="G69" s="43"/>
    </row>
  </sheetData>
  <mergeCells count="2">
    <mergeCell ref="B22:C22"/>
    <mergeCell ref="B14:G1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34C12-8B08-4347-8810-FE79CDF4480C}">
  <sheetPr>
    <tabColor rgb="FF92D050"/>
    <pageSetUpPr fitToPage="1"/>
  </sheetPr>
  <dimension ref="A1:N68"/>
  <sheetViews>
    <sheetView showGridLines="0" topLeftCell="A6" workbookViewId="0">
      <selection activeCell="B2" sqref="B2:L44"/>
    </sheetView>
  </sheetViews>
  <sheetFormatPr defaultRowHeight="15.5" x14ac:dyDescent="0.35"/>
  <cols>
    <col min="1" max="1" width="2" customWidth="1"/>
    <col min="2" max="2" width="1.84375" customWidth="1"/>
    <col min="3" max="3" width="6.3828125" customWidth="1"/>
    <col min="4" max="4" width="27.4609375" customWidth="1"/>
    <col min="5" max="5" width="8.3046875" customWidth="1"/>
    <col min="6" max="6" width="11.69140625" style="340" customWidth="1"/>
    <col min="7" max="7" width="6.07421875" customWidth="1"/>
    <col min="8" max="8" width="11.61328125" customWidth="1"/>
    <col min="9" max="9" width="6.07421875" customWidth="1"/>
    <col min="10" max="10" width="9.3046875" customWidth="1"/>
    <col min="11" max="11" width="10.69140625" customWidth="1"/>
    <col min="12" max="12" width="1.84375" customWidth="1"/>
    <col min="13" max="13" width="2.4609375" customWidth="1"/>
  </cols>
  <sheetData>
    <row r="1" spans="1:13" x14ac:dyDescent="0.35">
      <c r="A1" s="1"/>
      <c r="B1" s="1"/>
      <c r="C1" s="119"/>
      <c r="D1" s="119"/>
      <c r="E1" s="119"/>
      <c r="F1" s="119"/>
      <c r="G1" s="120"/>
      <c r="H1" s="119"/>
      <c r="I1" s="120"/>
      <c r="J1" s="119"/>
      <c r="K1" s="119"/>
      <c r="L1" s="119"/>
      <c r="M1" s="119"/>
    </row>
    <row r="2" spans="1:13" ht="14.5" customHeight="1" x14ac:dyDescent="0.35">
      <c r="A2" s="1"/>
      <c r="B2" s="77"/>
      <c r="C2" s="121"/>
      <c r="D2" s="121"/>
      <c r="E2" s="121"/>
      <c r="F2" s="121"/>
      <c r="G2" s="122"/>
      <c r="H2" s="121"/>
      <c r="I2" s="122"/>
      <c r="J2" s="121"/>
      <c r="K2" s="121"/>
      <c r="L2" s="123"/>
      <c r="M2" s="124"/>
    </row>
    <row r="3" spans="1:13" ht="17.5" customHeight="1" x14ac:dyDescent="0.45">
      <c r="A3" s="1"/>
      <c r="B3" s="46"/>
      <c r="C3" s="537" t="s">
        <v>27</v>
      </c>
      <c r="D3" s="537"/>
      <c r="E3" s="537"/>
      <c r="F3" s="537"/>
      <c r="G3" s="537"/>
      <c r="H3" s="537"/>
      <c r="I3" s="537"/>
      <c r="J3" s="537"/>
      <c r="K3" s="537"/>
      <c r="L3" s="125"/>
      <c r="M3" s="124"/>
    </row>
    <row r="4" spans="1:13" ht="18.5" x14ac:dyDescent="0.45">
      <c r="A4" s="1"/>
      <c r="B4" s="46"/>
      <c r="C4" s="524" t="s">
        <v>41</v>
      </c>
      <c r="D4" s="524"/>
      <c r="E4" s="524"/>
      <c r="F4" s="524"/>
      <c r="G4" s="524"/>
      <c r="H4" s="524"/>
      <c r="I4" s="524"/>
      <c r="J4" s="524"/>
      <c r="K4" s="524"/>
      <c r="L4" s="125"/>
      <c r="M4" s="124"/>
    </row>
    <row r="5" spans="1:13" x14ac:dyDescent="0.35">
      <c r="A5" s="1"/>
      <c r="B5" s="46"/>
      <c r="C5" s="525" t="str">
        <f>SAO!A2</f>
        <v>GREEN-TAYLOR WATER DISTRICT</v>
      </c>
      <c r="D5" s="525"/>
      <c r="E5" s="525"/>
      <c r="F5" s="525"/>
      <c r="G5" s="525"/>
      <c r="H5" s="525"/>
      <c r="I5" s="525"/>
      <c r="J5" s="525"/>
      <c r="K5" s="525"/>
      <c r="L5" s="125"/>
      <c r="M5" s="124"/>
    </row>
    <row r="6" spans="1:13" x14ac:dyDescent="0.35">
      <c r="A6" s="1"/>
      <c r="B6" s="46"/>
      <c r="C6" s="119"/>
      <c r="D6" s="119"/>
      <c r="E6" s="119"/>
      <c r="F6" s="119"/>
      <c r="G6" s="126"/>
      <c r="H6" s="119"/>
      <c r="I6" s="126"/>
      <c r="J6" s="119"/>
      <c r="K6" s="127" t="s">
        <v>42</v>
      </c>
      <c r="L6" s="125"/>
      <c r="M6" s="124"/>
    </row>
    <row r="7" spans="1:13" x14ac:dyDescent="0.35">
      <c r="A7" s="1"/>
      <c r="B7" s="46"/>
      <c r="C7" s="128"/>
      <c r="D7" s="128"/>
      <c r="E7" s="128" t="s">
        <v>43</v>
      </c>
      <c r="F7" s="128" t="s">
        <v>44</v>
      </c>
      <c r="H7" s="494" t="s">
        <v>116</v>
      </c>
      <c r="J7" s="494" t="s">
        <v>32</v>
      </c>
      <c r="K7" s="127" t="s">
        <v>45</v>
      </c>
      <c r="L7" s="125"/>
      <c r="M7" s="124"/>
    </row>
    <row r="8" spans="1:13" ht="17" x14ac:dyDescent="0.5">
      <c r="A8" s="1"/>
      <c r="B8" s="46"/>
      <c r="C8" s="127"/>
      <c r="D8" s="129" t="s">
        <v>117</v>
      </c>
      <c r="E8" s="127" t="s">
        <v>46</v>
      </c>
      <c r="F8" s="127" t="s">
        <v>118</v>
      </c>
      <c r="G8" s="23" t="s">
        <v>47</v>
      </c>
      <c r="H8" s="127" t="s">
        <v>48</v>
      </c>
      <c r="I8" s="23" t="s">
        <v>47</v>
      </c>
      <c r="J8" s="127" t="s">
        <v>48</v>
      </c>
      <c r="K8" s="127" t="s">
        <v>38</v>
      </c>
      <c r="L8" s="125"/>
      <c r="M8" s="124"/>
    </row>
    <row r="9" spans="1:13" x14ac:dyDescent="0.35">
      <c r="A9" s="1"/>
      <c r="B9" s="46"/>
      <c r="C9" s="127"/>
      <c r="D9" s="127"/>
      <c r="E9" s="127"/>
      <c r="F9" s="127"/>
      <c r="G9" s="23"/>
      <c r="H9" s="127"/>
      <c r="I9" s="23"/>
      <c r="J9" s="127"/>
      <c r="K9" s="127"/>
      <c r="L9" s="125"/>
      <c r="M9" s="124"/>
    </row>
    <row r="10" spans="1:13" x14ac:dyDescent="0.35">
      <c r="A10" s="1"/>
      <c r="B10" s="46"/>
      <c r="C10" s="130" t="s">
        <v>119</v>
      </c>
      <c r="D10" s="119"/>
      <c r="E10" s="131"/>
      <c r="F10" s="119"/>
      <c r="G10" s="126"/>
      <c r="H10" s="84"/>
      <c r="I10" s="126"/>
      <c r="J10" s="84"/>
      <c r="K10" s="84"/>
      <c r="L10" s="125"/>
      <c r="M10" s="124"/>
    </row>
    <row r="11" spans="1:13" x14ac:dyDescent="0.35">
      <c r="A11" s="1"/>
      <c r="B11" s="46"/>
      <c r="C11" s="130"/>
      <c r="D11" s="119" t="s">
        <v>120</v>
      </c>
      <c r="E11" s="131" t="s">
        <v>63</v>
      </c>
      <c r="F11" s="338">
        <v>189154.46</v>
      </c>
      <c r="G11" s="63" t="s">
        <v>121</v>
      </c>
      <c r="H11" s="20">
        <v>8393.7900000000009</v>
      </c>
      <c r="I11" s="126">
        <v>37.5</v>
      </c>
      <c r="J11" s="20">
        <f>F11/I11</f>
        <v>5044.1189333333332</v>
      </c>
      <c r="K11" s="20">
        <f>J11-H11</f>
        <v>-3349.6710666666677</v>
      </c>
      <c r="L11" s="125"/>
      <c r="M11" s="124"/>
    </row>
    <row r="12" spans="1:13" x14ac:dyDescent="0.35">
      <c r="A12" s="1"/>
      <c r="B12" s="46"/>
      <c r="C12" s="130"/>
      <c r="D12" s="119" t="s">
        <v>242</v>
      </c>
      <c r="E12" s="131" t="s">
        <v>63</v>
      </c>
      <c r="F12" s="338">
        <v>42384.08</v>
      </c>
      <c r="G12" s="63" t="s">
        <v>121</v>
      </c>
      <c r="H12" s="20">
        <v>6359.39</v>
      </c>
      <c r="I12" s="126">
        <v>10</v>
      </c>
      <c r="J12" s="20">
        <f>F12/I12</f>
        <v>4238.4080000000004</v>
      </c>
      <c r="K12" s="20">
        <f>J12-H12</f>
        <v>-2120.982</v>
      </c>
      <c r="L12" s="125"/>
      <c r="M12" s="124"/>
    </row>
    <row r="13" spans="1:13" x14ac:dyDescent="0.35">
      <c r="A13" s="1"/>
      <c r="B13" s="46"/>
      <c r="C13" s="119"/>
      <c r="D13" s="119" t="s">
        <v>122</v>
      </c>
      <c r="E13" s="131" t="s">
        <v>63</v>
      </c>
      <c r="F13" s="338">
        <v>26832.17</v>
      </c>
      <c r="G13" s="63" t="s">
        <v>121</v>
      </c>
      <c r="H13" s="20">
        <v>2863.26</v>
      </c>
      <c r="I13" s="126">
        <v>22.5</v>
      </c>
      <c r="J13" s="20">
        <f>F13/I13</f>
        <v>1192.5408888888887</v>
      </c>
      <c r="K13" s="20">
        <f>J13-H13</f>
        <v>-1670.7191111111115</v>
      </c>
      <c r="L13" s="125"/>
      <c r="M13" s="124"/>
    </row>
    <row r="14" spans="1:13" x14ac:dyDescent="0.35">
      <c r="A14" s="1"/>
      <c r="B14" s="46"/>
      <c r="C14" s="119"/>
      <c r="D14" s="119" t="s">
        <v>123</v>
      </c>
      <c r="E14" s="131" t="s">
        <v>63</v>
      </c>
      <c r="F14" s="338">
        <v>167813.78</v>
      </c>
      <c r="G14" s="63" t="s">
        <v>121</v>
      </c>
      <c r="H14" s="20">
        <v>16781.34</v>
      </c>
      <c r="I14" s="126">
        <v>12.5</v>
      </c>
      <c r="J14" s="20">
        <f t="shared" ref="J14:J16" si="0">F14/I14</f>
        <v>13425.1024</v>
      </c>
      <c r="K14" s="20">
        <f t="shared" ref="K14:K16" si="1">J14-H14</f>
        <v>-3356.2376000000004</v>
      </c>
      <c r="L14" s="125"/>
      <c r="M14" s="124"/>
    </row>
    <row r="15" spans="1:13" x14ac:dyDescent="0.35">
      <c r="A15" s="1"/>
      <c r="B15" s="46"/>
      <c r="C15" s="119"/>
      <c r="D15" s="119" t="s">
        <v>124</v>
      </c>
      <c r="E15" s="131" t="s">
        <v>63</v>
      </c>
      <c r="F15" s="338">
        <v>17067.04</v>
      </c>
      <c r="G15" s="63" t="s">
        <v>121</v>
      </c>
      <c r="H15" s="20">
        <v>1706.7</v>
      </c>
      <c r="I15" s="126">
        <v>17.5</v>
      </c>
      <c r="J15" s="20">
        <f t="shared" si="0"/>
        <v>975.25942857142866</v>
      </c>
      <c r="K15" s="20">
        <f t="shared" si="1"/>
        <v>-731.44057142857139</v>
      </c>
      <c r="L15" s="125"/>
      <c r="M15" s="124"/>
    </row>
    <row r="16" spans="1:13" hidden="1" x14ac:dyDescent="0.35">
      <c r="A16" s="1"/>
      <c r="B16" s="46"/>
      <c r="C16" s="119"/>
      <c r="D16" s="119" t="s">
        <v>125</v>
      </c>
      <c r="E16" s="131" t="s">
        <v>63</v>
      </c>
      <c r="F16" s="338"/>
      <c r="G16" s="63" t="s">
        <v>121</v>
      </c>
      <c r="H16" s="20"/>
      <c r="I16" s="126">
        <v>15</v>
      </c>
      <c r="J16" s="20">
        <f t="shared" si="0"/>
        <v>0</v>
      </c>
      <c r="K16" s="20">
        <f t="shared" si="1"/>
        <v>0</v>
      </c>
      <c r="L16" s="125"/>
      <c r="M16" s="124"/>
    </row>
    <row r="17" spans="1:13" x14ac:dyDescent="0.35">
      <c r="A17" s="1"/>
      <c r="B17" s="46"/>
      <c r="C17" s="127"/>
      <c r="D17" s="127"/>
      <c r="E17" s="127"/>
      <c r="F17" s="127"/>
      <c r="G17" s="23"/>
      <c r="H17" s="127"/>
      <c r="I17" s="23"/>
      <c r="J17" s="127"/>
      <c r="K17" s="127"/>
      <c r="L17" s="125"/>
      <c r="M17" s="124"/>
    </row>
    <row r="18" spans="1:13" x14ac:dyDescent="0.35">
      <c r="A18" s="1"/>
      <c r="B18" s="46"/>
      <c r="C18" s="130" t="s">
        <v>126</v>
      </c>
      <c r="D18" s="119"/>
      <c r="E18" s="131"/>
      <c r="F18" s="119"/>
      <c r="G18" s="132"/>
      <c r="H18" s="84"/>
      <c r="I18" s="132"/>
      <c r="J18" s="84"/>
      <c r="K18" s="84"/>
      <c r="L18" s="125"/>
      <c r="M18" s="124"/>
    </row>
    <row r="19" spans="1:13" x14ac:dyDescent="0.35">
      <c r="A19" s="1"/>
      <c r="B19" s="46"/>
      <c r="C19" s="130"/>
      <c r="D19" s="119" t="s">
        <v>120</v>
      </c>
      <c r="E19" s="131" t="s">
        <v>63</v>
      </c>
      <c r="F19" s="338">
        <v>12894887.189999999</v>
      </c>
      <c r="G19" s="63" t="s">
        <v>121</v>
      </c>
      <c r="H19" s="20">
        <v>221302.74</v>
      </c>
      <c r="I19" s="126">
        <v>37.5</v>
      </c>
      <c r="J19" s="20">
        <f>F19/I19</f>
        <v>343863.65840000001</v>
      </c>
      <c r="K19" s="20">
        <f>J19-H19</f>
        <v>122560.91840000002</v>
      </c>
      <c r="L19" s="125"/>
      <c r="M19" s="124"/>
    </row>
    <row r="20" spans="1:13" x14ac:dyDescent="0.35">
      <c r="A20" s="1"/>
      <c r="B20" s="46"/>
      <c r="C20" s="119"/>
      <c r="D20" s="119" t="s">
        <v>127</v>
      </c>
      <c r="E20" s="131">
        <v>43070</v>
      </c>
      <c r="F20" s="119">
        <v>170100</v>
      </c>
      <c r="G20" s="63">
        <v>10</v>
      </c>
      <c r="H20" s="20">
        <v>17010</v>
      </c>
      <c r="I20" s="126">
        <v>10</v>
      </c>
      <c r="J20" s="84">
        <f>F20/I20</f>
        <v>17010</v>
      </c>
      <c r="K20" s="20">
        <f>J20-H20</f>
        <v>0</v>
      </c>
      <c r="L20" s="125"/>
      <c r="M20" s="124"/>
    </row>
    <row r="21" spans="1:13" hidden="1" x14ac:dyDescent="0.35">
      <c r="A21" s="1"/>
      <c r="B21" s="46"/>
      <c r="C21" s="119"/>
      <c r="D21" s="119" t="s">
        <v>128</v>
      </c>
      <c r="E21" s="131" t="s">
        <v>63</v>
      </c>
      <c r="F21" s="119"/>
      <c r="G21" s="63" t="s">
        <v>121</v>
      </c>
      <c r="H21" s="20"/>
      <c r="I21" s="126">
        <v>20</v>
      </c>
      <c r="J21" s="84">
        <f>F21/I21</f>
        <v>0</v>
      </c>
      <c r="K21" s="20">
        <f>J21-H21</f>
        <v>0</v>
      </c>
      <c r="L21" s="125"/>
      <c r="M21" s="124"/>
    </row>
    <row r="22" spans="1:13" x14ac:dyDescent="0.35">
      <c r="A22" s="1"/>
      <c r="B22" s="46"/>
      <c r="C22" s="127"/>
      <c r="D22" s="127"/>
      <c r="E22" s="127"/>
      <c r="F22" s="119"/>
      <c r="G22" s="132"/>
      <c r="H22" s="84"/>
      <c r="I22" s="132"/>
      <c r="J22" s="84"/>
      <c r="K22" s="84"/>
      <c r="L22" s="125"/>
      <c r="M22" s="124"/>
    </row>
    <row r="23" spans="1:13" x14ac:dyDescent="0.35">
      <c r="A23" s="1"/>
      <c r="B23" s="46"/>
      <c r="C23" s="130" t="s">
        <v>129</v>
      </c>
      <c r="D23" s="119"/>
      <c r="E23" s="131"/>
      <c r="F23" s="119"/>
      <c r="G23" s="126"/>
      <c r="H23" s="84"/>
      <c r="I23" s="126"/>
      <c r="J23" s="84"/>
      <c r="K23" s="84"/>
      <c r="L23" s="125"/>
      <c r="M23" s="124"/>
    </row>
    <row r="24" spans="1:13" hidden="1" x14ac:dyDescent="0.35">
      <c r="A24" s="1"/>
      <c r="B24" s="46"/>
      <c r="C24" s="130"/>
      <c r="D24" s="119" t="s">
        <v>130</v>
      </c>
      <c r="E24" s="131" t="s">
        <v>63</v>
      </c>
      <c r="F24" s="338"/>
      <c r="G24" s="63" t="s">
        <v>121</v>
      </c>
      <c r="H24" s="20"/>
      <c r="I24" s="126">
        <v>50</v>
      </c>
      <c r="J24" s="20">
        <f>H24</f>
        <v>0</v>
      </c>
      <c r="K24" s="20">
        <f>J24-H24</f>
        <v>0</v>
      </c>
      <c r="L24" s="125"/>
      <c r="M24" s="124"/>
    </row>
    <row r="25" spans="1:13" x14ac:dyDescent="0.35">
      <c r="A25" s="1"/>
      <c r="B25" s="46"/>
      <c r="C25" s="130"/>
      <c r="D25" s="119" t="s">
        <v>131</v>
      </c>
      <c r="E25" s="131" t="s">
        <v>63</v>
      </c>
      <c r="F25" s="338">
        <v>1164943.48</v>
      </c>
      <c r="G25" s="63" t="s">
        <v>121</v>
      </c>
      <c r="H25" s="20">
        <v>23420.52</v>
      </c>
      <c r="I25" s="126">
        <v>62.5</v>
      </c>
      <c r="J25" s="20">
        <f t="shared" ref="J25:J32" si="2">F25/I25</f>
        <v>18639.095679999999</v>
      </c>
      <c r="K25" s="20">
        <f t="shared" ref="K25:K32" si="3">J25-H25</f>
        <v>-4781.4243200000019</v>
      </c>
      <c r="L25" s="125"/>
      <c r="M25" s="124"/>
    </row>
    <row r="26" spans="1:13" hidden="1" x14ac:dyDescent="0.35">
      <c r="A26" s="1"/>
      <c r="B26" s="46"/>
      <c r="C26" s="130"/>
      <c r="D26" s="119" t="s">
        <v>132</v>
      </c>
      <c r="E26" s="131" t="s">
        <v>63</v>
      </c>
      <c r="F26" s="338"/>
      <c r="G26" s="63" t="s">
        <v>121</v>
      </c>
      <c r="H26" s="20"/>
      <c r="I26" s="126">
        <v>45</v>
      </c>
      <c r="J26" s="20">
        <f t="shared" si="2"/>
        <v>0</v>
      </c>
      <c r="K26" s="20">
        <f t="shared" si="3"/>
        <v>0</v>
      </c>
      <c r="L26" s="125"/>
      <c r="M26" s="124"/>
    </row>
    <row r="27" spans="1:13" hidden="1" x14ac:dyDescent="0.35">
      <c r="A27" s="1"/>
      <c r="B27" s="46"/>
      <c r="C27" s="130"/>
      <c r="D27" s="119" t="s">
        <v>133</v>
      </c>
      <c r="E27" s="131" t="s">
        <v>63</v>
      </c>
      <c r="F27" s="338"/>
      <c r="G27" s="63" t="s">
        <v>121</v>
      </c>
      <c r="H27" s="20"/>
      <c r="I27" s="126">
        <v>15</v>
      </c>
      <c r="J27" s="20">
        <f t="shared" si="2"/>
        <v>0</v>
      </c>
      <c r="K27" s="20">
        <f t="shared" si="3"/>
        <v>0</v>
      </c>
      <c r="L27" s="125"/>
      <c r="M27" s="124"/>
    </row>
    <row r="28" spans="1:13" hidden="1" x14ac:dyDescent="0.35">
      <c r="A28" s="1"/>
      <c r="B28" s="46"/>
      <c r="C28" s="130"/>
      <c r="D28" s="119" t="s">
        <v>134</v>
      </c>
      <c r="E28" s="131"/>
      <c r="F28" s="338"/>
      <c r="G28" s="63"/>
      <c r="H28" s="20"/>
      <c r="I28" s="126">
        <v>20</v>
      </c>
      <c r="J28" s="20">
        <f t="shared" si="2"/>
        <v>0</v>
      </c>
      <c r="K28" s="20">
        <f t="shared" si="3"/>
        <v>0</v>
      </c>
      <c r="L28" s="125"/>
      <c r="M28" s="124"/>
    </row>
    <row r="29" spans="1:13" hidden="1" x14ac:dyDescent="0.35">
      <c r="A29" s="1"/>
      <c r="B29" s="46"/>
      <c r="C29" s="130"/>
      <c r="D29" s="119" t="s">
        <v>135</v>
      </c>
      <c r="E29" s="131"/>
      <c r="F29" s="338"/>
      <c r="G29" s="63"/>
      <c r="H29" s="20"/>
      <c r="I29" s="126">
        <v>37.5</v>
      </c>
      <c r="J29" s="20">
        <f t="shared" si="2"/>
        <v>0</v>
      </c>
      <c r="K29" s="20">
        <f t="shared" si="3"/>
        <v>0</v>
      </c>
      <c r="L29" s="125"/>
      <c r="M29" s="124"/>
    </row>
    <row r="30" spans="1:13" x14ac:dyDescent="0.35">
      <c r="A30" s="1"/>
      <c r="B30" s="46"/>
      <c r="C30" s="130"/>
      <c r="D30" s="119" t="s">
        <v>136</v>
      </c>
      <c r="E30" s="131" t="s">
        <v>63</v>
      </c>
      <c r="F30" s="338">
        <v>1500</v>
      </c>
      <c r="G30" s="63">
        <v>20</v>
      </c>
      <c r="H30" s="20">
        <v>75</v>
      </c>
      <c r="I30" s="126">
        <v>40</v>
      </c>
      <c r="J30" s="20">
        <f t="shared" si="2"/>
        <v>37.5</v>
      </c>
      <c r="K30" s="20">
        <f t="shared" si="3"/>
        <v>-37.5</v>
      </c>
      <c r="L30" s="125"/>
      <c r="M30" s="124"/>
    </row>
    <row r="31" spans="1:13" x14ac:dyDescent="0.35">
      <c r="A31" s="1"/>
      <c r="B31" s="46"/>
      <c r="C31" s="130"/>
      <c r="D31" s="119" t="s">
        <v>137</v>
      </c>
      <c r="E31" s="131" t="s">
        <v>63</v>
      </c>
      <c r="F31" s="338">
        <v>1313571.18</v>
      </c>
      <c r="G31" s="63" t="s">
        <v>121</v>
      </c>
      <c r="H31" s="20">
        <v>32839.32</v>
      </c>
      <c r="I31" s="126">
        <v>45</v>
      </c>
      <c r="J31" s="20">
        <f t="shared" si="2"/>
        <v>29190.470666666664</v>
      </c>
      <c r="K31" s="20">
        <f t="shared" si="3"/>
        <v>-3648.8493333333354</v>
      </c>
      <c r="L31" s="125"/>
      <c r="M31" s="124"/>
    </row>
    <row r="32" spans="1:13" x14ac:dyDescent="0.35">
      <c r="A32" s="1"/>
      <c r="B32" s="46"/>
      <c r="C32" s="130"/>
      <c r="D32" s="119" t="s">
        <v>225</v>
      </c>
      <c r="E32" s="274">
        <v>43059</v>
      </c>
      <c r="F32" s="338">
        <v>76312</v>
      </c>
      <c r="G32" s="63">
        <v>10</v>
      </c>
      <c r="H32" s="20">
        <v>7631.22</v>
      </c>
      <c r="I32" s="126">
        <v>15</v>
      </c>
      <c r="J32" s="20">
        <f t="shared" si="2"/>
        <v>5087.4666666666662</v>
      </c>
      <c r="K32" s="20">
        <f t="shared" si="3"/>
        <v>-2543.753333333334</v>
      </c>
      <c r="L32" s="125"/>
      <c r="M32" s="124"/>
    </row>
    <row r="33" spans="1:14" x14ac:dyDescent="0.35">
      <c r="A33" s="1"/>
      <c r="B33" s="46"/>
      <c r="C33" s="130"/>
      <c r="D33" s="1"/>
      <c r="E33" s="131"/>
      <c r="F33" s="119"/>
      <c r="G33" s="132"/>
      <c r="H33" s="84"/>
      <c r="I33" s="132"/>
      <c r="J33" s="84"/>
      <c r="K33" s="20"/>
      <c r="L33" s="125"/>
      <c r="M33" s="124"/>
    </row>
    <row r="34" spans="1:14" x14ac:dyDescent="0.35">
      <c r="A34" s="1"/>
      <c r="B34" s="46"/>
      <c r="C34" s="130" t="s">
        <v>138</v>
      </c>
      <c r="D34" s="1"/>
      <c r="E34" s="131"/>
      <c r="F34" s="119"/>
      <c r="G34" s="126"/>
      <c r="H34" s="84"/>
      <c r="I34" s="133"/>
      <c r="J34" s="84"/>
      <c r="K34" s="84"/>
      <c r="L34" s="125"/>
      <c r="M34" s="124"/>
    </row>
    <row r="35" spans="1:14" x14ac:dyDescent="0.35">
      <c r="A35" s="1"/>
      <c r="B35" s="46"/>
      <c r="C35" s="119"/>
      <c r="D35" s="1" t="s">
        <v>139</v>
      </c>
      <c r="E35" s="131" t="s">
        <v>224</v>
      </c>
      <c r="F35" s="119">
        <v>351934.75</v>
      </c>
      <c r="G35" s="63" t="s">
        <v>121</v>
      </c>
      <c r="H35" s="84">
        <v>37593.69</v>
      </c>
      <c r="I35" s="133">
        <v>7</v>
      </c>
      <c r="J35" s="84">
        <f>F35/I35</f>
        <v>50276.392857142855</v>
      </c>
      <c r="K35" s="84">
        <f>J35-H35</f>
        <v>12682.702857142853</v>
      </c>
      <c r="L35" s="125"/>
      <c r="M35" s="124"/>
    </row>
    <row r="36" spans="1:14" x14ac:dyDescent="0.35">
      <c r="A36" s="1"/>
      <c r="B36" s="46"/>
      <c r="C36" s="127"/>
      <c r="D36" s="127"/>
      <c r="E36" s="127"/>
      <c r="F36" s="119"/>
      <c r="G36" s="132"/>
      <c r="H36" s="84"/>
      <c r="I36" s="132"/>
      <c r="J36" s="84"/>
      <c r="K36" s="84"/>
      <c r="L36" s="125"/>
      <c r="M36" s="124"/>
    </row>
    <row r="37" spans="1:14" x14ac:dyDescent="0.35">
      <c r="A37" s="1"/>
      <c r="B37" s="46"/>
      <c r="C37" s="134" t="s">
        <v>400</v>
      </c>
      <c r="D37" s="1"/>
      <c r="E37" s="1"/>
      <c r="F37" s="134">
        <f>SUM(F11:F36)</f>
        <v>16416500.129999999</v>
      </c>
      <c r="G37" s="135"/>
      <c r="H37" s="136">
        <f>SUM(H11:H36)</f>
        <v>375976.97</v>
      </c>
      <c r="I37" s="136"/>
      <c r="J37" s="136">
        <f>SUM(J11:J36)</f>
        <v>488980.01392126986</v>
      </c>
      <c r="K37" s="136">
        <f>SUM(K11:K36)</f>
        <v>113003.04392126987</v>
      </c>
      <c r="L37" s="125"/>
      <c r="M37" s="124"/>
      <c r="N37" s="18"/>
    </row>
    <row r="38" spans="1:14" x14ac:dyDescent="0.35">
      <c r="A38" s="1"/>
      <c r="B38" s="46"/>
      <c r="C38" s="134"/>
      <c r="D38" s="1"/>
      <c r="E38" s="1"/>
      <c r="F38" s="134"/>
      <c r="G38" s="135"/>
      <c r="H38" s="136"/>
      <c r="I38" s="136"/>
      <c r="J38" s="136"/>
      <c r="K38" s="136"/>
      <c r="L38" s="125"/>
      <c r="M38" s="124"/>
      <c r="N38" s="18"/>
    </row>
    <row r="39" spans="1:14" x14ac:dyDescent="0.35">
      <c r="A39" s="1"/>
      <c r="B39" s="46"/>
      <c r="C39" s="134"/>
      <c r="D39" s="1" t="s">
        <v>308</v>
      </c>
      <c r="E39" s="1"/>
      <c r="F39" s="134"/>
      <c r="G39" s="135"/>
      <c r="H39" s="136">
        <f>SAO!D46</f>
        <v>377234</v>
      </c>
      <c r="I39" s="136"/>
      <c r="J39" s="136">
        <f>J37</f>
        <v>488980.01392126986</v>
      </c>
      <c r="K39" s="136">
        <f>J39-H39</f>
        <v>111746.01392126986</v>
      </c>
      <c r="L39" s="125"/>
      <c r="M39" s="124"/>
      <c r="N39" s="18"/>
    </row>
    <row r="40" spans="1:14" x14ac:dyDescent="0.35">
      <c r="A40" s="1"/>
      <c r="B40" s="46"/>
      <c r="C40" s="134"/>
      <c r="D40" s="1"/>
      <c r="E40" s="1"/>
      <c r="F40" s="134"/>
      <c r="G40" s="135"/>
      <c r="H40" s="136"/>
      <c r="I40" s="136"/>
      <c r="J40" s="136"/>
      <c r="K40" s="136"/>
      <c r="L40" s="125"/>
      <c r="M40" s="124"/>
      <c r="N40" s="18"/>
    </row>
    <row r="41" spans="1:14" x14ac:dyDescent="0.35">
      <c r="A41" s="1"/>
      <c r="B41" s="79"/>
      <c r="C41" s="137"/>
      <c r="D41" s="137"/>
      <c r="E41" s="137"/>
      <c r="F41" s="137"/>
      <c r="G41" s="137"/>
      <c r="H41" s="138"/>
      <c r="I41" s="137"/>
      <c r="J41" s="138"/>
      <c r="K41" s="137"/>
      <c r="L41" s="139"/>
      <c r="M41" s="140"/>
    </row>
    <row r="42" spans="1:14" x14ac:dyDescent="0.35">
      <c r="A42" s="1"/>
      <c r="B42" s="1"/>
      <c r="C42" s="119"/>
      <c r="D42" s="119"/>
      <c r="E42" s="119"/>
      <c r="F42" s="119"/>
      <c r="G42" s="119"/>
      <c r="H42" s="22"/>
      <c r="I42" s="119"/>
      <c r="J42" s="22"/>
      <c r="K42" s="119"/>
      <c r="L42" s="119"/>
      <c r="M42" s="119"/>
    </row>
    <row r="43" spans="1:14" x14ac:dyDescent="0.35">
      <c r="D43" s="119" t="s">
        <v>401</v>
      </c>
    </row>
    <row r="44" spans="1:14" x14ac:dyDescent="0.35">
      <c r="D44" s="119" t="s">
        <v>402</v>
      </c>
    </row>
    <row r="45" spans="1:14" x14ac:dyDescent="0.35">
      <c r="D45" s="1"/>
      <c r="H45" s="495"/>
    </row>
    <row r="48" spans="1:14" x14ac:dyDescent="0.35">
      <c r="D48" s="538" t="s">
        <v>380</v>
      </c>
      <c r="E48" s="538"/>
      <c r="F48" s="538"/>
      <c r="G48" s="538"/>
      <c r="H48" s="538"/>
    </row>
    <row r="49" spans="3:8" x14ac:dyDescent="0.35">
      <c r="D49" s="538" t="s">
        <v>381</v>
      </c>
      <c r="E49" s="538"/>
      <c r="F49" s="538"/>
      <c r="G49" s="538"/>
      <c r="H49" s="538"/>
    </row>
    <row r="50" spans="3:8" x14ac:dyDescent="0.35">
      <c r="D50" s="446"/>
      <c r="F50"/>
      <c r="H50" s="486" t="s">
        <v>42</v>
      </c>
    </row>
    <row r="51" spans="3:8" x14ac:dyDescent="0.35">
      <c r="D51" s="487" t="s">
        <v>382</v>
      </c>
      <c r="F51"/>
      <c r="H51" s="488">
        <v>31205.17</v>
      </c>
    </row>
    <row r="52" spans="3:8" x14ac:dyDescent="0.35">
      <c r="D52" s="487" t="s">
        <v>383</v>
      </c>
      <c r="F52"/>
      <c r="H52" s="488">
        <v>31205.14</v>
      </c>
    </row>
    <row r="53" spans="3:8" x14ac:dyDescent="0.35">
      <c r="D53" s="487" t="s">
        <v>384</v>
      </c>
      <c r="F53"/>
      <c r="H53" s="488">
        <v>31205.11</v>
      </c>
    </row>
    <row r="54" spans="3:8" x14ac:dyDescent="0.35">
      <c r="D54" s="487" t="s">
        <v>385</v>
      </c>
      <c r="F54"/>
      <c r="H54" s="488">
        <v>31205.14</v>
      </c>
    </row>
    <row r="55" spans="3:8" x14ac:dyDescent="0.35">
      <c r="D55" s="487" t="s">
        <v>386</v>
      </c>
      <c r="F55"/>
      <c r="H55" s="488">
        <v>31205.16</v>
      </c>
    </row>
    <row r="56" spans="3:8" x14ac:dyDescent="0.35">
      <c r="D56" s="487" t="s">
        <v>387</v>
      </c>
      <c r="F56"/>
      <c r="H56" s="488">
        <v>31205.14</v>
      </c>
    </row>
    <row r="57" spans="3:8" x14ac:dyDescent="0.35">
      <c r="D57" s="487" t="s">
        <v>388</v>
      </c>
      <c r="F57"/>
      <c r="H57" s="488">
        <v>30770.06</v>
      </c>
    </row>
    <row r="58" spans="3:8" x14ac:dyDescent="0.35">
      <c r="D58" s="487" t="s">
        <v>389</v>
      </c>
      <c r="F58"/>
      <c r="H58" s="488">
        <v>30770.03</v>
      </c>
    </row>
    <row r="59" spans="3:8" x14ac:dyDescent="0.35">
      <c r="D59" s="487" t="s">
        <v>390</v>
      </c>
      <c r="F59"/>
      <c r="H59" s="488">
        <v>30770.080000000002</v>
      </c>
    </row>
    <row r="60" spans="3:8" x14ac:dyDescent="0.35">
      <c r="D60" s="487" t="s">
        <v>391</v>
      </c>
      <c r="F60"/>
      <c r="H60" s="488">
        <v>30770.05</v>
      </c>
    </row>
    <row r="61" spans="3:8" x14ac:dyDescent="0.35">
      <c r="D61" s="487" t="s">
        <v>392</v>
      </c>
      <c r="F61"/>
      <c r="H61" s="488">
        <v>30770.01</v>
      </c>
    </row>
    <row r="62" spans="3:8" x14ac:dyDescent="0.35">
      <c r="D62" s="487" t="s">
        <v>393</v>
      </c>
      <c r="F62"/>
      <c r="H62" s="488">
        <v>30290.05</v>
      </c>
    </row>
    <row r="63" spans="3:8" x14ac:dyDescent="0.35">
      <c r="D63" s="489" t="s">
        <v>394</v>
      </c>
      <c r="F63"/>
      <c r="H63" s="488"/>
    </row>
    <row r="64" spans="3:8" x14ac:dyDescent="0.35">
      <c r="C64">
        <v>212</v>
      </c>
      <c r="D64" s="487" t="s">
        <v>395</v>
      </c>
      <c r="F64"/>
      <c r="H64" s="488">
        <v>107.8</v>
      </c>
    </row>
    <row r="65" spans="3:10" x14ac:dyDescent="0.35">
      <c r="C65">
        <v>210</v>
      </c>
      <c r="D65" s="487" t="s">
        <v>396</v>
      </c>
      <c r="F65"/>
      <c r="H65" s="488">
        <v>1341</v>
      </c>
    </row>
    <row r="66" spans="3:10" x14ac:dyDescent="0.35">
      <c r="C66">
        <v>213</v>
      </c>
      <c r="D66" s="487" t="s">
        <v>397</v>
      </c>
      <c r="F66"/>
      <c r="H66" s="488">
        <v>44.98</v>
      </c>
    </row>
    <row r="67" spans="3:10" x14ac:dyDescent="0.35">
      <c r="C67">
        <v>209</v>
      </c>
      <c r="D67" s="487" t="s">
        <v>398</v>
      </c>
      <c r="F67"/>
      <c r="H67" s="490">
        <v>4369.05</v>
      </c>
    </row>
    <row r="68" spans="3:10" x14ac:dyDescent="0.35">
      <c r="F68"/>
      <c r="H68" s="491">
        <f>SUM(H51:H67)</f>
        <v>377233.96999999991</v>
      </c>
      <c r="I68" s="492" t="s">
        <v>399</v>
      </c>
      <c r="J68" s="493"/>
    </row>
  </sheetData>
  <mergeCells count="5">
    <mergeCell ref="C3:K3"/>
    <mergeCell ref="C4:K4"/>
    <mergeCell ref="C5:K5"/>
    <mergeCell ref="D48:H48"/>
    <mergeCell ref="D49:H49"/>
  </mergeCells>
  <pageMargins left="0.7" right="0.7" top="0.75" bottom="0.75" header="0.3" footer="0.3"/>
  <pageSetup scale="76"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8E55-8DC2-4CD5-8872-149491EA390B}">
  <sheetPr>
    <tabColor rgb="FF92D050"/>
    <pageSetUpPr fitToPage="1"/>
  </sheetPr>
  <dimension ref="B1:X35"/>
  <sheetViews>
    <sheetView showGridLines="0" workbookViewId="0">
      <selection activeCell="L13" sqref="L13"/>
    </sheetView>
  </sheetViews>
  <sheetFormatPr defaultRowHeight="15.5" x14ac:dyDescent="0.35"/>
  <cols>
    <col min="1" max="1" width="1.765625" customWidth="1"/>
    <col min="2" max="2" width="17.765625" customWidth="1"/>
    <col min="3" max="12" width="7.765625" customWidth="1"/>
    <col min="13" max="13" width="10.69140625" customWidth="1"/>
    <col min="14" max="14" width="0.765625" customWidth="1"/>
    <col min="15" max="15" width="2.3046875" customWidth="1"/>
    <col min="16" max="16" width="9.69140625" customWidth="1"/>
    <col min="17" max="17" width="13.765625" bestFit="1" customWidth="1"/>
  </cols>
  <sheetData>
    <row r="1" spans="2:24" x14ac:dyDescent="0.35">
      <c r="B1" s="16"/>
      <c r="C1" s="16"/>
      <c r="D1" s="16"/>
      <c r="E1" s="16"/>
      <c r="F1" s="16"/>
      <c r="G1" s="16"/>
      <c r="H1" s="16"/>
      <c r="I1" s="16"/>
      <c r="J1" s="16"/>
      <c r="K1" s="16"/>
      <c r="L1" s="16"/>
      <c r="M1" s="16"/>
      <c r="N1" s="16"/>
      <c r="O1" s="16"/>
      <c r="P1" s="16"/>
    </row>
    <row r="2" spans="2:24" x14ac:dyDescent="0.35">
      <c r="B2" s="141"/>
      <c r="C2" s="142"/>
      <c r="D2" s="142"/>
      <c r="E2" s="142"/>
      <c r="F2" s="142"/>
      <c r="G2" s="142"/>
      <c r="H2" s="142"/>
      <c r="I2" s="142"/>
      <c r="J2" s="142"/>
      <c r="K2" s="142"/>
      <c r="L2" s="142"/>
      <c r="M2" s="142"/>
      <c r="N2" s="143"/>
      <c r="O2" s="16"/>
      <c r="P2" s="16"/>
    </row>
    <row r="3" spans="2:24" ht="18.5" customHeight="1" x14ac:dyDescent="0.45">
      <c r="B3" s="144" t="s">
        <v>140</v>
      </c>
      <c r="C3" s="145"/>
      <c r="D3" s="145"/>
      <c r="E3" s="145"/>
      <c r="F3" s="145"/>
      <c r="G3" s="145"/>
      <c r="H3" s="145"/>
      <c r="I3" s="145"/>
      <c r="J3" s="145"/>
      <c r="K3" s="145"/>
      <c r="L3" s="145"/>
      <c r="M3" s="145"/>
      <c r="N3" s="67"/>
      <c r="O3" s="16"/>
      <c r="P3" s="16"/>
    </row>
    <row r="4" spans="2:24" ht="18.5" x14ac:dyDescent="0.45">
      <c r="B4" s="146" t="s">
        <v>141</v>
      </c>
      <c r="C4" s="147"/>
      <c r="D4" s="147"/>
      <c r="E4" s="147"/>
      <c r="F4" s="147"/>
      <c r="G4" s="147"/>
      <c r="H4" s="147"/>
      <c r="I4" s="147"/>
      <c r="J4" s="147"/>
      <c r="K4" s="147"/>
      <c r="L4" s="147"/>
      <c r="M4" s="147"/>
      <c r="N4" s="67"/>
      <c r="O4" s="16"/>
      <c r="P4" s="16"/>
    </row>
    <row r="5" spans="2:24" x14ac:dyDescent="0.35">
      <c r="B5" s="148" t="str">
        <f>SAO!A2</f>
        <v>GREEN-TAYLOR WATER DISTRICT</v>
      </c>
      <c r="C5" s="145"/>
      <c r="D5" s="145"/>
      <c r="E5" s="145"/>
      <c r="F5" s="145"/>
      <c r="G5" s="145"/>
      <c r="H5" s="145"/>
      <c r="I5" s="145"/>
      <c r="J5" s="145"/>
      <c r="K5" s="145"/>
      <c r="L5" s="145"/>
      <c r="M5" s="145"/>
      <c r="N5" s="67"/>
      <c r="O5" s="16"/>
      <c r="P5" s="16"/>
    </row>
    <row r="6" spans="2:24" x14ac:dyDescent="0.35">
      <c r="B6" s="149" t="s">
        <v>262</v>
      </c>
      <c r="C6" s="150"/>
      <c r="D6" s="150"/>
      <c r="E6" s="150"/>
      <c r="F6" s="150"/>
      <c r="G6" s="150"/>
      <c r="H6" s="150"/>
      <c r="I6" s="150"/>
      <c r="J6" s="150"/>
      <c r="K6" s="150"/>
      <c r="L6" s="150"/>
      <c r="M6" s="150"/>
      <c r="N6" s="67"/>
      <c r="O6" s="16"/>
      <c r="P6" s="16"/>
    </row>
    <row r="7" spans="2:24" x14ac:dyDescent="0.35">
      <c r="B7" s="151"/>
      <c r="C7" s="150"/>
      <c r="D7" s="150"/>
      <c r="E7" s="150"/>
      <c r="F7" s="150"/>
      <c r="G7" s="150"/>
      <c r="H7" s="150"/>
      <c r="I7" s="150"/>
      <c r="J7" s="150"/>
      <c r="K7" s="150"/>
      <c r="L7" s="150"/>
      <c r="M7" s="150"/>
      <c r="N7" s="67"/>
      <c r="O7" s="16"/>
      <c r="P7" s="16"/>
    </row>
    <row r="8" spans="2:24" x14ac:dyDescent="0.35">
      <c r="B8" s="152"/>
      <c r="C8" s="153"/>
      <c r="D8" s="154"/>
      <c r="E8" s="153"/>
      <c r="F8" s="155"/>
      <c r="G8" s="153"/>
      <c r="H8" s="155"/>
      <c r="I8" s="153"/>
      <c r="J8" s="155"/>
      <c r="K8" s="153"/>
      <c r="L8" s="155"/>
      <c r="M8" s="154"/>
      <c r="N8" s="143"/>
      <c r="O8" s="16"/>
      <c r="P8" s="16"/>
    </row>
    <row r="9" spans="2:24" ht="16" x14ac:dyDescent="0.35">
      <c r="B9" s="156"/>
      <c r="C9" s="539" t="s">
        <v>257</v>
      </c>
      <c r="D9" s="540"/>
      <c r="E9" s="539" t="s">
        <v>258</v>
      </c>
      <c r="F9" s="540"/>
      <c r="G9" s="539" t="s">
        <v>259</v>
      </c>
      <c r="H9" s="540"/>
      <c r="I9" s="539" t="s">
        <v>260</v>
      </c>
      <c r="J9" s="540"/>
      <c r="K9" s="539" t="s">
        <v>261</v>
      </c>
      <c r="L9" s="540"/>
      <c r="M9" s="16"/>
      <c r="N9" s="67"/>
      <c r="O9" s="16"/>
      <c r="P9" s="16"/>
    </row>
    <row r="10" spans="2:24" ht="16" x14ac:dyDescent="0.35">
      <c r="B10" s="156"/>
      <c r="C10" s="157"/>
      <c r="D10" s="158" t="s">
        <v>142</v>
      </c>
      <c r="E10" s="159"/>
      <c r="F10" s="158" t="s">
        <v>142</v>
      </c>
      <c r="G10" s="159"/>
      <c r="H10" s="158" t="s">
        <v>142</v>
      </c>
      <c r="I10" s="159"/>
      <c r="J10" s="158" t="s">
        <v>142</v>
      </c>
      <c r="K10" s="159"/>
      <c r="L10" s="158" t="s">
        <v>142</v>
      </c>
      <c r="M10" s="16"/>
      <c r="N10" s="67"/>
      <c r="O10" s="16"/>
      <c r="P10" s="16"/>
    </row>
    <row r="11" spans="2:24" ht="16" x14ac:dyDescent="0.35">
      <c r="B11" s="156"/>
      <c r="C11" s="157" t="s">
        <v>143</v>
      </c>
      <c r="D11" s="160" t="s">
        <v>144</v>
      </c>
      <c r="E11" s="157" t="s">
        <v>143</v>
      </c>
      <c r="F11" s="160" t="s">
        <v>144</v>
      </c>
      <c r="G11" s="157" t="s">
        <v>143</v>
      </c>
      <c r="H11" s="160" t="s">
        <v>144</v>
      </c>
      <c r="I11" s="157" t="s">
        <v>143</v>
      </c>
      <c r="J11" s="160" t="s">
        <v>144</v>
      </c>
      <c r="K11" s="157" t="s">
        <v>143</v>
      </c>
      <c r="L11" s="160" t="s">
        <v>144</v>
      </c>
      <c r="M11" s="161" t="s">
        <v>78</v>
      </c>
      <c r="N11" s="67"/>
      <c r="O11" s="16"/>
      <c r="P11" s="16"/>
      <c r="Q11" t="s">
        <v>251</v>
      </c>
      <c r="R11" t="s">
        <v>295</v>
      </c>
    </row>
    <row r="12" spans="2:24" x14ac:dyDescent="0.35">
      <c r="B12" s="162" t="s">
        <v>293</v>
      </c>
      <c r="C12" s="430">
        <f>46552.52+46959.85</f>
        <v>93512.37</v>
      </c>
      <c r="D12" s="431">
        <f>11834.38+11427.05+1690.63+1632.44</f>
        <v>26584.5</v>
      </c>
      <c r="E12" s="430">
        <f>47370.75+47785.24</f>
        <v>95155.989999999991</v>
      </c>
      <c r="F12" s="432">
        <f>11016.15+10601.66+1573.74+1514.52</f>
        <v>24706.07</v>
      </c>
      <c r="G12" s="430">
        <f>48203.37+48625.14</f>
        <v>96828.510000000009</v>
      </c>
      <c r="H12" s="432">
        <f>10183.53+9761.76+1454.79+1394.54</f>
        <v>22794.620000000003</v>
      </c>
      <c r="I12" s="430">
        <f>49050.61+49479.81</f>
        <v>98530.42</v>
      </c>
      <c r="J12" s="432">
        <f>9336.29+8907.09+1333.76+1272.44</f>
        <v>20849.579999999998</v>
      </c>
      <c r="K12" s="430">
        <f>49912.76+50349.49</f>
        <v>100262.25</v>
      </c>
      <c r="L12" s="432">
        <f>8474.14+8037.41+1210.59+1148.2</f>
        <v>18870.34</v>
      </c>
      <c r="M12" s="433">
        <f t="shared" ref="M12:M17" si="0">SUM(C12:L12)</f>
        <v>598094.65</v>
      </c>
      <c r="N12" s="67"/>
      <c r="O12" s="16"/>
      <c r="P12" s="16"/>
      <c r="Q12" s="386">
        <v>1963390</v>
      </c>
      <c r="R12" s="16" t="s">
        <v>296</v>
      </c>
      <c r="T12" s="16"/>
      <c r="V12" s="16"/>
      <c r="X12" s="16"/>
    </row>
    <row r="13" spans="2:24" x14ac:dyDescent="0.35">
      <c r="B13" s="162" t="s">
        <v>299</v>
      </c>
      <c r="C13" s="163">
        <v>200000</v>
      </c>
      <c r="D13" s="164">
        <f>18783.35+13783.35+3162.5</f>
        <v>35729.199999999997</v>
      </c>
      <c r="E13" s="163">
        <v>65000</v>
      </c>
      <c r="F13" s="165">
        <f>13783.35+12158.35+2662.5</f>
        <v>28604.2</v>
      </c>
      <c r="G13" s="163">
        <v>65000</v>
      </c>
      <c r="H13" s="165">
        <f>12158.35+10858.35+2500</f>
        <v>25516.7</v>
      </c>
      <c r="I13" s="163">
        <v>70000</v>
      </c>
      <c r="J13" s="165">
        <f>10858.35+9458.35+2337.5</f>
        <v>22654.2</v>
      </c>
      <c r="K13" s="163">
        <v>75000</v>
      </c>
      <c r="L13" s="165">
        <f>9458.35+7958.35+2162.5</f>
        <v>19579.2</v>
      </c>
      <c r="M13" s="166">
        <f t="shared" si="0"/>
        <v>607083.5</v>
      </c>
      <c r="N13" s="67"/>
      <c r="O13" s="16"/>
      <c r="P13" s="16"/>
      <c r="Q13" s="386">
        <v>2289000</v>
      </c>
      <c r="R13" s="16" t="s">
        <v>298</v>
      </c>
      <c r="T13" s="16"/>
      <c r="V13" s="16"/>
      <c r="X13" s="16"/>
    </row>
    <row r="14" spans="2:24" x14ac:dyDescent="0.35">
      <c r="B14" s="162" t="s">
        <v>294</v>
      </c>
      <c r="C14" s="163">
        <f>12138.36+12259.74</f>
        <v>24398.1</v>
      </c>
      <c r="D14" s="164">
        <f>5056.87+4935.49+632.11+616.94</f>
        <v>11241.410000000002</v>
      </c>
      <c r="E14" s="163">
        <f>12382.34+12506.16</f>
        <v>24888.5</v>
      </c>
      <c r="F14" s="165">
        <f>4812.89+4689.07+601.61+586.13</f>
        <v>10689.699999999999</v>
      </c>
      <c r="G14" s="163">
        <f>12631.22+12757.53</f>
        <v>25388.75</v>
      </c>
      <c r="H14" s="165">
        <f>4564.01+4437.7+570.5+554.71</f>
        <v>10126.919999999998</v>
      </c>
      <c r="I14" s="163">
        <f>12885.11+13013.96</f>
        <v>25899.07</v>
      </c>
      <c r="J14" s="165">
        <f>4310.12+4181.27+538.76+522.66</f>
        <v>9552.81</v>
      </c>
      <c r="K14" s="163">
        <f>13144.1+13275.54</f>
        <v>26419.64</v>
      </c>
      <c r="L14" s="165">
        <f>4051.13+3919.69+506.39+489.96</f>
        <v>8967.1699999999983</v>
      </c>
      <c r="M14" s="166">
        <f t="shared" si="0"/>
        <v>177572.07</v>
      </c>
      <c r="N14" s="67"/>
      <c r="O14" s="16"/>
      <c r="P14" s="16"/>
      <c r="Q14" s="386">
        <v>564600</v>
      </c>
      <c r="R14" s="16" t="s">
        <v>297</v>
      </c>
      <c r="T14" s="16"/>
      <c r="V14" s="16"/>
      <c r="X14" s="16"/>
    </row>
    <row r="15" spans="2:24" x14ac:dyDescent="0.35">
      <c r="B15" s="162"/>
      <c r="C15" s="163"/>
      <c r="D15" s="164"/>
      <c r="E15" s="163"/>
      <c r="F15" s="165"/>
      <c r="G15" s="163"/>
      <c r="H15" s="165"/>
      <c r="I15" s="163"/>
      <c r="J15" s="165"/>
      <c r="K15" s="163"/>
      <c r="L15" s="165"/>
      <c r="M15" s="166">
        <f t="shared" si="0"/>
        <v>0</v>
      </c>
      <c r="N15" s="67"/>
      <c r="O15" s="16"/>
      <c r="P15" s="16"/>
      <c r="R15" s="16"/>
      <c r="T15" s="16"/>
      <c r="V15" s="16"/>
      <c r="X15" s="16"/>
    </row>
    <row r="16" spans="2:24" x14ac:dyDescent="0.35">
      <c r="B16" s="162"/>
      <c r="C16" s="163"/>
      <c r="D16" s="164"/>
      <c r="E16" s="163"/>
      <c r="F16" s="164"/>
      <c r="G16" s="163"/>
      <c r="H16" s="164"/>
      <c r="I16" s="163"/>
      <c r="J16" s="164"/>
      <c r="K16" s="163"/>
      <c r="L16" s="165"/>
      <c r="M16" s="166">
        <f t="shared" si="0"/>
        <v>0</v>
      </c>
      <c r="N16" s="67"/>
      <c r="O16" s="16"/>
      <c r="P16" s="16"/>
      <c r="R16" s="16"/>
      <c r="T16" s="16"/>
      <c r="V16" s="16"/>
      <c r="X16" s="16"/>
    </row>
    <row r="17" spans="2:24" x14ac:dyDescent="0.35">
      <c r="B17" s="162"/>
      <c r="C17" s="163"/>
      <c r="D17" s="164"/>
      <c r="E17" s="163"/>
      <c r="F17" s="164"/>
      <c r="G17" s="163"/>
      <c r="H17" s="164"/>
      <c r="I17" s="163"/>
      <c r="J17" s="164"/>
      <c r="K17" s="163"/>
      <c r="L17" s="165"/>
      <c r="M17" s="166">
        <f t="shared" si="0"/>
        <v>0</v>
      </c>
      <c r="N17" s="67"/>
      <c r="O17" s="16"/>
      <c r="P17" s="16"/>
      <c r="R17" s="16"/>
      <c r="T17" s="16"/>
      <c r="V17" s="16"/>
      <c r="X17" s="16"/>
    </row>
    <row r="18" spans="2:24" x14ac:dyDescent="0.35">
      <c r="B18" s="167"/>
      <c r="C18" s="168"/>
      <c r="D18" s="169"/>
      <c r="E18" s="168"/>
      <c r="F18" s="169"/>
      <c r="G18" s="168"/>
      <c r="H18" s="169"/>
      <c r="I18" s="168"/>
      <c r="J18" s="169"/>
      <c r="K18" s="168"/>
      <c r="L18" s="170"/>
      <c r="M18" s="166"/>
      <c r="N18" s="67"/>
      <c r="O18" s="16"/>
      <c r="P18" s="16"/>
    </row>
    <row r="19" spans="2:24" x14ac:dyDescent="0.35">
      <c r="B19" s="118" t="s">
        <v>78</v>
      </c>
      <c r="C19" s="171">
        <f t="shared" ref="C19:M19" si="1">SUM(C12:C18)</f>
        <v>317910.46999999997</v>
      </c>
      <c r="D19" s="172">
        <f t="shared" si="1"/>
        <v>73555.11</v>
      </c>
      <c r="E19" s="171">
        <f t="shared" si="1"/>
        <v>185044.49</v>
      </c>
      <c r="F19" s="173">
        <f t="shared" si="1"/>
        <v>63999.97</v>
      </c>
      <c r="G19" s="171">
        <f t="shared" si="1"/>
        <v>187217.26</v>
      </c>
      <c r="H19" s="173">
        <f t="shared" si="1"/>
        <v>58438.240000000005</v>
      </c>
      <c r="I19" s="171">
        <f t="shared" si="1"/>
        <v>194429.49</v>
      </c>
      <c r="J19" s="173">
        <f t="shared" si="1"/>
        <v>53056.59</v>
      </c>
      <c r="K19" s="171">
        <f t="shared" si="1"/>
        <v>201681.89</v>
      </c>
      <c r="L19" s="173">
        <f t="shared" si="1"/>
        <v>47416.71</v>
      </c>
      <c r="M19" s="174">
        <f t="shared" si="1"/>
        <v>1382750.22</v>
      </c>
      <c r="N19" s="67"/>
      <c r="O19" s="16"/>
      <c r="P19" s="16">
        <f>SUM(C19:L19)</f>
        <v>1382750.2199999997</v>
      </c>
    </row>
    <row r="20" spans="2:24" x14ac:dyDescent="0.35">
      <c r="B20" s="175"/>
      <c r="C20" s="176"/>
      <c r="D20" s="177"/>
      <c r="E20" s="176"/>
      <c r="F20" s="178"/>
      <c r="G20" s="176"/>
      <c r="H20" s="178"/>
      <c r="I20" s="176"/>
      <c r="J20" s="179"/>
      <c r="K20" s="176"/>
      <c r="L20" s="178"/>
      <c r="M20" s="177"/>
      <c r="N20" s="180"/>
      <c r="O20" s="16"/>
      <c r="P20" s="16"/>
    </row>
    <row r="21" spans="2:24" x14ac:dyDescent="0.35">
      <c r="B21" s="181"/>
      <c r="C21" s="182"/>
      <c r="D21" s="182"/>
      <c r="E21" s="182"/>
      <c r="F21" s="182"/>
      <c r="G21" s="182"/>
      <c r="H21" s="182"/>
      <c r="I21" s="182"/>
      <c r="J21" s="183"/>
      <c r="K21" s="183"/>
      <c r="L21" s="183"/>
      <c r="M21" s="182"/>
      <c r="N21" s="67"/>
      <c r="O21" s="16"/>
      <c r="P21" s="16"/>
    </row>
    <row r="22" spans="2:24" x14ac:dyDescent="0.35">
      <c r="B22" s="184"/>
      <c r="C22" s="185"/>
      <c r="D22" s="186"/>
      <c r="E22" s="185"/>
      <c r="F22" s="185"/>
      <c r="G22" s="185"/>
      <c r="H22" s="185"/>
      <c r="I22" s="186" t="s">
        <v>145</v>
      </c>
      <c r="J22" s="16"/>
      <c r="K22" s="187"/>
      <c r="L22" s="188"/>
      <c r="M22" s="185">
        <f>M19/5</f>
        <v>276550.04399999999</v>
      </c>
      <c r="N22" s="67"/>
      <c r="O22" s="16"/>
      <c r="P22" s="16"/>
    </row>
    <row r="23" spans="2:24" x14ac:dyDescent="0.35">
      <c r="B23" s="17"/>
      <c r="C23" s="186"/>
      <c r="D23" s="16"/>
      <c r="E23" s="186"/>
      <c r="F23" s="186"/>
      <c r="G23" s="186"/>
      <c r="H23" s="186"/>
      <c r="I23" s="186" t="s">
        <v>253</v>
      </c>
      <c r="J23" s="16"/>
      <c r="K23" s="20"/>
      <c r="L23" s="187"/>
      <c r="M23" s="185">
        <f>M27/5</f>
        <v>22761.022000000001</v>
      </c>
      <c r="N23" s="67"/>
      <c r="O23" s="16"/>
      <c r="P23" s="16"/>
    </row>
    <row r="24" spans="2:24" x14ac:dyDescent="0.35">
      <c r="B24" s="184"/>
      <c r="C24" s="186"/>
      <c r="D24" s="186"/>
      <c r="E24" s="186"/>
      <c r="F24" s="186"/>
      <c r="G24" s="186"/>
      <c r="H24" s="186"/>
      <c r="I24" s="186" t="s">
        <v>146</v>
      </c>
      <c r="J24" s="16"/>
      <c r="K24" s="187"/>
      <c r="L24" s="186"/>
      <c r="M24" s="185">
        <f>M22*0.2</f>
        <v>55310.008800000003</v>
      </c>
      <c r="N24" s="67"/>
      <c r="O24" s="16"/>
      <c r="P24" s="16">
        <f>M24+M22</f>
        <v>331860.0528</v>
      </c>
    </row>
    <row r="25" spans="2:24" x14ac:dyDescent="0.35">
      <c r="B25" s="189"/>
      <c r="C25" s="190"/>
      <c r="D25" s="190"/>
      <c r="E25" s="190"/>
      <c r="F25" s="190"/>
      <c r="G25" s="190"/>
      <c r="H25" s="190"/>
      <c r="I25" s="190"/>
      <c r="J25" s="190"/>
      <c r="K25" s="190"/>
      <c r="L25" s="190"/>
      <c r="M25" s="190"/>
      <c r="N25" s="180"/>
      <c r="O25" s="16"/>
      <c r="P25" s="16"/>
    </row>
    <row r="26" spans="2:24" x14ac:dyDescent="0.35">
      <c r="B26" s="284"/>
      <c r="C26" s="284"/>
      <c r="D26" s="284"/>
      <c r="E26" s="284"/>
      <c r="F26" s="284"/>
      <c r="G26" s="284"/>
      <c r="H26" s="284"/>
      <c r="I26" s="284"/>
      <c r="J26" s="284"/>
      <c r="K26" s="284"/>
      <c r="L26" s="284"/>
      <c r="M26" s="284"/>
      <c r="N26" s="284"/>
      <c r="O26" s="284"/>
      <c r="P26" s="284"/>
    </row>
    <row r="27" spans="2:24" x14ac:dyDescent="0.35">
      <c r="B27" s="284"/>
      <c r="C27" s="284"/>
      <c r="D27" s="284"/>
      <c r="E27" s="284"/>
      <c r="F27" s="284"/>
      <c r="G27" s="284"/>
      <c r="H27" s="284"/>
      <c r="I27" s="284" t="s">
        <v>205</v>
      </c>
      <c r="J27" s="284"/>
      <c r="K27" s="284"/>
      <c r="L27" s="284"/>
      <c r="M27" s="285">
        <f>D12+F12+H12+J12+L12</f>
        <v>113805.11</v>
      </c>
      <c r="N27" s="284"/>
      <c r="O27" s="284"/>
      <c r="P27" s="284"/>
    </row>
    <row r="28" spans="2:24" x14ac:dyDescent="0.35">
      <c r="B28" s="284"/>
      <c r="C28" s="284"/>
      <c r="D28" s="284"/>
      <c r="E28" s="284"/>
      <c r="F28" s="284"/>
      <c r="G28" s="284"/>
      <c r="H28" s="284"/>
      <c r="I28" s="284"/>
      <c r="J28" s="284"/>
      <c r="K28" s="284"/>
      <c r="L28" s="284"/>
      <c r="M28" s="284"/>
      <c r="N28" s="284"/>
      <c r="O28" s="284"/>
      <c r="P28" s="284"/>
    </row>
    <row r="29" spans="2:24" x14ac:dyDescent="0.35">
      <c r="B29" s="284"/>
      <c r="C29" s="284"/>
      <c r="D29" s="284"/>
      <c r="E29" s="284"/>
      <c r="F29" s="284"/>
      <c r="G29" s="284"/>
      <c r="H29" s="284"/>
      <c r="I29" s="284" t="s">
        <v>206</v>
      </c>
      <c r="J29" s="284"/>
      <c r="K29" s="284"/>
      <c r="L29" s="284"/>
      <c r="M29" s="285">
        <f>M27/5</f>
        <v>22761.022000000001</v>
      </c>
      <c r="N29" s="284"/>
      <c r="O29" s="284"/>
      <c r="P29" s="284"/>
    </row>
    <row r="30" spans="2:24" x14ac:dyDescent="0.35">
      <c r="B30" s="284"/>
      <c r="C30" s="284"/>
      <c r="D30" s="284"/>
      <c r="E30" s="284"/>
      <c r="F30" s="284"/>
      <c r="G30" s="284"/>
      <c r="H30" s="284"/>
      <c r="I30" s="284"/>
      <c r="J30" s="284"/>
      <c r="K30" s="284"/>
      <c r="L30" s="284"/>
      <c r="M30" s="284"/>
      <c r="N30" s="284"/>
      <c r="O30" s="284"/>
      <c r="P30" s="284"/>
    </row>
    <row r="31" spans="2:24" x14ac:dyDescent="0.35">
      <c r="B31" s="284"/>
      <c r="C31" s="284"/>
      <c r="D31" s="284"/>
      <c r="E31" s="284"/>
      <c r="F31" s="284"/>
      <c r="G31" s="284"/>
      <c r="H31" s="284"/>
      <c r="I31" s="284"/>
      <c r="J31" s="284"/>
      <c r="K31" s="284"/>
      <c r="L31" s="284"/>
      <c r="M31" s="284"/>
      <c r="N31" s="284"/>
      <c r="O31" s="284"/>
      <c r="P31" s="284"/>
    </row>
    <row r="32" spans="2:24" x14ac:dyDescent="0.35">
      <c r="B32" s="284"/>
      <c r="C32" s="284"/>
      <c r="D32" s="284"/>
      <c r="E32" s="284"/>
      <c r="F32" s="284"/>
      <c r="G32" s="284"/>
      <c r="H32" s="284"/>
      <c r="I32" s="284"/>
      <c r="J32" s="284"/>
      <c r="K32" s="284"/>
      <c r="L32" s="284"/>
      <c r="M32" s="284"/>
      <c r="N32" s="284"/>
      <c r="O32" s="284"/>
      <c r="P32" s="284"/>
    </row>
    <row r="33" spans="2:16" x14ac:dyDescent="0.35">
      <c r="B33" s="284"/>
      <c r="C33" s="284"/>
      <c r="D33" s="284"/>
      <c r="E33" s="284"/>
      <c r="F33" s="284"/>
      <c r="G33" s="284"/>
      <c r="H33" s="284"/>
      <c r="I33" s="284"/>
      <c r="J33" s="284"/>
      <c r="K33" s="284"/>
      <c r="L33" s="284"/>
      <c r="M33" s="284"/>
      <c r="N33" s="284"/>
      <c r="O33" s="284"/>
      <c r="P33" s="284"/>
    </row>
    <row r="34" spans="2:16" x14ac:dyDescent="0.35">
      <c r="B34" s="284"/>
      <c r="C34" s="284"/>
      <c r="D34" s="284"/>
      <c r="E34" s="284"/>
      <c r="F34" s="284"/>
      <c r="G34" s="284"/>
      <c r="H34" s="284"/>
      <c r="I34" s="284"/>
      <c r="J34" s="284"/>
      <c r="K34" s="284"/>
      <c r="L34" s="284"/>
      <c r="M34" s="284"/>
      <c r="N34" s="284"/>
      <c r="O34" s="284"/>
      <c r="P34" s="284"/>
    </row>
    <row r="35" spans="2:16" x14ac:dyDescent="0.35">
      <c r="B35" s="284"/>
      <c r="C35" s="284"/>
      <c r="D35" s="284"/>
      <c r="E35" s="284"/>
      <c r="F35" s="284"/>
      <c r="G35" s="284"/>
      <c r="H35" s="284"/>
      <c r="I35" s="284"/>
      <c r="J35" s="284"/>
      <c r="K35" s="284"/>
      <c r="L35" s="284"/>
      <c r="M35" s="284"/>
      <c r="N35" s="284"/>
      <c r="O35" s="284"/>
      <c r="P35" s="284"/>
    </row>
  </sheetData>
  <mergeCells count="5">
    <mergeCell ref="C9:D9"/>
    <mergeCell ref="E9:F9"/>
    <mergeCell ref="G9:H9"/>
    <mergeCell ref="I9:J9"/>
    <mergeCell ref="K9:L9"/>
  </mergeCells>
  <pageMargins left="0.7" right="0.7" top="0.75" bottom="0.75" header="0.3" footer="0.3"/>
  <pageSetup scale="92" orientation="landscape"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23B5-3C4F-4A66-BDCE-8C5FC4A546FE}">
  <sheetPr>
    <tabColor rgb="FF92D050"/>
  </sheetPr>
  <dimension ref="A1:M31"/>
  <sheetViews>
    <sheetView topLeftCell="A10" workbookViewId="0">
      <selection activeCell="E32" sqref="E32"/>
    </sheetView>
  </sheetViews>
  <sheetFormatPr defaultColWidth="8.84375" defaultRowHeight="14.5" x14ac:dyDescent="0.35"/>
  <cols>
    <col min="1" max="1" width="18.69140625" style="1" customWidth="1"/>
    <col min="2" max="2" width="9.84375" style="5" bestFit="1" customWidth="1"/>
    <col min="3" max="3" width="10.15234375" style="1" bestFit="1" customWidth="1"/>
    <col min="4" max="4" width="9.07421875" style="1" bestFit="1" customWidth="1"/>
    <col min="5" max="6" width="8.84375" style="1"/>
    <col min="7" max="7" width="13.53515625" style="1" bestFit="1" customWidth="1"/>
    <col min="8" max="8" width="12.3046875" style="1" bestFit="1" customWidth="1"/>
    <col min="9" max="10" width="11.4609375" style="1" customWidth="1"/>
    <col min="11" max="11" width="13.23046875" style="1" bestFit="1" customWidth="1"/>
    <col min="12" max="16384" width="8.84375" style="1"/>
  </cols>
  <sheetData>
    <row r="1" spans="1:13" x14ac:dyDescent="0.35">
      <c r="A1" s="1" t="s">
        <v>155</v>
      </c>
      <c r="C1" s="341" t="s">
        <v>13</v>
      </c>
      <c r="K1" s="18"/>
    </row>
    <row r="2" spans="1:13" x14ac:dyDescent="0.35">
      <c r="A2" s="1" t="s">
        <v>156</v>
      </c>
      <c r="C2" s="5">
        <v>482242</v>
      </c>
      <c r="H2" s="541"/>
      <c r="I2" s="541"/>
      <c r="J2" s="541"/>
      <c r="K2" s="541"/>
    </row>
    <row r="3" spans="1:13" x14ac:dyDescent="0.35">
      <c r="A3" s="1" t="s">
        <v>157</v>
      </c>
      <c r="C3" s="355">
        <v>325022</v>
      </c>
      <c r="H3" s="535" t="s">
        <v>246</v>
      </c>
      <c r="I3" s="535"/>
      <c r="J3" s="535"/>
      <c r="K3" s="535"/>
    </row>
    <row r="4" spans="1:13" x14ac:dyDescent="0.35">
      <c r="A4" s="1" t="s">
        <v>158</v>
      </c>
      <c r="H4" s="18">
        <v>2025</v>
      </c>
      <c r="I4" s="18" t="s">
        <v>210</v>
      </c>
      <c r="J4" s="18" t="s">
        <v>327</v>
      </c>
      <c r="K4" s="18"/>
    </row>
    <row r="5" spans="1:13" x14ac:dyDescent="0.35">
      <c r="A5" s="1" t="s">
        <v>159</v>
      </c>
      <c r="G5" s="19" t="s">
        <v>276</v>
      </c>
      <c r="H5" s="19" t="s">
        <v>247</v>
      </c>
      <c r="I5" s="19" t="s">
        <v>248</v>
      </c>
      <c r="J5" s="19" t="s">
        <v>328</v>
      </c>
      <c r="K5" s="19" t="s">
        <v>244</v>
      </c>
    </row>
    <row r="6" spans="1:13" x14ac:dyDescent="0.35">
      <c r="A6" s="1" t="s">
        <v>160</v>
      </c>
      <c r="B6" s="1">
        <v>17576</v>
      </c>
      <c r="G6" s="1" t="s">
        <v>272</v>
      </c>
      <c r="H6" s="84">
        <v>188522000</v>
      </c>
      <c r="I6" s="1" t="s">
        <v>277</v>
      </c>
      <c r="J6" s="349">
        <f>12*84</f>
        <v>1008</v>
      </c>
      <c r="K6" s="372">
        <f>((H6/1000)*3.36)+J6</f>
        <v>634441.91999999993</v>
      </c>
      <c r="M6" s="1" t="s">
        <v>254</v>
      </c>
    </row>
    <row r="7" spans="1:13" x14ac:dyDescent="0.35">
      <c r="A7" s="1" t="s">
        <v>161</v>
      </c>
      <c r="B7" s="1">
        <v>126</v>
      </c>
      <c r="G7" s="1" t="s">
        <v>273</v>
      </c>
      <c r="H7" s="355">
        <v>234669000</v>
      </c>
      <c r="I7" s="1" t="s">
        <v>278</v>
      </c>
      <c r="K7" s="372">
        <f>(H7/1000)*2.206</f>
        <v>517679.81400000001</v>
      </c>
      <c r="M7" s="1" t="s">
        <v>314</v>
      </c>
    </row>
    <row r="8" spans="1:13" x14ac:dyDescent="0.35">
      <c r="A8" s="1" t="s">
        <v>162</v>
      </c>
      <c r="B8" s="1">
        <v>2800</v>
      </c>
      <c r="G8" s="1" t="s">
        <v>274</v>
      </c>
      <c r="H8" s="84">
        <v>59050000</v>
      </c>
      <c r="I8" s="1" t="s">
        <v>279</v>
      </c>
      <c r="K8" s="372">
        <f>(H8/1000)*3.01</f>
        <v>177740.5</v>
      </c>
      <c r="M8" s="1" t="s">
        <v>315</v>
      </c>
    </row>
    <row r="9" spans="1:13" x14ac:dyDescent="0.35">
      <c r="B9" s="119"/>
      <c r="C9" s="119">
        <f>B5+B6+B7+B8</f>
        <v>20502</v>
      </c>
      <c r="G9" s="1" t="s">
        <v>275</v>
      </c>
      <c r="H9" s="280"/>
      <c r="I9" s="1" t="s">
        <v>280</v>
      </c>
      <c r="K9" s="373">
        <f>(H9/1000)*2.75</f>
        <v>0</v>
      </c>
    </row>
    <row r="10" spans="1:13" x14ac:dyDescent="0.35">
      <c r="A10" s="1" t="s">
        <v>163</v>
      </c>
      <c r="B10" s="5">
        <v>0</v>
      </c>
      <c r="G10" s="18" t="s">
        <v>78</v>
      </c>
      <c r="H10" s="84">
        <f>SUM(H6:H9)</f>
        <v>482241000</v>
      </c>
      <c r="K10" s="111">
        <f>SUM(K6:K9)</f>
        <v>1329862.2339999999</v>
      </c>
      <c r="L10" s="1" t="s">
        <v>281</v>
      </c>
    </row>
    <row r="11" spans="1:13" x14ac:dyDescent="0.35">
      <c r="A11" s="1" t="s">
        <v>243</v>
      </c>
      <c r="B11" s="5">
        <v>11099</v>
      </c>
      <c r="K11" s="307">
        <f>SAO!D25</f>
        <v>1275442</v>
      </c>
      <c r="L11" s="1" t="s">
        <v>304</v>
      </c>
    </row>
    <row r="12" spans="1:13" x14ac:dyDescent="0.35">
      <c r="A12" s="1" t="s">
        <v>164</v>
      </c>
      <c r="B12" s="5">
        <v>5086</v>
      </c>
      <c r="K12" s="43">
        <f>ROUND(K10-K11,0)</f>
        <v>54420</v>
      </c>
      <c r="L12" s="1" t="s">
        <v>249</v>
      </c>
    </row>
    <row r="13" spans="1:13" x14ac:dyDescent="0.35">
      <c r="A13" s="1" t="s">
        <v>270</v>
      </c>
      <c r="B13" s="5">
        <v>890</v>
      </c>
    </row>
    <row r="14" spans="1:13" x14ac:dyDescent="0.35">
      <c r="A14" s="1" t="s">
        <v>271</v>
      </c>
      <c r="B14" s="5">
        <v>230</v>
      </c>
    </row>
    <row r="15" spans="1:13" x14ac:dyDescent="0.35">
      <c r="A15" s="1" t="s">
        <v>167</v>
      </c>
      <c r="B15" s="5">
        <v>119413</v>
      </c>
    </row>
    <row r="16" spans="1:13" x14ac:dyDescent="0.35">
      <c r="C16" s="119">
        <f>B10+B11+B12++B13+B14+B15</f>
        <v>136718</v>
      </c>
      <c r="D16" s="199">
        <f>C16/C2</f>
        <v>0.28350496223887589</v>
      </c>
      <c r="E16" s="1" t="s">
        <v>325</v>
      </c>
    </row>
    <row r="17" spans="1:9" x14ac:dyDescent="0.35">
      <c r="C17" s="119"/>
      <c r="D17" s="199">
        <v>0.15</v>
      </c>
      <c r="E17" s="1" t="s">
        <v>165</v>
      </c>
    </row>
    <row r="18" spans="1:9" x14ac:dyDescent="0.35">
      <c r="D18" s="205">
        <f>IF(D16&gt;D17,D16-D17,0)</f>
        <v>0.1335049622388759</v>
      </c>
      <c r="E18" s="1" t="s">
        <v>166</v>
      </c>
      <c r="H18" s="18"/>
    </row>
    <row r="19" spans="1:9" x14ac:dyDescent="0.35">
      <c r="D19" s="205"/>
      <c r="H19" s="18"/>
    </row>
    <row r="21" spans="1:9" x14ac:dyDescent="0.35">
      <c r="A21" s="1" t="s">
        <v>196</v>
      </c>
      <c r="D21" s="1" t="s">
        <v>38</v>
      </c>
    </row>
    <row r="22" spans="1:9" x14ac:dyDescent="0.35">
      <c r="A22" s="1" t="s">
        <v>5</v>
      </c>
      <c r="B22" s="278">
        <f>SAO!D25</f>
        <v>1275442</v>
      </c>
      <c r="D22" s="277">
        <f>-D18*B22</f>
        <v>-170277.83604787636</v>
      </c>
    </row>
    <row r="23" spans="1:9" x14ac:dyDescent="0.35">
      <c r="A23" s="1" t="s">
        <v>6</v>
      </c>
      <c r="B23" s="278">
        <f>SAO!D27+SAO!D28</f>
        <v>77997</v>
      </c>
      <c r="D23" s="277">
        <f>-D18*B23</f>
        <v>-10412.986539745603</v>
      </c>
    </row>
    <row r="24" spans="1:9" x14ac:dyDescent="0.35">
      <c r="A24" s="1" t="s">
        <v>82</v>
      </c>
      <c r="B24" s="279">
        <f>SAO!D29</f>
        <v>0</v>
      </c>
      <c r="C24" s="280"/>
      <c r="D24" s="281">
        <f>D18*B24</f>
        <v>0</v>
      </c>
    </row>
    <row r="25" spans="1:9" x14ac:dyDescent="0.35">
      <c r="A25" s="1" t="s">
        <v>12</v>
      </c>
      <c r="B25" s="278">
        <f>SUM(B22:B24)</f>
        <v>1353439</v>
      </c>
      <c r="D25" s="277">
        <f>SUM(D22:D24)</f>
        <v>-180690.82258762198</v>
      </c>
      <c r="I25" s="43">
        <f>D29*2</f>
        <v>361381.64517524396</v>
      </c>
    </row>
    <row r="26" spans="1:9" x14ac:dyDescent="0.35">
      <c r="B26" s="278"/>
      <c r="D26" s="277"/>
    </row>
    <row r="28" spans="1:9" x14ac:dyDescent="0.35">
      <c r="A28" s="1" t="s">
        <v>197</v>
      </c>
    </row>
    <row r="29" spans="1:9" x14ac:dyDescent="0.35">
      <c r="A29" s="1" t="s">
        <v>198</v>
      </c>
      <c r="D29" s="198">
        <f>-D25</f>
        <v>180690.82258762198</v>
      </c>
    </row>
    <row r="30" spans="1:9" x14ac:dyDescent="0.35">
      <c r="A30" s="1" t="s">
        <v>199</v>
      </c>
      <c r="D30" s="137">
        <f>ExBA!D10</f>
        <v>65485</v>
      </c>
      <c r="E30" s="1" t="s">
        <v>326</v>
      </c>
    </row>
    <row r="31" spans="1:9" x14ac:dyDescent="0.35">
      <c r="A31" s="1" t="s">
        <v>200</v>
      </c>
      <c r="D31" s="43">
        <f>D29/D30</f>
        <v>2.759270406774406</v>
      </c>
      <c r="E31" s="1" t="s">
        <v>410</v>
      </c>
    </row>
  </sheetData>
  <mergeCells count="2">
    <mergeCell ref="H3:K3"/>
    <mergeCell ref="H2:K2"/>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References</vt:lpstr>
      <vt:lpstr>SAO</vt:lpstr>
      <vt:lpstr>Revenue Requirements</vt:lpstr>
      <vt:lpstr>Wages</vt:lpstr>
      <vt:lpstr>Medical</vt:lpstr>
      <vt:lpstr>Capital</vt:lpstr>
      <vt:lpstr>Depreciation</vt:lpstr>
      <vt:lpstr>Debt Service</vt:lpstr>
      <vt:lpstr>Water Loss</vt:lpstr>
      <vt:lpstr>Bills</vt:lpstr>
      <vt:lpstr>Rates</vt:lpstr>
      <vt:lpstr>ExBA</vt:lpstr>
      <vt:lpstr>PrBA</vt:lpstr>
      <vt:lpstr>Bills!Print_Area</vt:lpstr>
      <vt:lpstr>'Debt Service'!Print_Area</vt:lpstr>
      <vt:lpstr>ExBA!Print_Area</vt:lpstr>
      <vt:lpstr>Rates!Print_Area</vt:lpstr>
      <vt:lpstr>'Revenue Requirements'!Print_Area</vt:lpstr>
      <vt:lpstr>SAO!Print_Area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sreid312@outlook.com</dc:creator>
  <cp:lastModifiedBy>Janet Reid</cp:lastModifiedBy>
  <cp:lastPrinted>2026-05-13T20:52:04Z</cp:lastPrinted>
  <dcterms:created xsi:type="dcterms:W3CDTF">2016-05-18T14:12:06Z</dcterms:created>
  <dcterms:modified xsi:type="dcterms:W3CDTF">2026-07-14T20:33:32Z</dcterms:modified>
</cp:coreProperties>
</file>