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8_{2621D9D9-FD91-422B-9A8F-3A2A8110AB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6-KU RS Bill Impact" sheetId="1" r:id="rId1"/>
  </sheets>
  <definedNames>
    <definedName name="_xlnm.Print_Area" localSheetId="0">'Q6-KU RS Bill Impact'!$A$1:$M$50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K27" i="1" l="1"/>
  <c r="J20" i="1"/>
  <c r="J19" i="1" l="1"/>
  <c r="J27" i="1"/>
  <c r="E6" i="1" l="1"/>
  <c r="E13" i="1"/>
  <c r="J14" i="1" s="1"/>
  <c r="D28" i="1" l="1"/>
  <c r="D27" i="1"/>
  <c r="J34" i="1"/>
  <c r="I21" i="1" l="1"/>
  <c r="I29" i="1"/>
  <c r="I22" i="1"/>
  <c r="I30" i="1"/>
  <c r="J23" i="1"/>
  <c r="K19" i="1"/>
  <c r="J9" i="1" l="1"/>
  <c r="J13" i="1"/>
  <c r="E18" i="1"/>
  <c r="L18" i="1" s="1"/>
  <c r="K20" i="1" s="1"/>
  <c r="E23" i="1" l="1"/>
  <c r="E22" i="1" l="1"/>
  <c r="J6" i="1" s="1"/>
  <c r="J10" i="1" l="1"/>
  <c r="J22" i="1"/>
  <c r="K22" i="1" s="1"/>
  <c r="J21" i="1"/>
  <c r="K21" i="1" s="1"/>
  <c r="J7" i="1"/>
  <c r="J11" i="1" l="1"/>
  <c r="J15" i="1" s="1"/>
  <c r="K23" i="1"/>
  <c r="J30" i="1"/>
  <c r="K30" i="1" s="1"/>
  <c r="J28" i="1"/>
  <c r="K28" i="1" s="1"/>
  <c r="J29" i="1"/>
  <c r="K29" i="1" s="1"/>
  <c r="J16" i="1" l="1"/>
  <c r="J35" i="1"/>
  <c r="J31" i="1"/>
  <c r="K31" i="1"/>
  <c r="K34" i="1"/>
  <c r="J36" i="1"/>
  <c r="K24" i="1" l="1"/>
  <c r="K32" i="1"/>
  <c r="K35" i="1"/>
  <c r="K36" i="1" s="1"/>
  <c r="K37" i="1" l="1"/>
</calcChain>
</file>

<file path=xl/sharedStrings.xml><?xml version="1.0" encoding="utf-8"?>
<sst xmlns="http://schemas.openxmlformats.org/spreadsheetml/2006/main" count="60" uniqueCount="51">
  <si>
    <t>Form 1.10 - Line 14</t>
  </si>
  <si>
    <t>Adjusted Net Juris E(M) as filed</t>
  </si>
  <si>
    <t>Form 1.10 - Line 15</t>
  </si>
  <si>
    <t>Group 1 Rev as % 12-mo Total Rev</t>
  </si>
  <si>
    <t>Group 1 E(m) as filed</t>
  </si>
  <si>
    <t>Form 1.10 - Line 17</t>
  </si>
  <si>
    <t>Group 1 12-month revenue</t>
  </si>
  <si>
    <t>Billing Factor filed</t>
  </si>
  <si>
    <t>Bill Impact, Average Residential Customer</t>
  </si>
  <si>
    <t>kWh</t>
  </si>
  <si>
    <t>Base Rate</t>
  </si>
  <si>
    <t>ECR (as billed)</t>
  </si>
  <si>
    <t>ECR (as adjusted)</t>
  </si>
  <si>
    <t>Change in ECR</t>
  </si>
  <si>
    <t>positive number = under collection = recovery</t>
  </si>
  <si>
    <t>INPUTS:</t>
  </si>
  <si>
    <t>Residential Sales (kWh)</t>
  </si>
  <si>
    <t xml:space="preserve">    times 12 for 12-month number</t>
  </si>
  <si>
    <t>Residential Avg Customers Year Ended</t>
  </si>
  <si>
    <t>Response to DR Q2</t>
  </si>
  <si>
    <t>Adjustment for (Over)/Under Collection</t>
  </si>
  <si>
    <t>Adjusted Net Juris E(M) as adjusted for (Over)/Under Collection</t>
  </si>
  <si>
    <t>Form 1.10 - Line 16</t>
  </si>
  <si>
    <t>Group 1 E(m)</t>
  </si>
  <si>
    <t>Billing Factors</t>
  </si>
  <si>
    <t>Tariff</t>
  </si>
  <si>
    <t>Monthly Filing</t>
  </si>
  <si>
    <t>Residential Bill Impact Calculations</t>
  </si>
  <si>
    <t>Group 1 E(m) as adjusted</t>
  </si>
  <si>
    <t>Billing Factor as adjusted</t>
  </si>
  <si>
    <t>Billing Factor as filed</t>
  </si>
  <si>
    <t>Average Residential Usage</t>
  </si>
  <si>
    <t>Impact to billing factor</t>
  </si>
  <si>
    <t>Number of Months to collect/distribute</t>
  </si>
  <si>
    <t>Monthly Adj for (Over)/Under Collection</t>
  </si>
  <si>
    <t>Position for Review Period Collection</t>
  </si>
  <si>
    <t>negative number = over collection = distribution</t>
  </si>
  <si>
    <t>Group 1 12-month avg revenue</t>
  </si>
  <si>
    <t>Page 17</t>
  </si>
  <si>
    <t>Change in Total Bill</t>
  </si>
  <si>
    <t>ECR</t>
  </si>
  <si>
    <t>Form 1.10 - Line 18</t>
  </si>
  <si>
    <t>Billing Month for calculation</t>
  </si>
  <si>
    <t>Expense Month for calculation</t>
  </si>
  <si>
    <t>Basic Service Charge (Based on 31 Days)</t>
  </si>
  <si>
    <t>Page 28.1</t>
  </si>
  <si>
    <t>KU ECR Review Case No. 2026-00179</t>
  </si>
  <si>
    <t>Financial Reports - Year Ended February 2026</t>
  </si>
  <si>
    <t>ECR Monthly Filing - Jun-26 Expense Month for calculations</t>
  </si>
  <si>
    <t>Basic Service Charge - effective 02-16-26</t>
  </si>
  <si>
    <t>Base Rate - effective 08-14-26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</si>
</sst>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\-yy;@"/>
    <numFmt numFmtId="166" formatCode="[$-409]mmmm\ d\,\ yyyy;@"/>
    <numFmt numFmtId="167" formatCode="0.00000_);\(0.000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u/>
      <sz val="10"/>
      <color theme="1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quotePrefix="1" applyFont="1" applyAlignment="1" applyProtection="1">
      <alignment horizontal="left"/>
      <protection locked="0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3" applyFont="1"/>
    <xf numFmtId="0" fontId="6" fillId="0" borderId="0" xfId="3" applyFont="1"/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5" fillId="0" borderId="0" xfId="3" applyFont="1" applyAlignment="1">
      <alignment horizontal="right"/>
    </xf>
    <xf numFmtId="164" fontId="5" fillId="0" borderId="0" xfId="3" applyNumberFormat="1" applyFont="1"/>
    <xf numFmtId="43" fontId="5" fillId="0" borderId="0" xfId="1" applyFont="1" applyBorder="1"/>
    <xf numFmtId="0" fontId="5" fillId="0" borderId="0" xfId="3" quotePrefix="1" applyFont="1" applyAlignment="1">
      <alignment horizontal="right"/>
    </xf>
    <xf numFmtId="41" fontId="5" fillId="0" borderId="6" xfId="3" applyNumberFormat="1" applyFont="1" applyBorder="1"/>
    <xf numFmtId="0" fontId="7" fillId="0" borderId="0" xfId="0" applyFont="1"/>
    <xf numFmtId="0" fontId="5" fillId="0" borderId="0" xfId="3" quotePrefix="1" applyFont="1" applyAlignment="1">
      <alignment horizontal="left"/>
    </xf>
    <xf numFmtId="0" fontId="5" fillId="0" borderId="0" xfId="3" applyFont="1" applyAlignment="1">
      <alignment horizontal="left"/>
    </xf>
    <xf numFmtId="43" fontId="5" fillId="0" borderId="0" xfId="3" applyNumberFormat="1" applyFont="1"/>
    <xf numFmtId="10" fontId="5" fillId="0" borderId="0" xfId="2" applyNumberFormat="1" applyFont="1" applyBorder="1"/>
    <xf numFmtId="0" fontId="3" fillId="0" borderId="0" xfId="0" quotePrefix="1" applyFont="1" applyAlignment="1">
      <alignment horizontal="left"/>
    </xf>
    <xf numFmtId="10" fontId="5" fillId="0" borderId="0" xfId="3" applyNumberFormat="1" applyFont="1"/>
    <xf numFmtId="41" fontId="5" fillId="0" borderId="0" xfId="0" applyNumberFormat="1" applyFont="1"/>
    <xf numFmtId="0" fontId="8" fillId="0" borderId="9" xfId="3" applyFont="1" applyBorder="1"/>
    <xf numFmtId="0" fontId="8" fillId="0" borderId="10" xfId="3" applyFont="1" applyBorder="1" applyAlignment="1">
      <alignment horizontal="right" indent="1"/>
    </xf>
    <xf numFmtId="3" fontId="8" fillId="0" borderId="11" xfId="3" applyNumberFormat="1" applyFont="1" applyBorder="1"/>
    <xf numFmtId="0" fontId="8" fillId="0" borderId="12" xfId="3" applyFont="1" applyBorder="1"/>
    <xf numFmtId="44" fontId="5" fillId="0" borderId="0" xfId="3" applyNumberFormat="1" applyFont="1"/>
    <xf numFmtId="3" fontId="8" fillId="0" borderId="0" xfId="3" applyNumberFormat="1" applyFont="1"/>
    <xf numFmtId="0" fontId="8" fillId="0" borderId="0" xfId="3" applyFont="1"/>
    <xf numFmtId="0" fontId="5" fillId="0" borderId="0" xfId="3" applyFont="1" applyAlignment="1">
      <alignment horizontal="left" indent="1"/>
    </xf>
    <xf numFmtId="167" fontId="3" fillId="0" borderId="0" xfId="3" applyNumberFormat="1" applyFont="1" applyProtection="1">
      <protection locked="0"/>
    </xf>
    <xf numFmtId="0" fontId="3" fillId="0" borderId="0" xfId="0" applyFont="1" applyAlignment="1">
      <alignment horizontal="left" indent="1"/>
    </xf>
    <xf numFmtId="166" fontId="5" fillId="0" borderId="0" xfId="3" applyNumberFormat="1" applyFont="1" applyAlignment="1">
      <alignment horizontal="left" indent="1"/>
    </xf>
    <xf numFmtId="43" fontId="5" fillId="0" borderId="6" xfId="3" applyNumberFormat="1" applyFont="1" applyBorder="1"/>
    <xf numFmtId="0" fontId="9" fillId="0" borderId="0" xfId="3" quotePrefix="1" applyFont="1" applyAlignment="1">
      <alignment horizontal="left"/>
    </xf>
    <xf numFmtId="0" fontId="9" fillId="0" borderId="0" xfId="3" applyFont="1"/>
    <xf numFmtId="0" fontId="10" fillId="0" borderId="0" xfId="0" applyFont="1"/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right"/>
    </xf>
    <xf numFmtId="166" fontId="5" fillId="0" borderId="0" xfId="3" applyNumberFormat="1" applyFont="1" applyAlignment="1">
      <alignment horizontal="left"/>
    </xf>
    <xf numFmtId="164" fontId="5" fillId="0" borderId="0" xfId="4" applyNumberFormat="1" applyFont="1" applyFill="1" applyBorder="1" applyProtection="1"/>
    <xf numFmtId="44" fontId="5" fillId="0" borderId="0" xfId="4" applyFont="1" applyFill="1" applyBorder="1" applyProtection="1">
      <protection locked="0"/>
    </xf>
    <xf numFmtId="0" fontId="5" fillId="0" borderId="0" xfId="0" applyFont="1"/>
    <xf numFmtId="0" fontId="8" fillId="0" borderId="2" xfId="0" applyFont="1" applyBorder="1"/>
    <xf numFmtId="165" fontId="5" fillId="0" borderId="0" xfId="0" applyNumberFormat="1" applyFont="1" applyProtection="1">
      <protection locked="0"/>
    </xf>
    <xf numFmtId="0" fontId="5" fillId="0" borderId="0" xfId="0" applyFont="1" applyAlignment="1">
      <alignment horizontal="center"/>
    </xf>
    <xf numFmtId="0" fontId="5" fillId="0" borderId="6" xfId="0" applyFont="1" applyBorder="1"/>
    <xf numFmtId="10" fontId="3" fillId="0" borderId="0" xfId="2" applyNumberFormat="1" applyFont="1" applyFill="1" applyBorder="1" applyProtection="1">
      <protection locked="0"/>
    </xf>
    <xf numFmtId="43" fontId="3" fillId="0" borderId="0" xfId="0" applyNumberFormat="1" applyFont="1"/>
    <xf numFmtId="9" fontId="3" fillId="0" borderId="0" xfId="2" applyFont="1"/>
    <xf numFmtId="10" fontId="5" fillId="0" borderId="0" xfId="2" applyNumberFormat="1" applyFont="1" applyFill="1" applyBorder="1" applyProtection="1">
      <protection locked="0"/>
    </xf>
    <xf numFmtId="165" fontId="5" fillId="2" borderId="0" xfId="0" applyNumberFormat="1" applyFont="1" applyFill="1" applyProtection="1">
      <protection locked="0"/>
    </xf>
    <xf numFmtId="164" fontId="5" fillId="2" borderId="0" xfId="3" applyNumberFormat="1" applyFont="1" applyFill="1" applyProtection="1">
      <protection locked="0"/>
    </xf>
    <xf numFmtId="10" fontId="5" fillId="2" borderId="0" xfId="2" applyNumberFormat="1" applyFont="1" applyFill="1" applyBorder="1" applyProtection="1">
      <protection locked="0"/>
    </xf>
    <xf numFmtId="41" fontId="5" fillId="2" borderId="0" xfId="0" applyNumberFormat="1" applyFont="1" applyFill="1" applyProtection="1">
      <protection locked="0"/>
    </xf>
    <xf numFmtId="44" fontId="5" fillId="2" borderId="0" xfId="4" applyFont="1" applyFill="1" applyBorder="1" applyProtection="1">
      <protection locked="0"/>
    </xf>
    <xf numFmtId="167" fontId="5" fillId="2" borderId="0" xfId="3" applyNumberFormat="1" applyFont="1" applyFill="1" applyProtection="1">
      <protection locked="0"/>
    </xf>
    <xf numFmtId="164" fontId="5" fillId="2" borderId="0" xfId="4" applyNumberFormat="1" applyFont="1" applyFill="1" applyBorder="1" applyProtection="1">
      <protection locked="0"/>
    </xf>
  </cellXfs>
  <cellStyles count="5">
    <cellStyle name="Comma" xfId="1" builtinId="3"/>
    <cellStyle name="Currency" xfId="4" builtinId="4"/>
    <cellStyle name="Normal" xfId="0" builtinId="0"/>
    <cellStyle name="Normal 2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150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0"/>
  <sheetViews>
    <sheetView tabSelected="1" zoomScaleNormal="100" zoomScaleSheetLayoutView="100" workbookViewId="0"/>
  </sheetViews>
  <sheetFormatPr defaultColWidth="9.140625" defaultRowHeight="12.75" x14ac:dyDescent="0.2"/>
  <cols>
    <col min="1" max="1" width="2" style="1" customWidth="1"/>
    <col min="2" max="2" width="2.140625" style="1" customWidth="1"/>
    <col min="3" max="3" width="16.7109375" style="1" customWidth="1"/>
    <col min="4" max="4" width="34.42578125" style="1" bestFit="1" customWidth="1"/>
    <col min="5" max="5" width="12.5703125" style="49" bestFit="1" customWidth="1"/>
    <col min="6" max="6" width="2.28515625" style="1" customWidth="1"/>
    <col min="7" max="8" width="3" style="1" customWidth="1"/>
    <col min="9" max="9" width="44.7109375" style="1" bestFit="1" customWidth="1"/>
    <col min="10" max="10" width="13" style="1" customWidth="1"/>
    <col min="11" max="11" width="9.85546875" style="1" customWidth="1"/>
    <col min="12" max="13" width="12.28515625" style="1" customWidth="1"/>
    <col min="14" max="16384" width="9.140625" style="1"/>
  </cols>
  <sheetData>
    <row r="1" spans="2:14" x14ac:dyDescent="0.2">
      <c r="C1" s="2" t="s">
        <v>46</v>
      </c>
    </row>
    <row r="3" spans="2:14" x14ac:dyDescent="0.2">
      <c r="B3" s="3"/>
      <c r="C3" s="4"/>
      <c r="D3" s="4"/>
      <c r="E3" s="50" t="s">
        <v>15</v>
      </c>
      <c r="F3" s="5"/>
      <c r="H3" s="6"/>
      <c r="I3" s="7" t="s">
        <v>27</v>
      </c>
      <c r="J3" s="6"/>
      <c r="K3" s="6"/>
      <c r="L3" s="6"/>
      <c r="M3" s="6"/>
    </row>
    <row r="4" spans="2:14" x14ac:dyDescent="0.2">
      <c r="B4" s="8"/>
      <c r="C4" s="9"/>
      <c r="F4" s="10"/>
      <c r="H4" s="6"/>
      <c r="I4" s="7"/>
      <c r="J4" s="6"/>
      <c r="K4" s="6"/>
      <c r="L4" s="6"/>
      <c r="M4" s="6"/>
    </row>
    <row r="5" spans="2:14" x14ac:dyDescent="0.2">
      <c r="B5" s="8"/>
      <c r="D5" s="11" t="s">
        <v>43</v>
      </c>
      <c r="E5" s="58">
        <v>46203</v>
      </c>
      <c r="F5" s="10"/>
      <c r="H5" s="6"/>
      <c r="I5" s="12" t="s">
        <v>1</v>
      </c>
      <c r="J5" s="13">
        <f>+$E$9</f>
        <v>-174163</v>
      </c>
      <c r="K5" s="6"/>
      <c r="L5" s="6"/>
      <c r="M5" s="14"/>
    </row>
    <row r="6" spans="2:14" x14ac:dyDescent="0.2">
      <c r="B6" s="8"/>
      <c r="D6" s="11" t="s">
        <v>42</v>
      </c>
      <c r="E6" s="51">
        <f>EOMONTH(E5,2)</f>
        <v>46265</v>
      </c>
      <c r="F6" s="10"/>
      <c r="H6" s="6"/>
      <c r="I6" s="15" t="s">
        <v>20</v>
      </c>
      <c r="J6" s="16">
        <f>+$E$22</f>
        <v>163157.90613327501</v>
      </c>
      <c r="K6" s="6"/>
      <c r="L6" s="6"/>
      <c r="M6" s="6"/>
    </row>
    <row r="7" spans="2:14" x14ac:dyDescent="0.2">
      <c r="B7" s="8"/>
      <c r="F7" s="10"/>
      <c r="H7" s="6"/>
      <c r="I7" s="12" t="s">
        <v>21</v>
      </c>
      <c r="J7" s="13">
        <f>SUM(J5:J6)</f>
        <v>-11005.093866724987</v>
      </c>
      <c r="K7" s="6"/>
      <c r="L7" s="6"/>
      <c r="M7" s="6"/>
      <c r="N7" s="12"/>
    </row>
    <row r="8" spans="2:14" x14ac:dyDescent="0.2">
      <c r="B8" s="8"/>
      <c r="C8" s="17" t="s">
        <v>48</v>
      </c>
      <c r="D8" s="11"/>
      <c r="F8" s="10"/>
      <c r="H8" s="6"/>
      <c r="I8" s="12"/>
      <c r="J8" s="20"/>
      <c r="K8" s="6"/>
      <c r="L8" s="6"/>
      <c r="M8" s="6"/>
    </row>
    <row r="9" spans="2:14" x14ac:dyDescent="0.2">
      <c r="B9" s="8"/>
      <c r="C9" s="18" t="s">
        <v>0</v>
      </c>
      <c r="D9" s="19" t="s">
        <v>1</v>
      </c>
      <c r="E9" s="59">
        <v>-174163</v>
      </c>
      <c r="F9" s="10"/>
      <c r="H9" s="6"/>
      <c r="I9" s="12" t="s">
        <v>3</v>
      </c>
      <c r="J9" s="21">
        <f>+$E$10</f>
        <v>0.4264</v>
      </c>
      <c r="K9" s="6"/>
      <c r="L9" s="6"/>
      <c r="M9" s="6"/>
    </row>
    <row r="10" spans="2:14" x14ac:dyDescent="0.2">
      <c r="B10" s="8"/>
      <c r="C10" s="18" t="s">
        <v>2</v>
      </c>
      <c r="D10" s="19" t="s">
        <v>3</v>
      </c>
      <c r="E10" s="60">
        <v>0.4264</v>
      </c>
      <c r="F10" s="10"/>
      <c r="H10" s="6"/>
      <c r="I10" s="12" t="s">
        <v>4</v>
      </c>
      <c r="J10" s="13">
        <f>+$E$11</f>
        <v>-74263</v>
      </c>
      <c r="K10" s="6"/>
      <c r="L10" s="6"/>
      <c r="M10" s="6"/>
    </row>
    <row r="11" spans="2:14" x14ac:dyDescent="0.2">
      <c r="B11" s="8"/>
      <c r="C11" s="18" t="s">
        <v>22</v>
      </c>
      <c r="D11" s="19" t="s">
        <v>23</v>
      </c>
      <c r="E11" s="59">
        <v>-74263</v>
      </c>
      <c r="F11" s="10"/>
      <c r="H11" s="6"/>
      <c r="I11" s="12" t="s">
        <v>28</v>
      </c>
      <c r="J11" s="13">
        <f>+J7*J9</f>
        <v>-4692.5720247715344</v>
      </c>
      <c r="K11" s="6"/>
      <c r="L11" s="6"/>
      <c r="M11" s="6"/>
    </row>
    <row r="12" spans="2:14" x14ac:dyDescent="0.2">
      <c r="B12" s="8"/>
      <c r="C12" s="18" t="s">
        <v>5</v>
      </c>
      <c r="D12" s="18" t="s">
        <v>37</v>
      </c>
      <c r="E12" s="59">
        <v>69537683</v>
      </c>
      <c r="F12" s="10"/>
      <c r="H12" s="6"/>
      <c r="I12" s="12"/>
      <c r="J12" s="20"/>
      <c r="K12" s="6"/>
      <c r="L12" s="6"/>
      <c r="M12" s="6"/>
    </row>
    <row r="13" spans="2:14" x14ac:dyDescent="0.2">
      <c r="B13" s="8"/>
      <c r="C13" s="18" t="s">
        <v>41</v>
      </c>
      <c r="D13" s="19" t="s">
        <v>7</v>
      </c>
      <c r="E13" s="57">
        <f>E11/E12</f>
        <v>-1.0679533282695081E-3</v>
      </c>
      <c r="F13" s="10"/>
      <c r="H13" s="6"/>
      <c r="I13" s="12" t="s">
        <v>6</v>
      </c>
      <c r="J13" s="13">
        <f>+E12</f>
        <v>69537683</v>
      </c>
      <c r="K13" s="6"/>
      <c r="L13" s="6"/>
      <c r="M13" s="6"/>
    </row>
    <row r="14" spans="2:14" x14ac:dyDescent="0.2">
      <c r="B14" s="8"/>
      <c r="F14" s="10"/>
      <c r="H14" s="6"/>
      <c r="I14" s="12" t="s">
        <v>30</v>
      </c>
      <c r="J14" s="21">
        <f>+E13</f>
        <v>-1.0679533282695081E-3</v>
      </c>
      <c r="K14" s="6"/>
      <c r="L14" s="6"/>
      <c r="M14" s="6"/>
    </row>
    <row r="15" spans="2:14" x14ac:dyDescent="0.2">
      <c r="B15" s="8"/>
      <c r="C15" s="17" t="s">
        <v>47</v>
      </c>
      <c r="E15" s="51">
        <v>46079</v>
      </c>
      <c r="F15" s="10"/>
      <c r="H15" s="6"/>
      <c r="I15" s="12" t="s">
        <v>29</v>
      </c>
      <c r="J15" s="21">
        <f>ROUND(+J11/$J$13,4)</f>
        <v>-1E-4</v>
      </c>
      <c r="K15" s="6"/>
      <c r="L15" s="6"/>
      <c r="M15" s="6"/>
    </row>
    <row r="16" spans="2:14" ht="13.5" thickBot="1" x14ac:dyDescent="0.25">
      <c r="B16" s="8"/>
      <c r="C16" s="22" t="s">
        <v>45</v>
      </c>
      <c r="D16" s="1" t="s">
        <v>16</v>
      </c>
      <c r="E16" s="61">
        <v>6322823102</v>
      </c>
      <c r="F16" s="10"/>
      <c r="H16" s="6"/>
      <c r="I16" s="12" t="s">
        <v>32</v>
      </c>
      <c r="J16" s="23">
        <f>+J15-J14</f>
        <v>9.6795332826950806E-4</v>
      </c>
      <c r="K16" s="6"/>
      <c r="L16" s="6"/>
      <c r="M16" s="6"/>
    </row>
    <row r="17" spans="2:14" x14ac:dyDescent="0.2">
      <c r="B17" s="8"/>
      <c r="C17" s="22" t="s">
        <v>38</v>
      </c>
      <c r="D17" s="1" t="s">
        <v>18</v>
      </c>
      <c r="E17" s="61">
        <v>477308</v>
      </c>
      <c r="F17" s="10"/>
      <c r="H17" s="6"/>
      <c r="I17" s="12"/>
      <c r="J17" s="6"/>
      <c r="K17" s="6"/>
      <c r="L17" s="25" t="s">
        <v>31</v>
      </c>
      <c r="M17" s="26"/>
    </row>
    <row r="18" spans="2:14" ht="13.5" thickBot="1" x14ac:dyDescent="0.25">
      <c r="B18" s="8"/>
      <c r="D18" s="1" t="s">
        <v>17</v>
      </c>
      <c r="E18" s="24">
        <f>+E17*12</f>
        <v>5727696</v>
      </c>
      <c r="F18" s="10"/>
      <c r="H18" s="6"/>
      <c r="I18" s="6" t="s">
        <v>8</v>
      </c>
      <c r="J18" s="6"/>
      <c r="K18" s="6"/>
      <c r="L18" s="27">
        <f>ROUND(E16/E18,0)</f>
        <v>1104</v>
      </c>
      <c r="M18" s="28" t="s">
        <v>9</v>
      </c>
    </row>
    <row r="19" spans="2:14" x14ac:dyDescent="0.2">
      <c r="B19" s="8"/>
      <c r="E19" s="24"/>
      <c r="F19" s="10"/>
      <c r="H19" s="6"/>
      <c r="I19" s="32" t="s">
        <v>44</v>
      </c>
      <c r="J19" s="48">
        <f>+$E$25*31</f>
        <v>17.669999999999998</v>
      </c>
      <c r="K19" s="29">
        <f>+$J$19</f>
        <v>17.669999999999998</v>
      </c>
      <c r="L19" s="30"/>
      <c r="M19" s="31"/>
    </row>
    <row r="20" spans="2:14" x14ac:dyDescent="0.2">
      <c r="B20" s="8"/>
      <c r="C20" s="1" t="s">
        <v>19</v>
      </c>
      <c r="D20" s="1" t="s">
        <v>20</v>
      </c>
      <c r="E20" s="64">
        <v>163157.90613327501</v>
      </c>
      <c r="F20" s="10"/>
      <c r="H20" s="6"/>
      <c r="I20" s="32" t="s">
        <v>10</v>
      </c>
      <c r="J20" s="33">
        <f>+E26</f>
        <v>0.11234</v>
      </c>
      <c r="K20" s="20">
        <f>ROUND(J20*$L$18,2)</f>
        <v>124.02</v>
      </c>
      <c r="L20" s="6"/>
      <c r="M20" s="6"/>
    </row>
    <row r="21" spans="2:14" x14ac:dyDescent="0.2">
      <c r="B21" s="8"/>
      <c r="D21" s="1" t="s">
        <v>33</v>
      </c>
      <c r="E21" s="61">
        <v>1</v>
      </c>
      <c r="F21" s="10"/>
      <c r="H21" s="6"/>
      <c r="I21" s="35" t="str">
        <f>D27</f>
        <v>FAC for Aug-26 Billing</v>
      </c>
      <c r="J21" s="33">
        <f>+E27</f>
        <v>-1.8799999999999999E-3</v>
      </c>
      <c r="K21" s="20">
        <f>ROUND(J21*$L$18,2)</f>
        <v>-2.08</v>
      </c>
      <c r="L21" s="6"/>
      <c r="M21" s="6"/>
    </row>
    <row r="22" spans="2:14" x14ac:dyDescent="0.2">
      <c r="B22" s="8"/>
      <c r="D22" s="34" t="s">
        <v>34</v>
      </c>
      <c r="E22" s="47">
        <f>+E20/E21</f>
        <v>163157.90613327501</v>
      </c>
      <c r="F22" s="10"/>
      <c r="H22" s="6"/>
      <c r="I22" s="35" t="str">
        <f>D28</f>
        <v>DSM for Aug-26 Billing</v>
      </c>
      <c r="J22" s="33">
        <f>+E28</f>
        <v>1.5399999999999999E-3</v>
      </c>
      <c r="K22" s="20">
        <f>ROUND(J22*$L$18,2)</f>
        <v>1.7</v>
      </c>
      <c r="L22" s="6"/>
      <c r="M22" s="6"/>
    </row>
    <row r="23" spans="2:14" x14ac:dyDescent="0.2">
      <c r="B23" s="8"/>
      <c r="D23" s="1" t="s">
        <v>35</v>
      </c>
      <c r="E23" s="52" t="str">
        <f>IF(E20&gt;0,"UNDER","OVER")</f>
        <v>UNDER</v>
      </c>
      <c r="F23" s="10"/>
      <c r="H23" s="6"/>
      <c r="I23" s="32" t="s">
        <v>40</v>
      </c>
      <c r="J23" s="54">
        <f>J14</f>
        <v>-1.0679533282695081E-3</v>
      </c>
      <c r="K23" s="36">
        <f>ROUND(SUM(K19:K22)*J23,2)</f>
        <v>-0.15</v>
      </c>
      <c r="L23" s="6"/>
      <c r="M23" s="6"/>
    </row>
    <row r="24" spans="2:14" x14ac:dyDescent="0.2">
      <c r="B24" s="8"/>
      <c r="C24" s="17" t="s">
        <v>24</v>
      </c>
      <c r="E24" s="51"/>
      <c r="F24" s="10"/>
      <c r="H24" s="6"/>
      <c r="I24" s="6"/>
      <c r="J24" s="6"/>
      <c r="K24" s="29">
        <f>SUM(K19:K23)</f>
        <v>141.15999999999997</v>
      </c>
      <c r="L24" s="6"/>
      <c r="M24" s="6"/>
    </row>
    <row r="25" spans="2:14" x14ac:dyDescent="0.2">
      <c r="B25" s="8"/>
      <c r="C25" s="1" t="s">
        <v>25</v>
      </c>
      <c r="D25" s="6" t="s">
        <v>49</v>
      </c>
      <c r="E25" s="62">
        <v>0.56999999999999995</v>
      </c>
      <c r="F25" s="10"/>
      <c r="H25" s="6"/>
      <c r="I25" s="6"/>
      <c r="J25" s="6"/>
      <c r="K25" s="29"/>
      <c r="L25" s="6"/>
      <c r="M25" s="6"/>
    </row>
    <row r="26" spans="2:14" x14ac:dyDescent="0.2">
      <c r="B26" s="8"/>
      <c r="C26" s="1" t="s">
        <v>25</v>
      </c>
      <c r="D26" s="18" t="s">
        <v>50</v>
      </c>
      <c r="E26" s="63">
        <v>0.11234</v>
      </c>
      <c r="F26" s="10"/>
      <c r="H26" s="6"/>
      <c r="I26" s="6" t="s">
        <v>8</v>
      </c>
      <c r="J26" s="6"/>
      <c r="K26" s="6"/>
      <c r="L26" s="6"/>
      <c r="M26" s="6"/>
    </row>
    <row r="27" spans="2:14" x14ac:dyDescent="0.2">
      <c r="B27" s="8"/>
      <c r="C27" s="1" t="s">
        <v>26</v>
      </c>
      <c r="D27" s="46" t="str">
        <f>"FAC for "&amp;TEXT($E$6,"MMM-YY") &amp;" Billing"</f>
        <v>FAC for Aug-26 Billing</v>
      </c>
      <c r="E27" s="63">
        <v>-1.8799999999999999E-3</v>
      </c>
      <c r="F27" s="10"/>
      <c r="H27" s="6"/>
      <c r="I27" s="32" t="s">
        <v>44</v>
      </c>
      <c r="J27" s="48">
        <f>+$E$25*31</f>
        <v>17.669999999999998</v>
      </c>
      <c r="K27" s="29">
        <f>+$J$27</f>
        <v>17.669999999999998</v>
      </c>
      <c r="L27" s="37"/>
      <c r="M27" s="38"/>
      <c r="N27" s="39"/>
    </row>
    <row r="28" spans="2:14" x14ac:dyDescent="0.2">
      <c r="B28" s="8"/>
      <c r="C28" s="1" t="s">
        <v>25</v>
      </c>
      <c r="D28" s="46" t="str">
        <f>"DSM for "&amp;TEXT($E$6,"MMM-YY") &amp;" Billing"</f>
        <v>DSM for Aug-26 Billing</v>
      </c>
      <c r="E28" s="63">
        <v>1.5399999999999999E-3</v>
      </c>
      <c r="F28" s="10"/>
      <c r="H28" s="6"/>
      <c r="I28" s="32" t="s">
        <v>10</v>
      </c>
      <c r="J28" s="33">
        <f>J20</f>
        <v>0.11234</v>
      </c>
      <c r="K28" s="20">
        <f>ROUND(J28*$L$18,2)</f>
        <v>124.02</v>
      </c>
      <c r="L28" s="38"/>
      <c r="M28" s="38"/>
      <c r="N28" s="39"/>
    </row>
    <row r="29" spans="2:14" x14ac:dyDescent="0.2">
      <c r="B29" s="8"/>
      <c r="F29" s="10"/>
      <c r="H29" s="6"/>
      <c r="I29" s="35" t="str">
        <f>D27</f>
        <v>FAC for Aug-26 Billing</v>
      </c>
      <c r="J29" s="33">
        <f>J21</f>
        <v>-1.8799999999999999E-3</v>
      </c>
      <c r="K29" s="20">
        <f t="shared" ref="K29:K30" si="0">ROUND(J29*$L$18,2)</f>
        <v>-2.08</v>
      </c>
      <c r="L29" s="6"/>
      <c r="M29" s="6"/>
    </row>
    <row r="30" spans="2:14" x14ac:dyDescent="0.2">
      <c r="B30" s="40"/>
      <c r="C30" s="41"/>
      <c r="D30" s="41"/>
      <c r="E30" s="53"/>
      <c r="F30" s="42"/>
      <c r="I30" s="35" t="str">
        <f>D28</f>
        <v>DSM for Aug-26 Billing</v>
      </c>
      <c r="J30" s="33">
        <f>J22</f>
        <v>1.5399999999999999E-3</v>
      </c>
      <c r="K30" s="20">
        <f t="shared" si="0"/>
        <v>1.7</v>
      </c>
      <c r="L30" s="6"/>
      <c r="M30" s="6"/>
    </row>
    <row r="31" spans="2:14" x14ac:dyDescent="0.2">
      <c r="C31" s="11"/>
      <c r="I31" s="32" t="s">
        <v>40</v>
      </c>
      <c r="J31" s="54">
        <f>J15</f>
        <v>-1E-4</v>
      </c>
      <c r="K31" s="36">
        <f>ROUND(SUM(K27:K30)*J31,2)</f>
        <v>-0.01</v>
      </c>
      <c r="M31" s="55"/>
    </row>
    <row r="32" spans="2:14" ht="15" x14ac:dyDescent="0.25">
      <c r="C32" s="43"/>
      <c r="D32" s="44"/>
      <c r="I32" s="6"/>
      <c r="J32" s="6"/>
      <c r="K32" s="29">
        <f>SUM(K27:K31)</f>
        <v>141.29999999999998</v>
      </c>
      <c r="M32" s="56"/>
    </row>
    <row r="33" spans="9:13" x14ac:dyDescent="0.2">
      <c r="I33" s="6"/>
      <c r="J33" s="6"/>
      <c r="K33" s="29"/>
    </row>
    <row r="34" spans="9:13" x14ac:dyDescent="0.2">
      <c r="I34" s="6" t="s">
        <v>11</v>
      </c>
      <c r="J34" s="23">
        <f>J14</f>
        <v>-1.0679533282695081E-3</v>
      </c>
      <c r="K34" s="29">
        <f>K23</f>
        <v>-0.15</v>
      </c>
    </row>
    <row r="35" spans="9:13" x14ac:dyDescent="0.2">
      <c r="I35" s="6" t="s">
        <v>12</v>
      </c>
      <c r="J35" s="23">
        <f>+J15</f>
        <v>-1E-4</v>
      </c>
      <c r="K35" s="29">
        <f>K31</f>
        <v>-0.01</v>
      </c>
    </row>
    <row r="36" spans="9:13" x14ac:dyDescent="0.2">
      <c r="I36" s="6" t="s">
        <v>13</v>
      </c>
      <c r="J36" s="23">
        <f>+J35-J34</f>
        <v>9.6795332826950806E-4</v>
      </c>
      <c r="K36" s="29">
        <f>K35-K34</f>
        <v>0.13999999999999999</v>
      </c>
    </row>
    <row r="37" spans="9:13" x14ac:dyDescent="0.2">
      <c r="I37" s="6" t="s">
        <v>39</v>
      </c>
      <c r="J37" s="23"/>
      <c r="K37" s="29">
        <f>K32-K24</f>
        <v>0.14000000000001478</v>
      </c>
    </row>
    <row r="38" spans="9:13" x14ac:dyDescent="0.2">
      <c r="I38" s="6"/>
      <c r="J38" s="37" t="s">
        <v>36</v>
      </c>
      <c r="K38" s="6"/>
    </row>
    <row r="39" spans="9:13" x14ac:dyDescent="0.2">
      <c r="I39" s="6"/>
      <c r="J39" s="38" t="s">
        <v>14</v>
      </c>
      <c r="K39" s="6"/>
    </row>
    <row r="40" spans="9:13" x14ac:dyDescent="0.2">
      <c r="I40" s="6"/>
      <c r="J40" s="6"/>
      <c r="K40" s="6"/>
    </row>
    <row r="42" spans="9:13" x14ac:dyDescent="0.2">
      <c r="I42" s="12"/>
    </row>
    <row r="48" spans="9:13" x14ac:dyDescent="0.2">
      <c r="M48" s="45"/>
    </row>
    <row r="49" spans="13:13" x14ac:dyDescent="0.2">
      <c r="M49" s="45"/>
    </row>
    <row r="50" spans="13:13" x14ac:dyDescent="0.2">
      <c r="M50" s="45"/>
    </row>
  </sheetData>
  <pageMargins left="0.7" right="0.7" top="0.75" bottom="0.75" header="0.3" footer="0.3"/>
  <pageSetup scale="73" orientation="landscape" r:id="rId1"/>
  <headerFooter scaleWithDoc="0">
    <oddFooter>&amp;L_x000D_&amp;1#&amp;"Aptos"&amp;14&amp;K000000 Business Use&amp;R&amp;"Times New Roman,Bold"&amp;12Attachment to Response to Question No. 7
Page 1 of 1
Fackler</oddFooter>
  </headerFooter>
  <ignoredErrors>
    <ignoredError sqref="E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>Fackler, Andrea</Witness_x0020_Testimony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 xsi:nil="true"/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KU</Value>
    </Compa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84D2CC-602E-4CB6-9B06-83A59D658ACB}">
  <ds:schemaRefs>
    <ds:schemaRef ds:uri="65bfb563-8fe2-4d34-a09f-38a217d8feea"/>
    <ds:schemaRef ds:uri="http://schemas.microsoft.com/sharepoint/v3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EE7F903-526C-4F34-AB75-3FB16935C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7EF79-9463-4FAE-8D53-E6DB9131D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Q6-KU RS Bill Impact</vt:lpstr>
      <vt:lpstr>'Q6-KU RS Bill Impact'!Print_Area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2020-07-08T22:33:56Z</dcterms:created>
  <dcterms:modified xsi:type="dcterms:W3CDTF">2026-08-24T19:03:25Z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0x010100FF510F20E04BCF41BE361D2F61EE6FFA</vt:lpwstr>
  </property>
  <property fmtid="{D5CDD505-2E9C-101B-9397-08002B2CF9AE}" pid="3" name="MSIP_Label_d662fcd2-3ff9-4261-9b26-9dd5808d0bb4_Enabled">
    <vt:lpwstr>true</vt:lpwstr>
  </property>
  <property fmtid="{D5CDD505-2E9C-101B-9397-08002B2CF9AE}" pid="4" name="MSIP_Label_d662fcd2-3ff9-4261-9b26-9dd5808d0bb4_SetDate">
    <vt:lpwstr>2024-02-14T19:56:33Z</vt:lpwstr>
  </property>
  <property fmtid="{D5CDD505-2E9C-101B-9397-08002B2CF9AE}" pid="5" name="MSIP_Label_d662fcd2-3ff9-4261-9b26-9dd5808d0bb4_Method">
    <vt:lpwstr>Privileged</vt:lpwstr>
  </property>
  <property fmtid="{D5CDD505-2E9C-101B-9397-08002B2CF9AE}" pid="6" name="MSIP_Label_d662fcd2-3ff9-4261-9b26-9dd5808d0bb4_Name">
    <vt:lpwstr>d662fcd2-3ff9-4261-9b26-9dd5808d0bb4</vt:lpwstr>
  </property>
  <property fmtid="{D5CDD505-2E9C-101B-9397-08002B2CF9AE}" pid="7" name="MSIP_Label_d662fcd2-3ff9-4261-9b26-9dd5808d0bb4_SiteId">
    <vt:lpwstr>5ee3b0ba-a559-45ee-a69e-6d3e963a3e72</vt:lpwstr>
  </property>
  <property fmtid="{D5CDD505-2E9C-101B-9397-08002B2CF9AE}" pid="8" name="MSIP_Label_d662fcd2-3ff9-4261-9b26-9dd5808d0bb4_ActionId">
    <vt:lpwstr>8a17f0f1-68bf-4b8e-97eb-ea59e66bd4df</vt:lpwstr>
  </property>
  <property fmtid="{D5CDD505-2E9C-101B-9397-08002B2CF9AE}" pid="9" name="MSIP_Label_d662fcd2-3ff9-4261-9b26-9dd5808d0bb4_ContentBits">
    <vt:lpwstr>0</vt:lpwstr>
  </property>
  <property fmtid="{D5CDD505-2E9C-101B-9397-08002B2CF9AE}" pid="10" name="MSIP_Label_e0c8e74a-db15-49f1-980d-3d74f2e3ff07_Enabled">
    <vt:lpwstr>true</vt:lpwstr>
  </property>
  <property fmtid="{D5CDD505-2E9C-101B-9397-08002B2CF9AE}" pid="11" name="MSIP_Label_e0c8e74a-db15-49f1-980d-3d74f2e3ff07_SetDate">
    <vt:lpwstr>2026-02-10T18:58:58Z</vt:lpwstr>
  </property>
  <property fmtid="{D5CDD505-2E9C-101B-9397-08002B2CF9AE}" pid="12" name="MSIP_Label_e0c8e74a-db15-49f1-980d-3d74f2e3ff07_Method">
    <vt:lpwstr>Privileged</vt:lpwstr>
  </property>
  <property fmtid="{D5CDD505-2E9C-101B-9397-08002B2CF9AE}" pid="13" name="MSIP_Label_e0c8e74a-db15-49f1-980d-3d74f2e3ff07_Name">
    <vt:lpwstr>376d9127-3fad-41bb7-827b-657efc89d923</vt:lpwstr>
  </property>
  <property fmtid="{D5CDD505-2E9C-101B-9397-08002B2CF9AE}" pid="14" name="MSIP_Label_e0c8e74a-db15-49f1-980d-3d74f2e3ff07_SiteId">
    <vt:lpwstr>25b79aa0-07c6-4d65-9c80-df92aacdc157</vt:lpwstr>
  </property>
  <property fmtid="{D5CDD505-2E9C-101B-9397-08002B2CF9AE}" pid="15" name="MSIP_Label_e0c8e74a-db15-49f1-980d-3d74f2e3ff07_ActionId">
    <vt:lpwstr>0aa7c954-4095-4744-81df-c6232f8f3938</vt:lpwstr>
  </property>
  <property fmtid="{D5CDD505-2E9C-101B-9397-08002B2CF9AE}" pid="16" name="MSIP_Label_e0c8e74a-db15-49f1-980d-3d74f2e3ff07_ContentBits">
    <vt:lpwstr>2</vt:lpwstr>
  </property>
  <property fmtid="{D5CDD505-2E9C-101B-9397-08002B2CF9AE}" pid="17" name="MSIP_Label_e0c8e74a-db15-49f1-980d-3d74f2e3ff07_Tag">
    <vt:lpwstr>10, 0, 1, 1</vt:lpwstr>
  </property>
</Properties>
</file>