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N2026\CN-00179_00178 - K L ECR 6-month Reviews (Sep25 to Feb26)\3-Data Requests and Testimony\KU\PSC-1\Files from Sharepoint\"/>
    </mc:Choice>
  </mc:AlternateContent>
  <xr:revisionPtr revIDLastSave="0" documentId="8_{C30E9A81-E735-4B35-A570-F408540318A1}" xr6:coauthVersionLast="47" xr6:coauthVersionMax="47" xr10:uidLastSave="{00000000-0000-0000-0000-000000000000}"/>
  <bookViews>
    <workbookView xWindow="-120" yWindow="-120" windowWidth="29040" windowHeight="17520" tabRatio="770" xr2:uid="{00000000-000D-0000-FFFF-FFFF00000000}"/>
  </bookViews>
  <sheets>
    <sheet name="Project 32" sheetId="36" r:id="rId1"/>
    <sheet name="Project 33" sheetId="33" r:id="rId2"/>
    <sheet name="Project 40" sheetId="42" r:id="rId3"/>
    <sheet name="Project 41" sheetId="39" r:id="rId4"/>
    <sheet name="Project 42" sheetId="43" r:id="rId5"/>
    <sheet name="Project 43" sheetId="44" r:id="rId6"/>
    <sheet name="Project 44" sheetId="45" r:id="rId7"/>
  </sheets>
  <definedNames>
    <definedName name="_xlnm.Print_Area" localSheetId="0">'Project 32'!$A$1:$N$49</definedName>
    <definedName name="_xlnm.Print_Area" localSheetId="1">'Project 33'!$A$1:$N$35</definedName>
    <definedName name="_xlnm.Print_Area" localSheetId="2">'Project 40'!$A$1:$O$22</definedName>
    <definedName name="_xlnm.Print_Area" localSheetId="3">'Project 41'!$A$1:$N$39</definedName>
    <definedName name="_xlnm.Print_Area" localSheetId="4">'Project 42'!$A$1:$N$15</definedName>
    <definedName name="_xlnm.Print_Area" localSheetId="5">'Project 43'!$A$1:$N$15</definedName>
    <definedName name="_xlnm.Print_Area" localSheetId="6">'Project 44'!$A$1:$O$18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39" l="1"/>
  <c r="E14" i="39"/>
  <c r="D15" i="42"/>
  <c r="E14" i="33"/>
  <c r="K15" i="33"/>
  <c r="E14" i="36"/>
  <c r="K15" i="36"/>
  <c r="D15" i="45" l="1"/>
  <c r="C15" i="45"/>
  <c r="D14" i="45"/>
  <c r="C14" i="45"/>
  <c r="D14" i="42"/>
  <c r="E13" i="44" l="1"/>
  <c r="F13" i="44"/>
  <c r="E13" i="42"/>
  <c r="D13" i="42"/>
  <c r="F15" i="45"/>
  <c r="E15" i="45"/>
  <c r="F14" i="45"/>
  <c r="E14" i="45"/>
  <c r="F15" i="44"/>
  <c r="E15" i="44"/>
  <c r="F14" i="44"/>
  <c r="E14" i="44"/>
  <c r="F15" i="43"/>
  <c r="E15" i="43"/>
  <c r="F14" i="43"/>
  <c r="E14" i="43"/>
  <c r="F15" i="39"/>
  <c r="F14" i="39"/>
  <c r="F15" i="42"/>
  <c r="E15" i="42"/>
  <c r="F14" i="42"/>
  <c r="E14" i="42"/>
  <c r="F15" i="33"/>
  <c r="E15" i="33"/>
  <c r="F14" i="33"/>
  <c r="F15" i="36"/>
  <c r="E15" i="36"/>
  <c r="F14" i="36"/>
  <c r="E11" i="44" l="1"/>
  <c r="D12" i="44"/>
  <c r="C12" i="44"/>
  <c r="D11" i="44"/>
  <c r="C11" i="44"/>
  <c r="E11" i="43"/>
  <c r="E11" i="39"/>
  <c r="D12" i="42"/>
  <c r="D11" i="42"/>
  <c r="F13" i="36"/>
  <c r="E13" i="36"/>
  <c r="F13" i="33"/>
  <c r="E13" i="33"/>
  <c r="F13" i="42"/>
  <c r="F13" i="39"/>
  <c r="E13" i="39"/>
  <c r="F13" i="43"/>
  <c r="E13" i="43"/>
  <c r="F12" i="44"/>
  <c r="E12" i="44"/>
  <c r="F11" i="44"/>
  <c r="F12" i="43"/>
  <c r="E12" i="43"/>
  <c r="F11" i="43"/>
  <c r="F12" i="39"/>
  <c r="E12" i="39"/>
  <c r="F11" i="39"/>
  <c r="F12" i="42"/>
  <c r="E12" i="42"/>
  <c r="F11" i="42"/>
  <c r="E11" i="42"/>
  <c r="F12" i="33"/>
  <c r="E12" i="33"/>
  <c r="F11" i="33"/>
  <c r="E11" i="33"/>
  <c r="F12" i="36"/>
  <c r="E12" i="36"/>
  <c r="F11" i="36"/>
  <c r="E11" i="36"/>
  <c r="F10" i="44" l="1"/>
  <c r="H10" i="44" s="1"/>
  <c r="L10" i="44" s="1"/>
  <c r="E10" i="44"/>
  <c r="G10" i="44" s="1"/>
  <c r="D10" i="44"/>
  <c r="C10" i="44"/>
  <c r="H10" i="43"/>
  <c r="L10" i="43" s="1"/>
  <c r="K10" i="43" s="1"/>
  <c r="M10" i="43" s="1"/>
  <c r="G10" i="43"/>
  <c r="F10" i="43"/>
  <c r="E10" i="43"/>
  <c r="F37" i="39"/>
  <c r="H37" i="39" s="1"/>
  <c r="E38" i="39"/>
  <c r="F36" i="39"/>
  <c r="H36" i="39" s="1"/>
  <c r="F35" i="39"/>
  <c r="H35" i="39" s="1"/>
  <c r="F34" i="39"/>
  <c r="E29" i="39"/>
  <c r="F27" i="39"/>
  <c r="H27" i="39" s="1"/>
  <c r="F26" i="39"/>
  <c r="H26" i="39" s="1"/>
  <c r="F25" i="39"/>
  <c r="F10" i="39"/>
  <c r="H10" i="39" s="1"/>
  <c r="L10" i="39" s="1"/>
  <c r="E10" i="39"/>
  <c r="G10" i="39" s="1"/>
  <c r="F10" i="42"/>
  <c r="E10" i="42"/>
  <c r="D10" i="42"/>
  <c r="E34" i="33"/>
  <c r="F33" i="33"/>
  <c r="H33" i="33" s="1"/>
  <c r="F32" i="33"/>
  <c r="E27" i="33"/>
  <c r="F26" i="33"/>
  <c r="F25" i="33"/>
  <c r="H25" i="33" s="1"/>
  <c r="F10" i="33"/>
  <c r="H10" i="33" s="1"/>
  <c r="L10" i="33" s="1"/>
  <c r="E10" i="33"/>
  <c r="G10" i="33" s="1"/>
  <c r="E49" i="36"/>
  <c r="C48" i="36"/>
  <c r="F47" i="36"/>
  <c r="H47" i="36" s="1"/>
  <c r="F46" i="36"/>
  <c r="H46" i="36" s="1"/>
  <c r="F45" i="36"/>
  <c r="H45" i="36" s="1"/>
  <c r="F44" i="36"/>
  <c r="H44" i="36" s="1"/>
  <c r="H43" i="36"/>
  <c r="F43" i="36"/>
  <c r="F42" i="36"/>
  <c r="H42" i="36" s="1"/>
  <c r="F41" i="36"/>
  <c r="H41" i="36" s="1"/>
  <c r="F40" i="36"/>
  <c r="F34" i="36"/>
  <c r="H34" i="36" s="1"/>
  <c r="C34" i="36"/>
  <c r="F33" i="36"/>
  <c r="H33" i="36" s="1"/>
  <c r="F32" i="36"/>
  <c r="H32" i="36" s="1"/>
  <c r="F31" i="36"/>
  <c r="H31" i="36" s="1"/>
  <c r="H30" i="36"/>
  <c r="F30" i="36"/>
  <c r="F29" i="36"/>
  <c r="H29" i="36" s="1"/>
  <c r="H28" i="36"/>
  <c r="F28" i="36"/>
  <c r="F27" i="36"/>
  <c r="H27" i="36" s="1"/>
  <c r="H26" i="36"/>
  <c r="F26" i="36"/>
  <c r="F25" i="36"/>
  <c r="H25" i="36" s="1"/>
  <c r="F10" i="36"/>
  <c r="H10" i="36" s="1"/>
  <c r="L10" i="36" s="1"/>
  <c r="E10" i="36"/>
  <c r="G10" i="36" s="1"/>
  <c r="F38" i="39" l="1"/>
  <c r="F34" i="33"/>
  <c r="F27" i="33"/>
  <c r="K10" i="44"/>
  <c r="M10" i="44" s="1"/>
  <c r="F28" i="39"/>
  <c r="H28" i="39" s="1"/>
  <c r="H34" i="39"/>
  <c r="H38" i="39" s="1"/>
  <c r="H25" i="39"/>
  <c r="K10" i="39"/>
  <c r="M10" i="39" s="1"/>
  <c r="G10" i="42"/>
  <c r="H10" i="42"/>
  <c r="L10" i="42" s="1"/>
  <c r="H26" i="33"/>
  <c r="H27" i="33" s="1"/>
  <c r="H32" i="33"/>
  <c r="H34" i="33" s="1"/>
  <c r="K10" i="33"/>
  <c r="M10" i="33" s="1"/>
  <c r="H35" i="36"/>
  <c r="H40" i="36"/>
  <c r="E35" i="36"/>
  <c r="F48" i="36"/>
  <c r="H48" i="36" s="1"/>
  <c r="F35" i="36"/>
  <c r="K10" i="36"/>
  <c r="M10" i="36" s="1"/>
  <c r="H29" i="39" l="1"/>
  <c r="F29" i="39"/>
  <c r="H30" i="39"/>
  <c r="K10" i="42"/>
  <c r="M10" i="42" s="1"/>
  <c r="H28" i="33"/>
  <c r="H29" i="33" s="1"/>
  <c r="H49" i="36"/>
  <c r="H36" i="36" s="1"/>
  <c r="H37" i="36" s="1"/>
  <c r="F49" i="36"/>
  <c r="H31" i="39" l="1"/>
  <c r="D13" i="45"/>
  <c r="C13" i="45"/>
  <c r="D12" i="45"/>
  <c r="C12" i="45"/>
  <c r="D11" i="45"/>
  <c r="C11" i="45"/>
  <c r="D10" i="45"/>
  <c r="C10" i="45"/>
  <c r="F13" i="45"/>
  <c r="E13" i="45"/>
  <c r="F12" i="45"/>
  <c r="E12" i="45"/>
  <c r="F11" i="45"/>
  <c r="E11" i="45"/>
  <c r="F10" i="45"/>
  <c r="E10" i="45"/>
  <c r="H14" i="45" l="1"/>
  <c r="L14" i="45" s="1"/>
  <c r="G12" i="45"/>
  <c r="H15" i="45"/>
  <c r="L15" i="45" s="1"/>
  <c r="G15" i="45"/>
  <c r="G14" i="45"/>
  <c r="H13" i="45"/>
  <c r="L13" i="45" s="1"/>
  <c r="G13" i="45"/>
  <c r="H12" i="45"/>
  <c r="L12" i="45" s="1"/>
  <c r="H11" i="45"/>
  <c r="L11" i="45" s="1"/>
  <c r="G11" i="45"/>
  <c r="H10" i="45"/>
  <c r="L10" i="45" s="1"/>
  <c r="G10" i="45"/>
  <c r="K15" i="45" l="1"/>
  <c r="K12" i="45"/>
  <c r="K14" i="45"/>
  <c r="K11" i="45"/>
  <c r="K10" i="45"/>
  <c r="M10" i="45" s="1"/>
  <c r="K13" i="45"/>
  <c r="M11" i="45" l="1"/>
  <c r="M12" i="45" l="1"/>
  <c r="M13" i="45" l="1"/>
  <c r="M14" i="45" l="1"/>
  <c r="M15" i="45" l="1"/>
  <c r="H15" i="44" l="1"/>
  <c r="L15" i="44" s="1"/>
  <c r="G15" i="44"/>
  <c r="H14" i="44"/>
  <c r="L14" i="44" s="1"/>
  <c r="G14" i="44"/>
  <c r="H13" i="44"/>
  <c r="L13" i="44" s="1"/>
  <c r="G13" i="44"/>
  <c r="H12" i="44"/>
  <c r="L12" i="44" s="1"/>
  <c r="G12" i="44"/>
  <c r="H11" i="44"/>
  <c r="L11" i="44" s="1"/>
  <c r="G11" i="44"/>
  <c r="G12" i="43"/>
  <c r="H12" i="43"/>
  <c r="L12" i="43" s="1"/>
  <c r="H15" i="43"/>
  <c r="L15" i="43" s="1"/>
  <c r="G15" i="43"/>
  <c r="H14" i="43"/>
  <c r="L14" i="43" s="1"/>
  <c r="G14" i="43"/>
  <c r="H13" i="43"/>
  <c r="L13" i="43" s="1"/>
  <c r="G13" i="43"/>
  <c r="H11" i="43"/>
  <c r="L11" i="43" s="1"/>
  <c r="G11" i="43"/>
  <c r="G12" i="42"/>
  <c r="H12" i="42"/>
  <c r="L12" i="42" s="1"/>
  <c r="K12" i="42" l="1"/>
  <c r="K14" i="44"/>
  <c r="K15" i="44"/>
  <c r="K15" i="43"/>
  <c r="K13" i="44"/>
  <c r="K12" i="44"/>
  <c r="K11" i="44"/>
  <c r="K14" i="43"/>
  <c r="K13" i="43"/>
  <c r="K12" i="43"/>
  <c r="K11" i="43"/>
  <c r="M11" i="44" l="1"/>
  <c r="M11" i="43"/>
  <c r="M12" i="44" l="1"/>
  <c r="M12" i="43"/>
  <c r="M13" i="44" l="1"/>
  <c r="M13" i="43"/>
  <c r="M14" i="44" l="1"/>
  <c r="M14" i="43"/>
  <c r="M15" i="43" s="1"/>
  <c r="G11" i="42"/>
  <c r="H15" i="42"/>
  <c r="L15" i="42" s="1"/>
  <c r="G15" i="42"/>
  <c r="H14" i="42"/>
  <c r="L14" i="42" s="1"/>
  <c r="G14" i="42"/>
  <c r="H13" i="42"/>
  <c r="L13" i="42" s="1"/>
  <c r="G13" i="42"/>
  <c r="H11" i="42"/>
  <c r="L11" i="42" s="1"/>
  <c r="K11" i="42" l="1"/>
  <c r="K13" i="42"/>
  <c r="M15" i="44"/>
  <c r="K15" i="42"/>
  <c r="K14" i="42"/>
  <c r="M11" i="42" l="1"/>
  <c r="M12" i="42" l="1"/>
  <c r="M13" i="42" l="1"/>
  <c r="M14" i="42" l="1"/>
  <c r="M15" i="42" l="1"/>
  <c r="H13" i="39" l="1"/>
  <c r="L13" i="39" s="1"/>
  <c r="G13" i="39"/>
  <c r="H12" i="39"/>
  <c r="L12" i="39" s="1"/>
  <c r="K12" i="39" s="1"/>
  <c r="G12" i="39"/>
  <c r="H11" i="39"/>
  <c r="L11" i="39" s="1"/>
  <c r="G11" i="39"/>
  <c r="K11" i="39" l="1"/>
  <c r="K13" i="39"/>
  <c r="M11" i="39" l="1"/>
  <c r="M12" i="39" l="1"/>
  <c r="M13" i="39" l="1"/>
  <c r="G15" i="39" l="1"/>
  <c r="H15" i="39"/>
  <c r="L15" i="39" s="1"/>
  <c r="H39" i="39" s="1"/>
  <c r="H14" i="39"/>
  <c r="L14" i="39" s="1"/>
  <c r="G14" i="39"/>
  <c r="K15" i="39" l="1"/>
  <c r="K14" i="39"/>
  <c r="H32" i="39"/>
  <c r="M14" i="39" l="1"/>
  <c r="G14" i="33"/>
  <c r="K14" i="33" s="1"/>
  <c r="G13" i="33"/>
  <c r="G15" i="33"/>
  <c r="G11" i="33"/>
  <c r="H11" i="33"/>
  <c r="L11" i="33" s="1"/>
  <c r="G12" i="33"/>
  <c r="H12" i="33"/>
  <c r="L12" i="33" s="1"/>
  <c r="K12" i="33" s="1"/>
  <c r="H13" i="33"/>
  <c r="L13" i="33" s="1"/>
  <c r="K13" i="33" s="1"/>
  <c r="H14" i="33"/>
  <c r="L14" i="33" s="1"/>
  <c r="H15" i="33"/>
  <c r="L15" i="33" s="1"/>
  <c r="H35" i="33" s="1"/>
  <c r="G11" i="36"/>
  <c r="H11" i="36"/>
  <c r="L11" i="36" s="1"/>
  <c r="G12" i="36"/>
  <c r="H12" i="36"/>
  <c r="L12" i="36" s="1"/>
  <c r="G13" i="36"/>
  <c r="H13" i="36"/>
  <c r="L13" i="36" s="1"/>
  <c r="G14" i="36"/>
  <c r="K14" i="36" s="1"/>
  <c r="H14" i="36"/>
  <c r="L14" i="36" s="1"/>
  <c r="G15" i="36"/>
  <c r="H15" i="36"/>
  <c r="L15" i="36" s="1"/>
  <c r="K11" i="33" l="1"/>
  <c r="K12" i="36"/>
  <c r="K11" i="36"/>
  <c r="K13" i="36"/>
  <c r="M15" i="39"/>
  <c r="H38" i="36"/>
  <c r="H30" i="33"/>
  <c r="M11" i="33" l="1"/>
  <c r="M11" i="36"/>
  <c r="M12" i="33" l="1"/>
  <c r="M12" i="36"/>
  <c r="M13" i="33" l="1"/>
  <c r="M13" i="36"/>
  <c r="M14" i="33" l="1"/>
  <c r="M14" i="36"/>
  <c r="M15" i="33" l="1"/>
  <c r="M15" i="36"/>
</calcChain>
</file>

<file path=xl/sharedStrings.xml><?xml version="1.0" encoding="utf-8"?>
<sst xmlns="http://schemas.openxmlformats.org/spreadsheetml/2006/main" count="197" uniqueCount="47">
  <si>
    <t>Month</t>
  </si>
  <si>
    <t>Plant Balance</t>
  </si>
  <si>
    <t>Book Depreciation</t>
  </si>
  <si>
    <t>Accumulated Deferred Taxes</t>
  </si>
  <si>
    <t>Deferred Taxes on Retirements</t>
  </si>
  <si>
    <t>Kentucky Utilities Company</t>
  </si>
  <si>
    <t>Deferred Tax Calculations</t>
  </si>
  <si>
    <t>Environmental Compliance Plans, by Approved Project</t>
  </si>
  <si>
    <t>Beg Balance</t>
  </si>
  <si>
    <t>2009 - Plan</t>
  </si>
  <si>
    <t xml:space="preserve"> </t>
  </si>
  <si>
    <t>Project 33 - Beneficial Reuse</t>
  </si>
  <si>
    <t>Project 32 - Trimble County CCP Storage (Landfill - Phase I)</t>
  </si>
  <si>
    <t>2016 - Plan</t>
  </si>
  <si>
    <t>Project 41 - Trimble County New Process Water Systems</t>
  </si>
  <si>
    <t>Fed Tax Depreciation</t>
  </si>
  <si>
    <t>State Tax Depreciation</t>
  </si>
  <si>
    <t>Fed Temporary Difference</t>
  </si>
  <si>
    <t>State Temporary Difference</t>
  </si>
  <si>
    <t>Fed Tax Rate</t>
  </si>
  <si>
    <t>State Tax Rate</t>
  </si>
  <si>
    <t>Fed Deferred Tax</t>
  </si>
  <si>
    <t>State Deferred Tax</t>
  </si>
  <si>
    <t>is computed separately for Federal and State purposes.  Specifically, for Federal taxes, certain assets received 50% bonus</t>
  </si>
  <si>
    <t>is shown below:</t>
  </si>
  <si>
    <t>Federal Basis</t>
  </si>
  <si>
    <t>Book Depr.</t>
  </si>
  <si>
    <t>Federal Tax Depr</t>
  </si>
  <si>
    <t>Fed. Difference</t>
  </si>
  <si>
    <t>Fed Def Tax</t>
  </si>
  <si>
    <t>State Basis</t>
  </si>
  <si>
    <t>State Tax Depr</t>
  </si>
  <si>
    <t>St. Difference</t>
  </si>
  <si>
    <t>St Def Tax</t>
  </si>
  <si>
    <t>Subtotal</t>
  </si>
  <si>
    <t>State Offset</t>
  </si>
  <si>
    <t xml:space="preserve">Due to Bonus Depreciation for tax purposes taken on certain components of Project 32, the deferred tax calculation for this project </t>
  </si>
  <si>
    <t xml:space="preserve">Due to Bonus Depreciation for tax purposes taken on certain components of Project 33, the deferred tax calculation for this project </t>
  </si>
  <si>
    <t xml:space="preserve">Due to Bonus Depreciation for tax purposes taken on certain components of Project 41, the deferred tax calculation for this project </t>
  </si>
  <si>
    <t>Project 40 - Ghent New Process Water System</t>
  </si>
  <si>
    <t>Project 42 - Brown New Process Water Systems</t>
  </si>
  <si>
    <t>2020 - Plan</t>
  </si>
  <si>
    <t>Project 43 - Ghent ELG Water Treatment System, Diffuser, and BATW Recirculation System</t>
  </si>
  <si>
    <t>The federal deferred tax column includes an amount for amortization of excess deferred tax amounts.</t>
  </si>
  <si>
    <t>Excess fed deferred tax amortization</t>
  </si>
  <si>
    <t>Project 44 - Trimble County ELG Water Treatment System</t>
  </si>
  <si>
    <t>depreciation, which reduces the Federal tax basis to 50% of the plant balance.  A sample calculation of deferred taxes for Feb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</si>
</sst>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000%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 val="singleAccounting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165" fontId="2" fillId="0" borderId="0" xfId="0" applyNumberFormat="1" applyFont="1"/>
    <xf numFmtId="0" fontId="2" fillId="0" borderId="0" xfId="0" applyFont="1"/>
    <xf numFmtId="165" fontId="0" fillId="0" borderId="0" xfId="0" applyNumberFormat="1"/>
    <xf numFmtId="165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1" fontId="0" fillId="0" borderId="0" xfId="0" applyNumberFormat="1"/>
    <xf numFmtId="166" fontId="0" fillId="0" borderId="0" xfId="0" applyNumberFormat="1"/>
    <xf numFmtId="165" fontId="3" fillId="0" borderId="0" xfId="0" quotePrefix="1" applyNumberFormat="1" applyFont="1" applyAlignment="1">
      <alignment horizontal="left"/>
    </xf>
    <xf numFmtId="164" fontId="1" fillId="0" borderId="0" xfId="1" applyNumberFormat="1"/>
    <xf numFmtId="165" fontId="2" fillId="0" borderId="0" xfId="0" quotePrefix="1" applyNumberFormat="1" applyFont="1" applyAlignment="1">
      <alignment horizontal="left"/>
    </xf>
    <xf numFmtId="0" fontId="2" fillId="0" borderId="0" xfId="0" quotePrefix="1" applyFont="1" applyAlignment="1">
      <alignment horizontal="centerContinuous"/>
    </xf>
    <xf numFmtId="0" fontId="2" fillId="0" borderId="0" xfId="0" applyFont="1" applyAlignment="1">
      <alignment horizontal="centerContinuous"/>
    </xf>
    <xf numFmtId="165" fontId="4" fillId="0" borderId="0" xfId="0" applyNumberFormat="1" applyFont="1" applyAlignment="1">
      <alignment horizontal="left"/>
    </xf>
    <xf numFmtId="43" fontId="0" fillId="0" borderId="0" xfId="1" applyFont="1"/>
    <xf numFmtId="164" fontId="0" fillId="0" borderId="0" xfId="0" applyNumberFormat="1"/>
    <xf numFmtId="0" fontId="4" fillId="0" borderId="0" xfId="0" applyFont="1"/>
    <xf numFmtId="43" fontId="4" fillId="0" borderId="0" xfId="1" applyFont="1"/>
    <xf numFmtId="41" fontId="4" fillId="0" borderId="0" xfId="0" applyNumberFormat="1" applyFont="1"/>
    <xf numFmtId="164" fontId="0" fillId="0" borderId="0" xfId="1" applyNumberFormat="1" applyFont="1"/>
    <xf numFmtId="164" fontId="1" fillId="0" borderId="0" xfId="1" applyNumberFormat="1" applyFont="1"/>
    <xf numFmtId="41" fontId="1" fillId="0" borderId="0" xfId="0" quotePrefix="1" applyNumberFormat="1" applyFont="1" applyAlignment="1">
      <alignment horizontal="left"/>
    </xf>
    <xf numFmtId="164" fontId="1" fillId="0" borderId="0" xfId="3" applyNumberFormat="1" applyFont="1" applyFill="1"/>
    <xf numFmtId="43" fontId="1" fillId="0" borderId="0" xfId="3" applyFont="1" applyFill="1"/>
    <xf numFmtId="164" fontId="1" fillId="0" borderId="0" xfId="3" quotePrefix="1" applyNumberFormat="1" applyFont="1" applyFill="1" applyAlignment="1">
      <alignment horizontal="left"/>
    </xf>
    <xf numFmtId="41" fontId="8" fillId="0" borderId="0" xfId="0" applyNumberFormat="1" applyFont="1"/>
    <xf numFmtId="0" fontId="1" fillId="0" borderId="0" xfId="0" applyFont="1"/>
    <xf numFmtId="165" fontId="1" fillId="0" borderId="0" xfId="8" applyNumberFormat="1" applyFont="1" applyAlignment="1">
      <alignment horizontal="left"/>
    </xf>
    <xf numFmtId="43" fontId="1" fillId="0" borderId="0" xfId="1" applyFont="1"/>
    <xf numFmtId="41" fontId="1" fillId="0" borderId="0" xfId="9" applyNumberFormat="1"/>
    <xf numFmtId="164" fontId="1" fillId="0" borderId="0" xfId="10" quotePrefix="1" applyNumberFormat="1" applyFont="1" applyFill="1" applyAlignment="1">
      <alignment horizontal="left"/>
    </xf>
    <xf numFmtId="43" fontId="1" fillId="0" borderId="0" xfId="10" applyFont="1" applyFill="1"/>
    <xf numFmtId="41" fontId="1" fillId="0" borderId="0" xfId="0" applyNumberFormat="1" applyFont="1"/>
    <xf numFmtId="166" fontId="1" fillId="0" borderId="0" xfId="0" applyNumberFormat="1" applyFont="1"/>
    <xf numFmtId="0" fontId="1" fillId="0" borderId="0" xfId="9"/>
    <xf numFmtId="164" fontId="1" fillId="0" borderId="0" xfId="10" applyNumberFormat="1" applyFont="1" applyFill="1"/>
    <xf numFmtId="164" fontId="0" fillId="0" borderId="0" xfId="1" applyNumberFormat="1" applyFont="1" applyFill="1" applyBorder="1"/>
    <xf numFmtId="41" fontId="1" fillId="0" borderId="0" xfId="9" quotePrefix="1" applyNumberFormat="1" applyAlignment="1">
      <alignment horizontal="left"/>
    </xf>
    <xf numFmtId="166" fontId="1" fillId="0" borderId="0" xfId="9" applyNumberFormat="1"/>
    <xf numFmtId="41" fontId="8" fillId="0" borderId="0" xfId="9" applyNumberFormat="1" applyFont="1"/>
    <xf numFmtId="164" fontId="1" fillId="0" borderId="0" xfId="9" applyNumberFormat="1"/>
    <xf numFmtId="43" fontId="1" fillId="0" borderId="0" xfId="1"/>
  </cellXfs>
  <cellStyles count="15">
    <cellStyle name="Comma" xfId="1" builtinId="3"/>
    <cellStyle name="Comma 2" xfId="2" xr:uid="{00000000-0005-0000-0000-000001000000}"/>
    <cellStyle name="Comma 2 2" xfId="3" xr:uid="{00000000-0005-0000-0000-000002000000}"/>
    <cellStyle name="Comma 2 2 2" xfId="10" xr:uid="{06E7EDFA-6D67-4335-AD17-9C73FAD59930}"/>
    <cellStyle name="Comma 3" xfId="4" xr:uid="{00000000-0005-0000-0000-000003000000}"/>
    <cellStyle name="Comma 3 2" xfId="5" xr:uid="{00000000-0005-0000-0000-000004000000}"/>
    <cellStyle name="Comma 3 2 2" xfId="12" xr:uid="{0F1B9667-07CC-4AB3-BD51-EBB2DB5BEF09}"/>
    <cellStyle name="Comma 3 3" xfId="11" xr:uid="{7D4AA8FC-93B7-4CE1-9585-ECBF6E7E7967}"/>
    <cellStyle name="Comma 4" xfId="6" xr:uid="{00000000-0005-0000-0000-000005000000}"/>
    <cellStyle name="Comma 4 2" xfId="13" xr:uid="{DF1C410E-0B79-44EE-BB03-39A12401B3D7}"/>
    <cellStyle name="Comma 5" xfId="7" xr:uid="{00000000-0005-0000-0000-000006000000}"/>
    <cellStyle name="Comma 5 2" xfId="14" xr:uid="{B8FE93E8-F27C-4939-ABB0-2DF1273D6E6C}"/>
    <cellStyle name="Normal" xfId="0" builtinId="0"/>
    <cellStyle name="Normal 2" xfId="8" xr:uid="{00000000-0005-0000-0000-000008000000}"/>
    <cellStyle name="Normal 2 2" xfId="9" xr:uid="{2186D49C-65EA-44E4-BA5E-B32E5BFC59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0"/>
  <sheetViews>
    <sheetView tabSelected="1" zoomScaleNormal="100" workbookViewId="0"/>
  </sheetViews>
  <sheetFormatPr defaultRowHeight="12.75" x14ac:dyDescent="0.2"/>
  <cols>
    <col min="1" max="1" width="11.28515625" style="3" customWidth="1"/>
    <col min="2" max="2" width="1.7109375" customWidth="1"/>
    <col min="3" max="3" width="14" customWidth="1"/>
    <col min="4" max="4" width="14.28515625" bestFit="1" customWidth="1"/>
    <col min="5" max="5" width="17.140625" customWidth="1"/>
    <col min="6" max="6" width="15.28515625" customWidth="1"/>
    <col min="7" max="8" width="14.28515625" customWidth="1"/>
    <col min="9" max="12" width="12.7109375" customWidth="1"/>
    <col min="13" max="13" width="16.5703125" bestFit="1" customWidth="1"/>
    <col min="14" max="14" width="12.7109375" customWidth="1"/>
    <col min="15" max="15" width="13.85546875" bestFit="1" customWidth="1"/>
  </cols>
  <sheetData>
    <row r="1" spans="1:16" x14ac:dyDescent="0.2">
      <c r="A1" s="12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x14ac:dyDescent="0.2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6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6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10</v>
      </c>
    </row>
    <row r="5" spans="1:16" x14ac:dyDescent="0.2">
      <c r="A5" s="9" t="s">
        <v>9</v>
      </c>
    </row>
    <row r="6" spans="1:16" x14ac:dyDescent="0.2">
      <c r="A6" s="11" t="s">
        <v>12</v>
      </c>
    </row>
    <row r="8" spans="1:16" s="6" customFormat="1" ht="38.25" x14ac:dyDescent="0.2">
      <c r="A8" s="4" t="s">
        <v>0</v>
      </c>
      <c r="B8" s="5"/>
      <c r="C8" s="5" t="s">
        <v>1</v>
      </c>
      <c r="D8" s="5" t="s">
        <v>2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</v>
      </c>
      <c r="N8" s="5" t="s">
        <v>4</v>
      </c>
    </row>
    <row r="9" spans="1:16" x14ac:dyDescent="0.2">
      <c r="A9" s="3" t="s">
        <v>8</v>
      </c>
      <c r="M9" s="7">
        <v>11090673.273459999</v>
      </c>
    </row>
    <row r="10" spans="1:16" x14ac:dyDescent="0.2">
      <c r="A10" s="28">
        <v>45909</v>
      </c>
      <c r="C10" s="7">
        <v>147474666</v>
      </c>
      <c r="D10" s="21">
        <v>274481</v>
      </c>
      <c r="E10" s="10">
        <f>543433.61</f>
        <v>543433.61</v>
      </c>
      <c r="F10" s="10">
        <f>674531.96</f>
        <v>674531.96</v>
      </c>
      <c r="G10" s="7">
        <f t="shared" ref="G10" si="0">E10-D10</f>
        <v>268952.61</v>
      </c>
      <c r="H10" s="7">
        <f t="shared" ref="H10" si="1">F10-D10</f>
        <v>400050.95999999996</v>
      </c>
      <c r="I10" s="8">
        <v>0.21</v>
      </c>
      <c r="J10" s="8">
        <v>0.05</v>
      </c>
      <c r="K10" s="7">
        <f t="shared" ref="K10" si="2">G10*I10-L10*I10-38.07</f>
        <v>52241.443019999992</v>
      </c>
      <c r="L10" s="7">
        <f t="shared" ref="L10" si="3">H10*J10</f>
        <v>20002.547999999999</v>
      </c>
      <c r="M10" s="7">
        <f t="shared" ref="M10" si="4">M9+K10+L10</f>
        <v>11162917.264479998</v>
      </c>
      <c r="N10" s="7">
        <v>0</v>
      </c>
      <c r="O10" s="15"/>
      <c r="P10" s="16"/>
    </row>
    <row r="11" spans="1:16" x14ac:dyDescent="0.2">
      <c r="A11" s="28">
        <v>45931</v>
      </c>
      <c r="C11" s="7">
        <v>147474666</v>
      </c>
      <c r="D11" s="21">
        <v>274481</v>
      </c>
      <c r="E11" s="10">
        <f t="shared" ref="E11:E13" si="5">543433.61</f>
        <v>543433.61</v>
      </c>
      <c r="F11" s="10">
        <f t="shared" ref="F11:F13" si="6">674531.96</f>
        <v>674531.96</v>
      </c>
      <c r="G11" s="7">
        <f t="shared" ref="G11:G15" si="7">E11-D11</f>
        <v>268952.61</v>
      </c>
      <c r="H11" s="7">
        <f t="shared" ref="H11:H15" si="8">F11-D11</f>
        <v>400050.95999999996</v>
      </c>
      <c r="I11" s="8">
        <v>0.21</v>
      </c>
      <c r="J11" s="8">
        <v>0.05</v>
      </c>
      <c r="K11" s="7">
        <f t="shared" ref="K11:K13" si="9">G11*I11-L11*I11-38.07</f>
        <v>52241.443019999992</v>
      </c>
      <c r="L11" s="7">
        <f t="shared" ref="L11:L13" si="10">H11*J11</f>
        <v>20002.547999999999</v>
      </c>
      <c r="M11" s="7">
        <f t="shared" ref="M11:M15" si="11">M10+K11+L11</f>
        <v>11235161.255499998</v>
      </c>
      <c r="N11" s="7">
        <v>0</v>
      </c>
      <c r="O11" s="15"/>
      <c r="P11" s="16"/>
    </row>
    <row r="12" spans="1:16" x14ac:dyDescent="0.2">
      <c r="A12" s="28">
        <v>45962</v>
      </c>
      <c r="C12" s="7">
        <v>147474666</v>
      </c>
      <c r="D12" s="21">
        <v>274481</v>
      </c>
      <c r="E12" s="10">
        <f t="shared" si="5"/>
        <v>543433.61</v>
      </c>
      <c r="F12" s="10">
        <f t="shared" si="6"/>
        <v>674531.96</v>
      </c>
      <c r="G12" s="7">
        <f t="shared" si="7"/>
        <v>268952.61</v>
      </c>
      <c r="H12" s="7">
        <f t="shared" si="8"/>
        <v>400050.95999999996</v>
      </c>
      <c r="I12" s="8">
        <v>0.21</v>
      </c>
      <c r="J12" s="8">
        <v>0.05</v>
      </c>
      <c r="K12" s="7">
        <f t="shared" si="9"/>
        <v>52241.443019999992</v>
      </c>
      <c r="L12" s="7">
        <f t="shared" si="10"/>
        <v>20002.547999999999</v>
      </c>
      <c r="M12" s="7">
        <f t="shared" si="11"/>
        <v>11307405.246519998</v>
      </c>
      <c r="N12" s="7">
        <v>0</v>
      </c>
      <c r="O12" s="20"/>
      <c r="P12" s="16"/>
    </row>
    <row r="13" spans="1:16" x14ac:dyDescent="0.2">
      <c r="A13" s="28">
        <v>45992</v>
      </c>
      <c r="C13" s="7">
        <v>147474666</v>
      </c>
      <c r="D13" s="21">
        <v>274481</v>
      </c>
      <c r="E13" s="10">
        <f t="shared" si="5"/>
        <v>543433.61</v>
      </c>
      <c r="F13" s="10">
        <f t="shared" si="6"/>
        <v>674531.96</v>
      </c>
      <c r="G13" s="7">
        <f t="shared" si="7"/>
        <v>268952.61</v>
      </c>
      <c r="H13" s="7">
        <f t="shared" si="8"/>
        <v>400050.95999999996</v>
      </c>
      <c r="I13" s="8">
        <v>0.21</v>
      </c>
      <c r="J13" s="8">
        <v>0.05</v>
      </c>
      <c r="K13" s="7">
        <f t="shared" si="9"/>
        <v>52241.443019999992</v>
      </c>
      <c r="L13" s="7">
        <f t="shared" si="10"/>
        <v>20002.547999999999</v>
      </c>
      <c r="M13" s="7">
        <f t="shared" si="11"/>
        <v>11379649.237539997</v>
      </c>
      <c r="N13" s="7">
        <v>0</v>
      </c>
      <c r="O13" s="20"/>
      <c r="P13" s="16"/>
    </row>
    <row r="14" spans="1:16" x14ac:dyDescent="0.2">
      <c r="A14" s="28">
        <v>46023</v>
      </c>
      <c r="C14" s="7">
        <v>147474666</v>
      </c>
      <c r="D14" s="21">
        <v>274481</v>
      </c>
      <c r="E14" s="10">
        <f>503280.9</f>
        <v>503280.9</v>
      </c>
      <c r="F14" s="10">
        <f>625079.01</f>
        <v>625079.01</v>
      </c>
      <c r="G14" s="7">
        <f t="shared" si="7"/>
        <v>228799.90000000002</v>
      </c>
      <c r="H14" s="7">
        <f t="shared" si="8"/>
        <v>350598.01</v>
      </c>
      <c r="I14" s="8">
        <v>0.21</v>
      </c>
      <c r="J14" s="8">
        <v>0.05</v>
      </c>
      <c r="K14" s="7">
        <f>G14*I14-L14*I14-38.28</f>
        <v>44328.419895000006</v>
      </c>
      <c r="L14" s="7">
        <f t="shared" ref="L14:L15" si="12">H14*J14</f>
        <v>17529.9005</v>
      </c>
      <c r="M14" s="7">
        <f t="shared" si="11"/>
        <v>11441507.557934998</v>
      </c>
      <c r="N14" s="7">
        <v>0</v>
      </c>
      <c r="O14" s="7"/>
      <c r="P14" s="16"/>
    </row>
    <row r="15" spans="1:16" x14ac:dyDescent="0.2">
      <c r="A15" s="28">
        <v>46054</v>
      </c>
      <c r="C15" s="7">
        <v>147474666</v>
      </c>
      <c r="D15" s="21">
        <v>274481</v>
      </c>
      <c r="E15" s="10">
        <f>503280.9</f>
        <v>503280.9</v>
      </c>
      <c r="F15" s="10">
        <f>625079.01</f>
        <v>625079.01</v>
      </c>
      <c r="G15" s="7">
        <f t="shared" si="7"/>
        <v>228799.90000000002</v>
      </c>
      <c r="H15" s="7">
        <f t="shared" si="8"/>
        <v>350598.01</v>
      </c>
      <c r="I15" s="8">
        <v>0.21</v>
      </c>
      <c r="J15" s="8">
        <v>0.05</v>
      </c>
      <c r="K15" s="7">
        <f>G15*I15-L15*I15-38.28</f>
        <v>44328.419895000006</v>
      </c>
      <c r="L15" s="7">
        <f t="shared" si="12"/>
        <v>17529.9005</v>
      </c>
      <c r="M15" s="7">
        <f t="shared" si="11"/>
        <v>11503365.878329998</v>
      </c>
      <c r="N15" s="7">
        <v>0</v>
      </c>
      <c r="P15" s="16"/>
    </row>
    <row r="16" spans="1:16" x14ac:dyDescent="0.2">
      <c r="A16" s="1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14"/>
      <c r="C17" s="30" t="s">
        <v>43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1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">
      <c r="C19" s="22" t="s">
        <v>36</v>
      </c>
    </row>
    <row r="20" spans="1:14" x14ac:dyDescent="0.2">
      <c r="C20" s="22" t="s">
        <v>23</v>
      </c>
    </row>
    <row r="21" spans="1:14" x14ac:dyDescent="0.2">
      <c r="C21" s="22" t="s">
        <v>46</v>
      </c>
    </row>
    <row r="22" spans="1:14" x14ac:dyDescent="0.2">
      <c r="C22" s="7" t="s">
        <v>24</v>
      </c>
    </row>
    <row r="24" spans="1:14" x14ac:dyDescent="0.2">
      <c r="C24" s="7" t="s">
        <v>25</v>
      </c>
      <c r="D24" s="31" t="s">
        <v>26</v>
      </c>
      <c r="E24" s="32" t="s">
        <v>27</v>
      </c>
      <c r="F24" s="7" t="s">
        <v>28</v>
      </c>
      <c r="G24" s="8" t="s">
        <v>19</v>
      </c>
      <c r="H24" s="7" t="s">
        <v>29</v>
      </c>
    </row>
    <row r="25" spans="1:14" x14ac:dyDescent="0.2">
      <c r="C25" s="7">
        <v>1880068.145</v>
      </c>
      <c r="D25" s="7">
        <v>274481</v>
      </c>
      <c r="E25" s="7">
        <v>6989.15</v>
      </c>
      <c r="F25" s="7">
        <f>-D25+E25+0.6</f>
        <v>-267491.25</v>
      </c>
      <c r="G25" s="8">
        <v>0.21</v>
      </c>
      <c r="H25" s="7">
        <f>F25*G25</f>
        <v>-56173.162499999999</v>
      </c>
    </row>
    <row r="26" spans="1:14" x14ac:dyDescent="0.2">
      <c r="C26" s="7">
        <v>184335</v>
      </c>
      <c r="D26" s="7"/>
      <c r="E26" s="7">
        <v>685.42</v>
      </c>
      <c r="F26" s="7">
        <f>E26</f>
        <v>685.42</v>
      </c>
      <c r="G26" s="8">
        <v>0.21</v>
      </c>
      <c r="H26" s="7">
        <f t="shared" ref="H26:H33" si="13">F26*G26</f>
        <v>143.93819999999999</v>
      </c>
    </row>
    <row r="27" spans="1:14" x14ac:dyDescent="0.2">
      <c r="C27" s="7">
        <v>36765919</v>
      </c>
      <c r="D27" s="7"/>
      <c r="E27" s="7">
        <v>138546.23999999999</v>
      </c>
      <c r="F27" s="7">
        <f t="shared" ref="F27:F33" si="14">E27</f>
        <v>138546.23999999999</v>
      </c>
      <c r="G27" s="8">
        <v>0.21</v>
      </c>
      <c r="H27" s="7">
        <f t="shared" si="13"/>
        <v>29094.710399999996</v>
      </c>
    </row>
    <row r="28" spans="1:14" x14ac:dyDescent="0.2">
      <c r="C28" s="7">
        <v>570444</v>
      </c>
      <c r="D28" s="7"/>
      <c r="E28" s="7"/>
      <c r="F28" s="7">
        <f t="shared" si="14"/>
        <v>0</v>
      </c>
      <c r="G28" s="8">
        <v>0.21</v>
      </c>
      <c r="H28" s="7">
        <f t="shared" si="13"/>
        <v>0</v>
      </c>
    </row>
    <row r="29" spans="1:14" x14ac:dyDescent="0.2">
      <c r="C29" s="7">
        <v>209122</v>
      </c>
      <c r="D29" s="7"/>
      <c r="E29" s="7">
        <v>788.04</v>
      </c>
      <c r="F29" s="7">
        <f t="shared" si="14"/>
        <v>788.04</v>
      </c>
      <c r="G29" s="8">
        <v>0.21</v>
      </c>
      <c r="H29" s="7">
        <f t="shared" si="13"/>
        <v>165.48839999999998</v>
      </c>
    </row>
    <row r="30" spans="1:14" x14ac:dyDescent="0.2">
      <c r="C30" s="7">
        <v>5510178</v>
      </c>
      <c r="D30" s="7"/>
      <c r="E30" s="7"/>
      <c r="F30" s="7">
        <f t="shared" si="14"/>
        <v>0</v>
      </c>
      <c r="G30" s="8">
        <v>0.21</v>
      </c>
      <c r="H30" s="7">
        <f t="shared" si="13"/>
        <v>0</v>
      </c>
    </row>
    <row r="31" spans="1:14" x14ac:dyDescent="0.2">
      <c r="C31" s="7">
        <v>20738213</v>
      </c>
      <c r="D31" s="7"/>
      <c r="E31" s="33">
        <v>84473.65</v>
      </c>
      <c r="F31" s="7">
        <f t="shared" si="14"/>
        <v>84473.65</v>
      </c>
      <c r="G31" s="8">
        <v>0.21</v>
      </c>
      <c r="H31" s="7">
        <f t="shared" si="13"/>
        <v>17739.466499999999</v>
      </c>
    </row>
    <row r="32" spans="1:14" x14ac:dyDescent="0.2">
      <c r="C32" s="7">
        <v>1400</v>
      </c>
      <c r="D32" s="7"/>
      <c r="E32" s="33">
        <v>5.7</v>
      </c>
      <c r="F32" s="7">
        <f t="shared" si="14"/>
        <v>5.7</v>
      </c>
      <c r="G32" s="8">
        <v>0.21</v>
      </c>
      <c r="H32" s="7">
        <f t="shared" si="13"/>
        <v>1.1970000000000001</v>
      </c>
    </row>
    <row r="33" spans="3:9" x14ac:dyDescent="0.2">
      <c r="C33" s="7">
        <v>2506896</v>
      </c>
      <c r="D33" s="7"/>
      <c r="E33" s="33">
        <v>10211.42</v>
      </c>
      <c r="F33" s="33">
        <f t="shared" si="14"/>
        <v>10211.42</v>
      </c>
      <c r="G33" s="34">
        <v>0.21</v>
      </c>
      <c r="H33" s="33">
        <f t="shared" si="13"/>
        <v>2144.3982000000001</v>
      </c>
    </row>
    <row r="34" spans="3:9" ht="15" x14ac:dyDescent="0.35">
      <c r="C34" s="7">
        <f>50078609+738538</f>
        <v>50817147</v>
      </c>
      <c r="D34" s="7"/>
      <c r="E34" s="26">
        <v>261581.27</v>
      </c>
      <c r="F34" s="26">
        <f>E34</f>
        <v>261581.27</v>
      </c>
      <c r="G34" s="34">
        <v>0.21</v>
      </c>
      <c r="H34" s="26">
        <f>F34*G34</f>
        <v>54932.066699999996</v>
      </c>
    </row>
    <row r="35" spans="3:9" x14ac:dyDescent="0.2">
      <c r="C35" s="7"/>
      <c r="D35" s="7"/>
      <c r="E35" s="7">
        <f>SUM(E25:E34)</f>
        <v>503280.89</v>
      </c>
      <c r="F35" s="7">
        <f>SUM(F25:F34)</f>
        <v>228800.48999999993</v>
      </c>
      <c r="G35" s="34" t="s">
        <v>34</v>
      </c>
      <c r="H35" s="7">
        <f>SUM(H25:H34)</f>
        <v>48048.102899999983</v>
      </c>
    </row>
    <row r="36" spans="3:9" ht="15" x14ac:dyDescent="0.35">
      <c r="G36" s="27" t="s">
        <v>35</v>
      </c>
      <c r="H36" s="26">
        <f>-H49*0.21</f>
        <v>-3681.2802600000005</v>
      </c>
    </row>
    <row r="37" spans="3:9" x14ac:dyDescent="0.2">
      <c r="H37" s="7">
        <f>H35+H36</f>
        <v>44366.822639999984</v>
      </c>
    </row>
    <row r="38" spans="3:9" x14ac:dyDescent="0.2">
      <c r="H38" s="7">
        <f>H37-K15</f>
        <v>38.402744999977585</v>
      </c>
      <c r="I38" s="35" t="s">
        <v>44</v>
      </c>
    </row>
    <row r="39" spans="3:9" x14ac:dyDescent="0.2">
      <c r="C39" s="7" t="s">
        <v>30</v>
      </c>
      <c r="D39" s="36" t="s">
        <v>26</v>
      </c>
      <c r="E39" s="32" t="s">
        <v>31</v>
      </c>
      <c r="F39" s="7" t="s">
        <v>32</v>
      </c>
      <c r="G39" s="8" t="s">
        <v>20</v>
      </c>
      <c r="H39" s="7" t="s">
        <v>33</v>
      </c>
    </row>
    <row r="40" spans="3:9" x14ac:dyDescent="0.2">
      <c r="C40" s="7">
        <v>3760136.29</v>
      </c>
      <c r="D40" s="7">
        <v>274481.49</v>
      </c>
      <c r="E40" s="7">
        <v>13978.31</v>
      </c>
      <c r="F40" s="7">
        <f>-D40+E40+0.6</f>
        <v>-260502.58</v>
      </c>
      <c r="G40" s="8">
        <v>0.05</v>
      </c>
      <c r="H40" s="7">
        <f>F40*G40</f>
        <v>-13025.129000000001</v>
      </c>
    </row>
    <row r="41" spans="3:9" x14ac:dyDescent="0.2">
      <c r="C41" s="7">
        <v>184335</v>
      </c>
      <c r="D41" s="7"/>
      <c r="E41" s="7">
        <v>685.42</v>
      </c>
      <c r="F41" s="7">
        <f>E41</f>
        <v>685.42</v>
      </c>
      <c r="G41" s="8">
        <v>0.05</v>
      </c>
      <c r="H41" s="7">
        <f t="shared" ref="H41:H47" si="15">F41*G41</f>
        <v>34.271000000000001</v>
      </c>
    </row>
    <row r="42" spans="3:9" x14ac:dyDescent="0.2">
      <c r="C42" s="37">
        <v>61276531.409999996</v>
      </c>
      <c r="D42" s="7"/>
      <c r="E42" s="7">
        <v>230910.4</v>
      </c>
      <c r="F42" s="7">
        <f t="shared" ref="F42:F47" si="16">E42</f>
        <v>230910.4</v>
      </c>
      <c r="G42" s="8">
        <v>0.05</v>
      </c>
      <c r="H42" s="7">
        <f t="shared" si="15"/>
        <v>11545.52</v>
      </c>
    </row>
    <row r="43" spans="3:9" x14ac:dyDescent="0.2">
      <c r="C43" s="37">
        <v>570444</v>
      </c>
      <c r="D43" s="7"/>
      <c r="E43" s="7"/>
      <c r="F43" s="7">
        <f t="shared" si="16"/>
        <v>0</v>
      </c>
      <c r="G43" s="8">
        <v>0.05</v>
      </c>
      <c r="H43" s="7">
        <f t="shared" si="15"/>
        <v>0</v>
      </c>
    </row>
    <row r="44" spans="3:9" x14ac:dyDescent="0.2">
      <c r="C44" s="7">
        <v>209122</v>
      </c>
      <c r="D44" s="7"/>
      <c r="E44" s="7">
        <v>788.04</v>
      </c>
      <c r="F44" s="7">
        <f t="shared" si="16"/>
        <v>788.04</v>
      </c>
      <c r="G44" s="8">
        <v>0.05</v>
      </c>
      <c r="H44" s="7">
        <f t="shared" si="15"/>
        <v>39.402000000000001</v>
      </c>
    </row>
    <row r="45" spans="3:9" x14ac:dyDescent="0.2">
      <c r="C45" s="7">
        <v>26248391</v>
      </c>
      <c r="D45" s="7"/>
      <c r="E45" s="33">
        <v>106918.45</v>
      </c>
      <c r="F45" s="7">
        <f t="shared" si="16"/>
        <v>106918.45</v>
      </c>
      <c r="G45" s="8">
        <v>0.05</v>
      </c>
      <c r="H45" s="7">
        <f t="shared" si="15"/>
        <v>5345.9225000000006</v>
      </c>
    </row>
    <row r="46" spans="3:9" x14ac:dyDescent="0.2">
      <c r="C46" s="7">
        <v>1400</v>
      </c>
      <c r="D46" s="7"/>
      <c r="E46" s="33">
        <v>5.7</v>
      </c>
      <c r="F46" s="7">
        <f t="shared" si="16"/>
        <v>5.7</v>
      </c>
      <c r="G46" s="8">
        <v>0.05</v>
      </c>
      <c r="H46" s="7">
        <f t="shared" si="15"/>
        <v>0.28500000000000003</v>
      </c>
    </row>
    <row r="47" spans="3:9" x14ac:dyDescent="0.2">
      <c r="C47" s="7">
        <v>2506896</v>
      </c>
      <c r="D47" s="7"/>
      <c r="E47" s="33">
        <v>10211.42</v>
      </c>
      <c r="F47" s="33">
        <f t="shared" si="16"/>
        <v>10211.42</v>
      </c>
      <c r="G47" s="34">
        <v>0.05</v>
      </c>
      <c r="H47" s="33">
        <f t="shared" si="15"/>
        <v>510.57100000000003</v>
      </c>
    </row>
    <row r="48" spans="3:9" ht="15" x14ac:dyDescent="0.35">
      <c r="C48" s="7">
        <f>C34</f>
        <v>50817147</v>
      </c>
      <c r="D48" s="7"/>
      <c r="E48" s="26">
        <v>261581.27</v>
      </c>
      <c r="F48" s="26">
        <f>E48</f>
        <v>261581.27</v>
      </c>
      <c r="G48" s="34">
        <v>0.05</v>
      </c>
      <c r="H48" s="26">
        <f>F48*G48</f>
        <v>13079.0635</v>
      </c>
    </row>
    <row r="49" spans="3:8" x14ac:dyDescent="0.2">
      <c r="C49" s="7"/>
      <c r="D49" s="7"/>
      <c r="E49" s="7">
        <f>SUM(E39:E48)</f>
        <v>625079.01</v>
      </c>
      <c r="F49" s="7">
        <f>SUM(F39:F48)</f>
        <v>350598.12</v>
      </c>
      <c r="G49" s="34"/>
      <c r="H49" s="7">
        <f>SUM(H39:H48)</f>
        <v>17529.906000000003</v>
      </c>
    </row>
    <row r="50" spans="3:8" x14ac:dyDescent="0.2">
      <c r="H50" s="7"/>
    </row>
  </sheetData>
  <pageMargins left="0.7" right="0.7" top="1.15625" bottom="0.75" header="0.3" footer="0.3"/>
  <pageSetup scale="50" orientation="portrait" r:id="rId1"/>
  <headerFooter>
    <oddHeader>&amp;R&amp;"Times New Roman,Bold"&amp;12Attachment to Response to Question 3
Page 1 of 7
Clements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P35"/>
  <sheetViews>
    <sheetView zoomScaleNormal="100" workbookViewId="0"/>
  </sheetViews>
  <sheetFormatPr defaultRowHeight="12.75" x14ac:dyDescent="0.2"/>
  <cols>
    <col min="1" max="1" width="11.28515625" style="3" customWidth="1"/>
    <col min="2" max="2" width="1.7109375" customWidth="1"/>
    <col min="3" max="3" width="14.7109375" customWidth="1"/>
    <col min="4" max="4" width="14.28515625" bestFit="1" customWidth="1"/>
    <col min="5" max="5" width="16.7109375" customWidth="1"/>
    <col min="6" max="6" width="15" customWidth="1"/>
    <col min="7" max="8" width="14.28515625" customWidth="1"/>
    <col min="9" max="12" width="12.7109375" customWidth="1"/>
    <col min="13" max="13" width="16.5703125" bestFit="1" customWidth="1"/>
    <col min="14" max="14" width="12.7109375" customWidth="1"/>
    <col min="15" max="15" width="11.28515625" bestFit="1" customWidth="1"/>
  </cols>
  <sheetData>
    <row r="1" spans="1:16" x14ac:dyDescent="0.2">
      <c r="A1" s="12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x14ac:dyDescent="0.2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6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6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x14ac:dyDescent="0.2">
      <c r="A5" s="9" t="s">
        <v>9</v>
      </c>
    </row>
    <row r="6" spans="1:16" x14ac:dyDescent="0.2">
      <c r="A6" s="11" t="s">
        <v>11</v>
      </c>
    </row>
    <row r="8" spans="1:16" s="6" customFormat="1" ht="38.25" x14ac:dyDescent="0.2">
      <c r="A8" s="4" t="s">
        <v>0</v>
      </c>
      <c r="B8" s="5"/>
      <c r="C8" s="5" t="s">
        <v>1</v>
      </c>
      <c r="D8" s="5" t="s">
        <v>2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</v>
      </c>
      <c r="N8" s="5" t="s">
        <v>4</v>
      </c>
    </row>
    <row r="9" spans="1:16" x14ac:dyDescent="0.2">
      <c r="A9" s="3" t="s">
        <v>8</v>
      </c>
      <c r="M9" s="7">
        <v>906650.54462500021</v>
      </c>
    </row>
    <row r="10" spans="1:16" x14ac:dyDescent="0.2">
      <c r="A10" s="28">
        <v>45909</v>
      </c>
      <c r="C10" s="7">
        <v>4193823</v>
      </c>
      <c r="D10" s="21">
        <v>7836</v>
      </c>
      <c r="E10" s="10">
        <f>7795.49</f>
        <v>7795.49</v>
      </c>
      <c r="F10" s="10">
        <f>15590.47</f>
        <v>15590.47</v>
      </c>
      <c r="G10" s="7">
        <f t="shared" ref="G10" si="0">E10-D10</f>
        <v>-40.510000000000218</v>
      </c>
      <c r="H10" s="7">
        <f t="shared" ref="H10" si="1">F10-D10</f>
        <v>7754.4699999999993</v>
      </c>
      <c r="I10" s="8">
        <v>0.21</v>
      </c>
      <c r="J10" s="8">
        <v>0.05</v>
      </c>
      <c r="K10" s="7">
        <f t="shared" ref="K10" si="2">G10*I10-L10*I10-5.63</f>
        <v>-95.559035000000037</v>
      </c>
      <c r="L10" s="7">
        <f t="shared" ref="L10" si="3">H10*J10</f>
        <v>387.7235</v>
      </c>
      <c r="M10" s="7">
        <f t="shared" ref="M10" si="4">M9+K10+L10</f>
        <v>906942.70909000013</v>
      </c>
      <c r="N10" s="7">
        <v>0</v>
      </c>
      <c r="O10" s="17"/>
      <c r="P10" s="16"/>
    </row>
    <row r="11" spans="1:16" x14ac:dyDescent="0.2">
      <c r="A11" s="28">
        <v>45931</v>
      </c>
      <c r="C11" s="7">
        <v>4193823</v>
      </c>
      <c r="D11" s="21">
        <v>7836</v>
      </c>
      <c r="E11" s="10">
        <f t="shared" ref="E11:E13" si="5">7795.49</f>
        <v>7795.49</v>
      </c>
      <c r="F11" s="10">
        <f t="shared" ref="F11:F13" si="6">15590.47</f>
        <v>15590.47</v>
      </c>
      <c r="G11" s="7">
        <f t="shared" ref="G11:G15" si="7">E11-D11</f>
        <v>-40.510000000000218</v>
      </c>
      <c r="H11" s="7">
        <f t="shared" ref="H11:H15" si="8">F11-D11</f>
        <v>7754.4699999999993</v>
      </c>
      <c r="I11" s="8">
        <v>0.21</v>
      </c>
      <c r="J11" s="8">
        <v>0.05</v>
      </c>
      <c r="K11" s="7">
        <f t="shared" ref="K11:K13" si="9">G11*I11-L11*I11-5.63</f>
        <v>-95.559035000000037</v>
      </c>
      <c r="L11" s="7">
        <f t="shared" ref="L11:L13" si="10">H11*J11</f>
        <v>387.7235</v>
      </c>
      <c r="M11" s="7">
        <f t="shared" ref="M11:M15" si="11">M10+K11+L11</f>
        <v>907234.87355500006</v>
      </c>
      <c r="N11" s="7">
        <v>0</v>
      </c>
      <c r="O11" s="18"/>
      <c r="P11" s="16"/>
    </row>
    <row r="12" spans="1:16" x14ac:dyDescent="0.2">
      <c r="A12" s="28">
        <v>45962</v>
      </c>
      <c r="C12" s="7">
        <v>4193823</v>
      </c>
      <c r="D12" s="21">
        <v>7836</v>
      </c>
      <c r="E12" s="10">
        <f t="shared" si="5"/>
        <v>7795.49</v>
      </c>
      <c r="F12" s="10">
        <f t="shared" si="6"/>
        <v>15590.47</v>
      </c>
      <c r="G12" s="7">
        <f t="shared" si="7"/>
        <v>-40.510000000000218</v>
      </c>
      <c r="H12" s="7">
        <f t="shared" si="8"/>
        <v>7754.4699999999993</v>
      </c>
      <c r="I12" s="8">
        <v>0.21</v>
      </c>
      <c r="J12" s="8">
        <v>0.05</v>
      </c>
      <c r="K12" s="7">
        <f t="shared" si="9"/>
        <v>-95.559035000000037</v>
      </c>
      <c r="L12" s="7">
        <f t="shared" si="10"/>
        <v>387.7235</v>
      </c>
      <c r="M12" s="7">
        <f t="shared" si="11"/>
        <v>907527.03801999998</v>
      </c>
      <c r="N12" s="7">
        <v>0</v>
      </c>
      <c r="O12" s="15"/>
      <c r="P12" s="16"/>
    </row>
    <row r="13" spans="1:16" x14ac:dyDescent="0.2">
      <c r="A13" s="28">
        <v>45992</v>
      </c>
      <c r="C13" s="7">
        <v>4193823</v>
      </c>
      <c r="D13" s="21">
        <v>7836</v>
      </c>
      <c r="E13" s="10">
        <f t="shared" si="5"/>
        <v>7795.49</v>
      </c>
      <c r="F13" s="10">
        <f t="shared" si="6"/>
        <v>15590.47</v>
      </c>
      <c r="G13" s="7">
        <f t="shared" si="7"/>
        <v>-40.510000000000218</v>
      </c>
      <c r="H13" s="7">
        <f t="shared" si="8"/>
        <v>7754.4699999999993</v>
      </c>
      <c r="I13" s="8">
        <v>0.21</v>
      </c>
      <c r="J13" s="8">
        <v>0.05</v>
      </c>
      <c r="K13" s="7">
        <f t="shared" si="9"/>
        <v>-95.559035000000037</v>
      </c>
      <c r="L13" s="7">
        <f t="shared" si="10"/>
        <v>387.7235</v>
      </c>
      <c r="M13" s="7">
        <f t="shared" si="11"/>
        <v>907819.2024849999</v>
      </c>
      <c r="N13" s="7">
        <v>0</v>
      </c>
      <c r="O13" s="19"/>
      <c r="P13" s="16"/>
    </row>
    <row r="14" spans="1:16" x14ac:dyDescent="0.2">
      <c r="A14" s="28">
        <v>46023</v>
      </c>
      <c r="C14" s="7">
        <v>4193823</v>
      </c>
      <c r="D14" s="21">
        <v>7836</v>
      </c>
      <c r="E14" s="10">
        <f>7797.05</f>
        <v>7797.05</v>
      </c>
      <c r="F14" s="10">
        <f>15594.1</f>
        <v>15594.1</v>
      </c>
      <c r="G14" s="7">
        <f t="shared" si="7"/>
        <v>-38.949999999999818</v>
      </c>
      <c r="H14" s="7">
        <f t="shared" si="8"/>
        <v>7758.1</v>
      </c>
      <c r="I14" s="8">
        <v>0.21</v>
      </c>
      <c r="J14" s="8">
        <v>0.05</v>
      </c>
      <c r="K14" s="7">
        <f>G14*I14-L14*I14-5.37</f>
        <v>-95.009549999999976</v>
      </c>
      <c r="L14" s="7">
        <f t="shared" ref="L14:L15" si="12">H14*J14</f>
        <v>387.90500000000003</v>
      </c>
      <c r="M14" s="7">
        <f t="shared" si="11"/>
        <v>908112.09793499997</v>
      </c>
      <c r="N14" s="7">
        <v>0</v>
      </c>
      <c r="O14" s="19"/>
      <c r="P14" s="16"/>
    </row>
    <row r="15" spans="1:16" x14ac:dyDescent="0.2">
      <c r="A15" s="28">
        <v>46054</v>
      </c>
      <c r="C15" s="7">
        <v>4193823</v>
      </c>
      <c r="D15" s="21">
        <v>7836</v>
      </c>
      <c r="E15" s="10">
        <f>7797.05</f>
        <v>7797.05</v>
      </c>
      <c r="F15" s="10">
        <f>15594.1</f>
        <v>15594.1</v>
      </c>
      <c r="G15" s="7">
        <f t="shared" si="7"/>
        <v>-38.949999999999818</v>
      </c>
      <c r="H15" s="7">
        <f t="shared" si="8"/>
        <v>7758.1</v>
      </c>
      <c r="I15" s="8">
        <v>0.21</v>
      </c>
      <c r="J15" s="8">
        <v>0.05</v>
      </c>
      <c r="K15" s="7">
        <f>G15*I15-L15*I15-5.37</f>
        <v>-95.009549999999976</v>
      </c>
      <c r="L15" s="7">
        <f t="shared" si="12"/>
        <v>387.90500000000003</v>
      </c>
      <c r="M15" s="7">
        <f t="shared" si="11"/>
        <v>908404.99338500004</v>
      </c>
      <c r="N15" s="7">
        <v>0</v>
      </c>
      <c r="P15" s="16"/>
    </row>
    <row r="16" spans="1:16" x14ac:dyDescent="0.2">
      <c r="A16" s="1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14"/>
      <c r="C17" s="30" t="s">
        <v>43</v>
      </c>
      <c r="D17" s="30"/>
      <c r="E17" s="30"/>
      <c r="F17" s="30"/>
      <c r="G17" s="30"/>
      <c r="H17" s="30"/>
      <c r="I17" s="30"/>
      <c r="J17" s="30"/>
      <c r="K17" s="30"/>
      <c r="L17" s="7"/>
      <c r="M17" s="7"/>
      <c r="N17" s="7"/>
    </row>
    <row r="18" spans="1:14" x14ac:dyDescent="0.2">
      <c r="A18" s="14"/>
      <c r="C18" s="30"/>
      <c r="D18" s="30"/>
      <c r="E18" s="30"/>
      <c r="F18" s="30"/>
      <c r="G18" s="30"/>
      <c r="H18" s="30"/>
      <c r="I18" s="30"/>
      <c r="J18" s="30"/>
      <c r="K18" s="30"/>
      <c r="L18" s="7"/>
      <c r="M18" s="7"/>
      <c r="N18" s="7"/>
    </row>
    <row r="19" spans="1:14" x14ac:dyDescent="0.2">
      <c r="C19" s="38" t="s">
        <v>37</v>
      </c>
      <c r="D19" s="35"/>
      <c r="E19" s="35"/>
      <c r="F19" s="35"/>
      <c r="G19" s="35"/>
      <c r="H19" s="35"/>
      <c r="I19" s="35"/>
      <c r="J19" s="35"/>
      <c r="K19" s="35"/>
    </row>
    <row r="20" spans="1:14" x14ac:dyDescent="0.2">
      <c r="C20" s="38" t="s">
        <v>23</v>
      </c>
      <c r="D20" s="35"/>
      <c r="E20" s="35"/>
      <c r="F20" s="35"/>
      <c r="G20" s="35"/>
      <c r="H20" s="35"/>
      <c r="I20" s="35"/>
      <c r="J20" s="35"/>
      <c r="K20" s="35"/>
    </row>
    <row r="21" spans="1:14" x14ac:dyDescent="0.2">
      <c r="C21" s="38" t="s">
        <v>46</v>
      </c>
      <c r="D21" s="35"/>
      <c r="E21" s="35"/>
      <c r="F21" s="35"/>
      <c r="G21" s="35"/>
      <c r="H21" s="35"/>
      <c r="I21" s="35"/>
      <c r="J21" s="35"/>
      <c r="K21" s="35"/>
    </row>
    <row r="22" spans="1:14" x14ac:dyDescent="0.2">
      <c r="C22" s="30" t="s">
        <v>24</v>
      </c>
      <c r="D22" s="35"/>
      <c r="E22" s="35"/>
      <c r="F22" s="35"/>
      <c r="G22" s="35"/>
      <c r="H22" s="35"/>
      <c r="I22" s="35"/>
      <c r="J22" s="35"/>
      <c r="K22" s="35"/>
    </row>
    <row r="24" spans="1:14" x14ac:dyDescent="0.2">
      <c r="C24" s="30" t="s">
        <v>25</v>
      </c>
      <c r="D24" s="31" t="s">
        <v>26</v>
      </c>
      <c r="E24" s="32" t="s">
        <v>27</v>
      </c>
      <c r="F24" s="30" t="s">
        <v>28</v>
      </c>
      <c r="G24" s="39" t="s">
        <v>19</v>
      </c>
      <c r="H24" s="30" t="s">
        <v>29</v>
      </c>
      <c r="I24" s="35"/>
      <c r="J24" s="35"/>
      <c r="K24" s="35"/>
    </row>
    <row r="25" spans="1:14" x14ac:dyDescent="0.2">
      <c r="C25" s="30">
        <v>2139710</v>
      </c>
      <c r="D25" s="30">
        <v>7836</v>
      </c>
      <c r="E25" s="30">
        <v>7956.16</v>
      </c>
      <c r="F25" s="30">
        <f>-D25+E25</f>
        <v>120.15999999999985</v>
      </c>
      <c r="G25" s="39">
        <v>0.21</v>
      </c>
      <c r="H25" s="30">
        <f>F25*G25</f>
        <v>25.233599999999967</v>
      </c>
      <c r="I25" s="35"/>
      <c r="J25" s="35"/>
      <c r="K25" s="35"/>
    </row>
    <row r="26" spans="1:14" ht="15" x14ac:dyDescent="0.35">
      <c r="C26" s="30">
        <v>-42798.530000000028</v>
      </c>
      <c r="D26" s="30"/>
      <c r="E26" s="40">
        <v>-159.1</v>
      </c>
      <c r="F26" s="40">
        <f>E26</f>
        <v>-159.1</v>
      </c>
      <c r="G26" s="39">
        <v>0.21</v>
      </c>
      <c r="H26" s="40">
        <f>F26*G26</f>
        <v>-33.410999999999994</v>
      </c>
      <c r="I26" s="35"/>
      <c r="J26" s="35"/>
      <c r="K26" s="35"/>
    </row>
    <row r="27" spans="1:14" x14ac:dyDescent="0.2">
      <c r="C27" s="35"/>
      <c r="D27" s="35"/>
      <c r="E27" s="30">
        <f>SUM(E25:E26)</f>
        <v>7797.0599999999995</v>
      </c>
      <c r="F27" s="30">
        <f>SUM(F25:F26)</f>
        <v>-38.94000000000014</v>
      </c>
      <c r="G27" s="35" t="s">
        <v>34</v>
      </c>
      <c r="H27" s="30">
        <f>SUM(H25:H26)</f>
        <v>-8.1774000000000271</v>
      </c>
      <c r="I27" s="35"/>
      <c r="J27" s="35"/>
      <c r="K27" s="35"/>
    </row>
    <row r="28" spans="1:14" ht="15" x14ac:dyDescent="0.35">
      <c r="C28" s="35"/>
      <c r="D28" s="35"/>
      <c r="E28" s="35"/>
      <c r="F28" s="35"/>
      <c r="G28" s="35" t="s">
        <v>35</v>
      </c>
      <c r="H28" s="40">
        <f>-H34*0.21</f>
        <v>-81.460049999999995</v>
      </c>
      <c r="I28" s="35"/>
      <c r="J28" s="35"/>
      <c r="K28" s="35"/>
    </row>
    <row r="29" spans="1:14" x14ac:dyDescent="0.2">
      <c r="C29" s="35"/>
      <c r="D29" s="35"/>
      <c r="E29" s="35"/>
      <c r="F29" s="35"/>
      <c r="G29" s="35"/>
      <c r="H29" s="30">
        <f>H27+H28</f>
        <v>-89.63745000000003</v>
      </c>
      <c r="I29" s="35"/>
      <c r="J29" s="35"/>
      <c r="K29" s="35"/>
    </row>
    <row r="30" spans="1:14" x14ac:dyDescent="0.2">
      <c r="C30" s="35"/>
      <c r="D30" s="35"/>
      <c r="E30" s="35"/>
      <c r="F30" s="35"/>
      <c r="G30" s="35"/>
      <c r="H30" s="30">
        <f>H29-K15</f>
        <v>5.3720999999999464</v>
      </c>
      <c r="I30" s="35" t="s">
        <v>44</v>
      </c>
      <c r="J30" s="35"/>
      <c r="K30" s="35"/>
    </row>
    <row r="31" spans="1:14" x14ac:dyDescent="0.2">
      <c r="C31" s="30" t="s">
        <v>30</v>
      </c>
      <c r="D31" s="36" t="s">
        <v>26</v>
      </c>
      <c r="E31" s="32" t="s">
        <v>31</v>
      </c>
      <c r="F31" s="30" t="s">
        <v>32</v>
      </c>
      <c r="G31" s="39" t="s">
        <v>20</v>
      </c>
      <c r="H31" s="30" t="s">
        <v>33</v>
      </c>
      <c r="I31" s="35"/>
      <c r="J31" s="35"/>
      <c r="K31" s="35"/>
    </row>
    <row r="32" spans="1:14" x14ac:dyDescent="0.2">
      <c r="C32" s="30">
        <v>4279420</v>
      </c>
      <c r="D32" s="30">
        <v>7836</v>
      </c>
      <c r="E32" s="30">
        <v>15912.31</v>
      </c>
      <c r="F32" s="30">
        <f>-D32+E32</f>
        <v>8076.3099999999995</v>
      </c>
      <c r="G32" s="39">
        <v>0.05</v>
      </c>
      <c r="H32" s="30">
        <f>F32*G32</f>
        <v>403.81549999999999</v>
      </c>
      <c r="I32" s="35"/>
      <c r="J32" s="35"/>
      <c r="K32" s="35"/>
    </row>
    <row r="33" spans="3:8" ht="15" x14ac:dyDescent="0.35">
      <c r="C33" s="30">
        <v>-85597.060000000056</v>
      </c>
      <c r="D33" s="30"/>
      <c r="E33" s="40">
        <v>-318.20999999999998</v>
      </c>
      <c r="F33" s="40">
        <f>E33</f>
        <v>-318.20999999999998</v>
      </c>
      <c r="G33" s="39">
        <v>0.05</v>
      </c>
      <c r="H33" s="40">
        <f>F33*G33</f>
        <v>-15.910499999999999</v>
      </c>
    </row>
    <row r="34" spans="3:8" x14ac:dyDescent="0.2">
      <c r="C34" s="35"/>
      <c r="D34" s="35"/>
      <c r="E34" s="30">
        <f>SUM(E32:E33)</f>
        <v>15594.1</v>
      </c>
      <c r="F34" s="30">
        <f>SUM(F32:F33)</f>
        <v>7758.0999999999995</v>
      </c>
      <c r="G34" s="35"/>
      <c r="H34" s="30">
        <f>SUM(H32:H33)</f>
        <v>387.90499999999997</v>
      </c>
    </row>
    <row r="35" spans="3:8" x14ac:dyDescent="0.2">
      <c r="C35" s="35"/>
      <c r="D35" s="35"/>
      <c r="E35" s="35"/>
      <c r="F35" s="35"/>
      <c r="G35" s="35"/>
      <c r="H35" s="30">
        <f>H34-L15</f>
        <v>0</v>
      </c>
    </row>
  </sheetData>
  <pageMargins left="0.7" right="0.7" top="1.15625" bottom="0.75" header="0.3" footer="0.3"/>
  <pageSetup scale="50" orientation="portrait" r:id="rId1"/>
  <headerFooter>
    <oddHeader>&amp;R&amp;"Times New Roman,Bold"&amp;12Attachment to Response to Question 3
Page 2 of 7
Clements</oddHead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374E-388D-4C97-8725-60B636E9F3ED}">
  <dimension ref="A1:Q33"/>
  <sheetViews>
    <sheetView zoomScaleNormal="100" workbookViewId="0"/>
  </sheetViews>
  <sheetFormatPr defaultRowHeight="12.75" x14ac:dyDescent="0.2"/>
  <cols>
    <col min="1" max="1" width="11.28515625" style="3" customWidth="1"/>
    <col min="2" max="2" width="1.7109375" customWidth="1"/>
    <col min="3" max="3" width="14.28515625" customWidth="1"/>
    <col min="4" max="4" width="14.28515625" bestFit="1" customWidth="1"/>
    <col min="5" max="5" width="16.42578125" customWidth="1"/>
    <col min="6" max="6" width="15.5703125" customWidth="1"/>
    <col min="7" max="8" width="14.28515625" customWidth="1"/>
    <col min="9" max="12" width="12.7109375" customWidth="1"/>
    <col min="13" max="13" width="16.5703125" bestFit="1" customWidth="1"/>
    <col min="14" max="14" width="12.7109375" customWidth="1"/>
    <col min="15" max="15" width="11.28515625" customWidth="1"/>
    <col min="16" max="16" width="14.5703125" bestFit="1" customWidth="1"/>
  </cols>
  <sheetData>
    <row r="1" spans="1:17" x14ac:dyDescent="0.2">
      <c r="A1" s="12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x14ac:dyDescent="0.2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7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7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7" x14ac:dyDescent="0.2">
      <c r="A5" s="9" t="s">
        <v>13</v>
      </c>
    </row>
    <row r="6" spans="1:17" x14ac:dyDescent="0.2">
      <c r="A6" s="11" t="s">
        <v>39</v>
      </c>
    </row>
    <row r="7" spans="1:17" x14ac:dyDescent="0.2">
      <c r="Q7" t="s">
        <v>10</v>
      </c>
    </row>
    <row r="8" spans="1:17" s="6" customFormat="1" ht="38.25" x14ac:dyDescent="0.2">
      <c r="A8" s="4" t="s">
        <v>0</v>
      </c>
      <c r="B8" s="5"/>
      <c r="C8" s="5" t="s">
        <v>1</v>
      </c>
      <c r="D8" s="5" t="s">
        <v>2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</v>
      </c>
      <c r="N8" s="5" t="s">
        <v>4</v>
      </c>
    </row>
    <row r="9" spans="1:17" x14ac:dyDescent="0.2">
      <c r="A9" s="3" t="s">
        <v>8</v>
      </c>
      <c r="M9" s="7">
        <v>7755846.2933899993</v>
      </c>
    </row>
    <row r="10" spans="1:17" x14ac:dyDescent="0.2">
      <c r="A10" s="28">
        <v>45909</v>
      </c>
      <c r="C10" s="7">
        <v>229629676</v>
      </c>
      <c r="D10" s="21">
        <f>929078.49</f>
        <v>929078.49</v>
      </c>
      <c r="E10" s="10">
        <f>1256931</f>
        <v>1256931</v>
      </c>
      <c r="F10" s="10">
        <f>1256931</f>
        <v>1256931</v>
      </c>
      <c r="G10" s="7">
        <f>E10-D10</f>
        <v>327852.51</v>
      </c>
      <c r="H10" s="7">
        <f>F10-D10</f>
        <v>327852.51</v>
      </c>
      <c r="I10" s="8">
        <v>0.21</v>
      </c>
      <c r="J10" s="8">
        <v>0.05</v>
      </c>
      <c r="K10" s="7">
        <f>G10*I10-L10*I10</f>
        <v>65406.575745000009</v>
      </c>
      <c r="L10" s="7">
        <f>H10*J10</f>
        <v>16392.625500000002</v>
      </c>
      <c r="M10" s="7">
        <f t="shared" ref="M10" si="0">M9+K10+L10</f>
        <v>7837645.494634999</v>
      </c>
      <c r="N10" s="7">
        <v>7399.5</v>
      </c>
      <c r="P10" s="29"/>
    </row>
    <row r="11" spans="1:17" x14ac:dyDescent="0.2">
      <c r="A11" s="28">
        <v>45931</v>
      </c>
      <c r="C11" s="7">
        <v>229629676</v>
      </c>
      <c r="D11" s="21">
        <f t="shared" ref="D11:D14" si="1">929078.49</f>
        <v>929078.49</v>
      </c>
      <c r="E11" s="10">
        <f t="shared" ref="E11:F13" si="2">1256931</f>
        <v>1256931</v>
      </c>
      <c r="F11" s="10">
        <f t="shared" si="2"/>
        <v>1256931</v>
      </c>
      <c r="G11" s="7">
        <f t="shared" ref="G11:G13" si="3">E11-D11</f>
        <v>327852.51</v>
      </c>
      <c r="H11" s="7">
        <f t="shared" ref="H11:H13" si="4">F11-D11</f>
        <v>327852.51</v>
      </c>
      <c r="I11" s="8">
        <v>0.21</v>
      </c>
      <c r="J11" s="8">
        <v>0.05</v>
      </c>
      <c r="K11" s="7">
        <f t="shared" ref="K11:K15" si="5">G11*I11-L11*I11</f>
        <v>65406.575745000009</v>
      </c>
      <c r="L11" s="7">
        <f t="shared" ref="L11:L15" si="6">H11*J11</f>
        <v>16392.625500000002</v>
      </c>
      <c r="M11" s="7">
        <f t="shared" ref="M11:M15" si="7">M10+K11+L11</f>
        <v>7919444.6958799986</v>
      </c>
      <c r="N11" s="7">
        <v>7399.5</v>
      </c>
      <c r="O11" s="7"/>
      <c r="P11" s="15"/>
    </row>
    <row r="12" spans="1:17" x14ac:dyDescent="0.2">
      <c r="A12" s="28">
        <v>45962</v>
      </c>
      <c r="C12" s="7">
        <v>229629676</v>
      </c>
      <c r="D12" s="21">
        <f t="shared" si="1"/>
        <v>929078.49</v>
      </c>
      <c r="E12" s="10">
        <f t="shared" si="2"/>
        <v>1256931</v>
      </c>
      <c r="F12" s="10">
        <f t="shared" si="2"/>
        <v>1256931</v>
      </c>
      <c r="G12" s="7">
        <f t="shared" ref="G12" si="8">E12-D12</f>
        <v>327852.51</v>
      </c>
      <c r="H12" s="7">
        <f t="shared" ref="H12" si="9">F12-D12</f>
        <v>327852.51</v>
      </c>
      <c r="I12" s="8">
        <v>0.21</v>
      </c>
      <c r="J12" s="8">
        <v>0.05</v>
      </c>
      <c r="K12" s="7">
        <f t="shared" si="5"/>
        <v>65406.575745000009</v>
      </c>
      <c r="L12" s="7">
        <f t="shared" si="6"/>
        <v>16392.625500000002</v>
      </c>
      <c r="M12" s="7">
        <f t="shared" si="7"/>
        <v>8001243.8971249983</v>
      </c>
      <c r="N12" s="7">
        <v>7399.5</v>
      </c>
      <c r="O12" s="15"/>
    </row>
    <row r="13" spans="1:17" x14ac:dyDescent="0.2">
      <c r="A13" s="28">
        <v>45992</v>
      </c>
      <c r="C13" s="7">
        <v>229629676</v>
      </c>
      <c r="D13" s="21">
        <f t="shared" si="1"/>
        <v>929078.49</v>
      </c>
      <c r="E13" s="10">
        <f>1256931+2</f>
        <v>1256933</v>
      </c>
      <c r="F13" s="10">
        <f t="shared" si="2"/>
        <v>1256931</v>
      </c>
      <c r="G13" s="7">
        <f t="shared" si="3"/>
        <v>327854.51</v>
      </c>
      <c r="H13" s="7">
        <f t="shared" si="4"/>
        <v>327852.51</v>
      </c>
      <c r="I13" s="8">
        <v>0.21</v>
      </c>
      <c r="J13" s="8">
        <v>0.05</v>
      </c>
      <c r="K13" s="7">
        <f t="shared" si="5"/>
        <v>65406.995745000007</v>
      </c>
      <c r="L13" s="7">
        <f t="shared" si="6"/>
        <v>16392.625500000002</v>
      </c>
      <c r="M13" s="7">
        <f t="shared" si="7"/>
        <v>8083043.5183699988</v>
      </c>
      <c r="N13" s="7">
        <v>7399.5</v>
      </c>
      <c r="O13" s="7"/>
    </row>
    <row r="14" spans="1:17" x14ac:dyDescent="0.2">
      <c r="A14" s="28">
        <v>46023</v>
      </c>
      <c r="C14" s="7">
        <v>229629676</v>
      </c>
      <c r="D14" s="21">
        <f t="shared" si="1"/>
        <v>929078.49</v>
      </c>
      <c r="E14" s="10">
        <f>1042647.42</f>
        <v>1042647.42</v>
      </c>
      <c r="F14" s="10">
        <f>1042647.42</f>
        <v>1042647.42</v>
      </c>
      <c r="G14" s="7">
        <f>E14-D14</f>
        <v>113568.93000000005</v>
      </c>
      <c r="H14" s="7">
        <f>F14-D14</f>
        <v>113568.93000000005</v>
      </c>
      <c r="I14" s="8">
        <v>0.21</v>
      </c>
      <c r="J14" s="8">
        <v>0.05</v>
      </c>
      <c r="K14" s="7">
        <f t="shared" si="5"/>
        <v>22657.00153500001</v>
      </c>
      <c r="L14" s="7">
        <f t="shared" si="6"/>
        <v>5678.4465000000027</v>
      </c>
      <c r="M14" s="7">
        <f t="shared" si="7"/>
        <v>8111378.9664049987</v>
      </c>
      <c r="N14" s="7">
        <v>0</v>
      </c>
      <c r="O14" s="15"/>
      <c r="Q14" s="7"/>
    </row>
    <row r="15" spans="1:17" x14ac:dyDescent="0.2">
      <c r="A15" s="28">
        <v>46054</v>
      </c>
      <c r="C15" s="7">
        <v>229629676</v>
      </c>
      <c r="D15" s="21">
        <f>929078</f>
        <v>929078</v>
      </c>
      <c r="E15" s="10">
        <f>1042647.42</f>
        <v>1042647.42</v>
      </c>
      <c r="F15" s="10">
        <f>1042647.42</f>
        <v>1042647.42</v>
      </c>
      <c r="G15" s="7">
        <f>E15-D15</f>
        <v>113569.42000000004</v>
      </c>
      <c r="H15" s="7">
        <f>F15-D15</f>
        <v>113569.42000000004</v>
      </c>
      <c r="I15" s="8">
        <v>0.21</v>
      </c>
      <c r="J15" s="8">
        <v>0.05</v>
      </c>
      <c r="K15" s="7">
        <f t="shared" si="5"/>
        <v>22657.099290000006</v>
      </c>
      <c r="L15" s="7">
        <f t="shared" si="6"/>
        <v>5678.4710000000023</v>
      </c>
      <c r="M15" s="7">
        <f t="shared" si="7"/>
        <v>8139714.5366949989</v>
      </c>
      <c r="N15" s="7">
        <v>0</v>
      </c>
      <c r="O15" s="7"/>
      <c r="Q15" s="7"/>
    </row>
    <row r="16" spans="1:17" x14ac:dyDescent="0.2">
      <c r="A16" s="1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6"/>
    </row>
    <row r="17" spans="1:14" x14ac:dyDescent="0.2">
      <c r="A17" s="1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1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">
      <c r="C19" s="22"/>
    </row>
    <row r="20" spans="1:14" x14ac:dyDescent="0.2">
      <c r="C20" s="22"/>
    </row>
    <row r="21" spans="1:14" x14ac:dyDescent="0.2">
      <c r="C21" s="22"/>
    </row>
    <row r="22" spans="1:14" x14ac:dyDescent="0.2">
      <c r="C22" s="7"/>
      <c r="E22" s="42" t="s">
        <v>10</v>
      </c>
    </row>
    <row r="24" spans="1:14" x14ac:dyDescent="0.2">
      <c r="C24" s="7"/>
      <c r="D24" s="25"/>
      <c r="E24" s="24"/>
      <c r="F24" s="7"/>
      <c r="G24" s="8"/>
      <c r="H24" s="7"/>
    </row>
    <row r="25" spans="1:14" x14ac:dyDescent="0.2">
      <c r="C25" s="7"/>
      <c r="D25" s="7"/>
      <c r="E25" s="7"/>
      <c r="F25" s="7"/>
      <c r="G25" s="8"/>
      <c r="H25" s="7"/>
    </row>
    <row r="26" spans="1:14" ht="15" x14ac:dyDescent="0.35">
      <c r="C26" s="7"/>
      <c r="D26" s="7"/>
      <c r="E26" s="26"/>
      <c r="F26" s="26"/>
      <c r="G26" s="8"/>
      <c r="H26" s="26"/>
    </row>
    <row r="27" spans="1:14" x14ac:dyDescent="0.2">
      <c r="E27" s="7"/>
      <c r="F27" s="7"/>
      <c r="G27" s="27"/>
      <c r="H27" s="7"/>
    </row>
    <row r="28" spans="1:14" ht="15" x14ac:dyDescent="0.35">
      <c r="G28" s="27"/>
      <c r="H28" s="26"/>
    </row>
    <row r="29" spans="1:14" x14ac:dyDescent="0.2">
      <c r="H29" s="7"/>
    </row>
    <row r="30" spans="1:14" x14ac:dyDescent="0.2">
      <c r="H30" s="7"/>
    </row>
    <row r="31" spans="1:14" x14ac:dyDescent="0.2">
      <c r="C31" s="7"/>
      <c r="D31" s="23"/>
      <c r="E31" s="24"/>
      <c r="F31" s="7"/>
      <c r="G31" s="8"/>
      <c r="H31" s="7"/>
    </row>
    <row r="32" spans="1:14" x14ac:dyDescent="0.2">
      <c r="C32" s="7"/>
      <c r="D32" s="7"/>
      <c r="E32" s="7"/>
      <c r="F32" s="7"/>
      <c r="G32" s="8"/>
      <c r="H32" s="7"/>
    </row>
    <row r="33" spans="8:8" x14ac:dyDescent="0.2">
      <c r="H33" s="7"/>
    </row>
  </sheetData>
  <pageMargins left="0.7" right="0.7" top="1.15625" bottom="0.75" header="0.3" footer="0.3"/>
  <pageSetup scale="50" orientation="portrait" r:id="rId1"/>
  <headerFooter>
    <oddHeader>&amp;R&amp;"Times New Roman,Bold"&amp;12Attachment to Response to Question 3
Page 3 of 7
Clements</oddHead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9"/>
  <sheetViews>
    <sheetView zoomScaleNormal="100" workbookViewId="0"/>
  </sheetViews>
  <sheetFormatPr defaultRowHeight="12.75" x14ac:dyDescent="0.2"/>
  <cols>
    <col min="1" max="1" width="11.28515625" style="3" customWidth="1"/>
    <col min="2" max="2" width="1.7109375" customWidth="1"/>
    <col min="3" max="3" width="14.28515625" customWidth="1"/>
    <col min="4" max="4" width="14.28515625" bestFit="1" customWidth="1"/>
    <col min="5" max="5" width="16.42578125" customWidth="1"/>
    <col min="6" max="6" width="15.5703125" customWidth="1"/>
    <col min="7" max="8" width="14.28515625" customWidth="1"/>
    <col min="9" max="12" width="12.7109375" customWidth="1"/>
    <col min="13" max="13" width="16.5703125" bestFit="1" customWidth="1"/>
    <col min="14" max="14" width="12.7109375" customWidth="1"/>
    <col min="15" max="15" width="11.28515625" customWidth="1"/>
    <col min="16" max="16" width="14.5703125" bestFit="1" customWidth="1"/>
  </cols>
  <sheetData>
    <row r="1" spans="1:17" x14ac:dyDescent="0.2">
      <c r="A1" s="12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x14ac:dyDescent="0.2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7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7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7" x14ac:dyDescent="0.2">
      <c r="A5" s="9" t="s">
        <v>13</v>
      </c>
    </row>
    <row r="6" spans="1:17" x14ac:dyDescent="0.2">
      <c r="A6" s="11" t="s">
        <v>14</v>
      </c>
    </row>
    <row r="8" spans="1:17" s="6" customFormat="1" ht="38.25" x14ac:dyDescent="0.2">
      <c r="A8" s="4" t="s">
        <v>0</v>
      </c>
      <c r="B8" s="5"/>
      <c r="C8" s="5" t="s">
        <v>1</v>
      </c>
      <c r="D8" s="5" t="s">
        <v>2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</v>
      </c>
      <c r="N8" s="5" t="s">
        <v>4</v>
      </c>
    </row>
    <row r="9" spans="1:17" x14ac:dyDescent="0.2">
      <c r="A9" s="3" t="s">
        <v>8</v>
      </c>
      <c r="M9" s="7">
        <v>4539177.3903450016</v>
      </c>
    </row>
    <row r="10" spans="1:17" x14ac:dyDescent="0.2">
      <c r="A10" s="28">
        <v>45909</v>
      </c>
      <c r="C10" s="7">
        <v>42148136</v>
      </c>
      <c r="D10" s="21">
        <v>82189.490000000005</v>
      </c>
      <c r="E10" s="10">
        <f>111475.72</f>
        <v>111475.72</v>
      </c>
      <c r="F10" s="10">
        <f>172276.85</f>
        <v>172276.85</v>
      </c>
      <c r="G10" s="7">
        <f>E10-D10</f>
        <v>29286.229999999996</v>
      </c>
      <c r="H10" s="7">
        <f>F10-D10</f>
        <v>90087.360000000001</v>
      </c>
      <c r="I10" s="8">
        <v>0.21</v>
      </c>
      <c r="J10" s="8">
        <v>0.05</v>
      </c>
      <c r="K10" s="7">
        <f t="shared" ref="K10" si="0">G10*I10-L10*I10-4.1</f>
        <v>5200.0910199999989</v>
      </c>
      <c r="L10" s="7">
        <f>H10*J10</f>
        <v>4504.3680000000004</v>
      </c>
      <c r="M10" s="7">
        <f t="shared" ref="M10" si="1">M9+K10+L10</f>
        <v>4548881.8493650015</v>
      </c>
      <c r="N10" s="7">
        <v>113921</v>
      </c>
      <c r="P10" s="15"/>
    </row>
    <row r="11" spans="1:17" x14ac:dyDescent="0.2">
      <c r="A11" s="28">
        <v>45931</v>
      </c>
      <c r="C11" s="7">
        <v>42148136</v>
      </c>
      <c r="D11" s="21">
        <v>82189.490000000005</v>
      </c>
      <c r="E11" s="10">
        <f>111475.72+2</f>
        <v>111477.72</v>
      </c>
      <c r="F11" s="10">
        <f t="shared" ref="F11:F13" si="2">172276.85</f>
        <v>172276.85</v>
      </c>
      <c r="G11" s="7">
        <f t="shared" ref="G11:G13" si="3">E11-D11</f>
        <v>29288.229999999996</v>
      </c>
      <c r="H11" s="7">
        <f t="shared" ref="H11:H13" si="4">F11-D11</f>
        <v>90087.360000000001</v>
      </c>
      <c r="I11" s="8">
        <v>0.21</v>
      </c>
      <c r="J11" s="8">
        <v>0.05</v>
      </c>
      <c r="K11" s="7">
        <f t="shared" ref="K11:K13" si="5">G11*I11-L11*I11-4.1</f>
        <v>5200.511019999999</v>
      </c>
      <c r="L11" s="7">
        <f>H11*J11</f>
        <v>4504.3680000000004</v>
      </c>
      <c r="M11" s="7">
        <f t="shared" ref="M11:M15" si="6">M10+K11+L11</f>
        <v>4558586.7283850014</v>
      </c>
      <c r="N11" s="7">
        <v>113921</v>
      </c>
      <c r="O11" s="7"/>
      <c r="P11" s="15"/>
    </row>
    <row r="12" spans="1:17" x14ac:dyDescent="0.2">
      <c r="A12" s="28">
        <v>45962</v>
      </c>
      <c r="C12" s="7">
        <v>42148136</v>
      </c>
      <c r="D12" s="21">
        <v>82189.490000000005</v>
      </c>
      <c r="E12" s="10">
        <f t="shared" ref="E12:E13" si="7">111475.72</f>
        <v>111475.72</v>
      </c>
      <c r="F12" s="10">
        <f t="shared" si="2"/>
        <v>172276.85</v>
      </c>
      <c r="G12" s="7">
        <f t="shared" si="3"/>
        <v>29286.229999999996</v>
      </c>
      <c r="H12" s="7">
        <f t="shared" si="4"/>
        <v>90087.360000000001</v>
      </c>
      <c r="I12" s="8">
        <v>0.21</v>
      </c>
      <c r="J12" s="8">
        <v>0.05</v>
      </c>
      <c r="K12" s="7">
        <f t="shared" si="5"/>
        <v>5200.0910199999989</v>
      </c>
      <c r="L12" s="7">
        <f>H12*J12</f>
        <v>4504.3680000000004</v>
      </c>
      <c r="M12" s="7">
        <f t="shared" si="6"/>
        <v>4568291.1874050014</v>
      </c>
      <c r="N12" s="7">
        <v>113921</v>
      </c>
      <c r="O12" s="15"/>
    </row>
    <row r="13" spans="1:17" x14ac:dyDescent="0.2">
      <c r="A13" s="28">
        <v>45992</v>
      </c>
      <c r="C13" s="7">
        <v>42148136</v>
      </c>
      <c r="D13" s="21">
        <v>82189.490000000005</v>
      </c>
      <c r="E13" s="10">
        <f t="shared" si="7"/>
        <v>111475.72</v>
      </c>
      <c r="F13" s="10">
        <f t="shared" si="2"/>
        <v>172276.85</v>
      </c>
      <c r="G13" s="7">
        <f t="shared" si="3"/>
        <v>29286.229999999996</v>
      </c>
      <c r="H13" s="7">
        <f t="shared" si="4"/>
        <v>90087.360000000001</v>
      </c>
      <c r="I13" s="8">
        <v>0.21</v>
      </c>
      <c r="J13" s="8">
        <v>0.05</v>
      </c>
      <c r="K13" s="7">
        <f t="shared" si="5"/>
        <v>5200.0910199999989</v>
      </c>
      <c r="L13" s="7">
        <f>H13*J13</f>
        <v>4504.3680000000004</v>
      </c>
      <c r="M13" s="7">
        <f t="shared" si="6"/>
        <v>4577995.6464250013</v>
      </c>
      <c r="N13" s="7">
        <v>178672.77</v>
      </c>
      <c r="O13" s="7"/>
    </row>
    <row r="14" spans="1:17" x14ac:dyDescent="0.2">
      <c r="A14" s="28">
        <v>46023</v>
      </c>
      <c r="C14" s="7">
        <v>42148136</v>
      </c>
      <c r="D14" s="21">
        <v>82189</v>
      </c>
      <c r="E14" s="10">
        <f>103176.16</f>
        <v>103176.16</v>
      </c>
      <c r="F14" s="10">
        <f>159473.26</f>
        <v>159473.26</v>
      </c>
      <c r="G14" s="7">
        <f>E14-D14</f>
        <v>20987.160000000003</v>
      </c>
      <c r="H14" s="7">
        <f>F14-D14</f>
        <v>77284.260000000009</v>
      </c>
      <c r="I14" s="8">
        <v>0.21</v>
      </c>
      <c r="J14" s="8">
        <v>0.05</v>
      </c>
      <c r="K14" s="7">
        <f>G14*I14-L14*I14-4.12</f>
        <v>3591.6988700000002</v>
      </c>
      <c r="L14" s="7">
        <f t="shared" ref="L14:L15" si="8">H14*J14</f>
        <v>3864.2130000000006</v>
      </c>
      <c r="M14" s="7">
        <f t="shared" si="6"/>
        <v>4585451.5582950022</v>
      </c>
      <c r="N14" s="7">
        <v>0</v>
      </c>
      <c r="O14" s="15"/>
      <c r="Q14" s="7"/>
    </row>
    <row r="15" spans="1:17" x14ac:dyDescent="0.2">
      <c r="A15" s="28">
        <v>46054</v>
      </c>
      <c r="C15" s="7">
        <v>42148136</v>
      </c>
      <c r="D15" s="21">
        <v>82189</v>
      </c>
      <c r="E15" s="10">
        <f>103176.49</f>
        <v>103176.49</v>
      </c>
      <c r="F15" s="10">
        <f>159473.26</f>
        <v>159473.26</v>
      </c>
      <c r="G15" s="7">
        <f>E15-D15</f>
        <v>20987.490000000005</v>
      </c>
      <c r="H15" s="7">
        <f>F15-D15</f>
        <v>77284.260000000009</v>
      </c>
      <c r="I15" s="8">
        <v>0.21</v>
      </c>
      <c r="J15" s="8">
        <v>0.05</v>
      </c>
      <c r="K15" s="7">
        <f>G15*I15-L15*I15-4.12</f>
        <v>3591.7681700000012</v>
      </c>
      <c r="L15" s="7">
        <f t="shared" si="8"/>
        <v>3864.2130000000006</v>
      </c>
      <c r="M15" s="7">
        <f t="shared" si="6"/>
        <v>4592907.5394650027</v>
      </c>
      <c r="N15" s="7">
        <v>0</v>
      </c>
      <c r="O15" s="7"/>
      <c r="Q15" s="7"/>
    </row>
    <row r="16" spans="1:17" x14ac:dyDescent="0.2">
      <c r="A16" s="1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6"/>
    </row>
    <row r="17" spans="1:14" x14ac:dyDescent="0.2">
      <c r="A17" s="14"/>
      <c r="C17" s="30" t="s">
        <v>43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1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">
      <c r="C19" s="38" t="s">
        <v>38</v>
      </c>
      <c r="D19" s="35"/>
      <c r="E19" s="35"/>
      <c r="F19" s="35"/>
      <c r="G19" s="35"/>
      <c r="H19" s="35"/>
      <c r="I19" s="35"/>
      <c r="J19" s="35"/>
    </row>
    <row r="20" spans="1:14" x14ac:dyDescent="0.2">
      <c r="C20" s="38" t="s">
        <v>23</v>
      </c>
      <c r="D20" s="35"/>
      <c r="E20" s="35"/>
      <c r="F20" s="35"/>
      <c r="G20" s="35"/>
      <c r="H20" s="35"/>
      <c r="I20" s="35"/>
      <c r="J20" s="35"/>
    </row>
    <row r="21" spans="1:14" x14ac:dyDescent="0.2">
      <c r="C21" s="38" t="s">
        <v>46</v>
      </c>
      <c r="D21" s="35"/>
      <c r="E21" s="35"/>
      <c r="F21" s="35"/>
      <c r="G21" s="35"/>
      <c r="H21" s="35"/>
      <c r="I21" s="35"/>
      <c r="J21" s="35"/>
    </row>
    <row r="22" spans="1:14" x14ac:dyDescent="0.2">
      <c r="C22" s="30" t="s">
        <v>24</v>
      </c>
      <c r="D22" s="35"/>
      <c r="E22" s="35"/>
      <c r="F22" s="35"/>
      <c r="G22" s="35"/>
      <c r="H22" s="35"/>
      <c r="I22" s="35"/>
      <c r="J22" s="35"/>
    </row>
    <row r="24" spans="1:14" x14ac:dyDescent="0.2">
      <c r="C24" s="30" t="s">
        <v>25</v>
      </c>
      <c r="D24" s="31" t="s">
        <v>26</v>
      </c>
      <c r="E24" s="32" t="s">
        <v>27</v>
      </c>
      <c r="F24" s="30" t="s">
        <v>28</v>
      </c>
      <c r="G24" s="39" t="s">
        <v>19</v>
      </c>
      <c r="H24" s="30" t="s">
        <v>29</v>
      </c>
      <c r="I24" s="35"/>
      <c r="J24" s="35"/>
    </row>
    <row r="25" spans="1:14" x14ac:dyDescent="0.2">
      <c r="C25" s="30">
        <v>175037.2</v>
      </c>
      <c r="D25" s="30">
        <v>82189.490000000005</v>
      </c>
      <c r="E25" s="30">
        <v>650.70000000000005</v>
      </c>
      <c r="F25" s="30">
        <f>-D25+E25</f>
        <v>-81538.790000000008</v>
      </c>
      <c r="G25" s="39">
        <v>0.21</v>
      </c>
      <c r="H25" s="30">
        <f>F25*G25</f>
        <v>-17123.1459</v>
      </c>
      <c r="I25" s="35"/>
      <c r="J25" s="35"/>
    </row>
    <row r="26" spans="1:14" x14ac:dyDescent="0.2">
      <c r="C26" s="30">
        <v>25712341</v>
      </c>
      <c r="D26" s="30"/>
      <c r="E26" s="30">
        <v>96892.67</v>
      </c>
      <c r="F26" s="30">
        <f>E26</f>
        <v>96892.67</v>
      </c>
      <c r="G26" s="39">
        <v>0.21</v>
      </c>
      <c r="H26" s="30">
        <f>F26*G26</f>
        <v>20347.4607</v>
      </c>
      <c r="I26" s="35"/>
      <c r="J26" s="35"/>
    </row>
    <row r="27" spans="1:14" x14ac:dyDescent="0.2">
      <c r="C27" s="41">
        <v>1076291.1100000001</v>
      </c>
      <c r="D27" s="30"/>
      <c r="E27" s="30">
        <v>4384.09</v>
      </c>
      <c r="F27" s="30">
        <f>E27</f>
        <v>4384.09</v>
      </c>
      <c r="G27" s="39">
        <v>0.21</v>
      </c>
      <c r="H27" s="30">
        <f>F27*G27</f>
        <v>920.65890000000002</v>
      </c>
      <c r="I27" s="35"/>
      <c r="J27" s="35"/>
    </row>
    <row r="28" spans="1:14" ht="15" x14ac:dyDescent="0.35">
      <c r="C28" s="41">
        <v>242582</v>
      </c>
      <c r="D28" s="30"/>
      <c r="E28" s="40">
        <v>1248.69</v>
      </c>
      <c r="F28" s="40">
        <f>E28</f>
        <v>1248.69</v>
      </c>
      <c r="G28" s="39">
        <v>0.21</v>
      </c>
      <c r="H28" s="40">
        <f>F28*G28</f>
        <v>262.22489999999999</v>
      </c>
      <c r="I28" s="35"/>
      <c r="J28" s="35"/>
    </row>
    <row r="29" spans="1:14" x14ac:dyDescent="0.2">
      <c r="C29" s="35"/>
      <c r="D29" s="35"/>
      <c r="E29" s="30">
        <f>SUM(E25:E28)</f>
        <v>103176.15</v>
      </c>
      <c r="F29" s="30">
        <f>SUM(F25:F28)</f>
        <v>20986.659999999989</v>
      </c>
      <c r="G29" s="35" t="s">
        <v>34</v>
      </c>
      <c r="H29" s="30">
        <f>SUM(H25:H28)</f>
        <v>4407.1986000000006</v>
      </c>
      <c r="I29" s="35"/>
      <c r="J29" s="35"/>
    </row>
    <row r="30" spans="1:14" ht="15" x14ac:dyDescent="0.35">
      <c r="C30" s="35"/>
      <c r="D30" s="35"/>
      <c r="E30" s="35"/>
      <c r="F30" s="35"/>
      <c r="G30" s="35" t="s">
        <v>35</v>
      </c>
      <c r="H30" s="40">
        <f>-H38*0.21</f>
        <v>-811.47947999999985</v>
      </c>
      <c r="I30" s="35"/>
      <c r="J30" s="35"/>
    </row>
    <row r="31" spans="1:14" x14ac:dyDescent="0.2">
      <c r="C31" s="35"/>
      <c r="D31" s="35"/>
      <c r="E31" s="35"/>
      <c r="F31" s="35"/>
      <c r="G31" s="35"/>
      <c r="H31" s="30">
        <f>H29+H30</f>
        <v>3595.7191200000007</v>
      </c>
      <c r="I31" s="35"/>
      <c r="J31" s="35"/>
    </row>
    <row r="32" spans="1:14" x14ac:dyDescent="0.2">
      <c r="C32" s="35"/>
      <c r="D32" s="35"/>
      <c r="E32" s="35"/>
      <c r="F32" s="35"/>
      <c r="G32" s="35"/>
      <c r="H32" s="30">
        <f>H31-K15</f>
        <v>3.9509499999994659</v>
      </c>
      <c r="I32" s="35" t="s">
        <v>44</v>
      </c>
      <c r="J32" s="35"/>
    </row>
    <row r="33" spans="3:10" x14ac:dyDescent="0.2">
      <c r="C33" s="30" t="s">
        <v>30</v>
      </c>
      <c r="D33" s="36" t="s">
        <v>26</v>
      </c>
      <c r="E33" s="32" t="s">
        <v>31</v>
      </c>
      <c r="F33" s="30" t="s">
        <v>32</v>
      </c>
      <c r="G33" s="39" t="s">
        <v>20</v>
      </c>
      <c r="H33" s="30" t="s">
        <v>33</v>
      </c>
      <c r="I33" s="35"/>
      <c r="J33" s="35"/>
    </row>
    <row r="34" spans="3:10" x14ac:dyDescent="0.2">
      <c r="C34" s="30">
        <v>350074.4</v>
      </c>
      <c r="D34" s="30">
        <v>82189.490000000005</v>
      </c>
      <c r="E34" s="30">
        <v>1301.4000000000001</v>
      </c>
      <c r="F34" s="30">
        <f>-D34+E34</f>
        <v>-80888.090000000011</v>
      </c>
      <c r="G34" s="39">
        <v>0.05</v>
      </c>
      <c r="H34" s="30">
        <f>F34*G34</f>
        <v>-4044.4045000000006</v>
      </c>
    </row>
    <row r="35" spans="3:10" x14ac:dyDescent="0.2">
      <c r="C35" s="30">
        <v>40479188</v>
      </c>
      <c r="D35" s="30"/>
      <c r="E35" s="30">
        <v>152539.07</v>
      </c>
      <c r="F35" s="30">
        <f>E35</f>
        <v>152539.07</v>
      </c>
      <c r="G35" s="39">
        <v>0.05</v>
      </c>
      <c r="H35" s="30">
        <f>F35*G35</f>
        <v>7626.9535000000005</v>
      </c>
    </row>
    <row r="36" spans="3:10" x14ac:dyDescent="0.2">
      <c r="C36" s="41">
        <v>1076291.1100000001</v>
      </c>
      <c r="D36" s="30"/>
      <c r="E36" s="30">
        <v>4384.09</v>
      </c>
      <c r="F36" s="30">
        <f>E36</f>
        <v>4384.09</v>
      </c>
      <c r="G36" s="39">
        <v>0.05</v>
      </c>
      <c r="H36" s="30">
        <f>F36*G36</f>
        <v>219.20450000000002</v>
      </c>
    </row>
    <row r="37" spans="3:10" ht="15" x14ac:dyDescent="0.35">
      <c r="C37" s="30">
        <v>242582</v>
      </c>
      <c r="D37" s="30"/>
      <c r="E37" s="40">
        <v>1248.69</v>
      </c>
      <c r="F37" s="40">
        <f>E37</f>
        <v>1248.69</v>
      </c>
      <c r="G37" s="39">
        <v>0.05</v>
      </c>
      <c r="H37" s="40">
        <f>F37*G37</f>
        <v>62.434500000000007</v>
      </c>
    </row>
    <row r="38" spans="3:10" x14ac:dyDescent="0.2">
      <c r="C38" s="35"/>
      <c r="D38" s="35"/>
      <c r="E38" s="30">
        <f>SUM(E34:E37)</f>
        <v>159473.25</v>
      </c>
      <c r="F38" s="30">
        <f>SUM(F34:F37)</f>
        <v>77283.759999999995</v>
      </c>
      <c r="G38" s="35"/>
      <c r="H38" s="30">
        <f>SUM(H34:H37)</f>
        <v>3864.1879999999996</v>
      </c>
    </row>
    <row r="39" spans="3:10" x14ac:dyDescent="0.2">
      <c r="C39" s="35"/>
      <c r="D39" s="35"/>
      <c r="E39" s="35"/>
      <c r="F39" s="35"/>
      <c r="G39" s="35"/>
      <c r="H39" s="30">
        <f>H38-L15</f>
        <v>-2.5000000001000444E-2</v>
      </c>
    </row>
  </sheetData>
  <pageMargins left="0.7" right="0.7" top="1.15625" bottom="0.75" header="0.3" footer="0.3"/>
  <pageSetup scale="50" orientation="portrait" r:id="rId1"/>
  <headerFooter>
    <oddHeader>&amp;R&amp;"Times New Roman,Bold"&amp;12Attachment to Response to Question 3
Page 4 of 7
Clements</oddHeader>
  </headerFooter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932C-395C-4F36-A16E-83860B4C88FD}">
  <dimension ref="A1:Q33"/>
  <sheetViews>
    <sheetView zoomScaleNormal="100" workbookViewId="0"/>
  </sheetViews>
  <sheetFormatPr defaultRowHeight="12.75" x14ac:dyDescent="0.2"/>
  <cols>
    <col min="1" max="1" width="11.28515625" style="3" customWidth="1"/>
    <col min="2" max="2" width="1.7109375" customWidth="1"/>
    <col min="3" max="3" width="14.28515625" customWidth="1"/>
    <col min="4" max="4" width="14.28515625" bestFit="1" customWidth="1"/>
    <col min="5" max="5" width="16.42578125" customWidth="1"/>
    <col min="6" max="6" width="15.5703125" customWidth="1"/>
    <col min="7" max="8" width="14.28515625" customWidth="1"/>
    <col min="9" max="12" width="12.7109375" customWidth="1"/>
    <col min="13" max="13" width="16.5703125" bestFit="1" customWidth="1"/>
    <col min="14" max="14" width="12.7109375" customWidth="1"/>
    <col min="15" max="15" width="11.28515625" customWidth="1"/>
    <col min="16" max="16" width="14.5703125" bestFit="1" customWidth="1"/>
  </cols>
  <sheetData>
    <row r="1" spans="1:17" x14ac:dyDescent="0.2">
      <c r="A1" s="12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x14ac:dyDescent="0.2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7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7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7" x14ac:dyDescent="0.2">
      <c r="A5" s="9" t="s">
        <v>13</v>
      </c>
    </row>
    <row r="6" spans="1:17" x14ac:dyDescent="0.2">
      <c r="A6" s="11" t="s">
        <v>40</v>
      </c>
    </row>
    <row r="8" spans="1:17" s="6" customFormat="1" ht="38.25" x14ac:dyDescent="0.2">
      <c r="A8" s="4" t="s">
        <v>0</v>
      </c>
      <c r="B8" s="5"/>
      <c r="C8" s="5" t="s">
        <v>1</v>
      </c>
      <c r="D8" s="5" t="s">
        <v>2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</v>
      </c>
      <c r="N8" s="5" t="s">
        <v>4</v>
      </c>
    </row>
    <row r="9" spans="1:17" x14ac:dyDescent="0.2">
      <c r="A9" s="3" t="s">
        <v>8</v>
      </c>
      <c r="M9" s="7">
        <v>3773505.069039999</v>
      </c>
    </row>
    <row r="10" spans="1:17" x14ac:dyDescent="0.2">
      <c r="A10" s="28">
        <v>45909</v>
      </c>
      <c r="C10" s="7">
        <v>38717242</v>
      </c>
      <c r="D10" s="21">
        <v>164446</v>
      </c>
      <c r="E10" s="10">
        <f t="shared" ref="E10:F13" si="0">305249.92-0.35</f>
        <v>305249.57</v>
      </c>
      <c r="F10" s="10">
        <f t="shared" si="0"/>
        <v>305249.57</v>
      </c>
      <c r="G10" s="7">
        <f>E10-D10</f>
        <v>140803.57</v>
      </c>
      <c r="H10" s="7">
        <f>F10-D10</f>
        <v>140803.57</v>
      </c>
      <c r="I10" s="8">
        <v>0.21</v>
      </c>
      <c r="J10" s="8">
        <v>0.05</v>
      </c>
      <c r="K10" s="7">
        <f>G10*I10-L10*I10</f>
        <v>28090.312215000002</v>
      </c>
      <c r="L10" s="7">
        <f>H10*J10</f>
        <v>7040.1785000000009</v>
      </c>
      <c r="M10" s="7">
        <f t="shared" ref="M10" si="1">M9+K10+L10</f>
        <v>3808635.5597549989</v>
      </c>
      <c r="N10" s="7">
        <v>0</v>
      </c>
      <c r="P10" s="15"/>
    </row>
    <row r="11" spans="1:17" x14ac:dyDescent="0.2">
      <c r="A11" s="28">
        <v>45931</v>
      </c>
      <c r="C11" s="7">
        <v>38717242</v>
      </c>
      <c r="D11" s="21">
        <v>164446</v>
      </c>
      <c r="E11" s="10">
        <f>305249.92-0.35+3</f>
        <v>305252.57</v>
      </c>
      <c r="F11" s="10">
        <f t="shared" si="0"/>
        <v>305249.57</v>
      </c>
      <c r="G11" s="7">
        <f t="shared" ref="G11:G13" si="2">E11-D11</f>
        <v>140806.57</v>
      </c>
      <c r="H11" s="7">
        <f t="shared" ref="H11:H13" si="3">F11-D11</f>
        <v>140803.57</v>
      </c>
      <c r="I11" s="8">
        <v>0.21</v>
      </c>
      <c r="J11" s="8">
        <v>0.05</v>
      </c>
      <c r="K11" s="7">
        <f t="shared" ref="K11:K13" si="4">G11*I11-L11*I11</f>
        <v>28090.942215000003</v>
      </c>
      <c r="L11" s="7">
        <f t="shared" ref="L11:L13" si="5">H11*J11</f>
        <v>7040.1785000000009</v>
      </c>
      <c r="M11" s="7">
        <f t="shared" ref="M11:M15" si="6">M10+K11+L11</f>
        <v>3843766.6804699986</v>
      </c>
      <c r="N11" s="7">
        <v>0</v>
      </c>
      <c r="O11" s="7"/>
      <c r="P11" s="15"/>
    </row>
    <row r="12" spans="1:17" x14ac:dyDescent="0.2">
      <c r="A12" s="28">
        <v>45962</v>
      </c>
      <c r="C12" s="7">
        <v>38717242</v>
      </c>
      <c r="D12" s="21">
        <v>164446</v>
      </c>
      <c r="E12" s="10">
        <f t="shared" si="0"/>
        <v>305249.57</v>
      </c>
      <c r="F12" s="10">
        <f t="shared" si="0"/>
        <v>305249.57</v>
      </c>
      <c r="G12" s="7">
        <f t="shared" si="2"/>
        <v>140803.57</v>
      </c>
      <c r="H12" s="7">
        <f t="shared" si="3"/>
        <v>140803.57</v>
      </c>
      <c r="I12" s="8">
        <v>0.21</v>
      </c>
      <c r="J12" s="8">
        <v>0.05</v>
      </c>
      <c r="K12" s="7">
        <f t="shared" si="4"/>
        <v>28090.312215000002</v>
      </c>
      <c r="L12" s="7">
        <f t="shared" si="5"/>
        <v>7040.1785000000009</v>
      </c>
      <c r="M12" s="7">
        <f t="shared" si="6"/>
        <v>3878897.1711849985</v>
      </c>
      <c r="N12" s="7">
        <v>0</v>
      </c>
      <c r="O12" s="15"/>
    </row>
    <row r="13" spans="1:17" x14ac:dyDescent="0.2">
      <c r="A13" s="28">
        <v>45992</v>
      </c>
      <c r="C13" s="7">
        <v>38717242</v>
      </c>
      <c r="D13" s="21">
        <v>164446</v>
      </c>
      <c r="E13" s="10">
        <f t="shared" si="0"/>
        <v>305249.57</v>
      </c>
      <c r="F13" s="10">
        <f t="shared" si="0"/>
        <v>305249.57</v>
      </c>
      <c r="G13" s="7">
        <f t="shared" si="2"/>
        <v>140803.57</v>
      </c>
      <c r="H13" s="7">
        <f t="shared" si="3"/>
        <v>140803.57</v>
      </c>
      <c r="I13" s="8">
        <v>0.21</v>
      </c>
      <c r="J13" s="8">
        <v>0.05</v>
      </c>
      <c r="K13" s="7">
        <f t="shared" si="4"/>
        <v>28090.312215000002</v>
      </c>
      <c r="L13" s="7">
        <f t="shared" si="5"/>
        <v>7040.1785000000009</v>
      </c>
      <c r="M13" s="7">
        <f t="shared" si="6"/>
        <v>3914027.6618999983</v>
      </c>
      <c r="N13" s="7">
        <v>0</v>
      </c>
      <c r="O13" s="7"/>
    </row>
    <row r="14" spans="1:17" x14ac:dyDescent="0.2">
      <c r="A14" s="28">
        <v>46023</v>
      </c>
      <c r="C14" s="7">
        <v>38717242</v>
      </c>
      <c r="D14" s="21">
        <v>164446</v>
      </c>
      <c r="E14" s="10">
        <f>195724.34</f>
        <v>195724.34</v>
      </c>
      <c r="F14" s="10">
        <f>195724.34</f>
        <v>195724.34</v>
      </c>
      <c r="G14" s="7">
        <f>E14-D14</f>
        <v>31278.339999999997</v>
      </c>
      <c r="H14" s="7">
        <f>F14-D14</f>
        <v>31278.339999999997</v>
      </c>
      <c r="I14" s="8">
        <v>0.21</v>
      </c>
      <c r="J14" s="8">
        <v>0.05</v>
      </c>
      <c r="K14" s="7">
        <f>G14*I14-L14*I14</f>
        <v>6240.0288299999993</v>
      </c>
      <c r="L14" s="7">
        <f>H14*J14</f>
        <v>1563.9169999999999</v>
      </c>
      <c r="M14" s="7">
        <f t="shared" si="6"/>
        <v>3921831.6077299984</v>
      </c>
      <c r="N14" s="7">
        <v>0</v>
      </c>
      <c r="O14" s="15"/>
      <c r="Q14" s="7"/>
    </row>
    <row r="15" spans="1:17" x14ac:dyDescent="0.2">
      <c r="A15" s="28">
        <v>46054</v>
      </c>
      <c r="C15" s="7">
        <v>38717242</v>
      </c>
      <c r="D15" s="21">
        <v>164446</v>
      </c>
      <c r="E15" s="10">
        <f>195724.34</f>
        <v>195724.34</v>
      </c>
      <c r="F15" s="10">
        <f>195724.34</f>
        <v>195724.34</v>
      </c>
      <c r="G15" s="7">
        <f>E15-D15</f>
        <v>31278.339999999997</v>
      </c>
      <c r="H15" s="7">
        <f>F15-D15</f>
        <v>31278.339999999997</v>
      </c>
      <c r="I15" s="8">
        <v>0.21</v>
      </c>
      <c r="J15" s="8">
        <v>0.05</v>
      </c>
      <c r="K15" s="7">
        <f>G15*I15-L15*I15</f>
        <v>6240.0288299999993</v>
      </c>
      <c r="L15" s="7">
        <f>H15*J15</f>
        <v>1563.9169999999999</v>
      </c>
      <c r="M15" s="7">
        <f t="shared" si="6"/>
        <v>3929635.5535599985</v>
      </c>
      <c r="N15" s="7">
        <v>0</v>
      </c>
      <c r="O15" s="7"/>
      <c r="Q15" s="7"/>
    </row>
    <row r="16" spans="1:17" x14ac:dyDescent="0.2">
      <c r="A16" s="1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6"/>
    </row>
    <row r="17" spans="1:14" x14ac:dyDescent="0.2">
      <c r="A17" s="1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1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">
      <c r="C19" s="22"/>
    </row>
    <row r="20" spans="1:14" x14ac:dyDescent="0.2">
      <c r="C20" s="22"/>
    </row>
    <row r="21" spans="1:14" x14ac:dyDescent="0.2">
      <c r="C21" s="22"/>
    </row>
    <row r="22" spans="1:14" x14ac:dyDescent="0.2">
      <c r="C22" s="7"/>
    </row>
    <row r="24" spans="1:14" x14ac:dyDescent="0.2">
      <c r="C24" s="7"/>
      <c r="D24" s="25"/>
      <c r="E24" s="24"/>
      <c r="F24" s="7"/>
      <c r="G24" s="8"/>
      <c r="H24" s="7"/>
    </row>
    <row r="25" spans="1:14" x14ac:dyDescent="0.2">
      <c r="C25" s="7"/>
      <c r="D25" s="7"/>
      <c r="E25" s="7"/>
      <c r="F25" s="7"/>
      <c r="G25" s="8"/>
      <c r="H25" s="7"/>
    </row>
    <row r="26" spans="1:14" ht="15" x14ac:dyDescent="0.35">
      <c r="C26" s="7"/>
      <c r="D26" s="7"/>
      <c r="E26" s="26"/>
      <c r="F26" s="26"/>
      <c r="G26" s="8"/>
      <c r="H26" s="26"/>
    </row>
    <row r="27" spans="1:14" x14ac:dyDescent="0.2">
      <c r="E27" s="7"/>
      <c r="F27" s="7"/>
      <c r="G27" s="27"/>
      <c r="H27" s="7"/>
    </row>
    <row r="28" spans="1:14" ht="15" x14ac:dyDescent="0.35">
      <c r="G28" s="27"/>
      <c r="H28" s="26"/>
    </row>
    <row r="29" spans="1:14" x14ac:dyDescent="0.2">
      <c r="H29" s="7"/>
    </row>
    <row r="30" spans="1:14" x14ac:dyDescent="0.2">
      <c r="H30" s="7"/>
    </row>
    <row r="31" spans="1:14" x14ac:dyDescent="0.2">
      <c r="C31" s="7"/>
      <c r="D31" s="23"/>
      <c r="E31" s="24"/>
      <c r="F31" s="7"/>
      <c r="G31" s="8"/>
      <c r="H31" s="7"/>
    </row>
    <row r="32" spans="1:14" x14ac:dyDescent="0.2">
      <c r="C32" s="7"/>
      <c r="D32" s="7"/>
      <c r="E32" s="7"/>
      <c r="F32" s="7"/>
      <c r="G32" s="8"/>
      <c r="H32" s="7"/>
    </row>
    <row r="33" spans="8:8" x14ac:dyDescent="0.2">
      <c r="H33" s="7"/>
    </row>
  </sheetData>
  <pageMargins left="0.7" right="0.7" top="1.15625" bottom="0.75" header="0.3" footer="0.3"/>
  <pageSetup scale="50" orientation="portrait" r:id="rId1"/>
  <headerFooter>
    <oddHeader>&amp;R&amp;"Times New Roman,Bold"&amp;12Attachment to Response to Question 3
Page 5 of 7
Clements</oddHeader>
  </headerFooter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F4EA-AC79-4DB9-BA17-B1633DE38C7E}">
  <dimension ref="A1:Q33"/>
  <sheetViews>
    <sheetView zoomScaleNormal="100" workbookViewId="0"/>
  </sheetViews>
  <sheetFormatPr defaultRowHeight="12.75" x14ac:dyDescent="0.2"/>
  <cols>
    <col min="1" max="1" width="11.28515625" style="3" customWidth="1"/>
    <col min="2" max="2" width="1.7109375" customWidth="1"/>
    <col min="3" max="3" width="14.28515625" customWidth="1"/>
    <col min="4" max="4" width="14.28515625" bestFit="1" customWidth="1"/>
    <col min="5" max="5" width="16.42578125" customWidth="1"/>
    <col min="6" max="6" width="15.5703125" customWidth="1"/>
    <col min="7" max="8" width="14.28515625" customWidth="1"/>
    <col min="9" max="12" width="12.7109375" customWidth="1"/>
    <col min="13" max="13" width="16.5703125" bestFit="1" customWidth="1"/>
    <col min="14" max="14" width="12.7109375" customWidth="1"/>
    <col min="15" max="15" width="11.28515625" customWidth="1"/>
    <col min="16" max="16" width="14.5703125" bestFit="1" customWidth="1"/>
  </cols>
  <sheetData>
    <row r="1" spans="1:17" x14ac:dyDescent="0.2">
      <c r="A1" s="12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x14ac:dyDescent="0.2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7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7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7" x14ac:dyDescent="0.2">
      <c r="A5" s="9" t="s">
        <v>41</v>
      </c>
    </row>
    <row r="6" spans="1:17" x14ac:dyDescent="0.2">
      <c r="A6" s="11" t="s">
        <v>42</v>
      </c>
    </row>
    <row r="8" spans="1:17" s="6" customFormat="1" ht="38.25" x14ac:dyDescent="0.2">
      <c r="A8" s="4" t="s">
        <v>0</v>
      </c>
      <c r="B8" s="5"/>
      <c r="C8" s="5" t="s">
        <v>1</v>
      </c>
      <c r="D8" s="5" t="s">
        <v>2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</v>
      </c>
      <c r="N8" s="5" t="s">
        <v>4</v>
      </c>
    </row>
    <row r="9" spans="1:17" x14ac:dyDescent="0.2">
      <c r="A9" s="3" t="s">
        <v>8</v>
      </c>
      <c r="M9" s="7">
        <v>987210.62638999987</v>
      </c>
    </row>
    <row r="10" spans="1:17" x14ac:dyDescent="0.2">
      <c r="A10" s="28">
        <v>45909</v>
      </c>
      <c r="C10" s="7">
        <f t="shared" ref="C10:C12" si="0">69730008</f>
        <v>69730008</v>
      </c>
      <c r="D10" s="21">
        <f>295892.49</f>
        <v>295892.49</v>
      </c>
      <c r="E10" s="10">
        <f t="shared" ref="E10:F12" si="1">521784.91-0.49</f>
        <v>521784.42</v>
      </c>
      <c r="F10" s="10">
        <f t="shared" si="1"/>
        <v>521784.42</v>
      </c>
      <c r="G10" s="7">
        <f>E10-D10</f>
        <v>225891.93</v>
      </c>
      <c r="H10" s="7">
        <f>F10-D10</f>
        <v>225891.93</v>
      </c>
      <c r="I10" s="8">
        <v>0.21</v>
      </c>
      <c r="J10" s="8">
        <v>0.05</v>
      </c>
      <c r="K10" s="7">
        <f>G10*I10-L10*I10</f>
        <v>45065.440035</v>
      </c>
      <c r="L10" s="7">
        <f>H10*J10</f>
        <v>11294.5965</v>
      </c>
      <c r="M10" s="7">
        <f t="shared" ref="M10" si="2">M9+K10+L10</f>
        <v>1043570.6629249998</v>
      </c>
      <c r="N10" s="7">
        <v>0</v>
      </c>
      <c r="P10" s="15"/>
    </row>
    <row r="11" spans="1:17" x14ac:dyDescent="0.2">
      <c r="A11" s="28">
        <v>45931</v>
      </c>
      <c r="C11" s="7">
        <f t="shared" si="0"/>
        <v>69730008</v>
      </c>
      <c r="D11" s="21">
        <f t="shared" ref="D11:D12" si="3">295892.49</f>
        <v>295892.49</v>
      </c>
      <c r="E11" s="10">
        <f>521784.91-0.49+4</f>
        <v>521788.42</v>
      </c>
      <c r="F11" s="10">
        <f t="shared" si="1"/>
        <v>521784.42</v>
      </c>
      <c r="G11" s="7">
        <f t="shared" ref="G11:G13" si="4">E11-D11</f>
        <v>225895.93</v>
      </c>
      <c r="H11" s="7">
        <f t="shared" ref="H11:H13" si="5">F11-D11</f>
        <v>225891.93</v>
      </c>
      <c r="I11" s="8">
        <v>0.21</v>
      </c>
      <c r="J11" s="8">
        <v>0.05</v>
      </c>
      <c r="K11" s="7">
        <f t="shared" ref="K11:K13" si="6">G11*I11-L11*I11</f>
        <v>45066.280034999996</v>
      </c>
      <c r="L11" s="7">
        <f t="shared" ref="L11:L13" si="7">H11*J11</f>
        <v>11294.5965</v>
      </c>
      <c r="M11" s="7">
        <f t="shared" ref="M11:M15" si="8">M10+K11+L11</f>
        <v>1099931.5394599999</v>
      </c>
      <c r="N11" s="7">
        <v>0</v>
      </c>
      <c r="O11" s="7"/>
      <c r="P11" s="15"/>
    </row>
    <row r="12" spans="1:17" x14ac:dyDescent="0.2">
      <c r="A12" s="28">
        <v>45962</v>
      </c>
      <c r="C12" s="7">
        <f t="shared" si="0"/>
        <v>69730008</v>
      </c>
      <c r="D12" s="21">
        <f t="shared" si="3"/>
        <v>295892.49</v>
      </c>
      <c r="E12" s="10">
        <f t="shared" si="1"/>
        <v>521784.42</v>
      </c>
      <c r="F12" s="10">
        <f t="shared" si="1"/>
        <v>521784.42</v>
      </c>
      <c r="G12" s="7">
        <f t="shared" si="4"/>
        <v>225891.93</v>
      </c>
      <c r="H12" s="7">
        <f t="shared" si="5"/>
        <v>225891.93</v>
      </c>
      <c r="I12" s="8">
        <v>0.21</v>
      </c>
      <c r="J12" s="8">
        <v>0.05</v>
      </c>
      <c r="K12" s="7">
        <f t="shared" si="6"/>
        <v>45065.440035</v>
      </c>
      <c r="L12" s="7">
        <f t="shared" si="7"/>
        <v>11294.5965</v>
      </c>
      <c r="M12" s="7">
        <f t="shared" si="8"/>
        <v>1156291.5759949998</v>
      </c>
      <c r="N12" s="7">
        <v>0</v>
      </c>
      <c r="O12" s="15"/>
    </row>
    <row r="13" spans="1:17" x14ac:dyDescent="0.2">
      <c r="A13" s="28">
        <v>45992</v>
      </c>
      <c r="C13" s="7">
        <v>149489118</v>
      </c>
      <c r="D13" s="21">
        <v>466709</v>
      </c>
      <c r="E13" s="10">
        <f>1102948.44+2330042</f>
        <v>3432990.44</v>
      </c>
      <c r="F13" s="10">
        <f>1102948.44</f>
        <v>1102948.44</v>
      </c>
      <c r="G13" s="7">
        <f t="shared" si="4"/>
        <v>2966281.44</v>
      </c>
      <c r="H13" s="7">
        <f t="shared" si="5"/>
        <v>636239.43999999994</v>
      </c>
      <c r="I13" s="8">
        <v>0.21</v>
      </c>
      <c r="J13" s="8">
        <v>0.05</v>
      </c>
      <c r="K13" s="7">
        <f t="shared" si="6"/>
        <v>616238.58828000003</v>
      </c>
      <c r="L13" s="7">
        <f t="shared" si="7"/>
        <v>31811.971999999998</v>
      </c>
      <c r="M13" s="7">
        <f t="shared" si="8"/>
        <v>1804342.1362749999</v>
      </c>
      <c r="N13" s="7">
        <v>0</v>
      </c>
      <c r="O13" s="7"/>
    </row>
    <row r="14" spans="1:17" x14ac:dyDescent="0.2">
      <c r="A14" s="28">
        <v>46023</v>
      </c>
      <c r="C14" s="7">
        <v>149489118</v>
      </c>
      <c r="D14" s="21">
        <v>637527</v>
      </c>
      <c r="E14" s="10">
        <f>1102948.44</f>
        <v>1102948.44</v>
      </c>
      <c r="F14" s="10">
        <f>1102948.44</f>
        <v>1102948.44</v>
      </c>
      <c r="G14" s="7">
        <f>E14-D14</f>
        <v>465421.43999999994</v>
      </c>
      <c r="H14" s="7">
        <f>F14-D14</f>
        <v>465421.43999999994</v>
      </c>
      <c r="I14" s="8">
        <v>0.21</v>
      </c>
      <c r="J14" s="8">
        <v>0.05</v>
      </c>
      <c r="K14" s="7">
        <f>G14*I14-L14*I14</f>
        <v>92851.577279999983</v>
      </c>
      <c r="L14" s="7">
        <f>H14*J14</f>
        <v>23271.072</v>
      </c>
      <c r="M14" s="7">
        <f t="shared" si="8"/>
        <v>1920464.785555</v>
      </c>
      <c r="N14" s="7">
        <v>33010.36</v>
      </c>
      <c r="O14" s="15"/>
      <c r="Q14" s="7"/>
    </row>
    <row r="15" spans="1:17" x14ac:dyDescent="0.2">
      <c r="A15" s="28">
        <v>46054</v>
      </c>
      <c r="C15" s="7">
        <v>149489118</v>
      </c>
      <c r="D15" s="21">
        <v>637526.5</v>
      </c>
      <c r="E15" s="10">
        <f>1102948.44</f>
        <v>1102948.44</v>
      </c>
      <c r="F15" s="10">
        <f>1102948.44</f>
        <v>1102948.44</v>
      </c>
      <c r="G15" s="7">
        <f>E15-D15</f>
        <v>465421.93999999994</v>
      </c>
      <c r="H15" s="7">
        <f>F15-D15</f>
        <v>465421.93999999994</v>
      </c>
      <c r="I15" s="8">
        <v>0.21</v>
      </c>
      <c r="J15" s="8">
        <v>0.05</v>
      </c>
      <c r="K15" s="7">
        <f>G15*I15-L15*I15</f>
        <v>92851.677029999977</v>
      </c>
      <c r="L15" s="7">
        <f>H15*J15</f>
        <v>23271.096999999998</v>
      </c>
      <c r="M15" s="7">
        <f t="shared" si="8"/>
        <v>2036587.5595849999</v>
      </c>
      <c r="N15" s="7">
        <v>33010.36</v>
      </c>
      <c r="O15" s="7"/>
      <c r="Q15" s="7"/>
    </row>
    <row r="16" spans="1:17" x14ac:dyDescent="0.2">
      <c r="A16" s="1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6"/>
    </row>
    <row r="17" spans="1:14" x14ac:dyDescent="0.2">
      <c r="A17" s="1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1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">
      <c r="C19" s="22"/>
    </row>
    <row r="20" spans="1:14" x14ac:dyDescent="0.2">
      <c r="C20" s="22"/>
    </row>
    <row r="21" spans="1:14" x14ac:dyDescent="0.2">
      <c r="C21" s="22"/>
    </row>
    <row r="22" spans="1:14" x14ac:dyDescent="0.2">
      <c r="C22" s="7"/>
    </row>
    <row r="24" spans="1:14" x14ac:dyDescent="0.2">
      <c r="C24" s="7"/>
      <c r="D24" s="25"/>
      <c r="E24" s="24"/>
      <c r="F24" s="7"/>
      <c r="G24" s="8"/>
      <c r="H24" s="7"/>
    </row>
    <row r="25" spans="1:14" x14ac:dyDescent="0.2">
      <c r="C25" s="7"/>
      <c r="D25" s="7"/>
      <c r="E25" s="7"/>
      <c r="F25" s="7"/>
      <c r="G25" s="8"/>
      <c r="H25" s="7"/>
    </row>
    <row r="26" spans="1:14" ht="15" x14ac:dyDescent="0.35">
      <c r="C26" s="7"/>
      <c r="D26" s="7"/>
      <c r="E26" s="26"/>
      <c r="F26" s="26"/>
      <c r="G26" s="8"/>
      <c r="H26" s="26"/>
    </row>
    <row r="27" spans="1:14" x14ac:dyDescent="0.2">
      <c r="E27" s="7"/>
      <c r="F27" s="7"/>
      <c r="G27" s="27"/>
      <c r="H27" s="7"/>
    </row>
    <row r="28" spans="1:14" ht="15" x14ac:dyDescent="0.35">
      <c r="G28" s="27"/>
      <c r="H28" s="26"/>
    </row>
    <row r="29" spans="1:14" x14ac:dyDescent="0.2">
      <c r="H29" s="7"/>
    </row>
    <row r="30" spans="1:14" x14ac:dyDescent="0.2">
      <c r="H30" s="7"/>
    </row>
    <row r="31" spans="1:14" x14ac:dyDescent="0.2">
      <c r="C31" s="7"/>
      <c r="D31" s="23"/>
      <c r="E31" s="24"/>
      <c r="F31" s="7"/>
      <c r="G31" s="8"/>
      <c r="H31" s="7"/>
    </row>
    <row r="32" spans="1:14" x14ac:dyDescent="0.2">
      <c r="C32" s="7"/>
      <c r="D32" s="7"/>
      <c r="E32" s="7"/>
      <c r="F32" s="7"/>
      <c r="G32" s="8"/>
      <c r="H32" s="7"/>
    </row>
    <row r="33" spans="8:8" x14ac:dyDescent="0.2">
      <c r="H33" s="7"/>
    </row>
  </sheetData>
  <pageMargins left="0.7" right="0.7" top="1.15625" bottom="0.75" header="0.3" footer="0.3"/>
  <pageSetup scale="50" orientation="portrait" r:id="rId1"/>
  <headerFooter>
    <oddHeader>&amp;R&amp;"Times New Roman,Bold"&amp;12Attachment to Response to Question 3
Page 6 of 7
Clements</oddHeader>
  </headerFooter>
  <colBreaks count="1" manualBreakCount="1"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DF41-C8C0-4A86-BEF4-4A7A0E8060AA}">
  <dimension ref="A1:Q33"/>
  <sheetViews>
    <sheetView zoomScaleNormal="100" workbookViewId="0"/>
  </sheetViews>
  <sheetFormatPr defaultRowHeight="12.75" x14ac:dyDescent="0.2"/>
  <cols>
    <col min="1" max="1" width="11.28515625" style="3" customWidth="1"/>
    <col min="2" max="2" width="1.7109375" customWidth="1"/>
    <col min="3" max="3" width="14.28515625" customWidth="1"/>
    <col min="4" max="4" width="14.28515625" bestFit="1" customWidth="1"/>
    <col min="5" max="5" width="16.42578125" customWidth="1"/>
    <col min="6" max="6" width="15.5703125" customWidth="1"/>
    <col min="7" max="8" width="14.28515625" customWidth="1"/>
    <col min="9" max="12" width="12.7109375" customWidth="1"/>
    <col min="13" max="13" width="16.5703125" bestFit="1" customWidth="1"/>
    <col min="14" max="14" width="12.7109375" customWidth="1"/>
    <col min="15" max="15" width="11.28515625" customWidth="1"/>
    <col min="16" max="16" width="14.5703125" bestFit="1" customWidth="1"/>
  </cols>
  <sheetData>
    <row r="1" spans="1:17" x14ac:dyDescent="0.2">
      <c r="A1" s="12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x14ac:dyDescent="0.2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7" x14ac:dyDescent="0.2">
      <c r="A3" s="13" t="s">
        <v>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7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7" x14ac:dyDescent="0.2">
      <c r="A5" s="9" t="s">
        <v>41</v>
      </c>
    </row>
    <row r="6" spans="1:17" x14ac:dyDescent="0.2">
      <c r="A6" s="11" t="s">
        <v>45</v>
      </c>
    </row>
    <row r="8" spans="1:17" s="6" customFormat="1" ht="38.25" x14ac:dyDescent="0.2">
      <c r="A8" s="4" t="s">
        <v>0</v>
      </c>
      <c r="B8" s="5"/>
      <c r="C8" s="5" t="s">
        <v>1</v>
      </c>
      <c r="D8" s="5" t="s">
        <v>2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</v>
      </c>
      <c r="N8" s="5" t="s">
        <v>4</v>
      </c>
    </row>
    <row r="9" spans="1:17" x14ac:dyDescent="0.2">
      <c r="A9" s="3" t="s">
        <v>8</v>
      </c>
      <c r="M9" s="7">
        <v>339208</v>
      </c>
    </row>
    <row r="10" spans="1:17" x14ac:dyDescent="0.2">
      <c r="A10" s="28">
        <v>45909</v>
      </c>
      <c r="C10" s="7">
        <f>26065210</f>
        <v>26065210</v>
      </c>
      <c r="D10" s="21">
        <f>50827</f>
        <v>50827</v>
      </c>
      <c r="E10" s="10">
        <f t="shared" ref="E10:F13" si="0">151183.37+1404</f>
        <v>152587.37</v>
      </c>
      <c r="F10" s="10">
        <f t="shared" si="0"/>
        <v>152587.37</v>
      </c>
      <c r="G10" s="7">
        <f>E10-D10</f>
        <v>101760.37</v>
      </c>
      <c r="H10" s="7">
        <f>F10-D10</f>
        <v>101760.37</v>
      </c>
      <c r="I10" s="8">
        <v>0.21</v>
      </c>
      <c r="J10" s="8">
        <v>0.05</v>
      </c>
      <c r="K10" s="7">
        <f>G10*I10-L10*I10</f>
        <v>20301.193814999995</v>
      </c>
      <c r="L10" s="7">
        <f>H10*J10</f>
        <v>5088.0185000000001</v>
      </c>
      <c r="M10" s="7">
        <f t="shared" ref="M10:M15" si="1">M9+K10+L10</f>
        <v>364597.21231500001</v>
      </c>
      <c r="N10" s="7">
        <v>0</v>
      </c>
      <c r="P10" s="15"/>
    </row>
    <row r="11" spans="1:17" x14ac:dyDescent="0.2">
      <c r="A11" s="28">
        <v>45931</v>
      </c>
      <c r="C11" s="7">
        <f t="shared" ref="C11:C15" si="2">26065210</f>
        <v>26065210</v>
      </c>
      <c r="D11" s="21">
        <f>50827</f>
        <v>50827</v>
      </c>
      <c r="E11" s="10">
        <f t="shared" si="0"/>
        <v>152587.37</v>
      </c>
      <c r="F11" s="10">
        <f t="shared" si="0"/>
        <v>152587.37</v>
      </c>
      <c r="G11" s="7">
        <f t="shared" ref="G11:G13" si="3">E11-D11</f>
        <v>101760.37</v>
      </c>
      <c r="H11" s="7">
        <f t="shared" ref="H11:H13" si="4">F11-D11</f>
        <v>101760.37</v>
      </c>
      <c r="I11" s="8">
        <v>0.21</v>
      </c>
      <c r="J11" s="8">
        <v>0.05</v>
      </c>
      <c r="K11" s="7">
        <f t="shared" ref="K11:K13" si="5">G11*I11-L11*I11</f>
        <v>20301.193814999995</v>
      </c>
      <c r="L11" s="7">
        <f t="shared" ref="L11:L13" si="6">H11*J11</f>
        <v>5088.0185000000001</v>
      </c>
      <c r="M11" s="7">
        <f t="shared" si="1"/>
        <v>389986.42463000002</v>
      </c>
      <c r="N11" s="7">
        <v>0</v>
      </c>
      <c r="O11" s="7"/>
      <c r="P11" s="15"/>
    </row>
    <row r="12" spans="1:17" x14ac:dyDescent="0.2">
      <c r="A12" s="28">
        <v>45962</v>
      </c>
      <c r="C12" s="7">
        <f t="shared" si="2"/>
        <v>26065210</v>
      </c>
      <c r="D12" s="21">
        <f>50827</f>
        <v>50827</v>
      </c>
      <c r="E12" s="10">
        <f t="shared" si="0"/>
        <v>152587.37</v>
      </c>
      <c r="F12" s="10">
        <f t="shared" si="0"/>
        <v>152587.37</v>
      </c>
      <c r="G12" s="7">
        <f t="shared" si="3"/>
        <v>101760.37</v>
      </c>
      <c r="H12" s="7">
        <f t="shared" si="4"/>
        <v>101760.37</v>
      </c>
      <c r="I12" s="8">
        <v>0.21</v>
      </c>
      <c r="J12" s="8">
        <v>0.05</v>
      </c>
      <c r="K12" s="7">
        <f t="shared" si="5"/>
        <v>20301.193814999995</v>
      </c>
      <c r="L12" s="7">
        <f t="shared" si="6"/>
        <v>5088.0185000000001</v>
      </c>
      <c r="M12" s="7">
        <f t="shared" si="1"/>
        <v>415375.63694500003</v>
      </c>
      <c r="N12" s="7">
        <v>0</v>
      </c>
      <c r="O12" s="15"/>
    </row>
    <row r="13" spans="1:17" x14ac:dyDescent="0.2">
      <c r="A13" s="28">
        <v>45992</v>
      </c>
      <c r="C13" s="7">
        <f t="shared" si="2"/>
        <v>26065210</v>
      </c>
      <c r="D13" s="21">
        <f>50827</f>
        <v>50827</v>
      </c>
      <c r="E13" s="10">
        <f t="shared" si="0"/>
        <v>152587.37</v>
      </c>
      <c r="F13" s="10">
        <f t="shared" si="0"/>
        <v>152587.37</v>
      </c>
      <c r="G13" s="7">
        <f t="shared" si="3"/>
        <v>101760.37</v>
      </c>
      <c r="H13" s="7">
        <f t="shared" si="4"/>
        <v>101760.37</v>
      </c>
      <c r="I13" s="8">
        <v>0.21</v>
      </c>
      <c r="J13" s="8">
        <v>0.05</v>
      </c>
      <c r="K13" s="7">
        <f t="shared" si="5"/>
        <v>20301.193814999995</v>
      </c>
      <c r="L13" s="7">
        <f t="shared" si="6"/>
        <v>5088.0185000000001</v>
      </c>
      <c r="M13" s="7">
        <f t="shared" si="1"/>
        <v>440764.84926000005</v>
      </c>
      <c r="N13" s="7">
        <v>0</v>
      </c>
      <c r="O13" s="7"/>
    </row>
    <row r="14" spans="1:17" x14ac:dyDescent="0.2">
      <c r="A14" s="28">
        <v>46023</v>
      </c>
      <c r="C14" s="7">
        <f t="shared" si="2"/>
        <v>26065210</v>
      </c>
      <c r="D14" s="21">
        <f>50827</f>
        <v>50827</v>
      </c>
      <c r="E14" s="10">
        <f>145909.34</f>
        <v>145909.34</v>
      </c>
      <c r="F14" s="10">
        <f>145909.34</f>
        <v>145909.34</v>
      </c>
      <c r="G14" s="7">
        <f>E14-D14</f>
        <v>95082.34</v>
      </c>
      <c r="H14" s="7">
        <f>F14-D14</f>
        <v>95082.34</v>
      </c>
      <c r="I14" s="8">
        <v>0.21</v>
      </c>
      <c r="J14" s="8">
        <v>0.05</v>
      </c>
      <c r="K14" s="7">
        <f>G14*I14-L14*I14</f>
        <v>18968.926829999997</v>
      </c>
      <c r="L14" s="7">
        <f>H14*J14</f>
        <v>4754.1170000000002</v>
      </c>
      <c r="M14" s="7">
        <f t="shared" si="1"/>
        <v>464487.89309000009</v>
      </c>
      <c r="N14" s="7">
        <v>0</v>
      </c>
      <c r="O14" s="15"/>
      <c r="Q14" s="7"/>
    </row>
    <row r="15" spans="1:17" x14ac:dyDescent="0.2">
      <c r="A15" s="28">
        <v>46054</v>
      </c>
      <c r="C15" s="7">
        <f t="shared" si="2"/>
        <v>26065210</v>
      </c>
      <c r="D15" s="21">
        <f>50827</f>
        <v>50827</v>
      </c>
      <c r="E15" s="10">
        <f>145909.34</f>
        <v>145909.34</v>
      </c>
      <c r="F15" s="10">
        <f>145909.34</f>
        <v>145909.34</v>
      </c>
      <c r="G15" s="7">
        <f>E15-D15</f>
        <v>95082.34</v>
      </c>
      <c r="H15" s="7">
        <f>F15-D15</f>
        <v>95082.34</v>
      </c>
      <c r="I15" s="8">
        <v>0.21</v>
      </c>
      <c r="J15" s="8">
        <v>0.05</v>
      </c>
      <c r="K15" s="7">
        <f>G15*I15-L15*I15</f>
        <v>18968.926829999997</v>
      </c>
      <c r="L15" s="7">
        <f>H15*J15</f>
        <v>4754.1170000000002</v>
      </c>
      <c r="M15" s="7">
        <f t="shared" si="1"/>
        <v>488210.93692000012</v>
      </c>
      <c r="N15" s="7">
        <v>0</v>
      </c>
      <c r="O15" s="7"/>
      <c r="Q15" s="7"/>
    </row>
    <row r="16" spans="1:17" x14ac:dyDescent="0.2">
      <c r="A16" s="1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6"/>
    </row>
    <row r="17" spans="1:14" x14ac:dyDescent="0.2">
      <c r="A17" s="1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14"/>
      <c r="C18" s="7"/>
      <c r="D18" s="7"/>
      <c r="E18" s="42" t="s">
        <v>10</v>
      </c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">
      <c r="C19" s="22"/>
    </row>
    <row r="20" spans="1:14" x14ac:dyDescent="0.2">
      <c r="C20" s="22"/>
    </row>
    <row r="21" spans="1:14" x14ac:dyDescent="0.2">
      <c r="C21" s="22"/>
    </row>
    <row r="22" spans="1:14" x14ac:dyDescent="0.2">
      <c r="C22" s="7"/>
    </row>
    <row r="24" spans="1:14" x14ac:dyDescent="0.2">
      <c r="C24" s="7"/>
      <c r="D24" s="25"/>
      <c r="E24" s="24"/>
      <c r="F24" s="7"/>
      <c r="G24" s="8"/>
      <c r="H24" s="7"/>
    </row>
    <row r="25" spans="1:14" x14ac:dyDescent="0.2">
      <c r="C25" s="7"/>
      <c r="D25" s="7"/>
      <c r="E25" s="7"/>
      <c r="F25" s="7"/>
      <c r="G25" s="8"/>
      <c r="H25" s="7"/>
    </row>
    <row r="26" spans="1:14" ht="15" x14ac:dyDescent="0.35">
      <c r="C26" s="7"/>
      <c r="D26" s="7"/>
      <c r="E26" s="26"/>
      <c r="F26" s="26"/>
      <c r="G26" s="8"/>
      <c r="H26" s="26"/>
    </row>
    <row r="27" spans="1:14" x14ac:dyDescent="0.2">
      <c r="E27" s="7"/>
      <c r="F27" s="7"/>
      <c r="G27" s="27"/>
      <c r="H27" s="7"/>
    </row>
    <row r="28" spans="1:14" ht="15" x14ac:dyDescent="0.35">
      <c r="G28" s="27"/>
      <c r="H28" s="26"/>
    </row>
    <row r="29" spans="1:14" x14ac:dyDescent="0.2">
      <c r="H29" s="7"/>
    </row>
    <row r="30" spans="1:14" x14ac:dyDescent="0.2">
      <c r="H30" s="7"/>
    </row>
    <row r="31" spans="1:14" x14ac:dyDescent="0.2">
      <c r="C31" s="7"/>
      <c r="D31" s="23"/>
      <c r="E31" s="24"/>
      <c r="F31" s="7"/>
      <c r="G31" s="8"/>
      <c r="H31" s="7"/>
    </row>
    <row r="32" spans="1:14" x14ac:dyDescent="0.2">
      <c r="C32" s="7"/>
      <c r="D32" s="7"/>
      <c r="E32" s="7"/>
      <c r="F32" s="7"/>
      <c r="G32" s="8"/>
      <c r="H32" s="7"/>
    </row>
    <row r="33" spans="8:8" x14ac:dyDescent="0.2">
      <c r="H33" s="7"/>
    </row>
  </sheetData>
  <pageMargins left="0.7" right="0.7" top="1.15625" bottom="0.75" header="0.3" footer="0.3"/>
  <pageSetup scale="50" orientation="portrait" r:id="rId1"/>
  <headerFooter>
    <oddHeader>&amp;R&amp;"Times New Roman,Bold"&amp;12Attachment to Response to Question 3
Page 7 of 7
Clements</oddHeader>
  </headerFooter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Testimony xmlns="65bfb563-8fe2-4d34-a09f-38a217d8feea" xsi:nil="true"/>
    <Year xmlns="65bfb563-8fe2-4d34-a09f-38a217d8feea">2026</Year>
    <Filing_x0020_Case_x0020__x0023_ xmlns="65bfb563-8fe2-4d34-a09f-38a217d8feea" xsi:nil="true"/>
    <Construction_x0020_Monitoring_x0020_Description xmlns="65bfb563-8fe2-4d34-a09f-38a217d8feea" xsi:nil="true"/>
    <Review_x0020_Case_x0020_Doc_x0020_Types xmlns="65bfb563-8fe2-4d34-a09f-38a217d8feea">01.2 – 1st Data Request Attachments</Review_x0020_Case_x0020_Doc_x0020_Types>
    <Status xmlns="65bfb563-8fe2-4d34-a09f-38a217d8feea"/>
    <Filing_x0020_Witness xmlns="65bfb563-8fe2-4d34-a09f-38a217d8feea" xsi:nil="true"/>
    <Filings xmlns="65bfb563-8fe2-4d34-a09f-38a217d8feea" xsi:nil="true"/>
    <IconOverlay xmlns="http://schemas.microsoft.com/sharepoint/v4" xsi:nil="true"/>
    <Document_x0020_Type xmlns="65bfb563-8fe2-4d34-a09f-38a217d8feea">
      <Value>ECR</Value>
    </Document_x0020_Type>
    <Filing_x0020_Type xmlns="65bfb563-8fe2-4d34-a09f-38a217d8feea">
      <Value>Review Cases (ECR/FAC/OST)</Value>
    </Filing_x0020_Type>
    <Construction_x0020_Monitoring xmlns="65bfb563-8fe2-4d34-a09f-38a217d8feea" xsi:nil="true"/>
    <Case_x0020__x0023_ xmlns="65bfb563-8fe2-4d34-a09f-38a217d8feea">2026-0179</Case_x0020__x0023_>
    <Review_x0020_Case_x0020_Expense_x0020_Period xmlns="65bfb563-8fe2-4d34-a09f-38a217d8feea">Nov-Apr (ECR)</Review_x0020_Case_x0020_Expense_x0020_Period>
    <Filing_x0020_Doc_x0020_Types xmlns="65bfb563-8fe2-4d34-a09f-38a217d8feea" xsi:nil="true"/>
    <Company xmlns="65bfb563-8fe2-4d34-a09f-38a217d8feea">
      <Value>KU</Value>
    </Compan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10F20E04BCF41BE361D2F61EE6FFA" ma:contentTypeVersion="32" ma:contentTypeDescription="Create a new document." ma:contentTypeScope="" ma:versionID="f988aafe859415acc31a51651e3c6535">
  <xsd:schema xmlns:xsd="http://www.w3.org/2001/XMLSchema" xmlns:xs="http://www.w3.org/2001/XMLSchema" xmlns:p="http://schemas.microsoft.com/office/2006/metadata/properties" xmlns:ns1="http://schemas.microsoft.com/sharepoint/v3" xmlns:ns2="65bfb563-8fe2-4d34-a09f-38a217d8feea" xmlns:ns3="http://schemas.microsoft.com/sharepoint/v4" targetNamespace="http://schemas.microsoft.com/office/2006/metadata/properties" ma:root="true" ma:fieldsID="3eb28f983adcb7eb5eb1a3633c52ec28" ns1:_="" ns2:_="" ns3:_="">
    <xsd:import namespace="http://schemas.microsoft.com/sharepoint/v3"/>
    <xsd:import namespace="65bfb563-8fe2-4d34-a09f-38a217d8fe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mpany" minOccurs="0"/>
                <xsd:element ref="ns2:Year"/>
                <xsd:element ref="ns2:Document_x0020_Type" minOccurs="0"/>
                <xsd:element ref="ns2:Filing_x0020_Type" minOccurs="0"/>
                <xsd:element ref="ns2:Filings" minOccurs="0"/>
                <xsd:element ref="ns2:Filing_x0020_Doc_x0020_Types" minOccurs="0"/>
                <xsd:element ref="ns2:Filing_x0020_Case_x0020__x0023_" minOccurs="0"/>
                <xsd:element ref="ns2:Filing_x0020_Witness" minOccurs="0"/>
                <xsd:element ref="ns2:Review_x0020_Case_x0020_Expense_x0020_Period" minOccurs="0"/>
                <xsd:element ref="ns2:Review_x0020_Case_x0020_Doc_x0020_Types" minOccurs="0"/>
                <xsd:element ref="ns2:Case_x0020__x0023_" minOccurs="0"/>
                <xsd:element ref="ns2:Witness_x0020_Testimony" minOccurs="0"/>
                <xsd:element ref="ns2:Construction_x0020_Monitoring_x0020_Description" minOccurs="0"/>
                <xsd:element ref="ns2:Construction_x0020_Monitoring" minOccurs="0"/>
                <xsd:element ref="ns2:Status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b563-8fe2-4d34-a09f-38a217d8feea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U"/>
                    <xsd:enumeration value="LGE"/>
                    <xsd:enumeration value="ODP"/>
                  </xsd:restriction>
                </xsd:simpleType>
              </xsd:element>
            </xsd:sequence>
          </xsd:extension>
        </xsd:complexContent>
      </xsd:complexType>
    </xsd:element>
    <xsd:element name="Year" ma:index="3" ma:displayName="Year" ma:format="Dropdown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Document_x0020_Type" ma:index="4" nillable="true" ma:displayName="Document Type" ma:internalName="Document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SM"/>
                    <xsd:enumeration value="ECR"/>
                    <xsd:enumeration value="FAC / OST"/>
                    <xsd:enumeration value="GLT"/>
                    <xsd:enumeration value="GSC"/>
                    <xsd:enumeration value="LFF"/>
                    <xsd:enumeration value="PGR"/>
                    <xsd:enumeration value="RAR"/>
                  </xsd:restriction>
                </xsd:simpleType>
              </xsd:element>
            </xsd:sequence>
          </xsd:extension>
        </xsd:complexContent>
      </xsd:complexType>
    </xsd:element>
    <xsd:element name="Filing_x0020_Type" ma:index="5" nillable="true" ma:displayName="Filing Type" ma:internalName="Filing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thly Filings (ECR/LFF/PGR/RAR)"/>
                    <xsd:enumeration value="Form A Filings (FAC/OST)"/>
                    <xsd:enumeration value="Form B Filings (FAC/OST)"/>
                    <xsd:enumeration value="Fixed NAS FAC/OSS Factor (NFOF)"/>
                    <xsd:enumeration value="Fuel Supply Contracts (FAC)"/>
                    <xsd:enumeration value="Avoided Energy Cost (LQF)"/>
                    <xsd:enumeration value="Municipal WPS Reports (FAC)"/>
                    <xsd:enumeration value="Quarterly Filings (GSC)"/>
                    <xsd:enumeration value="Annual Filing (DSM)"/>
                    <xsd:enumeration value="Annual Filing (GLT/LFF/WNA)"/>
                    <xsd:enumeration value="Forecasted Annual Filing (GLT)"/>
                    <xsd:enumeration value="True-up Annual Filing (GLT)"/>
                    <xsd:enumeration value="Review Cases (ECR/FAC/OST)"/>
                    <xsd:enumeration value="Construction Monitoring (ECR)"/>
                    <xsd:enumeration value="Approved Project Detail (ECR/GLT/PGR)"/>
                    <xsd:enumeration value="Reports"/>
                  </xsd:restriction>
                </xsd:simpleType>
              </xsd:element>
            </xsd:sequence>
          </xsd:extension>
        </xsd:complexContent>
      </xsd:complexType>
    </xsd:element>
    <xsd:element name="Filings" ma:index="6" nillable="true" ma:displayName="Filing Expense Period" ma:format="Dropdown" ma:internalName="Filings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  <xsd:enumeration value="Nov-Jan (GSC)"/>
          <xsd:enumeration value="Feb-Apr (GSC)"/>
          <xsd:enumeration value="May-Jul (GSC)"/>
          <xsd:enumeration value="Aug-Oct (GSC)"/>
          <xsd:enumeration value="Apr-May (LFF)"/>
          <xsd:enumeration value="Jan-Dec (GLT/WNA)"/>
          <xsd:enumeration value="N/A"/>
        </xsd:restriction>
      </xsd:simpleType>
    </xsd:element>
    <xsd:element name="Filing_x0020_Doc_x0020_Types" ma:index="7" nillable="true" ma:displayName="Filing Doc Types" ma:format="Dropdown" ma:internalName="Filing_x0020_Doc_x0020_Types">
      <xsd:simpleType>
        <xsd:restriction base="dms:Choice">
          <xsd:enumeration value="00 – Orders/Requests for Information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Filing_x0020_Case_x0020__x0023_" ma:index="8" nillable="true" ma:displayName="Filing Case #" ma:internalName="Filing_x0020_Case_x0020__x0023_">
      <xsd:simpleType>
        <xsd:restriction base="dms:Text">
          <xsd:maxLength value="255"/>
        </xsd:restriction>
      </xsd:simpleType>
    </xsd:element>
    <xsd:element name="Filing_x0020_Witness" ma:index="9" nillable="true" ma:displayName="Filing Witness" ma:format="Dropdown" ma:internalName="Filing_x0020_Witness">
      <xsd:simpleType>
        <xsd:restriction base="dms:Choice">
          <xsd:enumeration value="Billiter, Delbert"/>
          <xsd:enumeration value="Drake, Michael"/>
          <xsd:enumeration value="Fackler, Andrea"/>
          <xsd:enumeration value="Garrett, Chris"/>
          <xsd:enumeration value="Rahn, Derek"/>
          <xsd:enumeration value="Rieth, Tom"/>
          <xsd:enumeration value="Schram, Chuck"/>
          <xsd:enumeration value="Sebourn, Michael"/>
          <xsd:enumeration value="Wilson, Stuart"/>
        </xsd:restriction>
      </xsd:simpleType>
    </xsd:element>
    <xsd:element name="Review_x0020_Case_x0020_Expense_x0020_Period" ma:index="10" nillable="true" ma:displayName="Review Case Expense Period" ma:format="Dropdown" ma:internalName="Review_x0020_Case_x0020_Expense_x0020_Period">
      <xsd:simpleType>
        <xsd:restriction base="dms:Choice">
          <xsd:enumeration value="Mar-Aug (ECR)"/>
          <xsd:enumeration value="Sep-Feb (ECR)"/>
          <xsd:enumeration value="Mar-Feb (ECR)"/>
          <xsd:enumeration value="May-Oct (ECR)"/>
          <xsd:enumeration value="May-Oct (FAC)"/>
          <xsd:enumeration value="Nov-Apr (FAC)"/>
          <xsd:enumeration value="Nov-Oct (FAC)"/>
          <xsd:enumeration value="Nov-Apr (ECR)"/>
        </xsd:restriction>
      </xsd:simpleType>
    </xsd:element>
    <xsd:element name="Review_x0020_Case_x0020_Doc_x0020_Types" ma:index="11" nillable="true" ma:displayName="Review Case Doc Types" ma:format="Dropdown" ma:internalName="Review_x0020_Case_x0020_Doc_x0020_Types">
      <xsd:simpleType>
        <xsd:restriction base="dms:Choice">
          <xsd:enumeration value="00.1 – Orders"/>
          <xsd:enumeration value="00.2 – Requests for Information"/>
          <xsd:enumeration value="00.4 – Other Communications/eFilings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1.5 – 1st Data Request/Testimony Support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Case_x0020__x0023_" ma:index="12" nillable="true" ma:displayName="Review Case #" ma:internalName="Case_x0020__x0023_">
      <xsd:simpleType>
        <xsd:restriction base="dms:Text">
          <xsd:maxLength value="255"/>
        </xsd:restriction>
      </xsd:simpleType>
    </xsd:element>
    <xsd:element name="Witness_x0020_Testimony" ma:index="13" nillable="true" ma:displayName="Review Case Witness" ma:format="Dropdown" ma:internalName="Witness_x0020_Testimony">
      <xsd:simpleType>
        <xsd:restriction base="dms:Choice">
          <xsd:enumeration value="Billiter, Delbert"/>
          <xsd:enumeration value="Drake, Michael"/>
          <xsd:enumeration value="Fackler, Andrea"/>
          <xsd:enumeration value="Garrett, Christopher"/>
          <xsd:enumeration value="Neal, Susan"/>
          <xsd:enumeration value="Williams, Scott"/>
          <xsd:enumeration value="Multiple"/>
          <xsd:enumeration value="N/A"/>
          <xsd:enumeration value="Rahn, Derek"/>
          <xsd:enumeration value="Schram, Chuck"/>
          <xsd:enumeration value="Sebourn, Michael"/>
          <xsd:enumeration value="Wilson, Stuart"/>
        </xsd:restriction>
      </xsd:simpleType>
    </xsd:element>
    <xsd:element name="Construction_x0020_Monitoring_x0020_Description" ma:index="14" nillable="true" ma:displayName="Construction Monitoring Description" ma:format="Dropdown" ma:internalName="Construction_x0020_Monitoring_x0020_Description">
      <xsd:simpleType>
        <xsd:restriction base="dms:Choice">
          <xsd:enumeration value="2011 ECR Plan"/>
          <xsd:enumeration value="2016 ECR Plan"/>
          <xsd:enumeration value="TC Landfill"/>
          <xsd:enumeration value="2020 ECR Plan"/>
        </xsd:restriction>
      </xsd:simpleType>
    </xsd:element>
    <xsd:element name="Construction_x0020_Monitoring" ma:index="15" nillable="true" ma:displayName="Construction Monitoring Period" ma:format="Dropdown" ma:internalName="Construction_x0020_Monitoring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Status" ma:index="23" nillable="true" ma:displayName="Status (Internal Use Only)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l"/>
                    <xsd:enumeration value="Filed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F1B518-60EC-4017-9684-E2F55FC7C9F2}">
  <ds:schemaRefs>
    <ds:schemaRef ds:uri="http://schemas.microsoft.com/sharepoint/v4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65bfb563-8fe2-4d34-a09f-38a217d8feea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4D6DF2-AA4D-4DCC-9FCA-F83543E94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bfb563-8fe2-4d34-a09f-38a217d8fee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7A0B34-DBDE-4F08-9A56-DBBC9FA73E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Project 32</vt:lpstr>
      <vt:lpstr>Project 33</vt:lpstr>
      <vt:lpstr>Project 40</vt:lpstr>
      <vt:lpstr>Project 41</vt:lpstr>
      <vt:lpstr>Project 42</vt:lpstr>
      <vt:lpstr>Project 43</vt:lpstr>
      <vt:lpstr>Project 44</vt:lpstr>
      <vt:lpstr>'Project 32'!Print_Area</vt:lpstr>
      <vt:lpstr>'Project 33'!Print_Area</vt:lpstr>
      <vt:lpstr>'Project 40'!Print_Area</vt:lpstr>
      <vt:lpstr>'Project 41'!Print_Area</vt:lpstr>
      <vt:lpstr>'Project 42'!Print_Area</vt:lpstr>
      <vt:lpstr>'Project 43'!Print_Area</vt:lpstr>
      <vt:lpstr>'Project 44'!Print_Area</vt:lpstr>
    </vt:vector>
  </TitlesOfParts>
  <Company>LG&amp;E Energy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Nathan Frederic Hall</dc:creator>
  <cp:lastModifiedBy>Sharp, Stephen</cp:lastModifiedBy>
  <cp:lastPrinted>2014-03-27T13:23:01Z</cp:lastPrinted>
  <dcterms:created xsi:type="dcterms:W3CDTF">2006-05-12T17:38:13Z</dcterms:created>
  <dcterms:modified xsi:type="dcterms:W3CDTF">2026-08-24T16:24:22Z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dee1c6-0c13-46fe-9f7d-d5b32ad2c571_Enabled">
    <vt:lpwstr>true</vt:lpwstr>
  </property>
  <property fmtid="{D5CDD505-2E9C-101B-9397-08002B2CF9AE}" pid="3" name="MSIP_Label_0adee1c6-0c13-46fe-9f7d-d5b32ad2c571_SetDate">
    <vt:lpwstr>2023-03-21T10:44:27Z</vt:lpwstr>
  </property>
  <property fmtid="{D5CDD505-2E9C-101B-9397-08002B2CF9AE}" pid="4" name="MSIP_Label_0adee1c6-0c13-46fe-9f7d-d5b32ad2c571_Method">
    <vt:lpwstr>Privileged</vt:lpwstr>
  </property>
  <property fmtid="{D5CDD505-2E9C-101B-9397-08002B2CF9AE}" pid="5" name="MSIP_Label_0adee1c6-0c13-46fe-9f7d-d5b32ad2c571_Name">
    <vt:lpwstr>0adee1c6-0c13-46fe-9f7d-d5b32ad2c571</vt:lpwstr>
  </property>
  <property fmtid="{D5CDD505-2E9C-101B-9397-08002B2CF9AE}" pid="6" name="MSIP_Label_0adee1c6-0c13-46fe-9f7d-d5b32ad2c571_SiteId">
    <vt:lpwstr>5ee3b0ba-a559-45ee-a69e-6d3e963a3e72</vt:lpwstr>
  </property>
  <property fmtid="{D5CDD505-2E9C-101B-9397-08002B2CF9AE}" pid="7" name="MSIP_Label_0adee1c6-0c13-46fe-9f7d-d5b32ad2c571_ActionId">
    <vt:lpwstr>75ba5ce8-fd37-49f9-86f4-7afb118e1fd9</vt:lpwstr>
  </property>
  <property fmtid="{D5CDD505-2E9C-101B-9397-08002B2CF9AE}" pid="8" name="MSIP_Label_0adee1c6-0c13-46fe-9f7d-d5b32ad2c571_ContentBits">
    <vt:lpwstr>2</vt:lpwstr>
  </property>
  <property fmtid="{D5CDD505-2E9C-101B-9397-08002B2CF9AE}" pid="9" name="MSIP_Label_e0c8e74a-db15-49f1-980d-3d74f2e3ff07_Enabled">
    <vt:lpwstr>true</vt:lpwstr>
  </property>
  <property fmtid="{D5CDD505-2E9C-101B-9397-08002B2CF9AE}" pid="10" name="MSIP_Label_e0c8e74a-db15-49f1-980d-3d74f2e3ff07_SetDate">
    <vt:lpwstr>2023-11-29T14:37:44Z</vt:lpwstr>
  </property>
  <property fmtid="{D5CDD505-2E9C-101B-9397-08002B2CF9AE}" pid="11" name="MSIP_Label_e0c8e74a-db15-49f1-980d-3d74f2e3ff07_Method">
    <vt:lpwstr>Privileged</vt:lpwstr>
  </property>
  <property fmtid="{D5CDD505-2E9C-101B-9397-08002B2CF9AE}" pid="12" name="MSIP_Label_e0c8e74a-db15-49f1-980d-3d74f2e3ff07_Name">
    <vt:lpwstr>376d9127-3fad-41bb7-827b-657efc89d923</vt:lpwstr>
  </property>
  <property fmtid="{D5CDD505-2E9C-101B-9397-08002B2CF9AE}" pid="13" name="MSIP_Label_e0c8e74a-db15-49f1-980d-3d74f2e3ff07_SiteId">
    <vt:lpwstr>25b79aa0-07c6-4d65-9c80-df92aacdc157</vt:lpwstr>
  </property>
  <property fmtid="{D5CDD505-2E9C-101B-9397-08002B2CF9AE}" pid="14" name="MSIP_Label_e0c8e74a-db15-49f1-980d-3d74f2e3ff07_ActionId">
    <vt:lpwstr>40eabe8e-f27f-46f5-a3cd-b9d4d8a5c174</vt:lpwstr>
  </property>
  <property fmtid="{D5CDD505-2E9C-101B-9397-08002B2CF9AE}" pid="15" name="MSIP_Label_e0c8e74a-db15-49f1-980d-3d74f2e3ff07_ContentBits">
    <vt:lpwstr>2</vt:lpwstr>
  </property>
  <property fmtid="{D5CDD505-2E9C-101B-9397-08002B2CF9AE}" pid="16" name="ContentTypeId">
    <vt:lpwstr>0x010100FF510F20E04BCF41BE361D2F61EE6FFA</vt:lpwstr>
  </property>
</Properties>
</file>