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CN2026\CN-00179_00178 - K L ECR 6-month Reviews (Sep25 to Feb26)\3-Data Requests and Testimony\KU\PSC-1\Files from Sharepoint\"/>
    </mc:Choice>
  </mc:AlternateContent>
  <xr:revisionPtr revIDLastSave="0" documentId="8_{9F275ECD-F836-42E1-ABC6-BDC8C9915D74}" xr6:coauthVersionLast="47" xr6:coauthVersionMax="47" xr10:uidLastSave="{00000000-0000-0000-0000-000000000000}"/>
  <bookViews>
    <workbookView xWindow="-120" yWindow="-120" windowWidth="29040" windowHeight="17520" tabRatio="909" xr2:uid="{00000000-000D-0000-FFFF-FFFF00000000}"/>
  </bookViews>
  <sheets>
    <sheet name="Project 24" sheetId="26" r:id="rId1"/>
    <sheet name="Project 25" sheetId="25" r:id="rId2"/>
    <sheet name="Project 29" sheetId="30" r:id="rId3"/>
    <sheet name="Project 30" sheetId="29" r:id="rId4"/>
    <sheet name="Project 31" sheetId="31" r:id="rId5"/>
    <sheet name="Project 32" sheetId="32" r:id="rId6"/>
  </sheets>
  <definedNames>
    <definedName name="_xlnm.Print_Area" localSheetId="0">'Project 24'!$A$1:$N$49</definedName>
    <definedName name="_xlnm.Print_Area" localSheetId="1">'Project 25'!$A$1:$N$41</definedName>
    <definedName name="_xlnm.Print_Area" localSheetId="2">'Project 29'!$A$1:$N$49</definedName>
    <definedName name="_xlnm.Print_Area" localSheetId="3">'Project 30'!$A$1:$N$39</definedName>
    <definedName name="_xlnm.Print_Area" localSheetId="4">'Project 31'!$A$1:$N$15</definedName>
    <definedName name="_xlnm.Print_Area" localSheetId="5">'Project 32'!$A$1:$N$15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30" l="1"/>
  <c r="F12" i="30"/>
  <c r="E10" i="30"/>
  <c r="D10" i="30"/>
  <c r="E14" i="32" l="1"/>
  <c r="K15" i="29"/>
  <c r="K14" i="29"/>
  <c r="E14" i="29"/>
  <c r="E30" i="30"/>
  <c r="L14" i="30"/>
  <c r="K15" i="30"/>
  <c r="K14" i="30"/>
  <c r="K15" i="25"/>
  <c r="F15" i="25"/>
  <c r="E15" i="25"/>
  <c r="K14" i="25"/>
  <c r="L14" i="25"/>
  <c r="E14" i="30"/>
  <c r="L15" i="30"/>
  <c r="E14" i="25"/>
  <c r="D15" i="26"/>
  <c r="E47" i="26"/>
  <c r="E33" i="26"/>
  <c r="D14" i="26"/>
  <c r="E14" i="26"/>
  <c r="C15" i="32" l="1"/>
  <c r="C14" i="32"/>
  <c r="D15" i="30"/>
  <c r="D14" i="30"/>
  <c r="C15" i="26"/>
  <c r="C14" i="26"/>
  <c r="E13" i="32" l="1"/>
  <c r="C13" i="32"/>
  <c r="E13" i="31"/>
  <c r="E13" i="30"/>
  <c r="D13" i="30"/>
  <c r="D13" i="26"/>
  <c r="C13" i="26"/>
  <c r="F15" i="32"/>
  <c r="E15" i="32"/>
  <c r="F14" i="32"/>
  <c r="F15" i="31"/>
  <c r="E15" i="31"/>
  <c r="F14" i="31"/>
  <c r="E14" i="31"/>
  <c r="F15" i="29"/>
  <c r="E15" i="29"/>
  <c r="F14" i="29"/>
  <c r="F15" i="30"/>
  <c r="E15" i="30"/>
  <c r="F14" i="30"/>
  <c r="F14" i="25"/>
  <c r="F15" i="26" l="1"/>
  <c r="E15" i="26"/>
  <c r="F14" i="26"/>
  <c r="E12" i="29" l="1"/>
  <c r="E12" i="25"/>
  <c r="E12" i="26"/>
  <c r="C12" i="32"/>
  <c r="C11" i="32"/>
  <c r="E11" i="31"/>
  <c r="D12" i="31"/>
  <c r="D11" i="31"/>
  <c r="E11" i="30"/>
  <c r="D12" i="30"/>
  <c r="D11" i="30"/>
  <c r="D12" i="26"/>
  <c r="C12" i="26"/>
  <c r="D11" i="26"/>
  <c r="C11" i="26"/>
  <c r="F13" i="32"/>
  <c r="F12" i="32"/>
  <c r="E12" i="32"/>
  <c r="F11" i="32"/>
  <c r="E11" i="32"/>
  <c r="F13" i="31"/>
  <c r="F12" i="31"/>
  <c r="E12" i="31"/>
  <c r="F11" i="31"/>
  <c r="F13" i="29"/>
  <c r="E13" i="29"/>
  <c r="F12" i="29"/>
  <c r="F11" i="29"/>
  <c r="E11" i="29"/>
  <c r="F13" i="30"/>
  <c r="F11" i="30"/>
  <c r="F13" i="25"/>
  <c r="E13" i="25"/>
  <c r="F12" i="25"/>
  <c r="F11" i="25"/>
  <c r="E11" i="25"/>
  <c r="F13" i="26"/>
  <c r="E13" i="26"/>
  <c r="F12" i="26"/>
  <c r="F11" i="26"/>
  <c r="E11" i="26"/>
  <c r="F10" i="32" l="1"/>
  <c r="H10" i="32" s="1"/>
  <c r="L10" i="32" s="1"/>
  <c r="E10" i="32"/>
  <c r="G10" i="32" s="1"/>
  <c r="K10" i="32" s="1"/>
  <c r="M10" i="32" s="1"/>
  <c r="C10" i="32"/>
  <c r="F10" i="31"/>
  <c r="E10" i="31"/>
  <c r="G10" i="31" s="1"/>
  <c r="K10" i="31" s="1"/>
  <c r="M10" i="31" s="1"/>
  <c r="D10" i="31"/>
  <c r="H10" i="31" s="1"/>
  <c r="L10" i="31" s="1"/>
  <c r="E38" i="29"/>
  <c r="F37" i="29"/>
  <c r="H37" i="29" s="1"/>
  <c r="C37" i="29"/>
  <c r="F36" i="29"/>
  <c r="H36" i="29" s="1"/>
  <c r="F35" i="29"/>
  <c r="H35" i="29" s="1"/>
  <c r="H34" i="29"/>
  <c r="F34" i="29"/>
  <c r="E29" i="29"/>
  <c r="F28" i="29"/>
  <c r="H28" i="29" s="1"/>
  <c r="F27" i="29"/>
  <c r="H27" i="29" s="1"/>
  <c r="H26" i="29"/>
  <c r="F26" i="29"/>
  <c r="H25" i="29"/>
  <c r="F25" i="29"/>
  <c r="G10" i="29"/>
  <c r="F10" i="29"/>
  <c r="H10" i="29" s="1"/>
  <c r="L10" i="29" s="1"/>
  <c r="K10" i="29" s="1"/>
  <c r="M10" i="29" s="1"/>
  <c r="E10" i="29"/>
  <c r="F46" i="30"/>
  <c r="H46" i="30" s="1"/>
  <c r="F45" i="30"/>
  <c r="H45" i="30" s="1"/>
  <c r="F44" i="30"/>
  <c r="H44" i="30" s="1"/>
  <c r="F43" i="30"/>
  <c r="H43" i="30" s="1"/>
  <c r="F42" i="30"/>
  <c r="H42" i="30" s="1"/>
  <c r="F41" i="30"/>
  <c r="H41" i="30" s="1"/>
  <c r="F40" i="30"/>
  <c r="H40" i="30" s="1"/>
  <c r="F33" i="30"/>
  <c r="H33" i="30" s="1"/>
  <c r="F47" i="30"/>
  <c r="H47" i="30" s="1"/>
  <c r="F32" i="30"/>
  <c r="H32" i="30" s="1"/>
  <c r="C32" i="30"/>
  <c r="C46" i="30" s="1"/>
  <c r="F31" i="30"/>
  <c r="H31" i="30" s="1"/>
  <c r="F30" i="30"/>
  <c r="H30" i="30" s="1"/>
  <c r="E34" i="30"/>
  <c r="F28" i="30"/>
  <c r="H28" i="30" s="1"/>
  <c r="F27" i="30"/>
  <c r="H27" i="30" s="1"/>
  <c r="F26" i="30"/>
  <c r="H26" i="30" s="1"/>
  <c r="F25" i="30"/>
  <c r="F10" i="30"/>
  <c r="H10" i="30" s="1"/>
  <c r="L10" i="30" s="1"/>
  <c r="G10" i="30"/>
  <c r="K10" i="30" s="1"/>
  <c r="L10" i="25"/>
  <c r="F10" i="25"/>
  <c r="E10" i="25"/>
  <c r="G10" i="25"/>
  <c r="K10" i="25" s="1"/>
  <c r="F39" i="25"/>
  <c r="H39" i="25" s="1"/>
  <c r="F38" i="25"/>
  <c r="H38" i="25" s="1"/>
  <c r="F37" i="25"/>
  <c r="H37" i="25" s="1"/>
  <c r="F36" i="25"/>
  <c r="H36" i="25" s="1"/>
  <c r="F35" i="25"/>
  <c r="F29" i="25"/>
  <c r="H29" i="25" s="1"/>
  <c r="E30" i="25"/>
  <c r="F27" i="25"/>
  <c r="H27" i="25" s="1"/>
  <c r="F26" i="25"/>
  <c r="H26" i="25" s="1"/>
  <c r="F25" i="25"/>
  <c r="H25" i="25" s="1"/>
  <c r="H10" i="25"/>
  <c r="F47" i="26"/>
  <c r="H47" i="26" s="1"/>
  <c r="E48" i="26"/>
  <c r="F46" i="26"/>
  <c r="H46" i="26" s="1"/>
  <c r="F45" i="26"/>
  <c r="H45" i="26" s="1"/>
  <c r="F44" i="26"/>
  <c r="H44" i="26" s="1"/>
  <c r="F43" i="26"/>
  <c r="H43" i="26" s="1"/>
  <c r="F42" i="26"/>
  <c r="H42" i="26" s="1"/>
  <c r="F41" i="26"/>
  <c r="H41" i="26" s="1"/>
  <c r="F40" i="26"/>
  <c r="H40" i="26" s="1"/>
  <c r="F39" i="26"/>
  <c r="E34" i="26"/>
  <c r="H33" i="26"/>
  <c r="F33" i="26"/>
  <c r="C33" i="26"/>
  <c r="C47" i="26" s="1"/>
  <c r="F32" i="26"/>
  <c r="H32" i="26" s="1"/>
  <c r="F31" i="26"/>
  <c r="H31" i="26" s="1"/>
  <c r="F30" i="26"/>
  <c r="H30" i="26" s="1"/>
  <c r="F29" i="26"/>
  <c r="H29" i="26" s="1"/>
  <c r="F28" i="26"/>
  <c r="H28" i="26" s="1"/>
  <c r="F27" i="26"/>
  <c r="F26" i="26"/>
  <c r="H26" i="26" s="1"/>
  <c r="F25" i="26"/>
  <c r="H25" i="26" s="1"/>
  <c r="E10" i="26"/>
  <c r="D10" i="26"/>
  <c r="F10" i="26"/>
  <c r="C10" i="26"/>
  <c r="M10" i="30" l="1"/>
  <c r="F38" i="29"/>
  <c r="H38" i="29"/>
  <c r="H29" i="29"/>
  <c r="F48" i="26"/>
  <c r="H39" i="26"/>
  <c r="F34" i="26"/>
  <c r="H30" i="29"/>
  <c r="F29" i="29"/>
  <c r="E48" i="30"/>
  <c r="H25" i="30"/>
  <c r="F39" i="30"/>
  <c r="F29" i="30"/>
  <c r="H29" i="30" s="1"/>
  <c r="M10" i="25"/>
  <c r="F40" i="25"/>
  <c r="F28" i="25"/>
  <c r="H28" i="25" s="1"/>
  <c r="H30" i="25" s="1"/>
  <c r="H35" i="25"/>
  <c r="H40" i="25" s="1"/>
  <c r="E40" i="25"/>
  <c r="H48" i="26"/>
  <c r="H27" i="26"/>
  <c r="H34" i="26" s="1"/>
  <c r="G10" i="26"/>
  <c r="H10" i="26"/>
  <c r="L10" i="26" s="1"/>
  <c r="H31" i="29" l="1"/>
  <c r="F34" i="30"/>
  <c r="F30" i="25"/>
  <c r="H39" i="30"/>
  <c r="H48" i="30" s="1"/>
  <c r="F48" i="30"/>
  <c r="H34" i="30"/>
  <c r="H31" i="25"/>
  <c r="H32" i="25" s="1"/>
  <c r="H35" i="26"/>
  <c r="H36" i="26" s="1"/>
  <c r="K10" i="26"/>
  <c r="M10" i="26" s="1"/>
  <c r="H35" i="30" l="1"/>
  <c r="H36" i="30" s="1"/>
  <c r="G13" i="32" l="1"/>
  <c r="H15" i="32"/>
  <c r="L15" i="32" s="1"/>
  <c r="G15" i="32"/>
  <c r="H14" i="32"/>
  <c r="L14" i="32" s="1"/>
  <c r="G14" i="32"/>
  <c r="G12" i="32"/>
  <c r="H12" i="32"/>
  <c r="L12" i="32" s="1"/>
  <c r="G11" i="32"/>
  <c r="H11" i="32"/>
  <c r="L11" i="32" s="1"/>
  <c r="K11" i="32" l="1"/>
  <c r="K12" i="32"/>
  <c r="H13" i="32"/>
  <c r="L13" i="32" s="1"/>
  <c r="K13" i="32" s="1"/>
  <c r="K15" i="32"/>
  <c r="K14" i="32"/>
  <c r="M11" i="32" l="1"/>
  <c r="M12" i="32" l="1"/>
  <c r="M13" i="32" l="1"/>
  <c r="M14" i="32" l="1"/>
  <c r="M15" i="32" l="1"/>
  <c r="G11" i="30" l="1"/>
  <c r="K11" i="30" s="1"/>
  <c r="G12" i="30"/>
  <c r="K12" i="30" s="1"/>
  <c r="G13" i="30"/>
  <c r="K13" i="30" s="1"/>
  <c r="G14" i="30"/>
  <c r="G15" i="30"/>
  <c r="H14" i="31" l="1"/>
  <c r="L14" i="31" s="1"/>
  <c r="G14" i="31"/>
  <c r="H15" i="31"/>
  <c r="L15" i="31" s="1"/>
  <c r="G15" i="31"/>
  <c r="H13" i="31"/>
  <c r="L13" i="31" s="1"/>
  <c r="G13" i="31"/>
  <c r="H12" i="31"/>
  <c r="L12" i="31" s="1"/>
  <c r="G12" i="31"/>
  <c r="H11" i="31"/>
  <c r="L11" i="31" s="1"/>
  <c r="G11" i="31"/>
  <c r="K13" i="31" l="1"/>
  <c r="K12" i="31"/>
  <c r="K11" i="31"/>
  <c r="K15" i="31"/>
  <c r="K14" i="31"/>
  <c r="M11" i="31" l="1"/>
  <c r="M12" i="31" l="1"/>
  <c r="M13" i="31" l="1"/>
  <c r="Q11" i="31"/>
  <c r="Q12" i="31" s="1"/>
  <c r="M14" i="31" l="1"/>
  <c r="Q13" i="31" s="1"/>
  <c r="Q14" i="31" s="1"/>
  <c r="M15" i="31" l="1"/>
  <c r="H13" i="29"/>
  <c r="L13" i="29" s="1"/>
  <c r="K13" i="29" s="1"/>
  <c r="G13" i="29"/>
  <c r="H12" i="29"/>
  <c r="L12" i="29" s="1"/>
  <c r="G12" i="29"/>
  <c r="H11" i="29"/>
  <c r="L11" i="29" s="1"/>
  <c r="G11" i="29"/>
  <c r="K11" i="29" s="1"/>
  <c r="K12" i="29" l="1"/>
  <c r="Q15" i="31"/>
  <c r="Q16" i="31" s="1"/>
  <c r="H15" i="30" l="1"/>
  <c r="H49" i="30" s="1"/>
  <c r="H14" i="30"/>
  <c r="H13" i="30"/>
  <c r="L13" i="30" s="1"/>
  <c r="H12" i="30"/>
  <c r="L12" i="30" s="1"/>
  <c r="H11" i="30"/>
  <c r="L11" i="30" s="1"/>
  <c r="H37" i="30" l="1"/>
  <c r="M11" i="30" l="1"/>
  <c r="M12" i="30" l="1"/>
  <c r="M13" i="30" l="1"/>
  <c r="M11" i="29"/>
  <c r="M14" i="30" l="1"/>
  <c r="M12" i="29"/>
  <c r="M15" i="30" l="1"/>
  <c r="M13" i="29"/>
  <c r="G15" i="25"/>
  <c r="G15" i="26"/>
  <c r="G15" i="29"/>
  <c r="G14" i="29"/>
  <c r="H14" i="29"/>
  <c r="L14" i="29" s="1"/>
  <c r="H15" i="29"/>
  <c r="G13" i="25"/>
  <c r="K13" i="25" s="1"/>
  <c r="H11" i="25"/>
  <c r="L11" i="25" s="1"/>
  <c r="H12" i="25"/>
  <c r="L12" i="25" s="1"/>
  <c r="H13" i="25"/>
  <c r="L13" i="25" s="1"/>
  <c r="H14" i="25"/>
  <c r="H15" i="25"/>
  <c r="L15" i="25" s="1"/>
  <c r="G11" i="25"/>
  <c r="K11" i="25" s="1"/>
  <c r="G12" i="25"/>
  <c r="K12" i="25" s="1"/>
  <c r="G14" i="25"/>
  <c r="G11" i="26"/>
  <c r="K11" i="26" s="1"/>
  <c r="G12" i="26"/>
  <c r="H12" i="26"/>
  <c r="L12" i="26" s="1"/>
  <c r="G13" i="26"/>
  <c r="K13" i="26" s="1"/>
  <c r="G14" i="26"/>
  <c r="K14" i="26" s="1"/>
  <c r="H14" i="26"/>
  <c r="L14" i="26" s="1"/>
  <c r="H15" i="26"/>
  <c r="H11" i="26"/>
  <c r="L11" i="26" s="1"/>
  <c r="H13" i="26"/>
  <c r="L13" i="26" s="1"/>
  <c r="H41" i="25" l="1"/>
  <c r="H33" i="25"/>
  <c r="K12" i="26"/>
  <c r="L15" i="29"/>
  <c r="H39" i="29" s="1"/>
  <c r="L15" i="26"/>
  <c r="H49" i="26" s="1"/>
  <c r="M14" i="29"/>
  <c r="K15" i="26" l="1"/>
  <c r="M11" i="25"/>
  <c r="H32" i="29"/>
  <c r="H37" i="26"/>
  <c r="M11" i="26"/>
  <c r="M12" i="25" l="1"/>
  <c r="M12" i="26"/>
  <c r="M15" i="29"/>
  <c r="Q11" i="29"/>
  <c r="Q12" i="29" s="1"/>
  <c r="M13" i="25" l="1"/>
  <c r="M13" i="26"/>
  <c r="Q13" i="29"/>
  <c r="Q14" i="29" s="1"/>
  <c r="M14" i="25" l="1"/>
  <c r="M14" i="26"/>
  <c r="Q15" i="29"/>
  <c r="Q16" i="29" s="1"/>
  <c r="M15" i="25" l="1"/>
  <c r="M15" i="26"/>
</calcChain>
</file>

<file path=xl/sharedStrings.xml><?xml version="1.0" encoding="utf-8"?>
<sst xmlns="http://schemas.openxmlformats.org/spreadsheetml/2006/main" count="203" uniqueCount="49">
  <si>
    <t>Month</t>
  </si>
  <si>
    <t>Plant Balance</t>
  </si>
  <si>
    <t>Book Depreciation</t>
  </si>
  <si>
    <t>Louisville Gas and Electric Company</t>
  </si>
  <si>
    <t>Deferred Taxes on Retirements</t>
  </si>
  <si>
    <t>Accumulated Deferred Taxes</t>
  </si>
  <si>
    <t>Deferred Tax Calculations</t>
  </si>
  <si>
    <t>Environmental Compliance Plans, by Approved Project</t>
  </si>
  <si>
    <t>Beg Balance</t>
  </si>
  <si>
    <t>2009 - Plan</t>
  </si>
  <si>
    <t>Project 25 -Beneficial Reuse</t>
  </si>
  <si>
    <t xml:space="preserve"> </t>
  </si>
  <si>
    <t>2016 - Plan</t>
  </si>
  <si>
    <t>Project 30 - Trimble County New Process Water Systems</t>
  </si>
  <si>
    <t>Fed Tax Depreciation</t>
  </si>
  <si>
    <t>State Tax Depreciation</t>
  </si>
  <si>
    <t>Fed Temporary Difference</t>
  </si>
  <si>
    <t>State Temporary Difference</t>
  </si>
  <si>
    <t>Fed Tax Rate</t>
  </si>
  <si>
    <t>State Tax Rate</t>
  </si>
  <si>
    <t>Fed Deferred Tax</t>
  </si>
  <si>
    <t>State Deferred Tax</t>
  </si>
  <si>
    <t>is computed separately for Federal and State purposes.  Specifically, for Federal taxes, certain assets received 50% bonus</t>
  </si>
  <si>
    <t>is shown below:</t>
  </si>
  <si>
    <t>Federal Basis</t>
  </si>
  <si>
    <t>Book Depr.</t>
  </si>
  <si>
    <t>Federal Tax Depr</t>
  </si>
  <si>
    <t>Fed. Difference</t>
  </si>
  <si>
    <t>Fed Def Tax</t>
  </si>
  <si>
    <t xml:space="preserve">Due to Bonus Depreciation for tax purposes taken on certain components of Project 24, the deferred tax calculation for this project </t>
  </si>
  <si>
    <t>State Basis</t>
  </si>
  <si>
    <t>State Tax Depr</t>
  </si>
  <si>
    <t>St. Difference</t>
  </si>
  <si>
    <t>St Def Tax</t>
  </si>
  <si>
    <t>State Offset</t>
  </si>
  <si>
    <t xml:space="preserve">Due to Bonus Depreciation for tax purposes taken on certain components of Project 25, the deferred tax calculation for this project </t>
  </si>
  <si>
    <t xml:space="preserve">Due to Bonus Depreciation for tax purposes taken on certain components of Project 30, the deferred tax calculation for this project </t>
  </si>
  <si>
    <t>Project 24 - Trimble County CCP Storage (Landfill - Phase I)</t>
  </si>
  <si>
    <t>Project 29 - Mill Creek New Process Water Systems</t>
  </si>
  <si>
    <t>2020 - Plan</t>
  </si>
  <si>
    <t>Project 31 - Mill Creek ELG Water Treatment System and Diffuser</t>
  </si>
  <si>
    <t>The federal deferred tax column includes an amount for amortization of excess deferred tax amounts.</t>
  </si>
  <si>
    <t>Subtotal</t>
  </si>
  <si>
    <t>Excess fed deferred tax amortization</t>
  </si>
  <si>
    <t>The federal and state deferred tax columns include an amount for amortization of excess deferred tax amounts.</t>
  </si>
  <si>
    <t>Excess state deferred tax amortization</t>
  </si>
  <si>
    <t xml:space="preserve">Due to Bonus Depreciation for tax purposes taken on certain components of Project 29, the deferred tax calculation for this project </t>
  </si>
  <si>
    <t>Project 32 - Trimble County ELG Water Treatment System</t>
  </si>
  <si>
    <t>depreciation, which reduces the Federal tax basis to 50% of the plant balance.  A sample calculation of deferred taxes for Feb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</si>
</sst>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0.0000%"/>
    <numFmt numFmtId="165" formatCode="[$-409]mmm\-yy;@"/>
    <numFmt numFmtId="166" formatCode="_(* #,##0_);_(* \(#,##0\);_(* &quot;-&quot;??_);_(@_)"/>
  </numFmts>
  <fonts count="10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 val="singleAccounting"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0" fillId="0" borderId="0" xfId="0" applyNumberFormat="1"/>
    <xf numFmtId="0" fontId="3" fillId="0" borderId="0" xfId="0" applyFont="1"/>
    <xf numFmtId="165" fontId="3" fillId="0" borderId="0" xfId="0" applyNumberFormat="1" applyFont="1"/>
    <xf numFmtId="165" fontId="2" fillId="0" borderId="0" xfId="0" applyNumberFormat="1" applyFont="1"/>
    <xf numFmtId="165" fontId="3" fillId="0" borderId="1" xfId="0" applyNumberFormat="1" applyFont="1" applyBorder="1" applyAlignment="1">
      <alignment horizontal="center" wrapText="1"/>
    </xf>
    <xf numFmtId="165" fontId="0" fillId="0" borderId="0" xfId="0" applyNumberFormat="1"/>
    <xf numFmtId="41" fontId="0" fillId="0" borderId="0" xfId="0" applyNumberFormat="1"/>
    <xf numFmtId="166" fontId="1" fillId="0" borderId="0" xfId="1" applyNumberFormat="1"/>
    <xf numFmtId="0" fontId="3" fillId="0" borderId="0" xfId="0" applyFont="1" applyAlignment="1">
      <alignment horizontal="centerContinuous"/>
    </xf>
    <xf numFmtId="41" fontId="4" fillId="0" borderId="0" xfId="0" applyNumberFormat="1" applyFont="1"/>
    <xf numFmtId="38" fontId="4" fillId="0" borderId="0" xfId="0" applyNumberFormat="1" applyFont="1"/>
    <xf numFmtId="166" fontId="4" fillId="0" borderId="0" xfId="1" applyNumberFormat="1" applyFont="1"/>
    <xf numFmtId="165" fontId="4" fillId="0" borderId="0" xfId="0" applyNumberFormat="1" applyFont="1" applyAlignment="1">
      <alignment horizontal="left"/>
    </xf>
    <xf numFmtId="0" fontId="4" fillId="0" borderId="0" xfId="0" applyFont="1"/>
    <xf numFmtId="0" fontId="4" fillId="0" borderId="0" xfId="0" quotePrefix="1" applyFont="1" applyAlignment="1">
      <alignment horizontal="left"/>
    </xf>
    <xf numFmtId="38" fontId="0" fillId="0" borderId="0" xfId="0" applyNumberFormat="1"/>
    <xf numFmtId="165" fontId="2" fillId="0" borderId="0" xfId="0" quotePrefix="1" applyNumberFormat="1" applyFont="1" applyAlignment="1">
      <alignment horizontal="left"/>
    </xf>
    <xf numFmtId="165" fontId="3" fillId="0" borderId="0" xfId="0" quotePrefix="1" applyNumberFormat="1" applyFont="1" applyAlignment="1">
      <alignment horizontal="left"/>
    </xf>
    <xf numFmtId="0" fontId="1" fillId="0" borderId="0" xfId="0" quotePrefix="1" applyFont="1" applyAlignment="1">
      <alignment horizontal="left"/>
    </xf>
    <xf numFmtId="166" fontId="0" fillId="0" borderId="0" xfId="0" applyNumberFormat="1"/>
    <xf numFmtId="41" fontId="1" fillId="0" borderId="0" xfId="0" quotePrefix="1" applyNumberFormat="1" applyFont="1" applyAlignment="1">
      <alignment horizontal="left"/>
    </xf>
    <xf numFmtId="166" fontId="1" fillId="0" borderId="0" xfId="3" applyNumberFormat="1" applyFont="1" applyFill="1"/>
    <xf numFmtId="43" fontId="1" fillId="0" borderId="0" xfId="3" applyFont="1" applyFill="1"/>
    <xf numFmtId="166" fontId="1" fillId="0" borderId="0" xfId="3" quotePrefix="1" applyNumberFormat="1" applyFont="1" applyFill="1" applyAlignment="1">
      <alignment horizontal="left"/>
    </xf>
    <xf numFmtId="41" fontId="8" fillId="0" borderId="0" xfId="0" applyNumberFormat="1" applyFont="1"/>
    <xf numFmtId="0" fontId="1" fillId="0" borderId="0" xfId="0" applyFont="1"/>
    <xf numFmtId="165" fontId="1" fillId="0" borderId="0" xfId="8" applyNumberFormat="1" applyFont="1" applyAlignment="1">
      <alignment horizontal="left"/>
    </xf>
    <xf numFmtId="43" fontId="0" fillId="0" borderId="0" xfId="1" applyFont="1"/>
    <xf numFmtId="41" fontId="1" fillId="0" borderId="0" xfId="0" applyNumberFormat="1" applyFont="1"/>
    <xf numFmtId="38" fontId="1" fillId="0" borderId="0" xfId="0" applyNumberFormat="1" applyFont="1"/>
    <xf numFmtId="166" fontId="1" fillId="0" borderId="0" xfId="1" applyNumberFormat="1" applyFont="1"/>
    <xf numFmtId="166" fontId="1" fillId="0" borderId="0" xfId="9" applyNumberFormat="1" applyFont="1" applyFill="1"/>
    <xf numFmtId="43" fontId="1" fillId="0" borderId="0" xfId="9" applyFont="1" applyFill="1"/>
    <xf numFmtId="166" fontId="1" fillId="0" borderId="0" xfId="9" quotePrefix="1" applyNumberFormat="1" applyFont="1" applyFill="1" applyAlignment="1">
      <alignment horizontal="left"/>
    </xf>
    <xf numFmtId="164" fontId="1" fillId="0" borderId="0" xfId="0" applyNumberFormat="1" applyFont="1"/>
    <xf numFmtId="41" fontId="1" fillId="0" borderId="0" xfId="10" applyNumberFormat="1"/>
    <xf numFmtId="38" fontId="1" fillId="0" borderId="0" xfId="10" applyNumberFormat="1"/>
    <xf numFmtId="41" fontId="1" fillId="0" borderId="0" xfId="10" quotePrefix="1" applyNumberFormat="1" applyAlignment="1">
      <alignment horizontal="left"/>
    </xf>
    <xf numFmtId="0" fontId="1" fillId="0" borderId="0" xfId="10"/>
    <xf numFmtId="0" fontId="1" fillId="0" borderId="0" xfId="10" quotePrefix="1" applyAlignment="1">
      <alignment horizontal="left"/>
    </xf>
    <xf numFmtId="164" fontId="1" fillId="0" borderId="0" xfId="10" applyNumberFormat="1"/>
    <xf numFmtId="41" fontId="8" fillId="0" borderId="0" xfId="10" applyNumberFormat="1" applyFont="1"/>
    <xf numFmtId="43" fontId="1" fillId="0" borderId="0" xfId="1"/>
    <xf numFmtId="166" fontId="0" fillId="0" borderId="0" xfId="1" applyNumberFormat="1" applyFont="1" applyBorder="1"/>
    <xf numFmtId="41" fontId="9" fillId="0" borderId="0" xfId="0" applyNumberFormat="1" applyFont="1"/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9" xr:uid="{29E95CD5-11FC-4454-B56A-5602AD490C8E}"/>
    <cellStyle name="Comma 3" xfId="4" xr:uid="{00000000-0005-0000-0000-000003000000}"/>
    <cellStyle name="Comma 3 2" xfId="5" xr:uid="{00000000-0005-0000-0000-000004000000}"/>
    <cellStyle name="Comma 4" xfId="6" xr:uid="{00000000-0005-0000-0000-000005000000}"/>
    <cellStyle name="Comma 5" xfId="7" xr:uid="{00000000-0005-0000-0000-000006000000}"/>
    <cellStyle name="Normal" xfId="0" builtinId="0"/>
    <cellStyle name="Normal 2" xfId="8" xr:uid="{00000000-0005-0000-0000-000008000000}"/>
    <cellStyle name="Normal 2 2" xfId="10" xr:uid="{B3949104-6462-4C30-967C-A13C43E2694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9"/>
  <sheetViews>
    <sheetView tabSelected="1" zoomScaleNormal="100" workbookViewId="0"/>
  </sheetViews>
  <sheetFormatPr defaultRowHeight="12.75" x14ac:dyDescent="0.2"/>
  <cols>
    <col min="1" max="1" width="11.28515625" style="8" customWidth="1"/>
    <col min="2" max="2" width="1.7109375" customWidth="1"/>
    <col min="3" max="3" width="13.28515625" customWidth="1"/>
    <col min="4" max="4" width="12.7109375" customWidth="1"/>
    <col min="5" max="5" width="16" customWidth="1"/>
    <col min="6" max="6" width="14.7109375" customWidth="1"/>
    <col min="7" max="7" width="14" customWidth="1"/>
    <col min="8" max="12" width="12.7109375" customWidth="1"/>
    <col min="13" max="13" width="14.85546875" customWidth="1"/>
    <col min="14" max="14" width="12.7109375" customWidth="1"/>
    <col min="15" max="15" width="14.85546875" bestFit="1" customWidth="1"/>
    <col min="16" max="16" width="12.7109375" customWidth="1"/>
    <col min="17" max="17" width="9.28515625" bestFit="1" customWidth="1"/>
  </cols>
  <sheetData>
    <row r="1" spans="1:18" x14ac:dyDescent="0.2">
      <c r="A1" s="11" t="s">
        <v>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8" x14ac:dyDescent="0.2">
      <c r="A2" s="11" t="s">
        <v>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8" x14ac:dyDescent="0.2">
      <c r="A3" s="11" t="s">
        <v>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8" x14ac:dyDescent="0.2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8" x14ac:dyDescent="0.2">
      <c r="A5" s="19" t="s">
        <v>9</v>
      </c>
    </row>
    <row r="6" spans="1:18" x14ac:dyDescent="0.2">
      <c r="A6" s="20" t="s">
        <v>37</v>
      </c>
    </row>
    <row r="8" spans="1:18" s="1" customFormat="1" ht="38.25" x14ac:dyDescent="0.2">
      <c r="A8" s="7" t="s">
        <v>0</v>
      </c>
      <c r="B8" s="2"/>
      <c r="C8" s="2" t="s">
        <v>1</v>
      </c>
      <c r="D8" s="2" t="s">
        <v>2</v>
      </c>
      <c r="E8" s="2" t="s">
        <v>14</v>
      </c>
      <c r="F8" s="2" t="s">
        <v>15</v>
      </c>
      <c r="G8" s="2" t="s">
        <v>16</v>
      </c>
      <c r="H8" s="2" t="s">
        <v>17</v>
      </c>
      <c r="I8" s="2" t="s">
        <v>18</v>
      </c>
      <c r="J8" s="2" t="s">
        <v>19</v>
      </c>
      <c r="K8" s="2" t="s">
        <v>20</v>
      </c>
      <c r="L8" s="2" t="s">
        <v>21</v>
      </c>
      <c r="M8" s="2" t="s">
        <v>5</v>
      </c>
      <c r="N8" s="2" t="s">
        <v>4</v>
      </c>
    </row>
    <row r="9" spans="1:18" x14ac:dyDescent="0.2">
      <c r="A9" s="8" t="s">
        <v>8</v>
      </c>
      <c r="M9" s="10">
        <v>13272534</v>
      </c>
    </row>
    <row r="10" spans="1:18" x14ac:dyDescent="0.2">
      <c r="A10" s="29">
        <v>45909</v>
      </c>
      <c r="C10" s="31">
        <f t="shared" ref="C10:C15" si="0">168762184</f>
        <v>168762184</v>
      </c>
      <c r="D10" s="32">
        <f>354536.49</f>
        <v>354536.49</v>
      </c>
      <c r="E10" s="32">
        <f>603218</f>
        <v>603218</v>
      </c>
      <c r="F10" s="32">
        <f>770108.49</f>
        <v>770108.49</v>
      </c>
      <c r="G10" s="33">
        <f t="shared" ref="G10" si="1">E10-D10</f>
        <v>248681.51</v>
      </c>
      <c r="H10" s="33">
        <f t="shared" ref="H10" si="2">F10-D10</f>
        <v>415572</v>
      </c>
      <c r="I10" s="3">
        <v>0.21</v>
      </c>
      <c r="J10" s="3">
        <v>0.05</v>
      </c>
      <c r="K10" s="9">
        <f>G10*I10-L10*I10-1510.73</f>
        <v>46348.881099999999</v>
      </c>
      <c r="L10" s="9">
        <f t="shared" ref="L10" si="3">H10*J10</f>
        <v>20778.600000000002</v>
      </c>
      <c r="M10" s="9">
        <f t="shared" ref="M10" si="4">M9+K10+L10</f>
        <v>13339661.4811</v>
      </c>
      <c r="N10" s="9">
        <v>0</v>
      </c>
      <c r="O10" s="30"/>
      <c r="R10" s="22"/>
    </row>
    <row r="11" spans="1:18" x14ac:dyDescent="0.2">
      <c r="A11" s="29">
        <v>45931</v>
      </c>
      <c r="C11" s="31">
        <f t="shared" si="0"/>
        <v>168762184</v>
      </c>
      <c r="D11" s="32">
        <f t="shared" ref="D11:D13" si="5">354536.49</f>
        <v>354536.49</v>
      </c>
      <c r="E11" s="32">
        <f t="shared" ref="E11:E13" si="6">603218</f>
        <v>603218</v>
      </c>
      <c r="F11" s="32">
        <f t="shared" ref="F11:F13" si="7">770108.49</f>
        <v>770108.49</v>
      </c>
      <c r="G11" s="14">
        <f t="shared" ref="G11:G15" si="8">E11-D11</f>
        <v>248681.51</v>
      </c>
      <c r="H11" s="14">
        <f t="shared" ref="H11:H15" si="9">F11-D11</f>
        <v>415572</v>
      </c>
      <c r="I11" s="3">
        <v>0.21</v>
      </c>
      <c r="J11" s="3">
        <v>0.05</v>
      </c>
      <c r="K11" s="9">
        <f>G11*I11-L11*I11-1510.73</f>
        <v>46348.881099999999</v>
      </c>
      <c r="L11" s="9">
        <f t="shared" ref="L11:L13" si="10">H11*J11</f>
        <v>20778.600000000002</v>
      </c>
      <c r="M11" s="9">
        <f t="shared" ref="M11:M15" si="11">M10+K11+L11</f>
        <v>13406788.962200001</v>
      </c>
      <c r="N11" s="9">
        <v>0</v>
      </c>
      <c r="O11" s="30"/>
      <c r="Q11" s="9"/>
      <c r="R11" s="22"/>
    </row>
    <row r="12" spans="1:18" x14ac:dyDescent="0.2">
      <c r="A12" s="29">
        <v>45962</v>
      </c>
      <c r="C12" s="31">
        <f t="shared" si="0"/>
        <v>168762184</v>
      </c>
      <c r="D12" s="32">
        <f t="shared" si="5"/>
        <v>354536.49</v>
      </c>
      <c r="E12" s="32">
        <f>603218+2</f>
        <v>603220</v>
      </c>
      <c r="F12" s="32">
        <f t="shared" si="7"/>
        <v>770108.49</v>
      </c>
      <c r="G12" s="14">
        <f t="shared" si="8"/>
        <v>248683.51</v>
      </c>
      <c r="H12" s="14">
        <f t="shared" si="9"/>
        <v>415572</v>
      </c>
      <c r="I12" s="3">
        <v>0.21</v>
      </c>
      <c r="J12" s="3">
        <v>0.05</v>
      </c>
      <c r="K12" s="9">
        <f>G12*I12-L12*I12-1510.73</f>
        <v>46349.301099999997</v>
      </c>
      <c r="L12" s="9">
        <f t="shared" si="10"/>
        <v>20778.600000000002</v>
      </c>
      <c r="M12" s="9">
        <f t="shared" si="11"/>
        <v>13473916.863300001</v>
      </c>
      <c r="N12" s="9">
        <v>0</v>
      </c>
      <c r="R12" s="22"/>
    </row>
    <row r="13" spans="1:18" x14ac:dyDescent="0.2">
      <c r="A13" s="29">
        <v>45992</v>
      </c>
      <c r="C13" s="31">
        <f t="shared" si="0"/>
        <v>168762184</v>
      </c>
      <c r="D13" s="32">
        <f t="shared" si="5"/>
        <v>354536.49</v>
      </c>
      <c r="E13" s="32">
        <f t="shared" si="6"/>
        <v>603218</v>
      </c>
      <c r="F13" s="32">
        <f t="shared" si="7"/>
        <v>770108.49</v>
      </c>
      <c r="G13" s="14">
        <f t="shared" si="8"/>
        <v>248681.51</v>
      </c>
      <c r="H13" s="14">
        <f t="shared" si="9"/>
        <v>415572</v>
      </c>
      <c r="I13" s="3">
        <v>0.21</v>
      </c>
      <c r="J13" s="3">
        <v>0.05</v>
      </c>
      <c r="K13" s="9">
        <f>G13*I13-L13*I13-1510.73</f>
        <v>46348.881099999999</v>
      </c>
      <c r="L13" s="9">
        <f t="shared" si="10"/>
        <v>20778.600000000002</v>
      </c>
      <c r="M13" s="9">
        <f t="shared" si="11"/>
        <v>13541044.344400002</v>
      </c>
      <c r="N13" s="9">
        <v>0</v>
      </c>
      <c r="Q13" s="16"/>
      <c r="R13" s="22"/>
    </row>
    <row r="14" spans="1:18" x14ac:dyDescent="0.2">
      <c r="A14" s="29">
        <v>46023</v>
      </c>
      <c r="C14" s="31">
        <f t="shared" si="0"/>
        <v>168762184</v>
      </c>
      <c r="D14" s="32">
        <f>354536</f>
        <v>354536</v>
      </c>
      <c r="E14" s="32">
        <f>559757.58</f>
        <v>559757.57999999996</v>
      </c>
      <c r="F14" s="32">
        <f>715828.4</f>
        <v>715828.4</v>
      </c>
      <c r="G14" s="14">
        <f t="shared" si="8"/>
        <v>205221.57999999996</v>
      </c>
      <c r="H14" s="14">
        <f t="shared" si="9"/>
        <v>361292.4</v>
      </c>
      <c r="I14" s="3">
        <v>0.21</v>
      </c>
      <c r="J14" s="3">
        <v>0.05</v>
      </c>
      <c r="K14" s="9">
        <f>G14*I14-L14*I14-1511.42</f>
        <v>37791.54159999999</v>
      </c>
      <c r="L14" s="9">
        <f t="shared" ref="L14:L15" si="12">H14*J14</f>
        <v>18064.620000000003</v>
      </c>
      <c r="M14" s="9">
        <f t="shared" si="11"/>
        <v>13596900.506000001</v>
      </c>
      <c r="N14" s="9">
        <v>0</v>
      </c>
      <c r="Q14" s="12"/>
      <c r="R14" s="22"/>
    </row>
    <row r="15" spans="1:18" x14ac:dyDescent="0.2">
      <c r="A15" s="29">
        <v>46054</v>
      </c>
      <c r="C15" s="31">
        <f t="shared" si="0"/>
        <v>168762184</v>
      </c>
      <c r="D15" s="32">
        <f>354536</f>
        <v>354536</v>
      </c>
      <c r="E15" s="32">
        <f>559757.58</f>
        <v>559757.57999999996</v>
      </c>
      <c r="F15" s="32">
        <f>715828.4</f>
        <v>715828.4</v>
      </c>
      <c r="G15" s="14">
        <f t="shared" si="8"/>
        <v>205221.57999999996</v>
      </c>
      <c r="H15" s="14">
        <f t="shared" si="9"/>
        <v>361292.4</v>
      </c>
      <c r="I15" s="3">
        <v>0.21</v>
      </c>
      <c r="J15" s="3">
        <v>0.05</v>
      </c>
      <c r="K15" s="9">
        <f>G15*I15-L15*I15-1511.42</f>
        <v>37791.54159999999</v>
      </c>
      <c r="L15" s="9">
        <f t="shared" si="12"/>
        <v>18064.620000000003</v>
      </c>
      <c r="M15" s="9">
        <f t="shared" si="11"/>
        <v>13652756.6676</v>
      </c>
      <c r="N15" s="9">
        <v>0</v>
      </c>
      <c r="R15" s="22"/>
    </row>
    <row r="16" spans="1:18" x14ac:dyDescent="0.2">
      <c r="A16" s="15"/>
      <c r="C16" s="12"/>
      <c r="D16" s="13"/>
      <c r="E16" s="13"/>
      <c r="F16" s="13"/>
      <c r="G16" s="14"/>
      <c r="H16" s="14"/>
      <c r="I16" s="14"/>
      <c r="J16" s="12"/>
      <c r="K16" s="12"/>
      <c r="L16" s="3"/>
      <c r="M16" s="3"/>
      <c r="N16" s="9"/>
      <c r="O16" s="9"/>
      <c r="P16" s="9"/>
    </row>
    <row r="17" spans="1:16" x14ac:dyDescent="0.2">
      <c r="A17" s="15"/>
      <c r="C17" s="31" t="s">
        <v>41</v>
      </c>
      <c r="D17" s="32"/>
      <c r="E17" s="32"/>
      <c r="F17" s="32"/>
      <c r="G17" s="33"/>
      <c r="H17" s="33"/>
      <c r="I17" s="33"/>
      <c r="J17" s="31"/>
      <c r="K17" s="31"/>
      <c r="L17" s="3"/>
      <c r="M17" s="3"/>
      <c r="N17" s="9"/>
      <c r="O17" s="9"/>
      <c r="P17" s="9"/>
    </row>
    <row r="18" spans="1:16" x14ac:dyDescent="0.2">
      <c r="A18" s="15"/>
      <c r="C18" s="31"/>
      <c r="D18" s="32"/>
      <c r="E18" s="32"/>
      <c r="F18" s="32"/>
      <c r="G18" s="33"/>
      <c r="H18" s="33"/>
      <c r="I18" s="33"/>
      <c r="J18" s="31"/>
      <c r="K18" s="31"/>
      <c r="L18" s="3"/>
      <c r="M18" s="3"/>
      <c r="N18" s="9"/>
      <c r="O18" s="9"/>
      <c r="P18" s="9"/>
    </row>
    <row r="19" spans="1:16" x14ac:dyDescent="0.2">
      <c r="C19" s="23" t="s">
        <v>29</v>
      </c>
      <c r="D19" s="34"/>
      <c r="E19" s="34"/>
      <c r="F19" s="34"/>
      <c r="G19" s="35"/>
      <c r="H19" s="35"/>
    </row>
    <row r="20" spans="1:16" x14ac:dyDescent="0.2">
      <c r="C20" s="23" t="s">
        <v>22</v>
      </c>
      <c r="D20" s="34"/>
      <c r="E20" s="34"/>
      <c r="F20" s="34"/>
      <c r="G20" s="35"/>
      <c r="H20" s="35"/>
    </row>
    <row r="21" spans="1:16" x14ac:dyDescent="0.2">
      <c r="C21" s="23" t="s">
        <v>48</v>
      </c>
      <c r="D21" s="34"/>
      <c r="E21" s="34"/>
      <c r="F21" s="34"/>
      <c r="G21" s="35"/>
      <c r="H21" s="35"/>
    </row>
    <row r="22" spans="1:16" x14ac:dyDescent="0.2">
      <c r="C22" s="9" t="s">
        <v>23</v>
      </c>
      <c r="D22" s="34"/>
      <c r="E22" s="34"/>
      <c r="F22" s="34"/>
      <c r="G22" s="35"/>
      <c r="H22" s="35"/>
    </row>
    <row r="23" spans="1:16" x14ac:dyDescent="0.2">
      <c r="C23" s="21"/>
      <c r="D23" s="34"/>
      <c r="E23" s="34"/>
      <c r="F23" s="34"/>
      <c r="G23" s="34"/>
      <c r="H23" s="34"/>
    </row>
    <row r="24" spans="1:16" x14ac:dyDescent="0.2">
      <c r="C24" s="9" t="s">
        <v>24</v>
      </c>
      <c r="D24" s="36" t="s">
        <v>25</v>
      </c>
      <c r="E24" s="35" t="s">
        <v>26</v>
      </c>
      <c r="F24" s="9" t="s">
        <v>27</v>
      </c>
      <c r="G24" s="3" t="s">
        <v>18</v>
      </c>
      <c r="H24" s="9" t="s">
        <v>28</v>
      </c>
    </row>
    <row r="25" spans="1:16" x14ac:dyDescent="0.2">
      <c r="C25" s="31">
        <v>2033858.4350000001</v>
      </c>
      <c r="D25" s="31">
        <v>354535.74</v>
      </c>
      <c r="E25" s="31">
        <v>7560.87</v>
      </c>
      <c r="F25" s="31">
        <f>-D25+E25</f>
        <v>-346974.87</v>
      </c>
      <c r="G25" s="3">
        <v>0.21</v>
      </c>
      <c r="H25" s="31">
        <f>F25*G25</f>
        <v>-72864.722699999998</v>
      </c>
    </row>
    <row r="26" spans="1:16" x14ac:dyDescent="0.2">
      <c r="C26" s="31">
        <v>4041284</v>
      </c>
      <c r="D26" s="31"/>
      <c r="E26" s="31">
        <v>15023.47</v>
      </c>
      <c r="F26" s="31">
        <f>E26</f>
        <v>15023.47</v>
      </c>
      <c r="G26" s="3">
        <v>0.21</v>
      </c>
      <c r="H26" s="31">
        <f t="shared" ref="H26:H32" si="13">F26*G26</f>
        <v>3154.9286999999999</v>
      </c>
    </row>
    <row r="27" spans="1:16" x14ac:dyDescent="0.2">
      <c r="C27" s="31">
        <v>199697</v>
      </c>
      <c r="D27" s="31"/>
      <c r="E27" s="31">
        <v>742.54</v>
      </c>
      <c r="F27" s="31">
        <f t="shared" ref="F27:F32" si="14">E27</f>
        <v>742.54</v>
      </c>
      <c r="G27" s="3">
        <v>0.21</v>
      </c>
      <c r="H27" s="31">
        <f t="shared" si="13"/>
        <v>155.93339999999998</v>
      </c>
    </row>
    <row r="28" spans="1:16" x14ac:dyDescent="0.2">
      <c r="C28" s="31">
        <v>39689535</v>
      </c>
      <c r="D28" s="31"/>
      <c r="E28" s="31">
        <v>149563.4</v>
      </c>
      <c r="F28" s="31">
        <f t="shared" si="14"/>
        <v>149563.4</v>
      </c>
      <c r="G28" s="3">
        <v>0.21</v>
      </c>
      <c r="H28" s="31">
        <f t="shared" si="13"/>
        <v>31408.313999999998</v>
      </c>
    </row>
    <row r="29" spans="1:16" x14ac:dyDescent="0.2">
      <c r="C29" s="31">
        <v>226548</v>
      </c>
      <c r="D29" s="31"/>
      <c r="E29" s="31">
        <v>853.71</v>
      </c>
      <c r="F29" s="31">
        <f t="shared" si="14"/>
        <v>853.71</v>
      </c>
      <c r="G29" s="3">
        <v>0.21</v>
      </c>
      <c r="H29" s="31">
        <f t="shared" si="13"/>
        <v>179.2791</v>
      </c>
    </row>
    <row r="30" spans="1:16" x14ac:dyDescent="0.2">
      <c r="C30" s="31">
        <v>19943355</v>
      </c>
      <c r="D30" s="31"/>
      <c r="E30" s="31">
        <v>81235.929999999993</v>
      </c>
      <c r="F30" s="31">
        <f t="shared" si="14"/>
        <v>81235.929999999993</v>
      </c>
      <c r="G30" s="3">
        <v>0.21</v>
      </c>
      <c r="H30" s="31">
        <f t="shared" si="13"/>
        <v>17059.545299999998</v>
      </c>
      <c r="I30" s="28"/>
    </row>
    <row r="31" spans="1:16" x14ac:dyDescent="0.2">
      <c r="C31" s="31">
        <v>1516.95</v>
      </c>
      <c r="D31" s="31"/>
      <c r="E31" s="31">
        <v>6.18</v>
      </c>
      <c r="F31" s="31">
        <f t="shared" si="14"/>
        <v>6.18</v>
      </c>
      <c r="G31" s="3">
        <v>0.21</v>
      </c>
      <c r="H31" s="31">
        <f t="shared" si="13"/>
        <v>1.2977999999999998</v>
      </c>
    </row>
    <row r="32" spans="1:16" x14ac:dyDescent="0.2">
      <c r="C32" s="31">
        <v>2553020.2999999998</v>
      </c>
      <c r="D32" s="31"/>
      <c r="E32" s="31">
        <v>10399.299999999999</v>
      </c>
      <c r="F32" s="31">
        <f t="shared" si="14"/>
        <v>10399.299999999999</v>
      </c>
      <c r="G32" s="37">
        <v>0.21</v>
      </c>
      <c r="H32" s="31">
        <f t="shared" si="13"/>
        <v>2183.8529999999996</v>
      </c>
      <c r="I32" s="28"/>
    </row>
    <row r="33" spans="3:9" ht="15" x14ac:dyDescent="0.35">
      <c r="C33" s="31">
        <f>53674128+3491542+10107.81</f>
        <v>57175777.810000002</v>
      </c>
      <c r="D33" s="31"/>
      <c r="E33" s="27">
        <f>276287.57+17972.71+111.88</f>
        <v>294372.16000000003</v>
      </c>
      <c r="F33" s="27">
        <f>E33</f>
        <v>294372.16000000003</v>
      </c>
      <c r="G33" s="37">
        <v>0.21</v>
      </c>
      <c r="H33" s="27">
        <f>F33*G33</f>
        <v>61818.153600000005</v>
      </c>
    </row>
    <row r="34" spans="3:9" x14ac:dyDescent="0.2">
      <c r="C34" s="31"/>
      <c r="D34" s="31"/>
      <c r="E34" s="31">
        <f>SUM(E25:E33)</f>
        <v>559757.56000000006</v>
      </c>
      <c r="F34" s="31">
        <f>SUM(F25:F33)</f>
        <v>205221.81999999995</v>
      </c>
      <c r="G34" s="37" t="s">
        <v>42</v>
      </c>
      <c r="H34" s="31">
        <f>SUM(H25:H33)</f>
        <v>43096.582200000004</v>
      </c>
    </row>
    <row r="35" spans="3:9" ht="15" x14ac:dyDescent="0.35">
      <c r="E35" s="9"/>
      <c r="F35" s="9"/>
      <c r="G35" s="28" t="s">
        <v>34</v>
      </c>
      <c r="H35" s="27">
        <f>-H48*0.21</f>
        <v>-3793.5728250000006</v>
      </c>
    </row>
    <row r="36" spans="3:9" x14ac:dyDescent="0.2">
      <c r="H36" s="31">
        <f>H34+H35</f>
        <v>39303.009375000001</v>
      </c>
    </row>
    <row r="37" spans="3:9" x14ac:dyDescent="0.2">
      <c r="H37" s="31">
        <f>H36-K15</f>
        <v>1511.4677750000119</v>
      </c>
      <c r="I37" s="28" t="s">
        <v>43</v>
      </c>
    </row>
    <row r="38" spans="3:9" x14ac:dyDescent="0.2">
      <c r="C38" s="9" t="s">
        <v>30</v>
      </c>
      <c r="D38" s="34" t="s">
        <v>25</v>
      </c>
      <c r="E38" s="35" t="s">
        <v>31</v>
      </c>
      <c r="F38" s="9" t="s">
        <v>32</v>
      </c>
      <c r="G38" s="3" t="s">
        <v>19</v>
      </c>
      <c r="H38" s="9" t="s">
        <v>33</v>
      </c>
    </row>
    <row r="39" spans="3:9" x14ac:dyDescent="0.2">
      <c r="C39" s="31">
        <v>4067716.87</v>
      </c>
      <c r="D39" s="31">
        <v>354535.74</v>
      </c>
      <c r="E39" s="31">
        <v>15121.74</v>
      </c>
      <c r="F39" s="31">
        <f>-D39+E39</f>
        <v>-339414</v>
      </c>
      <c r="G39" s="3">
        <v>0.05</v>
      </c>
      <c r="H39" s="31">
        <f>F39*G39</f>
        <v>-16970.7</v>
      </c>
    </row>
    <row r="40" spans="3:9" x14ac:dyDescent="0.2">
      <c r="C40" s="31">
        <v>8082569</v>
      </c>
      <c r="D40" s="31"/>
      <c r="E40" s="31">
        <v>30046.95</v>
      </c>
      <c r="F40" s="31">
        <f>E40</f>
        <v>30046.95</v>
      </c>
      <c r="G40" s="3">
        <v>0.05</v>
      </c>
      <c r="H40" s="31">
        <f t="shared" ref="H40:H46" si="15">F40*G40</f>
        <v>1502.3475000000001</v>
      </c>
    </row>
    <row r="41" spans="3:9" x14ac:dyDescent="0.2">
      <c r="C41" s="31">
        <v>199697</v>
      </c>
      <c r="D41" s="31"/>
      <c r="E41" s="31">
        <v>742.54</v>
      </c>
      <c r="F41" s="31">
        <f t="shared" ref="F41:F46" si="16">E41</f>
        <v>742.54</v>
      </c>
      <c r="G41" s="3">
        <v>0.05</v>
      </c>
      <c r="H41" s="31">
        <f t="shared" si="15"/>
        <v>37.127000000000002</v>
      </c>
    </row>
    <row r="42" spans="3:9" x14ac:dyDescent="0.2">
      <c r="C42" s="31">
        <v>66149226</v>
      </c>
      <c r="D42" s="31"/>
      <c r="E42" s="31">
        <v>249272.33</v>
      </c>
      <c r="F42" s="31">
        <f t="shared" si="16"/>
        <v>249272.33</v>
      </c>
      <c r="G42" s="3">
        <v>0.05</v>
      </c>
      <c r="H42" s="31">
        <f t="shared" si="15"/>
        <v>12463.6165</v>
      </c>
    </row>
    <row r="43" spans="3:9" x14ac:dyDescent="0.2">
      <c r="C43" s="31">
        <v>226548</v>
      </c>
      <c r="D43" s="31"/>
      <c r="E43" s="31">
        <v>853.71</v>
      </c>
      <c r="F43" s="31">
        <f t="shared" si="16"/>
        <v>853.71</v>
      </c>
      <c r="G43" s="3">
        <v>0.05</v>
      </c>
      <c r="H43" s="31">
        <f t="shared" si="15"/>
        <v>42.685500000000005</v>
      </c>
    </row>
    <row r="44" spans="3:9" x14ac:dyDescent="0.2">
      <c r="C44" s="31">
        <v>28235715</v>
      </c>
      <c r="E44" s="31">
        <v>115013.48</v>
      </c>
      <c r="F44" s="31">
        <f t="shared" si="16"/>
        <v>115013.48</v>
      </c>
      <c r="G44" s="3">
        <v>0.05</v>
      </c>
      <c r="H44" s="31">
        <f t="shared" si="15"/>
        <v>5750.674</v>
      </c>
    </row>
    <row r="45" spans="3:9" x14ac:dyDescent="0.2">
      <c r="C45" s="31">
        <v>1516.95</v>
      </c>
      <c r="E45" s="31">
        <v>6.18</v>
      </c>
      <c r="F45" s="31">
        <f t="shared" si="16"/>
        <v>6.18</v>
      </c>
      <c r="G45" s="3">
        <v>0.05</v>
      </c>
      <c r="H45" s="31">
        <f t="shared" si="15"/>
        <v>0.309</v>
      </c>
    </row>
    <row r="46" spans="3:9" x14ac:dyDescent="0.2">
      <c r="C46" s="31">
        <v>2553020.2999999998</v>
      </c>
      <c r="E46" s="31">
        <v>10399.299999999999</v>
      </c>
      <c r="F46" s="31">
        <f t="shared" si="16"/>
        <v>10399.299999999999</v>
      </c>
      <c r="G46" s="37">
        <v>0.05</v>
      </c>
      <c r="H46" s="31">
        <f t="shared" si="15"/>
        <v>519.96500000000003</v>
      </c>
      <c r="I46" s="28"/>
    </row>
    <row r="47" spans="3:9" ht="15" x14ac:dyDescent="0.35">
      <c r="C47" s="31">
        <f>C33</f>
        <v>57175777.810000002</v>
      </c>
      <c r="E47" s="27">
        <f>276287.57+17972.71+111.88</f>
        <v>294372.16000000003</v>
      </c>
      <c r="F47" s="27">
        <f>E47</f>
        <v>294372.16000000003</v>
      </c>
      <c r="G47" s="37">
        <v>0.05</v>
      </c>
      <c r="H47" s="27">
        <f>F47*G47</f>
        <v>14718.608000000002</v>
      </c>
    </row>
    <row r="48" spans="3:9" x14ac:dyDescent="0.2">
      <c r="E48" s="31">
        <f>SUM(E39:E47)</f>
        <v>715828.39</v>
      </c>
      <c r="F48" s="31">
        <f>SUM(F39:F47)</f>
        <v>361292.65</v>
      </c>
      <c r="H48" s="31">
        <f>SUM(H39:H47)</f>
        <v>18064.632500000003</v>
      </c>
    </row>
    <row r="49" spans="8:8" x14ac:dyDescent="0.2">
      <c r="H49" s="9">
        <f>H48-L15</f>
        <v>1.2500000000727596E-2</v>
      </c>
    </row>
  </sheetData>
  <pageMargins left="0.5" right="0.5" top="1.5" bottom="0.5" header="0.5" footer="0.5"/>
  <pageSetup scale="55" orientation="portrait" r:id="rId1"/>
  <headerFooter alignWithMargins="0">
    <oddHeader>&amp;R&amp;"Times New Roman,Bold"&amp;12Attachment to Response to Question No. 3
Page 1 of 6
Clements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>
    <pageSetUpPr fitToPage="1"/>
  </sheetPr>
  <dimension ref="A1:R41"/>
  <sheetViews>
    <sheetView zoomScaleNormal="100" workbookViewId="0"/>
  </sheetViews>
  <sheetFormatPr defaultRowHeight="12.75" x14ac:dyDescent="0.2"/>
  <cols>
    <col min="1" max="1" width="11.28515625" style="8" customWidth="1"/>
    <col min="2" max="2" width="1.7109375" customWidth="1"/>
    <col min="3" max="3" width="13.7109375" customWidth="1"/>
    <col min="4" max="4" width="12.7109375" customWidth="1"/>
    <col min="5" max="5" width="16.42578125" customWidth="1"/>
    <col min="6" max="6" width="15" customWidth="1"/>
    <col min="7" max="12" width="12.7109375" customWidth="1"/>
    <col min="13" max="13" width="13.28515625" customWidth="1"/>
    <col min="14" max="16" width="12.7109375" customWidth="1"/>
    <col min="17" max="17" width="9.28515625" bestFit="1" customWidth="1"/>
  </cols>
  <sheetData>
    <row r="1" spans="1:18" x14ac:dyDescent="0.2">
      <c r="A1" s="11" t="s">
        <v>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8" x14ac:dyDescent="0.2">
      <c r="A2" s="11" t="s">
        <v>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8" x14ac:dyDescent="0.2">
      <c r="A3" s="11" t="s">
        <v>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8" x14ac:dyDescent="0.2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8" x14ac:dyDescent="0.2">
      <c r="A5" s="6" t="s">
        <v>9</v>
      </c>
    </row>
    <row r="6" spans="1:18" x14ac:dyDescent="0.2">
      <c r="A6" s="17" t="s">
        <v>10</v>
      </c>
    </row>
    <row r="8" spans="1:18" s="1" customFormat="1" ht="38.25" x14ac:dyDescent="0.2">
      <c r="A8" s="7" t="s">
        <v>0</v>
      </c>
      <c r="B8" s="2"/>
      <c r="C8" s="2" t="s">
        <v>1</v>
      </c>
      <c r="D8" s="2" t="s">
        <v>2</v>
      </c>
      <c r="E8" s="2" t="s">
        <v>14</v>
      </c>
      <c r="F8" s="2" t="s">
        <v>15</v>
      </c>
      <c r="G8" s="2" t="s">
        <v>16</v>
      </c>
      <c r="H8" s="2" t="s">
        <v>17</v>
      </c>
      <c r="I8" s="2" t="s">
        <v>18</v>
      </c>
      <c r="J8" s="2" t="s">
        <v>19</v>
      </c>
      <c r="K8" s="2" t="s">
        <v>20</v>
      </c>
      <c r="L8" s="2" t="s">
        <v>21</v>
      </c>
      <c r="M8" s="2" t="s">
        <v>5</v>
      </c>
      <c r="N8" s="2" t="s">
        <v>4</v>
      </c>
    </row>
    <row r="9" spans="1:18" x14ac:dyDescent="0.2">
      <c r="A9" s="8" t="s">
        <v>8</v>
      </c>
      <c r="M9" s="10">
        <v>1318409.6599999999</v>
      </c>
    </row>
    <row r="10" spans="1:18" x14ac:dyDescent="0.2">
      <c r="A10" s="29">
        <v>45909</v>
      </c>
      <c r="C10" s="31">
        <v>10071203</v>
      </c>
      <c r="D10" s="32">
        <v>33599.49</v>
      </c>
      <c r="E10" s="32">
        <f>22086+3419</f>
        <v>25505</v>
      </c>
      <c r="F10" s="32">
        <f>35867+3419</f>
        <v>39286</v>
      </c>
      <c r="G10" s="33">
        <f t="shared" ref="G10" si="0">E10-D10</f>
        <v>-8094.489999999998</v>
      </c>
      <c r="H10" s="33">
        <f t="shared" ref="H10" si="1">F10-D10</f>
        <v>5686.510000000002</v>
      </c>
      <c r="I10" s="3">
        <v>0.21</v>
      </c>
      <c r="J10" s="3">
        <v>0.05</v>
      </c>
      <c r="K10" s="9">
        <f>G10*I10-284*I10-1098.15</f>
        <v>-2857.6328999999996</v>
      </c>
      <c r="L10" s="9">
        <f t="shared" ref="L10:L15" si="2">H10*J10-3.93</f>
        <v>280.39550000000008</v>
      </c>
      <c r="M10" s="9">
        <f t="shared" ref="M10" si="3">M9+K10+L10</f>
        <v>1315832.4225999999</v>
      </c>
      <c r="N10" s="9">
        <v>28429.37</v>
      </c>
      <c r="O10" s="30"/>
      <c r="Q10" s="9"/>
      <c r="R10" s="22"/>
    </row>
    <row r="11" spans="1:18" x14ac:dyDescent="0.2">
      <c r="A11" s="29">
        <v>45931</v>
      </c>
      <c r="C11" s="31">
        <v>10071203</v>
      </c>
      <c r="D11" s="32">
        <v>33599.49</v>
      </c>
      <c r="E11" s="32">
        <f t="shared" ref="E11:E13" si="4">22086+3419</f>
        <v>25505</v>
      </c>
      <c r="F11" s="32">
        <f t="shared" ref="F11:F13" si="5">35867+3419</f>
        <v>39286</v>
      </c>
      <c r="G11" s="14">
        <f t="shared" ref="G11:G15" si="6">E11-D11</f>
        <v>-8094.489999999998</v>
      </c>
      <c r="H11" s="14">
        <f t="shared" ref="H11:H15" si="7">F11-D11</f>
        <v>5686.510000000002</v>
      </c>
      <c r="I11" s="3">
        <v>0.21</v>
      </c>
      <c r="J11" s="3">
        <v>0.05</v>
      </c>
      <c r="K11" s="9">
        <f>G11*I11-284*I11-1098.15</f>
        <v>-2857.6328999999996</v>
      </c>
      <c r="L11" s="9">
        <f t="shared" si="2"/>
        <v>280.39550000000008</v>
      </c>
      <c r="M11" s="9">
        <f t="shared" ref="M11:M15" si="8">M10+K11+L11</f>
        <v>1313255.1851999999</v>
      </c>
      <c r="N11" s="9">
        <v>28429.37</v>
      </c>
      <c r="O11" s="30"/>
      <c r="Q11" s="9"/>
      <c r="R11" s="22"/>
    </row>
    <row r="12" spans="1:18" x14ac:dyDescent="0.2">
      <c r="A12" s="29">
        <v>45962</v>
      </c>
      <c r="C12" s="31">
        <v>10071203</v>
      </c>
      <c r="D12" s="32">
        <v>33599.49</v>
      </c>
      <c r="E12" s="32">
        <f>22086+3415</f>
        <v>25501</v>
      </c>
      <c r="F12" s="32">
        <f t="shared" si="5"/>
        <v>39286</v>
      </c>
      <c r="G12" s="14">
        <f t="shared" si="6"/>
        <v>-8098.489999999998</v>
      </c>
      <c r="H12" s="14">
        <f t="shared" si="7"/>
        <v>5686.510000000002</v>
      </c>
      <c r="I12" s="3">
        <v>0.21</v>
      </c>
      <c r="J12" s="3">
        <v>0.05</v>
      </c>
      <c r="K12" s="9">
        <f>G12*I12-284*I12-1098.15</f>
        <v>-2858.4728999999998</v>
      </c>
      <c r="L12" s="9">
        <f t="shared" si="2"/>
        <v>280.39550000000008</v>
      </c>
      <c r="M12" s="9">
        <f t="shared" si="8"/>
        <v>1310677.1078000001</v>
      </c>
      <c r="N12" s="9">
        <v>28429.37</v>
      </c>
      <c r="R12" s="22"/>
    </row>
    <row r="13" spans="1:18" x14ac:dyDescent="0.2">
      <c r="A13" s="29">
        <v>45992</v>
      </c>
      <c r="C13" s="31">
        <v>10071203</v>
      </c>
      <c r="D13" s="32">
        <v>33599.49</v>
      </c>
      <c r="E13" s="32">
        <f t="shared" si="4"/>
        <v>25505</v>
      </c>
      <c r="F13" s="32">
        <f t="shared" si="5"/>
        <v>39286</v>
      </c>
      <c r="G13" s="14">
        <f t="shared" si="6"/>
        <v>-8094.489999999998</v>
      </c>
      <c r="H13" s="14">
        <f t="shared" si="7"/>
        <v>5686.510000000002</v>
      </c>
      <c r="I13" s="3">
        <v>0.21</v>
      </c>
      <c r="J13" s="3">
        <v>0.05</v>
      </c>
      <c r="K13" s="9">
        <f>G13*I13-284*I13-1098.15</f>
        <v>-2857.6328999999996</v>
      </c>
      <c r="L13" s="9">
        <f t="shared" si="2"/>
        <v>280.39550000000008</v>
      </c>
      <c r="M13" s="9">
        <f t="shared" si="8"/>
        <v>1308099.8704000001</v>
      </c>
      <c r="N13" s="9">
        <v>28429.37</v>
      </c>
      <c r="R13" s="22"/>
    </row>
    <row r="14" spans="1:18" x14ac:dyDescent="0.2">
      <c r="A14" s="29">
        <v>46023</v>
      </c>
      <c r="C14" s="31">
        <v>10071203</v>
      </c>
      <c r="D14" s="32">
        <v>33599.49</v>
      </c>
      <c r="E14" s="32">
        <f>29769.01</f>
        <v>29769.01</v>
      </c>
      <c r="F14" s="32">
        <f>43551.26</f>
        <v>43551.26</v>
      </c>
      <c r="G14" s="14">
        <f t="shared" si="6"/>
        <v>-3830.4799999999996</v>
      </c>
      <c r="H14" s="14">
        <f t="shared" si="7"/>
        <v>9951.7700000000041</v>
      </c>
      <c r="I14" s="3">
        <v>0.21</v>
      </c>
      <c r="J14" s="3">
        <v>0.05</v>
      </c>
      <c r="K14" s="9">
        <f>G14*I14-498*I14-1098.03</f>
        <v>-2007.0108</v>
      </c>
      <c r="L14" s="9">
        <f t="shared" si="2"/>
        <v>493.65850000000023</v>
      </c>
      <c r="M14" s="9">
        <f t="shared" si="8"/>
        <v>1306586.5181</v>
      </c>
      <c r="N14" s="9">
        <v>9377.89</v>
      </c>
      <c r="R14" s="22"/>
    </row>
    <row r="15" spans="1:18" x14ac:dyDescent="0.2">
      <c r="A15" s="29">
        <v>46054</v>
      </c>
      <c r="C15" s="31">
        <v>10071203</v>
      </c>
      <c r="D15" s="32">
        <v>33598.5</v>
      </c>
      <c r="E15" s="32">
        <f>29769.49</f>
        <v>29769.49</v>
      </c>
      <c r="F15" s="32">
        <f>43551.49</f>
        <v>43551.49</v>
      </c>
      <c r="G15" s="14">
        <f t="shared" si="6"/>
        <v>-3829.0099999999984</v>
      </c>
      <c r="H15" s="14">
        <f t="shared" si="7"/>
        <v>9952.989999999998</v>
      </c>
      <c r="I15" s="3">
        <v>0.21</v>
      </c>
      <c r="J15" s="3">
        <v>0.05</v>
      </c>
      <c r="K15" s="9">
        <f>G15*I15-498*I15-1098.06</f>
        <v>-2006.7320999999997</v>
      </c>
      <c r="L15" s="9">
        <f t="shared" si="2"/>
        <v>493.71949999999993</v>
      </c>
      <c r="M15" s="9">
        <f t="shared" si="8"/>
        <v>1305073.5055</v>
      </c>
      <c r="N15" s="9">
        <v>9377.89</v>
      </c>
      <c r="R15" s="22"/>
    </row>
    <row r="16" spans="1:18" x14ac:dyDescent="0.2">
      <c r="A16" s="15"/>
      <c r="C16" s="12"/>
      <c r="D16" s="13"/>
      <c r="E16" s="13"/>
      <c r="F16" s="13"/>
      <c r="G16" s="14"/>
      <c r="H16" s="14"/>
      <c r="I16" s="14"/>
      <c r="J16" s="12"/>
      <c r="K16" s="12"/>
      <c r="L16" s="3"/>
      <c r="M16" s="3"/>
      <c r="N16" s="9"/>
      <c r="O16" s="9"/>
      <c r="P16" s="9"/>
    </row>
    <row r="17" spans="1:16" x14ac:dyDescent="0.2">
      <c r="A17" s="15"/>
      <c r="C17" s="38" t="s">
        <v>44</v>
      </c>
      <c r="D17" s="39"/>
      <c r="E17" s="39"/>
      <c r="F17" s="39"/>
      <c r="G17" s="33"/>
      <c r="H17" s="33"/>
      <c r="I17" s="33"/>
      <c r="J17" s="38"/>
      <c r="K17" s="38"/>
      <c r="L17" s="3"/>
      <c r="M17" s="3"/>
      <c r="N17" s="9"/>
      <c r="O17" s="9"/>
      <c r="P17" s="9"/>
    </row>
    <row r="18" spans="1:16" x14ac:dyDescent="0.2">
      <c r="A18" s="15"/>
      <c r="C18" s="38"/>
      <c r="D18" s="39"/>
      <c r="E18" s="39"/>
      <c r="F18" s="39"/>
      <c r="G18" s="33"/>
      <c r="H18" s="33"/>
      <c r="I18" s="33"/>
      <c r="J18" s="38"/>
      <c r="K18" s="38"/>
      <c r="L18" s="3"/>
      <c r="M18" s="3"/>
      <c r="N18" s="9"/>
      <c r="O18" s="9"/>
      <c r="P18" s="9"/>
    </row>
    <row r="19" spans="1:16" x14ac:dyDescent="0.2">
      <c r="C19" s="40" t="s">
        <v>35</v>
      </c>
      <c r="D19" s="34"/>
      <c r="E19" s="34"/>
      <c r="F19" s="34"/>
      <c r="G19" s="35"/>
      <c r="H19" s="35"/>
      <c r="I19" s="41"/>
      <c r="J19" s="41"/>
      <c r="K19" s="41"/>
    </row>
    <row r="20" spans="1:16" x14ac:dyDescent="0.2">
      <c r="C20" s="40" t="s">
        <v>22</v>
      </c>
      <c r="D20" s="34"/>
      <c r="E20" s="34"/>
      <c r="F20" s="34"/>
      <c r="G20" s="35"/>
      <c r="H20" s="35"/>
      <c r="I20" s="41"/>
      <c r="J20" s="41"/>
      <c r="K20" s="41"/>
    </row>
    <row r="21" spans="1:16" x14ac:dyDescent="0.2">
      <c r="C21" s="40" t="s">
        <v>48</v>
      </c>
      <c r="D21" s="34"/>
      <c r="E21" s="34"/>
      <c r="F21" s="34"/>
      <c r="G21" s="35"/>
      <c r="H21" s="35"/>
      <c r="I21" s="41"/>
      <c r="J21" s="41"/>
      <c r="K21" s="41"/>
    </row>
    <row r="22" spans="1:16" x14ac:dyDescent="0.2">
      <c r="C22" s="38" t="s">
        <v>23</v>
      </c>
      <c r="D22" s="34"/>
      <c r="E22" s="34"/>
      <c r="F22" s="34"/>
      <c r="G22" s="35"/>
      <c r="H22" s="35"/>
      <c r="I22" s="41"/>
      <c r="J22" s="41"/>
      <c r="K22" s="41"/>
    </row>
    <row r="23" spans="1:16" x14ac:dyDescent="0.2">
      <c r="C23" s="42"/>
      <c r="D23" s="34"/>
      <c r="E23" s="34"/>
      <c r="F23" s="34"/>
      <c r="G23" s="34"/>
      <c r="H23" s="34"/>
      <c r="I23" s="41"/>
      <c r="J23" s="41"/>
      <c r="K23" s="41"/>
    </row>
    <row r="24" spans="1:16" x14ac:dyDescent="0.2">
      <c r="C24" s="38" t="s">
        <v>24</v>
      </c>
      <c r="D24" s="36" t="s">
        <v>25</v>
      </c>
      <c r="E24" s="35" t="s">
        <v>26</v>
      </c>
      <c r="F24" s="38" t="s">
        <v>27</v>
      </c>
      <c r="G24" s="43" t="s">
        <v>18</v>
      </c>
      <c r="H24" s="38" t="s">
        <v>28</v>
      </c>
      <c r="I24" s="41"/>
      <c r="J24" s="41"/>
      <c r="K24" s="41"/>
    </row>
    <row r="25" spans="1:16" x14ac:dyDescent="0.2">
      <c r="C25" s="38">
        <v>2318136</v>
      </c>
      <c r="D25" s="38">
        <v>33598.720000000001</v>
      </c>
      <c r="E25" s="38">
        <v>8619.6</v>
      </c>
      <c r="F25" s="38">
        <f>-D25+E25</f>
        <v>-24979.120000000003</v>
      </c>
      <c r="G25" s="43">
        <v>0.21</v>
      </c>
      <c r="H25" s="38">
        <f>F25*G25</f>
        <v>-5245.6152000000002</v>
      </c>
      <c r="I25" s="41"/>
      <c r="J25" s="41"/>
      <c r="K25" s="41"/>
    </row>
    <row r="26" spans="1:16" x14ac:dyDescent="0.2">
      <c r="C26" s="38">
        <v>-39771</v>
      </c>
      <c r="D26" s="38"/>
      <c r="E26" s="38">
        <v>-147.85</v>
      </c>
      <c r="F26" s="38">
        <f>E26</f>
        <v>-147.85</v>
      </c>
      <c r="G26" s="43">
        <v>0.21</v>
      </c>
      <c r="H26" s="38">
        <f t="shared" ref="H26:H29" si="9">F26*G26</f>
        <v>-31.048499999999997</v>
      </c>
      <c r="I26" s="41"/>
      <c r="J26" s="41"/>
      <c r="K26" s="41"/>
    </row>
    <row r="27" spans="1:16" x14ac:dyDescent="0.2">
      <c r="C27" s="38">
        <v>1088793</v>
      </c>
      <c r="D27" s="38"/>
      <c r="E27" s="38">
        <v>4047.59</v>
      </c>
      <c r="F27" s="38">
        <f t="shared" ref="F27:F28" si="10">E27</f>
        <v>4047.59</v>
      </c>
      <c r="G27" s="43">
        <v>0.21</v>
      </c>
      <c r="H27" s="38">
        <f t="shared" si="9"/>
        <v>849.99390000000005</v>
      </c>
      <c r="I27" s="41"/>
      <c r="J27" s="41"/>
      <c r="K27" s="41"/>
    </row>
    <row r="28" spans="1:16" x14ac:dyDescent="0.2">
      <c r="C28" s="38">
        <v>339720</v>
      </c>
      <c r="D28" s="38"/>
      <c r="E28" s="38">
        <v>1262.9100000000001</v>
      </c>
      <c r="F28" s="38">
        <f t="shared" si="10"/>
        <v>1262.9100000000001</v>
      </c>
      <c r="G28" s="43">
        <v>0.21</v>
      </c>
      <c r="H28" s="38">
        <f t="shared" si="9"/>
        <v>265.21109999999999</v>
      </c>
      <c r="I28" s="41"/>
      <c r="J28" s="41"/>
      <c r="K28" s="41"/>
    </row>
    <row r="29" spans="1:16" ht="15" x14ac:dyDescent="0.35">
      <c r="C29" s="38">
        <v>2657447.66</v>
      </c>
      <c r="D29" s="38"/>
      <c r="E29" s="44">
        <v>15986.76</v>
      </c>
      <c r="F29" s="44">
        <f>E29</f>
        <v>15986.76</v>
      </c>
      <c r="G29" s="43">
        <v>0.21</v>
      </c>
      <c r="H29" s="44">
        <f t="shared" si="9"/>
        <v>3357.2195999999999</v>
      </c>
      <c r="I29" s="41"/>
      <c r="J29" s="41"/>
      <c r="K29" s="41"/>
    </row>
    <row r="30" spans="1:16" x14ac:dyDescent="0.2">
      <c r="C30" s="38"/>
      <c r="D30" s="38"/>
      <c r="E30" s="38">
        <f>SUM(E25:E29)</f>
        <v>29769.010000000002</v>
      </c>
      <c r="F30" s="38">
        <f>SUM(F25:F29)</f>
        <v>-3829.7100000000009</v>
      </c>
      <c r="G30" s="43" t="s">
        <v>42</v>
      </c>
      <c r="H30" s="38">
        <f>SUM(H25:H29)</f>
        <v>-804.23909999999933</v>
      </c>
      <c r="I30" s="41"/>
      <c r="J30" s="41"/>
      <c r="K30" s="41"/>
    </row>
    <row r="31" spans="1:16" ht="15" x14ac:dyDescent="0.35">
      <c r="C31" s="41"/>
      <c r="D31" s="41"/>
      <c r="E31" s="38"/>
      <c r="F31" s="38"/>
      <c r="G31" s="41" t="s">
        <v>34</v>
      </c>
      <c r="H31" s="44">
        <f>-H40*0.21</f>
        <v>-104.50167</v>
      </c>
      <c r="I31" s="41"/>
      <c r="J31" s="41"/>
      <c r="K31" s="41"/>
    </row>
    <row r="32" spans="1:16" x14ac:dyDescent="0.2">
      <c r="C32" s="41"/>
      <c r="D32" s="41"/>
      <c r="E32" s="41"/>
      <c r="F32" s="41"/>
      <c r="G32" s="41"/>
      <c r="H32" s="38">
        <f>H30+H31</f>
        <v>-908.74076999999932</v>
      </c>
      <c r="I32" s="41"/>
      <c r="J32" s="41"/>
      <c r="K32" s="41"/>
    </row>
    <row r="33" spans="3:11" x14ac:dyDescent="0.2">
      <c r="C33" s="41"/>
      <c r="D33" s="41"/>
      <c r="E33" s="41"/>
      <c r="F33" s="41"/>
      <c r="G33" s="41"/>
      <c r="H33" s="38">
        <f>H32-K15</f>
        <v>1097.9913300000003</v>
      </c>
      <c r="I33" s="41" t="s">
        <v>43</v>
      </c>
      <c r="J33" s="41"/>
      <c r="K33" s="41"/>
    </row>
    <row r="34" spans="3:11" x14ac:dyDescent="0.2">
      <c r="C34" s="38" t="s">
        <v>30</v>
      </c>
      <c r="D34" s="34" t="s">
        <v>25</v>
      </c>
      <c r="E34" s="35" t="s">
        <v>31</v>
      </c>
      <c r="F34" s="38" t="s">
        <v>32</v>
      </c>
      <c r="G34" s="43" t="s">
        <v>19</v>
      </c>
      <c r="H34" s="38" t="s">
        <v>33</v>
      </c>
    </row>
    <row r="35" spans="3:11" x14ac:dyDescent="0.2">
      <c r="C35" s="38">
        <v>4636272</v>
      </c>
      <c r="D35" s="38">
        <v>33598.720000000001</v>
      </c>
      <c r="E35" s="38">
        <v>17239.2</v>
      </c>
      <c r="F35" s="38">
        <f>-D35+E35</f>
        <v>-16359.52</v>
      </c>
      <c r="G35" s="43">
        <v>0.05</v>
      </c>
      <c r="H35" s="38">
        <f>F35*G35</f>
        <v>-817.97600000000011</v>
      </c>
    </row>
    <row r="36" spans="3:11" x14ac:dyDescent="0.2">
      <c r="C36" s="38">
        <v>-79542</v>
      </c>
      <c r="D36" s="38"/>
      <c r="E36" s="38">
        <v>-295.7</v>
      </c>
      <c r="F36" s="38">
        <f>E36</f>
        <v>-295.7</v>
      </c>
      <c r="G36" s="43">
        <v>0.05</v>
      </c>
      <c r="H36" s="38">
        <f t="shared" ref="H36:H39" si="11">F36*G36</f>
        <v>-14.785</v>
      </c>
    </row>
    <row r="37" spans="3:11" x14ac:dyDescent="0.2">
      <c r="C37" s="38">
        <v>2177586</v>
      </c>
      <c r="D37" s="38"/>
      <c r="E37" s="38">
        <v>8095.18</v>
      </c>
      <c r="F37" s="38">
        <f t="shared" ref="F37:F38" si="12">E37</f>
        <v>8095.18</v>
      </c>
      <c r="G37" s="43">
        <v>0.05</v>
      </c>
      <c r="H37" s="38">
        <f t="shared" si="11"/>
        <v>404.75900000000001</v>
      </c>
    </row>
    <row r="38" spans="3:11" x14ac:dyDescent="0.2">
      <c r="C38" s="38">
        <v>679439</v>
      </c>
      <c r="D38" s="38"/>
      <c r="E38" s="38">
        <v>2525.8200000000002</v>
      </c>
      <c r="F38" s="38">
        <f t="shared" si="12"/>
        <v>2525.8200000000002</v>
      </c>
      <c r="G38" s="43">
        <v>0.05</v>
      </c>
      <c r="H38" s="38">
        <f t="shared" si="11"/>
        <v>126.29100000000001</v>
      </c>
    </row>
    <row r="39" spans="3:11" ht="15" x14ac:dyDescent="0.35">
      <c r="C39" s="38">
        <v>2657447.66</v>
      </c>
      <c r="D39" s="38"/>
      <c r="E39" s="44">
        <v>15986.76</v>
      </c>
      <c r="F39" s="44">
        <f>E39</f>
        <v>15986.76</v>
      </c>
      <c r="G39" s="43">
        <v>0.05</v>
      </c>
      <c r="H39" s="44">
        <f t="shared" si="11"/>
        <v>799.33800000000008</v>
      </c>
    </row>
    <row r="40" spans="3:11" x14ac:dyDescent="0.2">
      <c r="C40" s="41"/>
      <c r="D40" s="41"/>
      <c r="E40" s="38">
        <f>SUM(E35:E39)</f>
        <v>43551.26</v>
      </c>
      <c r="F40" s="38">
        <f>SUM(F35:F39)</f>
        <v>9952.5399999999991</v>
      </c>
      <c r="G40" s="41"/>
      <c r="H40" s="38">
        <f>SUM(H35:H39)</f>
        <v>497.62700000000001</v>
      </c>
    </row>
    <row r="41" spans="3:11" x14ac:dyDescent="0.2">
      <c r="C41" s="41"/>
      <c r="D41" s="41"/>
      <c r="E41" s="41"/>
      <c r="F41" s="41"/>
      <c r="G41" s="41"/>
      <c r="H41" s="38">
        <f>H40-L15</f>
        <v>3.9075000000000841</v>
      </c>
      <c r="I41" s="41" t="s">
        <v>45</v>
      </c>
    </row>
  </sheetData>
  <pageMargins left="0.5" right="0.5" top="1.5" bottom="0.5" header="0.5" footer="0.5"/>
  <pageSetup scale="56" orientation="portrait" r:id="rId1"/>
  <headerFooter alignWithMargins="0">
    <oddHeader>&amp;R&amp;"Times New Roman,Bold"&amp;12Attachment to Response to Question No. 3
Page 2 of 6
Clements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49"/>
  <sheetViews>
    <sheetView zoomScaleNormal="100" workbookViewId="0"/>
  </sheetViews>
  <sheetFormatPr defaultRowHeight="12.75" x14ac:dyDescent="0.2"/>
  <cols>
    <col min="1" max="1" width="11.28515625" style="8" customWidth="1"/>
    <col min="2" max="2" width="1.7109375" customWidth="1"/>
    <col min="3" max="12" width="12.7109375" customWidth="1"/>
    <col min="13" max="13" width="14.85546875" customWidth="1"/>
    <col min="14" max="16" width="12.7109375" customWidth="1"/>
    <col min="17" max="17" width="9.28515625" bestFit="1" customWidth="1"/>
  </cols>
  <sheetData>
    <row r="1" spans="1:17" x14ac:dyDescent="0.2">
      <c r="A1" s="11" t="s">
        <v>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7" x14ac:dyDescent="0.2">
      <c r="A2" s="11" t="s">
        <v>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7" x14ac:dyDescent="0.2">
      <c r="A3" s="11" t="s">
        <v>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7" x14ac:dyDescent="0.2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7" x14ac:dyDescent="0.2">
      <c r="A5" s="6" t="s">
        <v>12</v>
      </c>
    </row>
    <row r="6" spans="1:17" x14ac:dyDescent="0.2">
      <c r="A6" s="21" t="s">
        <v>38</v>
      </c>
    </row>
    <row r="8" spans="1:17" s="1" customFormat="1" ht="38.25" x14ac:dyDescent="0.2">
      <c r="A8" s="7" t="s">
        <v>0</v>
      </c>
      <c r="B8" s="2"/>
      <c r="C8" s="2" t="s">
        <v>1</v>
      </c>
      <c r="D8" s="2" t="s">
        <v>2</v>
      </c>
      <c r="E8" s="2" t="s">
        <v>14</v>
      </c>
      <c r="F8" s="2" t="s">
        <v>15</v>
      </c>
      <c r="G8" s="2" t="s">
        <v>16</v>
      </c>
      <c r="H8" s="2" t="s">
        <v>17</v>
      </c>
      <c r="I8" s="2" t="s">
        <v>18</v>
      </c>
      <c r="J8" s="2" t="s">
        <v>19</v>
      </c>
      <c r="K8" s="2" t="s">
        <v>20</v>
      </c>
      <c r="L8" s="2" t="s">
        <v>21</v>
      </c>
      <c r="M8" s="2" t="s">
        <v>5</v>
      </c>
      <c r="N8" s="2" t="s">
        <v>4</v>
      </c>
    </row>
    <row r="9" spans="1:17" x14ac:dyDescent="0.2">
      <c r="A9" s="8" t="s">
        <v>8</v>
      </c>
      <c r="M9" s="10">
        <v>24645850.000799999</v>
      </c>
    </row>
    <row r="10" spans="1:17" x14ac:dyDescent="0.2">
      <c r="A10" s="29">
        <v>45909</v>
      </c>
      <c r="C10" s="31">
        <v>230156081</v>
      </c>
      <c r="D10" s="32">
        <f>927053</f>
        <v>927053</v>
      </c>
      <c r="E10" s="10">
        <f>591528.35+4</f>
        <v>591532.35</v>
      </c>
      <c r="F10" s="10">
        <f>816982.73-10</f>
        <v>816972.73</v>
      </c>
      <c r="G10" s="31">
        <f t="shared" ref="G10" si="0">E10-D10</f>
        <v>-335520.65000000002</v>
      </c>
      <c r="H10" s="31">
        <f t="shared" ref="H10" si="1">F10-D10</f>
        <v>-110080.27000000002</v>
      </c>
      <c r="I10" s="3">
        <v>0.21</v>
      </c>
      <c r="J10" s="3">
        <v>0.05</v>
      </c>
      <c r="K10" s="9">
        <f>G10*I10+5503*I10-3347.53</f>
        <v>-72651.236499999999</v>
      </c>
      <c r="L10" s="9">
        <f t="shared" ref="L10:L13" si="2">H10*J10-20.07</f>
        <v>-5524.0835000000006</v>
      </c>
      <c r="M10" s="9">
        <f t="shared" ref="M10" si="3">M9+K10+L10</f>
        <v>24567674.680799998</v>
      </c>
      <c r="N10" s="9">
        <v>0</v>
      </c>
      <c r="O10" s="30"/>
      <c r="Q10" s="22"/>
    </row>
    <row r="11" spans="1:17" x14ac:dyDescent="0.2">
      <c r="A11" s="29">
        <v>45931</v>
      </c>
      <c r="C11" s="31">
        <v>230156081</v>
      </c>
      <c r="D11" s="32">
        <f>927053</f>
        <v>927053</v>
      </c>
      <c r="E11" s="10">
        <f>591528.35+4</f>
        <v>591532.35</v>
      </c>
      <c r="F11" s="10">
        <f t="shared" ref="F11:F13" si="4">816982.73-10</f>
        <v>816972.73</v>
      </c>
      <c r="G11" s="12">
        <f t="shared" ref="G11:G15" si="5">E11-D11</f>
        <v>-335520.65000000002</v>
      </c>
      <c r="H11" s="12">
        <f t="shared" ref="H11:H15" si="6">F11-D11</f>
        <v>-110080.27000000002</v>
      </c>
      <c r="I11" s="3">
        <v>0.21</v>
      </c>
      <c r="J11" s="3">
        <v>0.05</v>
      </c>
      <c r="K11" s="9">
        <f>G11*I11+5503*I11-3347.53</f>
        <v>-72651.236499999999</v>
      </c>
      <c r="L11" s="9">
        <f t="shared" si="2"/>
        <v>-5524.0835000000006</v>
      </c>
      <c r="M11" s="9">
        <f t="shared" ref="M11:M15" si="7">M10+K11+L11</f>
        <v>24489499.360799998</v>
      </c>
      <c r="N11" s="9">
        <v>2598.98</v>
      </c>
      <c r="O11" s="30"/>
      <c r="Q11" s="9"/>
    </row>
    <row r="12" spans="1:17" x14ac:dyDescent="0.2">
      <c r="A12" s="29">
        <v>45962</v>
      </c>
      <c r="C12" s="31">
        <v>230156081</v>
      </c>
      <c r="D12" s="32">
        <f>927053</f>
        <v>927053</v>
      </c>
      <c r="E12" s="10">
        <f>591528.35+7</f>
        <v>591535.35</v>
      </c>
      <c r="F12" s="10">
        <f>816982.73-10</f>
        <v>816972.73</v>
      </c>
      <c r="G12" s="12">
        <f>E12-D12</f>
        <v>-335517.65000000002</v>
      </c>
      <c r="H12" s="12">
        <f>F12-D12</f>
        <v>-110080.27000000002</v>
      </c>
      <c r="I12" s="3">
        <v>0.21</v>
      </c>
      <c r="J12" s="3">
        <v>0.05</v>
      </c>
      <c r="K12" s="9">
        <f>G12*I12+5503*I12-3347.53</f>
        <v>-72650.606499999994</v>
      </c>
      <c r="L12" s="9">
        <f t="shared" si="2"/>
        <v>-5524.0835000000006</v>
      </c>
      <c r="M12" s="9">
        <f t="shared" si="7"/>
        <v>24411324.670799997</v>
      </c>
      <c r="N12" s="9">
        <v>2598.98</v>
      </c>
      <c r="Q12" s="9"/>
    </row>
    <row r="13" spans="1:17" x14ac:dyDescent="0.2">
      <c r="A13" s="29">
        <v>45992</v>
      </c>
      <c r="C13" s="31">
        <v>230156081</v>
      </c>
      <c r="D13" s="32">
        <f>927053</f>
        <v>927053</v>
      </c>
      <c r="E13" s="10">
        <f>591528.35+6.23</f>
        <v>591534.57999999996</v>
      </c>
      <c r="F13" s="10">
        <f t="shared" si="4"/>
        <v>816972.73</v>
      </c>
      <c r="G13" s="12">
        <f t="shared" si="5"/>
        <v>-335518.42000000004</v>
      </c>
      <c r="H13" s="12">
        <f t="shared" si="6"/>
        <v>-110080.27000000002</v>
      </c>
      <c r="I13" s="3">
        <v>0.21</v>
      </c>
      <c r="J13" s="3">
        <v>0.05</v>
      </c>
      <c r="K13" s="9">
        <f>G13*I13+5503*I13-3347.53</f>
        <v>-72650.768200000006</v>
      </c>
      <c r="L13" s="9">
        <f t="shared" si="2"/>
        <v>-5524.0835000000006</v>
      </c>
      <c r="M13" s="9">
        <f t="shared" si="7"/>
        <v>24333149.819099996</v>
      </c>
      <c r="N13" s="9">
        <v>2598.98</v>
      </c>
      <c r="Q13" s="12"/>
    </row>
    <row r="14" spans="1:17" x14ac:dyDescent="0.2">
      <c r="A14" s="29">
        <v>46023</v>
      </c>
      <c r="C14" s="31">
        <v>230156081</v>
      </c>
      <c r="D14" s="32">
        <f t="shared" ref="D14:D15" si="8">927053</f>
        <v>927053</v>
      </c>
      <c r="E14" s="10">
        <f>519282.77</f>
        <v>519282.77</v>
      </c>
      <c r="F14" s="10">
        <f>728897.97</f>
        <v>728897.97</v>
      </c>
      <c r="G14" s="12">
        <f>E14-D14</f>
        <v>-407770.23</v>
      </c>
      <c r="H14" s="12">
        <f>F14-D14</f>
        <v>-198155.03000000003</v>
      </c>
      <c r="I14" s="3">
        <v>0.21</v>
      </c>
      <c r="J14" s="3">
        <v>0.05</v>
      </c>
      <c r="K14" s="9">
        <f>G14*I14+9908*I14-3347.84</f>
        <v>-86898.908299999996</v>
      </c>
      <c r="L14" s="9">
        <f>H14*J14-20.07</f>
        <v>-9927.8215000000018</v>
      </c>
      <c r="M14" s="9">
        <f t="shared" si="7"/>
        <v>24236323.089299995</v>
      </c>
      <c r="N14" s="9">
        <v>510.33</v>
      </c>
      <c r="P14" s="12"/>
      <c r="Q14" s="9"/>
    </row>
    <row r="15" spans="1:17" x14ac:dyDescent="0.2">
      <c r="A15" s="29">
        <v>46054</v>
      </c>
      <c r="C15" s="31">
        <v>230156081</v>
      </c>
      <c r="D15" s="32">
        <f t="shared" si="8"/>
        <v>927053</v>
      </c>
      <c r="E15" s="10">
        <f>519282.77</f>
        <v>519282.77</v>
      </c>
      <c r="F15" s="10">
        <f>728897.97</f>
        <v>728897.97</v>
      </c>
      <c r="G15" s="12">
        <f t="shared" si="5"/>
        <v>-407770.23</v>
      </c>
      <c r="H15" s="12">
        <f t="shared" si="6"/>
        <v>-198155.03000000003</v>
      </c>
      <c r="I15" s="3">
        <v>0.21</v>
      </c>
      <c r="J15" s="3">
        <v>0.05</v>
      </c>
      <c r="K15" s="9">
        <f>G15*I15+9908*I15-3347.84</f>
        <v>-86898.908299999996</v>
      </c>
      <c r="L15" s="9">
        <f>H15*J15-20.07</f>
        <v>-9927.8215000000018</v>
      </c>
      <c r="M15" s="9">
        <f t="shared" si="7"/>
        <v>24139496.359499995</v>
      </c>
      <c r="N15" s="9">
        <v>510.33</v>
      </c>
      <c r="Q15" s="9"/>
    </row>
    <row r="16" spans="1:17" x14ac:dyDescent="0.2">
      <c r="A16" s="15"/>
      <c r="C16" s="12"/>
      <c r="D16" s="13"/>
      <c r="E16" s="13"/>
      <c r="F16" s="13"/>
      <c r="G16" s="14"/>
      <c r="H16" s="14"/>
      <c r="I16" s="14"/>
      <c r="J16" s="12"/>
      <c r="K16" s="12"/>
      <c r="L16" s="3"/>
      <c r="M16" s="3"/>
      <c r="N16" s="9"/>
      <c r="O16" s="9"/>
      <c r="P16" s="9"/>
    </row>
    <row r="17" spans="1:16" x14ac:dyDescent="0.2">
      <c r="A17" s="15"/>
      <c r="C17" s="38" t="s">
        <v>44</v>
      </c>
      <c r="D17" s="39"/>
      <c r="E17" s="39"/>
      <c r="F17" s="39"/>
      <c r="G17" s="33"/>
      <c r="H17" s="33"/>
      <c r="I17" s="33"/>
      <c r="J17" s="38"/>
      <c r="K17" s="38"/>
      <c r="L17" s="3"/>
      <c r="M17" s="3"/>
      <c r="N17" s="9"/>
      <c r="O17" s="9"/>
      <c r="P17" s="9"/>
    </row>
    <row r="18" spans="1:16" x14ac:dyDescent="0.2">
      <c r="A18" s="15"/>
      <c r="C18" s="38"/>
      <c r="D18" s="39"/>
      <c r="E18" s="39"/>
      <c r="F18" s="39"/>
      <c r="G18" s="33"/>
      <c r="H18" s="33"/>
      <c r="I18" s="33"/>
      <c r="J18" s="38"/>
      <c r="K18" s="38"/>
      <c r="L18" s="3"/>
      <c r="M18" s="3"/>
      <c r="N18" s="9"/>
      <c r="O18" s="9"/>
      <c r="P18" s="9"/>
    </row>
    <row r="19" spans="1:16" x14ac:dyDescent="0.2">
      <c r="C19" s="40" t="s">
        <v>46</v>
      </c>
      <c r="D19" s="41"/>
      <c r="E19" s="41"/>
      <c r="F19" s="41"/>
      <c r="G19" s="41"/>
      <c r="H19" s="41"/>
      <c r="I19" s="41"/>
      <c r="J19" s="41"/>
      <c r="K19" s="41"/>
    </row>
    <row r="20" spans="1:16" x14ac:dyDescent="0.2">
      <c r="C20" s="40" t="s">
        <v>22</v>
      </c>
      <c r="D20" s="41"/>
      <c r="E20" s="41"/>
      <c r="F20" s="41"/>
      <c r="G20" s="41"/>
      <c r="H20" s="41"/>
      <c r="I20" s="41"/>
      <c r="J20" s="41"/>
      <c r="K20" s="41"/>
    </row>
    <row r="21" spans="1:16" x14ac:dyDescent="0.2">
      <c r="C21" s="40" t="s">
        <v>48</v>
      </c>
      <c r="D21" s="41"/>
      <c r="E21" s="41"/>
      <c r="F21" s="41"/>
      <c r="G21" s="41"/>
      <c r="H21" s="41"/>
      <c r="I21" s="41"/>
      <c r="J21" s="41"/>
      <c r="K21" s="41"/>
      <c r="L21" s="45" t="s">
        <v>11</v>
      </c>
    </row>
    <row r="22" spans="1:16" x14ac:dyDescent="0.2">
      <c r="C22" s="38" t="s">
        <v>23</v>
      </c>
      <c r="D22" s="41"/>
      <c r="E22" s="41"/>
      <c r="F22" s="41"/>
      <c r="G22" s="41"/>
      <c r="H22" s="41"/>
      <c r="I22" s="41"/>
      <c r="J22" s="41"/>
      <c r="K22" s="41"/>
    </row>
    <row r="24" spans="1:16" x14ac:dyDescent="0.2">
      <c r="C24" s="38" t="s">
        <v>24</v>
      </c>
      <c r="D24" s="36" t="s">
        <v>25</v>
      </c>
      <c r="E24" s="35" t="s">
        <v>26</v>
      </c>
      <c r="F24" s="38" t="s">
        <v>27</v>
      </c>
      <c r="G24" s="43" t="s">
        <v>18</v>
      </c>
      <c r="H24" s="38" t="s">
        <v>28</v>
      </c>
      <c r="I24" s="41"/>
      <c r="J24" s="41"/>
      <c r="K24" s="41"/>
    </row>
    <row r="25" spans="1:16" x14ac:dyDescent="0.2">
      <c r="C25" s="38">
        <v>4378287</v>
      </c>
      <c r="D25" s="38">
        <v>927053.25</v>
      </c>
      <c r="E25" s="38">
        <v>11393.4</v>
      </c>
      <c r="F25" s="38">
        <f>-D25+E25</f>
        <v>-915659.85</v>
      </c>
      <c r="G25" s="43">
        <v>0.21</v>
      </c>
      <c r="H25" s="38">
        <f>F25*G25</f>
        <v>-192288.56849999999</v>
      </c>
      <c r="I25" s="41"/>
      <c r="J25" s="41"/>
      <c r="K25" s="41"/>
    </row>
    <row r="26" spans="1:16" x14ac:dyDescent="0.2">
      <c r="C26" s="38">
        <v>1178248</v>
      </c>
      <c r="D26" s="38"/>
      <c r="E26" s="38">
        <v>3066.78</v>
      </c>
      <c r="F26" s="38">
        <f>-D26+E26</f>
        <v>3066.78</v>
      </c>
      <c r="G26" s="43">
        <v>0.21</v>
      </c>
      <c r="H26" s="38">
        <f t="shared" ref="H26:H31" si="9">F26*G26</f>
        <v>644.02380000000005</v>
      </c>
      <c r="I26" s="41"/>
      <c r="J26" s="41"/>
      <c r="K26" s="41"/>
    </row>
    <row r="27" spans="1:16" x14ac:dyDescent="0.2">
      <c r="C27" s="38">
        <v>527243</v>
      </c>
      <c r="D27" s="38"/>
      <c r="E27" s="38">
        <v>1390.78</v>
      </c>
      <c r="F27" s="38">
        <f>E27</f>
        <v>1390.78</v>
      </c>
      <c r="G27" s="43">
        <v>0.21</v>
      </c>
      <c r="H27" s="38">
        <f t="shared" si="9"/>
        <v>292.06379999999996</v>
      </c>
      <c r="I27" s="41"/>
      <c r="J27" s="41"/>
      <c r="K27" s="41"/>
    </row>
    <row r="28" spans="1:16" x14ac:dyDescent="0.2">
      <c r="C28" s="38">
        <v>110974612</v>
      </c>
      <c r="D28" s="38"/>
      <c r="E28" s="38">
        <v>292732.53000000003</v>
      </c>
      <c r="F28" s="38">
        <f t="shared" ref="F28:F31" si="10">E28</f>
        <v>292732.53000000003</v>
      </c>
      <c r="G28" s="43">
        <v>0.21</v>
      </c>
      <c r="H28" s="38">
        <f t="shared" si="9"/>
        <v>61473.831300000005</v>
      </c>
      <c r="I28" s="41"/>
      <c r="J28" s="41"/>
      <c r="K28" s="41"/>
    </row>
    <row r="29" spans="1:16" x14ac:dyDescent="0.2">
      <c r="C29" s="38">
        <v>3397057.0700000003</v>
      </c>
      <c r="D29" s="38"/>
      <c r="E29" s="38">
        <v>9686.14</v>
      </c>
      <c r="F29" s="38">
        <f t="shared" si="10"/>
        <v>9686.14</v>
      </c>
      <c r="G29" s="43">
        <v>0.21</v>
      </c>
      <c r="H29" s="38">
        <f t="shared" si="9"/>
        <v>2034.0893999999998</v>
      </c>
      <c r="I29" s="41"/>
      <c r="J29" s="41"/>
      <c r="K29" s="41"/>
    </row>
    <row r="30" spans="1:16" x14ac:dyDescent="0.2">
      <c r="C30" s="38">
        <v>6388511.0600000005</v>
      </c>
      <c r="D30" s="38"/>
      <c r="E30" s="38">
        <f>18215.77</f>
        <v>18215.77</v>
      </c>
      <c r="F30" s="38">
        <f t="shared" si="10"/>
        <v>18215.77</v>
      </c>
      <c r="G30" s="43">
        <v>0.21</v>
      </c>
      <c r="H30" s="38">
        <f t="shared" si="9"/>
        <v>3825.3116999999997</v>
      </c>
      <c r="I30" s="41"/>
      <c r="J30" s="41"/>
      <c r="K30" s="41"/>
    </row>
    <row r="31" spans="1:16" x14ac:dyDescent="0.2">
      <c r="C31" s="38">
        <v>20981002</v>
      </c>
      <c r="D31" s="38"/>
      <c r="E31" s="38">
        <v>169587.69</v>
      </c>
      <c r="F31" s="38">
        <f t="shared" si="10"/>
        <v>169587.69</v>
      </c>
      <c r="G31" s="43">
        <v>0.21</v>
      </c>
      <c r="H31" s="38">
        <f t="shared" si="9"/>
        <v>35613.414899999996</v>
      </c>
      <c r="I31" s="41"/>
      <c r="J31" s="41"/>
      <c r="K31" s="41"/>
    </row>
    <row r="32" spans="1:16" x14ac:dyDescent="0.2">
      <c r="C32" s="38">
        <f>459207+1071483</f>
        <v>1530690</v>
      </c>
      <c r="D32" s="38"/>
      <c r="E32" s="38">
        <v>13168.91</v>
      </c>
      <c r="F32" s="38">
        <f>E32</f>
        <v>13168.91</v>
      </c>
      <c r="G32" s="43">
        <v>0.21</v>
      </c>
      <c r="H32" s="38">
        <f>F32*G32</f>
        <v>2765.4710999999998</v>
      </c>
      <c r="I32" s="41"/>
      <c r="J32" s="41"/>
      <c r="K32" s="41"/>
    </row>
    <row r="33" spans="3:11" ht="15" x14ac:dyDescent="0.35">
      <c r="C33" s="38">
        <v>6776.42</v>
      </c>
      <c r="D33" s="38"/>
      <c r="E33" s="44">
        <v>40.770000000000003</v>
      </c>
      <c r="F33" s="44">
        <f>E33</f>
        <v>40.770000000000003</v>
      </c>
      <c r="G33" s="43">
        <v>0.21</v>
      </c>
      <c r="H33" s="44">
        <f>F33*G33</f>
        <v>8.5617000000000001</v>
      </c>
      <c r="I33" s="41"/>
      <c r="J33" s="41"/>
      <c r="K33" s="41"/>
    </row>
    <row r="34" spans="3:11" x14ac:dyDescent="0.2">
      <c r="C34" s="41"/>
      <c r="D34" s="41"/>
      <c r="E34" s="38">
        <f>SUM(E25:E33)</f>
        <v>519282.77000000008</v>
      </c>
      <c r="F34" s="38">
        <f>SUM(F25:F33)</f>
        <v>-407770.47999999986</v>
      </c>
      <c r="G34" s="41" t="s">
        <v>42</v>
      </c>
      <c r="H34" s="38">
        <f>SUM(H25:H33)</f>
        <v>-85631.800799999983</v>
      </c>
      <c r="I34" s="41"/>
      <c r="J34" s="41"/>
      <c r="K34" s="41"/>
    </row>
    <row r="35" spans="3:11" ht="15" x14ac:dyDescent="0.35">
      <c r="C35" s="41"/>
      <c r="D35" s="41"/>
      <c r="E35" s="41"/>
      <c r="F35" s="41"/>
      <c r="G35" s="41" t="s">
        <v>34</v>
      </c>
      <c r="H35" s="44">
        <f>-H48*0.21</f>
        <v>2080.6304400000004</v>
      </c>
      <c r="I35" s="41"/>
      <c r="J35" s="41"/>
      <c r="K35" s="41"/>
    </row>
    <row r="36" spans="3:11" x14ac:dyDescent="0.2">
      <c r="C36" s="41"/>
      <c r="D36" s="41"/>
      <c r="E36" s="41"/>
      <c r="F36" s="41"/>
      <c r="G36" s="41"/>
      <c r="H36" s="38">
        <f>H34+H35</f>
        <v>-83551.170359999989</v>
      </c>
      <c r="I36" s="41"/>
      <c r="J36" s="41"/>
      <c r="K36" s="41"/>
    </row>
    <row r="37" spans="3:11" x14ac:dyDescent="0.2">
      <c r="C37" s="41"/>
      <c r="D37" s="41"/>
      <c r="E37" s="41"/>
      <c r="F37" s="41"/>
      <c r="G37" s="41"/>
      <c r="H37" s="38">
        <f>H36-K15</f>
        <v>3347.7379400000063</v>
      </c>
      <c r="I37" s="41" t="s">
        <v>43</v>
      </c>
      <c r="J37" s="41"/>
      <c r="K37" s="41"/>
    </row>
    <row r="38" spans="3:11" x14ac:dyDescent="0.2">
      <c r="C38" s="38" t="s">
        <v>30</v>
      </c>
      <c r="D38" s="34" t="s">
        <v>25</v>
      </c>
      <c r="E38" s="35" t="s">
        <v>31</v>
      </c>
      <c r="F38" s="38" t="s">
        <v>32</v>
      </c>
      <c r="G38" s="43" t="s">
        <v>19</v>
      </c>
      <c r="H38" s="38" t="s">
        <v>33</v>
      </c>
      <c r="I38" s="41"/>
      <c r="J38" s="41"/>
      <c r="K38" s="41"/>
    </row>
    <row r="39" spans="3:11" x14ac:dyDescent="0.2">
      <c r="C39" s="38">
        <v>8756574</v>
      </c>
      <c r="D39" s="38">
        <v>927053.25</v>
      </c>
      <c r="E39" s="38">
        <v>22786.79</v>
      </c>
      <c r="F39" s="38">
        <f>-D39+E39</f>
        <v>-904266.46</v>
      </c>
      <c r="G39" s="43">
        <v>0.05</v>
      </c>
      <c r="H39" s="38">
        <f>F39*G39</f>
        <v>-45213.323000000004</v>
      </c>
      <c r="I39" s="41"/>
      <c r="J39" s="41"/>
      <c r="K39" s="41"/>
    </row>
    <row r="40" spans="3:11" x14ac:dyDescent="0.2">
      <c r="C40" s="38">
        <v>2356496</v>
      </c>
      <c r="D40" s="41"/>
      <c r="E40" s="38">
        <v>6133.57</v>
      </c>
      <c r="F40" s="38">
        <f>E40</f>
        <v>6133.57</v>
      </c>
      <c r="G40" s="43">
        <v>0.05</v>
      </c>
      <c r="H40" s="38">
        <f t="shared" ref="H40:H45" si="11">F40*G40</f>
        <v>306.67849999999999</v>
      </c>
      <c r="I40" s="41"/>
      <c r="J40" s="41"/>
      <c r="K40" s="41"/>
    </row>
    <row r="41" spans="3:11" x14ac:dyDescent="0.2">
      <c r="C41" s="38">
        <v>527243</v>
      </c>
      <c r="D41" s="41"/>
      <c r="E41" s="38">
        <v>1390.78</v>
      </c>
      <c r="F41" s="38">
        <f t="shared" ref="F41:F45" si="12">E41</f>
        <v>1390.78</v>
      </c>
      <c r="G41" s="43">
        <v>0.05</v>
      </c>
      <c r="H41" s="38">
        <f t="shared" si="11"/>
        <v>69.539000000000001</v>
      </c>
      <c r="I41" s="41"/>
      <c r="J41" s="41"/>
      <c r="K41" s="41"/>
    </row>
    <row r="42" spans="3:11" x14ac:dyDescent="0.2">
      <c r="C42" s="38">
        <v>184957686</v>
      </c>
      <c r="D42" s="41"/>
      <c r="E42" s="38">
        <v>487887.55</v>
      </c>
      <c r="F42" s="38">
        <f t="shared" si="12"/>
        <v>487887.55</v>
      </c>
      <c r="G42" s="43">
        <v>0.05</v>
      </c>
      <c r="H42" s="38">
        <f t="shared" si="11"/>
        <v>24394.377500000002</v>
      </c>
      <c r="I42" s="41"/>
      <c r="J42" s="41"/>
      <c r="K42" s="41"/>
    </row>
    <row r="43" spans="3:11" x14ac:dyDescent="0.2">
      <c r="C43" s="38">
        <v>3397057.0700000003</v>
      </c>
      <c r="D43" s="41"/>
      <c r="E43" s="38">
        <v>9686.14</v>
      </c>
      <c r="F43" s="38">
        <f t="shared" si="12"/>
        <v>9686.14</v>
      </c>
      <c r="G43" s="43">
        <v>0.05</v>
      </c>
      <c r="H43" s="38">
        <f t="shared" si="11"/>
        <v>484.30700000000002</v>
      </c>
      <c r="I43" s="41"/>
      <c r="J43" s="41"/>
      <c r="K43" s="41"/>
    </row>
    <row r="44" spans="3:11" x14ac:dyDescent="0.2">
      <c r="C44" s="38">
        <v>6388511.0600000005</v>
      </c>
      <c r="D44" s="41"/>
      <c r="E44" s="38">
        <v>18215.77</v>
      </c>
      <c r="F44" s="38">
        <f t="shared" si="12"/>
        <v>18215.77</v>
      </c>
      <c r="G44" s="43">
        <v>0.05</v>
      </c>
      <c r="H44" s="38">
        <f t="shared" si="11"/>
        <v>910.78850000000011</v>
      </c>
      <c r="I44" s="41"/>
      <c r="J44" s="41"/>
      <c r="K44" s="41"/>
    </row>
    <row r="45" spans="3:11" x14ac:dyDescent="0.2">
      <c r="C45" s="38">
        <v>20981002</v>
      </c>
      <c r="D45" s="41"/>
      <c r="E45" s="38">
        <v>169587.69</v>
      </c>
      <c r="F45" s="38">
        <f t="shared" si="12"/>
        <v>169587.69</v>
      </c>
      <c r="G45" s="43">
        <v>0.05</v>
      </c>
      <c r="H45" s="38">
        <f t="shared" si="11"/>
        <v>8479.3845000000001</v>
      </c>
      <c r="I45" s="41"/>
      <c r="J45" s="41"/>
      <c r="K45" s="41"/>
    </row>
    <row r="46" spans="3:11" x14ac:dyDescent="0.2">
      <c r="C46" s="38">
        <f>C32</f>
        <v>1530690</v>
      </c>
      <c r="D46" s="41"/>
      <c r="E46" s="38">
        <v>13168.91</v>
      </c>
      <c r="F46" s="38">
        <f>E46</f>
        <v>13168.91</v>
      </c>
      <c r="G46" s="43">
        <v>0.05</v>
      </c>
      <c r="H46" s="38">
        <f>F46*G46</f>
        <v>658.44550000000004</v>
      </c>
      <c r="I46" s="41"/>
      <c r="J46" s="41"/>
      <c r="K46" s="41"/>
    </row>
    <row r="47" spans="3:11" ht="15" x14ac:dyDescent="0.35">
      <c r="C47" s="38"/>
      <c r="D47" s="41"/>
      <c r="E47" s="44">
        <v>40.770000000000003</v>
      </c>
      <c r="F47" s="44">
        <f>E47</f>
        <v>40.770000000000003</v>
      </c>
      <c r="G47" s="43">
        <v>0.05</v>
      </c>
      <c r="H47" s="44">
        <f>F47*G47</f>
        <v>2.0385000000000004</v>
      </c>
      <c r="I47" s="41"/>
      <c r="J47" s="41"/>
      <c r="K47" s="41"/>
    </row>
    <row r="48" spans="3:11" x14ac:dyDescent="0.2">
      <c r="C48" s="41"/>
      <c r="D48" s="41"/>
      <c r="E48" s="38">
        <f>SUM(E39:E47)</f>
        <v>728897.97000000009</v>
      </c>
      <c r="F48" s="38">
        <f>SUM(F39:F47)</f>
        <v>-198155.27999999997</v>
      </c>
      <c r="G48" s="41"/>
      <c r="H48" s="38">
        <f>SUM(H39:H47)</f>
        <v>-9907.7640000000029</v>
      </c>
      <c r="I48" s="41"/>
      <c r="J48" s="41"/>
      <c r="K48" s="41"/>
    </row>
    <row r="49" spans="3:11" x14ac:dyDescent="0.2">
      <c r="C49" s="41"/>
      <c r="D49" s="41"/>
      <c r="E49" s="41"/>
      <c r="F49" s="41"/>
      <c r="G49" s="41"/>
      <c r="H49" s="38">
        <f>H48-L15</f>
        <v>20.057499999998981</v>
      </c>
      <c r="I49" s="41" t="s">
        <v>45</v>
      </c>
      <c r="J49" s="41"/>
      <c r="K49" s="41"/>
    </row>
  </sheetData>
  <pageMargins left="0.5" right="0.5" top="1.5" bottom="0.5" header="0.5" footer="0.5"/>
  <pageSetup scale="58" orientation="portrait" r:id="rId1"/>
  <headerFooter alignWithMargins="0">
    <oddHeader>&amp;R&amp;"Times New Roman,Bold"&amp;12Attachment to Response to Question No. 3
Page 3 of 6
Clements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39"/>
  <sheetViews>
    <sheetView zoomScaleNormal="100" workbookViewId="0"/>
  </sheetViews>
  <sheetFormatPr defaultRowHeight="12.75" x14ac:dyDescent="0.2"/>
  <cols>
    <col min="1" max="1" width="11.28515625" style="8" customWidth="1"/>
    <col min="2" max="2" width="1.7109375" customWidth="1"/>
    <col min="3" max="3" width="13.42578125" customWidth="1"/>
    <col min="4" max="4" width="12.7109375" customWidth="1"/>
    <col min="5" max="5" width="15.85546875" customWidth="1"/>
    <col min="6" max="6" width="14.7109375" customWidth="1"/>
    <col min="7" max="12" width="12.7109375" customWidth="1"/>
    <col min="13" max="13" width="13.7109375" customWidth="1"/>
    <col min="14" max="16" width="12.7109375" customWidth="1"/>
    <col min="17" max="17" width="9.28515625" hidden="1" customWidth="1"/>
    <col min="18" max="18" width="11.7109375" bestFit="1" customWidth="1"/>
  </cols>
  <sheetData>
    <row r="1" spans="1:20" x14ac:dyDescent="0.2">
      <c r="A1" s="11" t="s">
        <v>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20" x14ac:dyDescent="0.2">
      <c r="A2" s="11" t="s">
        <v>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20" x14ac:dyDescent="0.2">
      <c r="A3" s="11" t="s">
        <v>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20" x14ac:dyDescent="0.2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 t="s">
        <v>11</v>
      </c>
      <c r="N4" s="4"/>
      <c r="O4" s="4"/>
      <c r="P4" s="4"/>
    </row>
    <row r="5" spans="1:20" x14ac:dyDescent="0.2">
      <c r="A5" s="6" t="s">
        <v>12</v>
      </c>
    </row>
    <row r="6" spans="1:20" x14ac:dyDescent="0.2">
      <c r="A6" s="21" t="s">
        <v>13</v>
      </c>
    </row>
    <row r="8" spans="1:20" s="1" customFormat="1" ht="38.25" x14ac:dyDescent="0.2">
      <c r="A8" s="7" t="s">
        <v>0</v>
      </c>
      <c r="B8" s="2"/>
      <c r="C8" s="2" t="s">
        <v>1</v>
      </c>
      <c r="D8" s="2" t="s">
        <v>2</v>
      </c>
      <c r="E8" s="2" t="s">
        <v>14</v>
      </c>
      <c r="F8" s="2" t="s">
        <v>15</v>
      </c>
      <c r="G8" s="2" t="s">
        <v>16</v>
      </c>
      <c r="H8" s="2" t="s">
        <v>17</v>
      </c>
      <c r="I8" s="2" t="s">
        <v>18</v>
      </c>
      <c r="J8" s="2" t="s">
        <v>19</v>
      </c>
      <c r="K8" s="2" t="s">
        <v>20</v>
      </c>
      <c r="L8" s="2" t="s">
        <v>21</v>
      </c>
      <c r="M8" s="2" t="s">
        <v>5</v>
      </c>
      <c r="N8" s="2" t="s">
        <v>4</v>
      </c>
    </row>
    <row r="9" spans="1:20" x14ac:dyDescent="0.2">
      <c r="A9" s="8" t="s">
        <v>8</v>
      </c>
      <c r="M9" s="10">
        <v>4692108.105460003</v>
      </c>
    </row>
    <row r="10" spans="1:20" x14ac:dyDescent="0.2">
      <c r="A10" s="29">
        <v>45909</v>
      </c>
      <c r="C10" s="31">
        <v>45463620</v>
      </c>
      <c r="D10" s="32">
        <v>99262</v>
      </c>
      <c r="E10" s="32">
        <f t="shared" ref="E10:E13" si="0">121475.71</f>
        <v>121475.71</v>
      </c>
      <c r="F10" s="32">
        <f t="shared" ref="F10:F13" si="1">187040.78</f>
        <v>187040.78</v>
      </c>
      <c r="G10" s="33">
        <f>E10-D10</f>
        <v>22213.710000000006</v>
      </c>
      <c r="H10" s="33">
        <f>F10-D10</f>
        <v>87778.78</v>
      </c>
      <c r="I10" s="3">
        <v>0.21</v>
      </c>
      <c r="J10" s="3">
        <v>0.05</v>
      </c>
      <c r="K10" s="9">
        <f t="shared" ref="K10" si="2">G10*I10-L10*I10-16.29</f>
        <v>3726.9119100000012</v>
      </c>
      <c r="L10" s="9">
        <f t="shared" ref="L10:L15" si="3">H10*J10</f>
        <v>4388.9390000000003</v>
      </c>
      <c r="M10" s="9">
        <f t="shared" ref="M10" si="4">M9+K10+L10</f>
        <v>4700223.9563700035</v>
      </c>
      <c r="N10" s="47">
        <v>379810.06</v>
      </c>
      <c r="O10" s="30"/>
    </row>
    <row r="11" spans="1:20" x14ac:dyDescent="0.2">
      <c r="A11" s="29">
        <v>45931</v>
      </c>
      <c r="C11" s="31">
        <v>45463620</v>
      </c>
      <c r="D11" s="32">
        <v>99262</v>
      </c>
      <c r="E11" s="32">
        <f t="shared" si="0"/>
        <v>121475.71</v>
      </c>
      <c r="F11" s="32">
        <f t="shared" si="1"/>
        <v>187040.78</v>
      </c>
      <c r="G11" s="14">
        <f t="shared" ref="G11:G13" si="5">E11-D11</f>
        <v>22213.710000000006</v>
      </c>
      <c r="H11" s="14">
        <f t="shared" ref="H11:H13" si="6">F11-D11</f>
        <v>87778.78</v>
      </c>
      <c r="I11" s="3">
        <v>0.21</v>
      </c>
      <c r="J11" s="3">
        <v>0.05</v>
      </c>
      <c r="K11" s="9">
        <f t="shared" ref="K11:K13" si="7">G11*I11-L11*I11-16.29</f>
        <v>3726.9119100000012</v>
      </c>
      <c r="L11" s="9">
        <f t="shared" si="3"/>
        <v>4388.9390000000003</v>
      </c>
      <c r="M11" s="9">
        <f t="shared" ref="M11:M15" si="8">M10+K11+L11</f>
        <v>4708339.807280004</v>
      </c>
      <c r="N11" s="47">
        <v>379810.06</v>
      </c>
      <c r="O11" s="30"/>
      <c r="Q11" s="9">
        <f>358619-M12</f>
        <v>-4357836.2381900046</v>
      </c>
      <c r="R11" s="16" t="s">
        <v>11</v>
      </c>
    </row>
    <row r="12" spans="1:20" x14ac:dyDescent="0.2">
      <c r="A12" s="29">
        <v>45962</v>
      </c>
      <c r="C12" s="31">
        <v>45463620</v>
      </c>
      <c r="D12" s="32">
        <v>99262</v>
      </c>
      <c r="E12" s="32">
        <f>121475.71-2</f>
        <v>121473.71</v>
      </c>
      <c r="F12" s="32">
        <f t="shared" si="1"/>
        <v>187040.78</v>
      </c>
      <c r="G12" s="14">
        <f t="shared" si="5"/>
        <v>22211.710000000006</v>
      </c>
      <c r="H12" s="14">
        <f t="shared" si="6"/>
        <v>87778.78</v>
      </c>
      <c r="I12" s="3">
        <v>0.21</v>
      </c>
      <c r="J12" s="3">
        <v>0.05</v>
      </c>
      <c r="K12" s="9">
        <f t="shared" si="7"/>
        <v>3726.4919100000011</v>
      </c>
      <c r="L12" s="9">
        <f t="shared" si="3"/>
        <v>4388.9390000000003</v>
      </c>
      <c r="M12" s="9">
        <f t="shared" si="8"/>
        <v>4716455.2381900046</v>
      </c>
      <c r="N12" s="47">
        <v>379810.06</v>
      </c>
      <c r="Q12">
        <f>+Q11/0.389</f>
        <v>-11202663.851388186</v>
      </c>
      <c r="R12" s="9"/>
    </row>
    <row r="13" spans="1:20" x14ac:dyDescent="0.2">
      <c r="A13" s="29">
        <v>45992</v>
      </c>
      <c r="C13" s="31">
        <v>45463620</v>
      </c>
      <c r="D13" s="32">
        <v>99262</v>
      </c>
      <c r="E13" s="32">
        <f t="shared" si="0"/>
        <v>121475.71</v>
      </c>
      <c r="F13" s="32">
        <f t="shared" si="1"/>
        <v>187040.78</v>
      </c>
      <c r="G13" s="14">
        <f t="shared" si="5"/>
        <v>22213.710000000006</v>
      </c>
      <c r="H13" s="14">
        <f t="shared" si="6"/>
        <v>87778.78</v>
      </c>
      <c r="I13" s="3">
        <v>0.21</v>
      </c>
      <c r="J13" s="3">
        <v>0.05</v>
      </c>
      <c r="K13" s="9">
        <f t="shared" si="7"/>
        <v>3726.9119100000012</v>
      </c>
      <c r="L13" s="9">
        <f t="shared" si="3"/>
        <v>4388.9390000000003</v>
      </c>
      <c r="M13" s="9">
        <f t="shared" si="8"/>
        <v>4724571.0891000051</v>
      </c>
      <c r="N13" s="47">
        <v>440396.14</v>
      </c>
      <c r="Q13" s="9">
        <f>374733-M14</f>
        <v>-4355505.7894650055</v>
      </c>
    </row>
    <row r="14" spans="1:20" x14ac:dyDescent="0.2">
      <c r="A14" s="29">
        <v>46023</v>
      </c>
      <c r="C14" s="31">
        <v>45463620</v>
      </c>
      <c r="D14" s="32">
        <v>99262</v>
      </c>
      <c r="E14" s="32">
        <f>112432.5</f>
        <v>112432.5</v>
      </c>
      <c r="F14" s="32">
        <f>173140.87</f>
        <v>173140.87</v>
      </c>
      <c r="G14" s="14">
        <f>E14-D14</f>
        <v>13170.5</v>
      </c>
      <c r="H14" s="14">
        <f>F14-D14</f>
        <v>73878.87</v>
      </c>
      <c r="I14" s="3">
        <v>0.21</v>
      </c>
      <c r="J14" s="3">
        <v>0.05</v>
      </c>
      <c r="K14" s="9">
        <f>G14*I14-L14*I14-16.32</f>
        <v>1973.7568650000001</v>
      </c>
      <c r="L14" s="9">
        <f t="shared" si="3"/>
        <v>3693.9434999999999</v>
      </c>
      <c r="M14" s="9">
        <f t="shared" si="8"/>
        <v>4730238.7894650055</v>
      </c>
      <c r="N14" s="47">
        <v>0</v>
      </c>
      <c r="Q14">
        <f>+Q13/0.389</f>
        <v>-11196672.980629833</v>
      </c>
      <c r="R14" s="9"/>
      <c r="S14" s="9"/>
      <c r="T14" s="9"/>
    </row>
    <row r="15" spans="1:20" x14ac:dyDescent="0.2">
      <c r="A15" s="29">
        <v>46054</v>
      </c>
      <c r="C15" s="31">
        <v>45463620</v>
      </c>
      <c r="D15" s="32">
        <v>99262</v>
      </c>
      <c r="E15" s="32">
        <f>112432.5</f>
        <v>112432.5</v>
      </c>
      <c r="F15" s="32">
        <f>173140.87</f>
        <v>173140.87</v>
      </c>
      <c r="G15" s="14">
        <f>E15-D15</f>
        <v>13170.5</v>
      </c>
      <c r="H15" s="14">
        <f>F15-D15</f>
        <v>73878.87</v>
      </c>
      <c r="I15" s="3">
        <v>0.21</v>
      </c>
      <c r="J15" s="3">
        <v>0.05</v>
      </c>
      <c r="K15" s="9">
        <f>G15*I15-L15*I15-16.32</f>
        <v>1973.7568650000001</v>
      </c>
      <c r="L15" s="9">
        <f t="shared" si="3"/>
        <v>3693.9434999999999</v>
      </c>
      <c r="M15" s="9">
        <f t="shared" si="8"/>
        <v>4735906.4898300059</v>
      </c>
      <c r="N15" s="47">
        <v>0</v>
      </c>
      <c r="Q15" s="9">
        <f>+M15-386700</f>
        <v>4349206.4898300059</v>
      </c>
      <c r="R15" s="18"/>
      <c r="T15" s="9"/>
    </row>
    <row r="16" spans="1:20" x14ac:dyDescent="0.2">
      <c r="A16" s="15"/>
      <c r="C16" s="12"/>
      <c r="D16" s="13"/>
      <c r="E16" s="13"/>
      <c r="F16" s="13"/>
      <c r="G16" s="14"/>
      <c r="H16" s="14"/>
      <c r="I16" s="14"/>
      <c r="J16" s="12"/>
      <c r="K16" s="12"/>
      <c r="L16" s="3"/>
      <c r="M16" s="3"/>
      <c r="N16" s="9"/>
      <c r="O16" s="9"/>
      <c r="P16" s="9"/>
      <c r="Q16">
        <f>+Q15/0.389</f>
        <v>11180479.408303358</v>
      </c>
    </row>
    <row r="17" spans="1:16" x14ac:dyDescent="0.2">
      <c r="A17" s="15"/>
      <c r="C17" s="31" t="s">
        <v>41</v>
      </c>
      <c r="D17" s="32"/>
      <c r="E17" s="32"/>
      <c r="F17" s="32"/>
      <c r="G17" s="33"/>
      <c r="H17" s="33"/>
      <c r="I17" s="33"/>
      <c r="J17" s="31"/>
      <c r="K17" s="31"/>
      <c r="L17" s="3"/>
      <c r="M17" s="3"/>
      <c r="N17" s="9"/>
      <c r="O17" s="9"/>
      <c r="P17" s="9"/>
    </row>
    <row r="18" spans="1:16" x14ac:dyDescent="0.2">
      <c r="A18" s="15"/>
      <c r="C18" s="31"/>
      <c r="D18" s="32"/>
      <c r="E18" s="32"/>
      <c r="F18" s="32"/>
      <c r="G18" s="33"/>
      <c r="H18" s="33"/>
      <c r="I18" s="33"/>
      <c r="J18" s="31"/>
      <c r="K18" s="31"/>
      <c r="L18" s="3"/>
      <c r="M18" s="3"/>
      <c r="N18" s="9"/>
      <c r="O18" s="9"/>
      <c r="P18" s="9"/>
    </row>
    <row r="19" spans="1:16" x14ac:dyDescent="0.2">
      <c r="C19" s="40" t="s">
        <v>36</v>
      </c>
      <c r="D19" s="34"/>
      <c r="E19" s="34"/>
      <c r="F19" s="34"/>
      <c r="G19" s="35"/>
      <c r="H19" s="35"/>
      <c r="I19" s="41"/>
      <c r="J19" s="41"/>
      <c r="K19" s="41"/>
    </row>
    <row r="20" spans="1:16" x14ac:dyDescent="0.2">
      <c r="C20" s="40" t="s">
        <v>22</v>
      </c>
      <c r="D20" s="34"/>
      <c r="E20" s="34"/>
      <c r="F20" s="34"/>
      <c r="G20" s="35"/>
      <c r="H20" s="35"/>
      <c r="I20" s="41"/>
      <c r="J20" s="41"/>
      <c r="K20" s="41"/>
    </row>
    <row r="21" spans="1:16" x14ac:dyDescent="0.2">
      <c r="C21" s="40" t="s">
        <v>48</v>
      </c>
      <c r="D21" s="34"/>
      <c r="E21" s="34"/>
      <c r="F21" s="34"/>
      <c r="G21" s="35"/>
      <c r="H21" s="35"/>
      <c r="I21" s="41"/>
      <c r="J21" s="41"/>
      <c r="K21" s="41"/>
    </row>
    <row r="22" spans="1:16" x14ac:dyDescent="0.2">
      <c r="C22" s="38" t="s">
        <v>23</v>
      </c>
      <c r="D22" s="34"/>
      <c r="E22" s="34"/>
      <c r="F22" s="34"/>
      <c r="G22" s="35"/>
      <c r="H22" s="35"/>
      <c r="I22" s="41"/>
      <c r="J22" s="41"/>
      <c r="K22" s="41"/>
    </row>
    <row r="23" spans="1:16" x14ac:dyDescent="0.2">
      <c r="C23" s="42"/>
      <c r="D23" s="34"/>
      <c r="E23" s="34"/>
      <c r="F23" s="34"/>
      <c r="G23" s="34"/>
      <c r="H23" s="34"/>
      <c r="I23" s="41"/>
      <c r="J23" s="41"/>
      <c r="K23" s="41"/>
    </row>
    <row r="24" spans="1:16" x14ac:dyDescent="0.2">
      <c r="C24" s="38" t="s">
        <v>24</v>
      </c>
      <c r="D24" s="36" t="s">
        <v>25</v>
      </c>
      <c r="E24" s="35" t="s">
        <v>26</v>
      </c>
      <c r="F24" s="38" t="s">
        <v>27</v>
      </c>
      <c r="G24" s="43" t="s">
        <v>18</v>
      </c>
      <c r="H24" s="38" t="s">
        <v>28</v>
      </c>
      <c r="I24" s="41"/>
      <c r="J24" s="41"/>
      <c r="K24" s="41"/>
    </row>
    <row r="25" spans="1:16" x14ac:dyDescent="0.2">
      <c r="C25" s="38">
        <v>189606.505</v>
      </c>
      <c r="D25" s="38">
        <v>99262</v>
      </c>
      <c r="E25" s="38">
        <v>704.86</v>
      </c>
      <c r="F25" s="38">
        <f>-D25+E25</f>
        <v>-98557.14</v>
      </c>
      <c r="G25" s="43">
        <v>0.21</v>
      </c>
      <c r="H25" s="38">
        <f>F25*G25</f>
        <v>-20696.999400000001</v>
      </c>
      <c r="I25" s="41"/>
      <c r="J25" s="41"/>
      <c r="K25" s="41"/>
    </row>
    <row r="26" spans="1:16" x14ac:dyDescent="0.2">
      <c r="C26" s="38">
        <v>27735645</v>
      </c>
      <c r="D26" s="38"/>
      <c r="E26" s="38">
        <v>104517.15</v>
      </c>
      <c r="F26" s="38">
        <f>E26</f>
        <v>104517.15</v>
      </c>
      <c r="G26" s="43">
        <v>0.21</v>
      </c>
      <c r="H26" s="38">
        <f>F26*G26</f>
        <v>21948.601499999997</v>
      </c>
      <c r="I26" s="41"/>
      <c r="J26" s="41"/>
      <c r="K26" s="41"/>
    </row>
    <row r="27" spans="1:16" x14ac:dyDescent="0.2">
      <c r="C27" s="38">
        <v>172425</v>
      </c>
      <c r="D27" s="38"/>
      <c r="E27" s="38">
        <v>759.39</v>
      </c>
      <c r="F27" s="38">
        <f>E27</f>
        <v>759.39</v>
      </c>
      <c r="G27" s="43">
        <v>0.21</v>
      </c>
      <c r="H27" s="38">
        <f>F27*G27</f>
        <v>159.47190000000001</v>
      </c>
      <c r="I27" s="41"/>
      <c r="J27" s="41"/>
      <c r="K27" s="41"/>
    </row>
    <row r="28" spans="1:16" ht="15" x14ac:dyDescent="0.35">
      <c r="C28" s="38">
        <v>1253248</v>
      </c>
      <c r="D28" s="38"/>
      <c r="E28" s="44">
        <v>6451.09</v>
      </c>
      <c r="F28" s="44">
        <f>E28</f>
        <v>6451.09</v>
      </c>
      <c r="G28" s="43">
        <v>0.21</v>
      </c>
      <c r="H28" s="44">
        <f>F28*G28</f>
        <v>1354.7289000000001</v>
      </c>
      <c r="I28" s="41"/>
      <c r="J28" s="41"/>
      <c r="K28" s="41"/>
    </row>
    <row r="29" spans="1:16" x14ac:dyDescent="0.2">
      <c r="C29" s="38"/>
      <c r="D29" s="38"/>
      <c r="E29" s="38">
        <f>SUM(E25:E28)</f>
        <v>112432.48999999999</v>
      </c>
      <c r="F29" s="38">
        <f>SUM(F25:F28)</f>
        <v>13170.489999999994</v>
      </c>
      <c r="G29" s="43" t="s">
        <v>42</v>
      </c>
      <c r="H29" s="38">
        <f>SUM(H25:H28)</f>
        <v>2765.8028999999965</v>
      </c>
      <c r="I29" s="41"/>
      <c r="J29" s="41"/>
      <c r="K29" s="41"/>
    </row>
    <row r="30" spans="1:16" ht="15" x14ac:dyDescent="0.35">
      <c r="C30" s="38"/>
      <c r="D30" s="38"/>
      <c r="E30" s="38"/>
      <c r="F30" s="38"/>
      <c r="G30" s="41" t="s">
        <v>34</v>
      </c>
      <c r="H30" s="44">
        <f>-H38*0.21</f>
        <v>-775.72803000000022</v>
      </c>
      <c r="I30" s="41"/>
      <c r="J30" s="41"/>
      <c r="K30" s="41"/>
    </row>
    <row r="31" spans="1:16" x14ac:dyDescent="0.2">
      <c r="C31" s="41"/>
      <c r="D31" s="41"/>
      <c r="E31" s="41"/>
      <c r="F31" s="41"/>
      <c r="G31" s="41"/>
      <c r="H31" s="38">
        <f>H29+H30</f>
        <v>1990.0748699999963</v>
      </c>
      <c r="I31" s="41"/>
      <c r="J31" s="41"/>
      <c r="K31" s="41"/>
    </row>
    <row r="32" spans="1:16" x14ac:dyDescent="0.2">
      <c r="C32" s="41"/>
      <c r="D32" s="41"/>
      <c r="E32" s="41"/>
      <c r="F32" s="41"/>
      <c r="G32" s="41"/>
      <c r="H32" s="38">
        <f>H31-K15</f>
        <v>16.318004999996219</v>
      </c>
      <c r="I32" s="28" t="s">
        <v>43</v>
      </c>
      <c r="J32" s="41"/>
      <c r="K32" s="41"/>
    </row>
    <row r="33" spans="3:11" x14ac:dyDescent="0.2">
      <c r="C33" s="38" t="s">
        <v>30</v>
      </c>
      <c r="D33" s="34" t="s">
        <v>25</v>
      </c>
      <c r="E33" s="35" t="s">
        <v>31</v>
      </c>
      <c r="F33" s="38" t="s">
        <v>32</v>
      </c>
      <c r="G33" s="43" t="s">
        <v>19</v>
      </c>
      <c r="H33" s="38" t="s">
        <v>33</v>
      </c>
      <c r="I33" s="41"/>
      <c r="J33" s="41"/>
      <c r="K33" s="41"/>
    </row>
    <row r="34" spans="3:11" x14ac:dyDescent="0.2">
      <c r="C34" s="38">
        <v>379213.01</v>
      </c>
      <c r="D34" s="38">
        <v>99262</v>
      </c>
      <c r="E34" s="38">
        <v>1409.72</v>
      </c>
      <c r="F34" s="38">
        <f>-D34+E34</f>
        <v>-97852.28</v>
      </c>
      <c r="G34" s="43">
        <v>0.05</v>
      </c>
      <c r="H34" s="38">
        <f>F34*G34</f>
        <v>-4892.6140000000005</v>
      </c>
      <c r="I34" s="41"/>
      <c r="J34" s="41"/>
      <c r="K34" s="41"/>
    </row>
    <row r="35" spans="3:11" x14ac:dyDescent="0.2">
      <c r="C35" s="38">
        <v>43658734</v>
      </c>
      <c r="D35" s="38"/>
      <c r="E35" s="38">
        <v>164520.66</v>
      </c>
      <c r="F35" s="38">
        <f>E35</f>
        <v>164520.66</v>
      </c>
      <c r="G35" s="43">
        <v>0.05</v>
      </c>
      <c r="H35" s="38">
        <f>F35*G35</f>
        <v>8226.0330000000013</v>
      </c>
      <c r="I35" s="41"/>
      <c r="J35" s="41"/>
      <c r="K35" s="41"/>
    </row>
    <row r="36" spans="3:11" x14ac:dyDescent="0.2">
      <c r="C36" s="38">
        <v>172425</v>
      </c>
      <c r="D36" s="38"/>
      <c r="E36" s="38">
        <v>759.39</v>
      </c>
      <c r="F36" s="38">
        <f>E36</f>
        <v>759.39</v>
      </c>
      <c r="G36" s="43">
        <v>0.05</v>
      </c>
      <c r="H36" s="38">
        <f>F36*G36</f>
        <v>37.969500000000004</v>
      </c>
      <c r="I36" s="41"/>
      <c r="J36" s="41"/>
      <c r="K36" s="41"/>
    </row>
    <row r="37" spans="3:11" ht="15" x14ac:dyDescent="0.35">
      <c r="C37" s="38">
        <f>C28</f>
        <v>1253248</v>
      </c>
      <c r="D37" s="38"/>
      <c r="E37" s="44">
        <v>6451.09</v>
      </c>
      <c r="F37" s="44">
        <f>E37</f>
        <v>6451.09</v>
      </c>
      <c r="G37" s="43">
        <v>0.05</v>
      </c>
      <c r="H37" s="44">
        <f>F37*G37</f>
        <v>322.55450000000002</v>
      </c>
      <c r="I37" s="41"/>
      <c r="J37" s="41"/>
      <c r="K37" s="41"/>
    </row>
    <row r="38" spans="3:11" x14ac:dyDescent="0.2">
      <c r="C38" s="38"/>
      <c r="D38" s="38"/>
      <c r="E38" s="38">
        <f>SUM(E34:E37)</f>
        <v>173140.86000000002</v>
      </c>
      <c r="F38" s="38">
        <f>SUM(F34:F37)</f>
        <v>73878.86</v>
      </c>
      <c r="G38" s="41"/>
      <c r="H38" s="38">
        <f>SUM(H34:H37)</f>
        <v>3693.9430000000011</v>
      </c>
      <c r="I38" s="41"/>
      <c r="J38" s="41"/>
      <c r="K38" s="41"/>
    </row>
    <row r="39" spans="3:11" x14ac:dyDescent="0.2">
      <c r="C39" s="38"/>
      <c r="D39" s="38"/>
      <c r="E39" s="38"/>
      <c r="F39" s="38"/>
      <c r="G39" s="43"/>
      <c r="H39" s="38">
        <f>H38-L15</f>
        <v>-4.9999999873762135E-4</v>
      </c>
      <c r="I39" s="41"/>
      <c r="J39" s="41"/>
      <c r="K39" s="41"/>
    </row>
  </sheetData>
  <pageMargins left="0.5" right="0.5" top="1.5" bottom="0.5" header="0.5" footer="0.5"/>
  <pageSetup scale="56" orientation="portrait" r:id="rId1"/>
  <headerFooter alignWithMargins="0">
    <oddHeader>&amp;R&amp;"Times New Roman,Bold"&amp;12Attachment to Response to Question No. 3
Page 4 of 6
Clements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6FFD6-7AD5-476B-B26B-F38D3E680E55}">
  <sheetPr>
    <pageSetUpPr fitToPage="1"/>
  </sheetPr>
  <dimension ref="A1:T33"/>
  <sheetViews>
    <sheetView zoomScaleNormal="100" workbookViewId="0"/>
  </sheetViews>
  <sheetFormatPr defaultRowHeight="12.75" x14ac:dyDescent="0.2"/>
  <cols>
    <col min="1" max="1" width="11.28515625" style="8" customWidth="1"/>
    <col min="2" max="2" width="1.7109375" customWidth="1"/>
    <col min="3" max="3" width="13.42578125" customWidth="1"/>
    <col min="4" max="4" width="12.7109375" customWidth="1"/>
    <col min="5" max="5" width="15.85546875" customWidth="1"/>
    <col min="6" max="6" width="14.7109375" customWidth="1"/>
    <col min="7" max="16" width="12.7109375" customWidth="1"/>
    <col min="17" max="17" width="9.28515625" hidden="1" customWidth="1"/>
    <col min="18" max="18" width="11.7109375" bestFit="1" customWidth="1"/>
  </cols>
  <sheetData>
    <row r="1" spans="1:20" x14ac:dyDescent="0.2">
      <c r="A1" s="11" t="s">
        <v>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20" x14ac:dyDescent="0.2">
      <c r="A2" s="11" t="s">
        <v>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20" x14ac:dyDescent="0.2">
      <c r="A3" s="11" t="s">
        <v>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20" x14ac:dyDescent="0.2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 t="s">
        <v>11</v>
      </c>
      <c r="N4" s="4"/>
      <c r="O4" s="4"/>
      <c r="P4" s="4"/>
    </row>
    <row r="5" spans="1:20" x14ac:dyDescent="0.2">
      <c r="A5" s="6" t="s">
        <v>39</v>
      </c>
    </row>
    <row r="6" spans="1:20" x14ac:dyDescent="0.2">
      <c r="A6" s="21" t="s">
        <v>40</v>
      </c>
    </row>
    <row r="8" spans="1:20" s="1" customFormat="1" ht="38.25" x14ac:dyDescent="0.2">
      <c r="A8" s="7" t="s">
        <v>0</v>
      </c>
      <c r="B8" s="2"/>
      <c r="C8" s="2" t="s">
        <v>1</v>
      </c>
      <c r="D8" s="2" t="s">
        <v>2</v>
      </c>
      <c r="E8" s="2" t="s">
        <v>14</v>
      </c>
      <c r="F8" s="2" t="s">
        <v>15</v>
      </c>
      <c r="G8" s="2" t="s">
        <v>16</v>
      </c>
      <c r="H8" s="2" t="s">
        <v>17</v>
      </c>
      <c r="I8" s="2" t="s">
        <v>18</v>
      </c>
      <c r="J8" s="2" t="s">
        <v>19</v>
      </c>
      <c r="K8" s="2" t="s">
        <v>20</v>
      </c>
      <c r="L8" s="2" t="s">
        <v>21</v>
      </c>
      <c r="M8" s="2" t="s">
        <v>5</v>
      </c>
      <c r="N8" s="2" t="s">
        <v>4</v>
      </c>
    </row>
    <row r="9" spans="1:20" x14ac:dyDescent="0.2">
      <c r="A9" s="8" t="s">
        <v>8</v>
      </c>
      <c r="M9" s="10">
        <v>581725.6680200001</v>
      </c>
    </row>
    <row r="10" spans="1:20" x14ac:dyDescent="0.2">
      <c r="A10" s="29">
        <v>45909</v>
      </c>
      <c r="C10" s="31">
        <v>69736361</v>
      </c>
      <c r="D10" s="32">
        <f>282431.5</f>
        <v>282431.5</v>
      </c>
      <c r="E10" s="32">
        <f>518690.79+14502.49</f>
        <v>533193.28</v>
      </c>
      <c r="F10" s="32">
        <f>518690.79+14502.49</f>
        <v>533193.28</v>
      </c>
      <c r="G10" s="33">
        <f>E10-D10</f>
        <v>250761.78000000003</v>
      </c>
      <c r="H10" s="33">
        <f>F10-D10</f>
        <v>250761.78000000003</v>
      </c>
      <c r="I10" s="3">
        <v>0.21</v>
      </c>
      <c r="J10" s="3">
        <v>0.05</v>
      </c>
      <c r="K10" s="9">
        <f>G10*I10-L10*I10</f>
        <v>50026.975110000007</v>
      </c>
      <c r="L10" s="9">
        <f>H10*J10</f>
        <v>12538.089000000002</v>
      </c>
      <c r="M10" s="9">
        <f t="shared" ref="M10" si="0">M9+K10+L10</f>
        <v>644290.73213000013</v>
      </c>
      <c r="N10" s="9">
        <v>0</v>
      </c>
      <c r="O10" s="31"/>
      <c r="P10" s="32" t="s">
        <v>11</v>
      </c>
    </row>
    <row r="11" spans="1:20" x14ac:dyDescent="0.2">
      <c r="A11" s="29">
        <v>45931</v>
      </c>
      <c r="C11" s="31">
        <v>69736361</v>
      </c>
      <c r="D11" s="32">
        <f t="shared" ref="D11:D12" si="1">282431.5</f>
        <v>282431.5</v>
      </c>
      <c r="E11" s="32">
        <f>518690.79+14502.49-2</f>
        <v>533191.28</v>
      </c>
      <c r="F11" s="32">
        <f t="shared" ref="E11:F13" si="2">518690.79+14502.49</f>
        <v>533193.28</v>
      </c>
      <c r="G11" s="14">
        <f t="shared" ref="G11:G13" si="3">E11-D11</f>
        <v>250759.78000000003</v>
      </c>
      <c r="H11" s="14">
        <f t="shared" ref="H11:H13" si="4">F11-D11</f>
        <v>250761.78000000003</v>
      </c>
      <c r="I11" s="3">
        <v>0.21</v>
      </c>
      <c r="J11" s="3">
        <v>0.05</v>
      </c>
      <c r="K11" s="9">
        <f t="shared" ref="K11:K13" si="5">G11*I11-L11*I11</f>
        <v>50026.555110000001</v>
      </c>
      <c r="L11" s="9">
        <f t="shared" ref="L11:L13" si="6">H11*J11</f>
        <v>12538.089000000002</v>
      </c>
      <c r="M11" s="9">
        <f t="shared" ref="M11:M15" si="7">M10+K11+L11</f>
        <v>706855.37624000013</v>
      </c>
      <c r="N11" s="9">
        <v>0</v>
      </c>
      <c r="O11" s="30"/>
      <c r="Q11" s="9">
        <f>358619-M12</f>
        <v>-410801.44035000016</v>
      </c>
      <c r="R11" s="16" t="s">
        <v>11</v>
      </c>
    </row>
    <row r="12" spans="1:20" x14ac:dyDescent="0.2">
      <c r="A12" s="29">
        <v>45962</v>
      </c>
      <c r="C12" s="31">
        <v>69736361</v>
      </c>
      <c r="D12" s="32">
        <f t="shared" si="1"/>
        <v>282431.5</v>
      </c>
      <c r="E12" s="32">
        <f t="shared" si="2"/>
        <v>533193.28</v>
      </c>
      <c r="F12" s="32">
        <f t="shared" si="2"/>
        <v>533193.28</v>
      </c>
      <c r="G12" s="14">
        <f t="shared" si="3"/>
        <v>250761.78000000003</v>
      </c>
      <c r="H12" s="14">
        <f t="shared" si="4"/>
        <v>250761.78000000003</v>
      </c>
      <c r="I12" s="3">
        <v>0.21</v>
      </c>
      <c r="J12" s="3">
        <v>0.05</v>
      </c>
      <c r="K12" s="9">
        <f t="shared" si="5"/>
        <v>50026.975110000007</v>
      </c>
      <c r="L12" s="9">
        <f t="shared" si="6"/>
        <v>12538.089000000002</v>
      </c>
      <c r="M12" s="9">
        <f t="shared" si="7"/>
        <v>769420.44035000016</v>
      </c>
      <c r="N12" s="9">
        <v>0</v>
      </c>
      <c r="Q12">
        <f>+Q11/0.389</f>
        <v>-1056044.8338046276</v>
      </c>
      <c r="R12" s="9"/>
    </row>
    <row r="13" spans="1:20" x14ac:dyDescent="0.2">
      <c r="A13" s="29">
        <v>45992</v>
      </c>
      <c r="C13" s="31">
        <v>69736361</v>
      </c>
      <c r="D13" s="32">
        <v>282431.5</v>
      </c>
      <c r="E13" s="32">
        <f>518690.79+14502.49-2</f>
        <v>533191.28</v>
      </c>
      <c r="F13" s="32">
        <f t="shared" si="2"/>
        <v>533193.28</v>
      </c>
      <c r="G13" s="14">
        <f t="shared" si="3"/>
        <v>250759.78000000003</v>
      </c>
      <c r="H13" s="14">
        <f t="shared" si="4"/>
        <v>250761.78000000003</v>
      </c>
      <c r="I13" s="3">
        <v>0.21</v>
      </c>
      <c r="J13" s="3">
        <v>0.05</v>
      </c>
      <c r="K13" s="9">
        <f t="shared" si="5"/>
        <v>50026.555110000001</v>
      </c>
      <c r="L13" s="9">
        <f t="shared" si="6"/>
        <v>12538.089000000002</v>
      </c>
      <c r="M13" s="9">
        <f t="shared" si="7"/>
        <v>831985.08446000016</v>
      </c>
      <c r="N13" s="9">
        <v>0</v>
      </c>
      <c r="Q13" s="9">
        <f>374733-M14</f>
        <v>-545616.11224000005</v>
      </c>
    </row>
    <row r="14" spans="1:20" x14ac:dyDescent="0.2">
      <c r="A14" s="29">
        <v>46023</v>
      </c>
      <c r="C14" s="31">
        <v>69736361</v>
      </c>
      <c r="D14" s="32">
        <v>282431.5</v>
      </c>
      <c r="E14" s="32">
        <f>636595.94</f>
        <v>636595.93999999994</v>
      </c>
      <c r="F14" s="32">
        <f>636595.94</f>
        <v>636595.93999999994</v>
      </c>
      <c r="G14" s="14">
        <f>E14-D14</f>
        <v>354164.43999999994</v>
      </c>
      <c r="H14" s="14">
        <f>F14-D14</f>
        <v>354164.43999999994</v>
      </c>
      <c r="I14" s="3">
        <v>0.21</v>
      </c>
      <c r="J14" s="3">
        <v>0.05</v>
      </c>
      <c r="K14" s="9">
        <f>G14*I14-L14*I14</f>
        <v>70655.805779999981</v>
      </c>
      <c r="L14" s="9">
        <f>H14*J14</f>
        <v>17708.221999999998</v>
      </c>
      <c r="M14" s="9">
        <f t="shared" si="7"/>
        <v>920349.11224000005</v>
      </c>
      <c r="N14" s="9">
        <v>0</v>
      </c>
      <c r="Q14">
        <f>+Q13/0.389</f>
        <v>-1402612.1137275065</v>
      </c>
      <c r="R14" s="9"/>
      <c r="S14" s="9"/>
      <c r="T14" s="9"/>
    </row>
    <row r="15" spans="1:20" x14ac:dyDescent="0.2">
      <c r="A15" s="29">
        <v>46054</v>
      </c>
      <c r="C15" s="31">
        <v>69736361</v>
      </c>
      <c r="D15" s="32">
        <v>282431.5</v>
      </c>
      <c r="E15" s="32">
        <f>636595.94</f>
        <v>636595.93999999994</v>
      </c>
      <c r="F15" s="32">
        <f>636595.94</f>
        <v>636595.93999999994</v>
      </c>
      <c r="G15" s="14">
        <f>E15-D15</f>
        <v>354164.43999999994</v>
      </c>
      <c r="H15" s="14">
        <f>F15-D15</f>
        <v>354164.43999999994</v>
      </c>
      <c r="I15" s="3">
        <v>0.21</v>
      </c>
      <c r="J15" s="3">
        <v>0.05</v>
      </c>
      <c r="K15" s="9">
        <f>G15*I15-L15*I15</f>
        <v>70655.805779999981</v>
      </c>
      <c r="L15" s="9">
        <f>H15*J15</f>
        <v>17708.221999999998</v>
      </c>
      <c r="M15" s="9">
        <f t="shared" si="7"/>
        <v>1008713.1400199999</v>
      </c>
      <c r="N15" s="9">
        <v>0</v>
      </c>
      <c r="Q15" s="9">
        <f>+M15-386700</f>
        <v>622013.14001999993</v>
      </c>
      <c r="R15" s="18"/>
      <c r="T15" s="9"/>
    </row>
    <row r="16" spans="1:20" x14ac:dyDescent="0.2">
      <c r="A16" s="15"/>
      <c r="C16" s="12"/>
      <c r="D16" s="13"/>
      <c r="E16" s="13"/>
      <c r="F16" s="13"/>
      <c r="G16" s="14"/>
      <c r="H16" s="14"/>
      <c r="I16" s="14"/>
      <c r="J16" s="12"/>
      <c r="K16" s="12"/>
      <c r="L16" s="3"/>
      <c r="M16" s="3"/>
      <c r="N16" s="9"/>
      <c r="O16" s="9"/>
      <c r="P16" s="9"/>
      <c r="Q16">
        <f>+Q15/0.389</f>
        <v>1599005.5013367608</v>
      </c>
    </row>
    <row r="17" spans="1:16" x14ac:dyDescent="0.2">
      <c r="A17" s="15"/>
      <c r="C17" s="12"/>
      <c r="D17" s="13"/>
      <c r="E17" s="13"/>
      <c r="F17" s="13"/>
      <c r="G17" s="14"/>
      <c r="H17" s="14"/>
      <c r="I17" s="14"/>
      <c r="J17" s="12"/>
      <c r="K17" s="12"/>
      <c r="L17" s="3"/>
      <c r="M17" s="3"/>
      <c r="N17" s="9"/>
      <c r="O17" s="9"/>
      <c r="P17" s="9"/>
    </row>
    <row r="18" spans="1:16" x14ac:dyDescent="0.2">
      <c r="A18" s="15"/>
      <c r="C18" s="12"/>
      <c r="D18" s="13"/>
      <c r="E18" s="13"/>
      <c r="F18" s="13"/>
      <c r="G18" s="14"/>
      <c r="H18" s="14"/>
      <c r="I18" s="14"/>
      <c r="J18" s="12"/>
      <c r="K18" s="12"/>
      <c r="L18" s="3"/>
      <c r="M18" s="3"/>
      <c r="N18" s="9"/>
      <c r="O18" s="9"/>
      <c r="P18" s="9"/>
    </row>
    <row r="19" spans="1:16" x14ac:dyDescent="0.2">
      <c r="C19" s="23"/>
      <c r="D19" s="24"/>
      <c r="E19" s="24"/>
      <c r="F19" s="24"/>
      <c r="G19" s="25"/>
      <c r="H19" s="25"/>
    </row>
    <row r="20" spans="1:16" x14ac:dyDescent="0.2">
      <c r="C20" s="23"/>
      <c r="D20" s="24"/>
      <c r="E20" s="24"/>
      <c r="F20" s="24"/>
      <c r="G20" s="25"/>
      <c r="H20" s="25"/>
    </row>
    <row r="21" spans="1:16" x14ac:dyDescent="0.2">
      <c r="C21" s="23"/>
      <c r="D21" s="24"/>
      <c r="E21" s="24"/>
      <c r="F21" s="24"/>
      <c r="G21" s="25"/>
      <c r="H21" s="25"/>
    </row>
    <row r="22" spans="1:16" x14ac:dyDescent="0.2">
      <c r="C22" s="9"/>
      <c r="D22" s="24"/>
      <c r="E22" s="24"/>
      <c r="F22" s="24"/>
      <c r="G22" s="25"/>
      <c r="H22" s="25"/>
    </row>
    <row r="23" spans="1:16" x14ac:dyDescent="0.2">
      <c r="C23" s="21"/>
      <c r="D23" s="24"/>
      <c r="E23" s="24"/>
      <c r="F23" s="24"/>
      <c r="G23" s="24"/>
      <c r="H23" s="24"/>
    </row>
    <row r="24" spans="1:16" x14ac:dyDescent="0.2">
      <c r="C24" s="9"/>
      <c r="D24" s="26"/>
      <c r="E24" s="25"/>
      <c r="F24" s="9"/>
      <c r="G24" s="3"/>
      <c r="H24" s="9"/>
    </row>
    <row r="25" spans="1:16" x14ac:dyDescent="0.2">
      <c r="C25" s="31"/>
      <c r="D25" s="31"/>
      <c r="E25" s="31"/>
      <c r="F25" s="31"/>
      <c r="G25" s="3"/>
      <c r="H25" s="31"/>
    </row>
    <row r="26" spans="1:16" ht="15" x14ac:dyDescent="0.35">
      <c r="C26" s="31"/>
      <c r="D26" s="31"/>
      <c r="E26" s="31"/>
      <c r="F26" s="31"/>
      <c r="G26" s="28"/>
      <c r="H26" s="27"/>
    </row>
    <row r="27" spans="1:16" x14ac:dyDescent="0.2">
      <c r="H27" s="31"/>
    </row>
    <row r="28" spans="1:16" x14ac:dyDescent="0.2">
      <c r="H28" s="31"/>
    </row>
    <row r="29" spans="1:16" x14ac:dyDescent="0.2">
      <c r="C29" s="9"/>
      <c r="D29" s="24"/>
      <c r="E29" s="25"/>
      <c r="F29" s="9"/>
      <c r="G29" s="3"/>
      <c r="H29" s="9"/>
    </row>
    <row r="30" spans="1:16" x14ac:dyDescent="0.2">
      <c r="C30" s="31"/>
      <c r="D30" s="31"/>
      <c r="E30" s="31"/>
      <c r="F30" s="31"/>
      <c r="G30" s="3"/>
      <c r="H30" s="31"/>
    </row>
    <row r="31" spans="1:16" x14ac:dyDescent="0.2">
      <c r="C31" s="31"/>
      <c r="D31" s="31"/>
      <c r="E31" s="31"/>
      <c r="F31" s="31"/>
      <c r="H31" s="31"/>
    </row>
    <row r="32" spans="1:16" x14ac:dyDescent="0.2">
      <c r="C32" s="12"/>
      <c r="D32" s="12"/>
      <c r="E32" s="12"/>
      <c r="F32" s="12"/>
      <c r="G32" s="3"/>
      <c r="H32" s="12"/>
    </row>
    <row r="33" spans="3:8" x14ac:dyDescent="0.2">
      <c r="C33" s="12"/>
      <c r="D33" s="12"/>
      <c r="E33" s="12"/>
      <c r="F33" s="12"/>
      <c r="H33" s="12"/>
    </row>
  </sheetData>
  <pageMargins left="0.5" right="0.5" top="1.5" bottom="0.5" header="0.5" footer="0.5"/>
  <pageSetup scale="56" orientation="portrait" r:id="rId1"/>
  <headerFooter alignWithMargins="0">
    <oddHeader>&amp;R&amp;"Times New Roman,Bold"&amp;12Attachment to Response to Question No. 3
Page 5 of 6
Clements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6C559-76F9-49E5-8483-6B7996D25219}">
  <dimension ref="A1:O19"/>
  <sheetViews>
    <sheetView zoomScaleNormal="100" workbookViewId="0"/>
  </sheetViews>
  <sheetFormatPr defaultRowHeight="12.75" x14ac:dyDescent="0.2"/>
  <cols>
    <col min="1" max="1" width="11.28515625" customWidth="1"/>
    <col min="2" max="2" width="1.7109375" customWidth="1"/>
    <col min="3" max="3" width="13.42578125" customWidth="1"/>
    <col min="4" max="4" width="12.7109375" customWidth="1"/>
    <col min="5" max="5" width="15.85546875" customWidth="1"/>
    <col min="6" max="6" width="14.7109375" customWidth="1"/>
    <col min="7" max="15" width="12.7109375" customWidth="1"/>
  </cols>
  <sheetData>
    <row r="1" spans="1:15" x14ac:dyDescent="0.2">
      <c r="A1" s="11" t="s">
        <v>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x14ac:dyDescent="0.2">
      <c r="A2" s="11" t="s">
        <v>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x14ac:dyDescent="0.2">
      <c r="A3" s="11" t="s">
        <v>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x14ac:dyDescent="0.2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 t="s">
        <v>11</v>
      </c>
      <c r="N4" s="4"/>
      <c r="O4" s="4"/>
    </row>
    <row r="5" spans="1:15" x14ac:dyDescent="0.2">
      <c r="A5" s="6" t="s">
        <v>39</v>
      </c>
    </row>
    <row r="6" spans="1:15" x14ac:dyDescent="0.2">
      <c r="A6" s="21" t="s">
        <v>47</v>
      </c>
    </row>
    <row r="7" spans="1:15" x14ac:dyDescent="0.2">
      <c r="A7" s="8"/>
    </row>
    <row r="8" spans="1:15" ht="38.25" x14ac:dyDescent="0.2">
      <c r="A8" s="7" t="s">
        <v>0</v>
      </c>
      <c r="B8" s="2"/>
      <c r="C8" s="2" t="s">
        <v>1</v>
      </c>
      <c r="D8" s="2" t="s">
        <v>2</v>
      </c>
      <c r="E8" s="2" t="s">
        <v>14</v>
      </c>
      <c r="F8" s="2" t="s">
        <v>15</v>
      </c>
      <c r="G8" s="2" t="s">
        <v>16</v>
      </c>
      <c r="H8" s="2" t="s">
        <v>17</v>
      </c>
      <c r="I8" s="2" t="s">
        <v>18</v>
      </c>
      <c r="J8" s="2" t="s">
        <v>19</v>
      </c>
      <c r="K8" s="2" t="s">
        <v>20</v>
      </c>
      <c r="L8" s="2" t="s">
        <v>21</v>
      </c>
      <c r="M8" s="2" t="s">
        <v>5</v>
      </c>
      <c r="N8" s="2" t="s">
        <v>4</v>
      </c>
      <c r="O8" s="1"/>
    </row>
    <row r="9" spans="1:15" x14ac:dyDescent="0.2">
      <c r="A9" s="8" t="s">
        <v>8</v>
      </c>
      <c r="M9" s="10">
        <v>335830.61948500009</v>
      </c>
    </row>
    <row r="10" spans="1:15" x14ac:dyDescent="0.2">
      <c r="A10" s="29">
        <v>45909</v>
      </c>
      <c r="C10" s="31">
        <f t="shared" ref="C10:C15" si="0">28166299</f>
        <v>28166299</v>
      </c>
      <c r="D10" s="46">
        <v>61496</v>
      </c>
      <c r="E10" s="32">
        <f>161645+1980</f>
        <v>163625</v>
      </c>
      <c r="F10" s="32">
        <f>161645+1980</f>
        <v>163625</v>
      </c>
      <c r="G10" s="33">
        <f>E10-D10</f>
        <v>102129</v>
      </c>
      <c r="H10" s="33">
        <f>F10-D10</f>
        <v>102129</v>
      </c>
      <c r="I10" s="3">
        <v>0.21</v>
      </c>
      <c r="J10" s="3">
        <v>0.05</v>
      </c>
      <c r="K10" s="9">
        <f>G10*I10-L10*I10</f>
        <v>20374.735499999999</v>
      </c>
      <c r="L10" s="9">
        <f>H10*J10</f>
        <v>5106.4500000000007</v>
      </c>
      <c r="M10" s="9">
        <f t="shared" ref="M10" si="1">M9+K10+L10</f>
        <v>361311.80498500011</v>
      </c>
      <c r="N10" s="9">
        <v>0</v>
      </c>
      <c r="O10" s="31"/>
    </row>
    <row r="11" spans="1:15" x14ac:dyDescent="0.2">
      <c r="A11" s="29">
        <v>45931</v>
      </c>
      <c r="C11" s="31">
        <f t="shared" si="0"/>
        <v>28166299</v>
      </c>
      <c r="D11" s="46">
        <v>61496</v>
      </c>
      <c r="E11" s="32">
        <f t="shared" ref="E11:F13" si="2">161645+1980</f>
        <v>163625</v>
      </c>
      <c r="F11" s="32">
        <f t="shared" si="2"/>
        <v>163625</v>
      </c>
      <c r="G11" s="14">
        <f t="shared" ref="G11:G13" si="3">E11-D11</f>
        <v>102129</v>
      </c>
      <c r="H11" s="14">
        <f t="shared" ref="H11:H13" si="4">F11-D11</f>
        <v>102129</v>
      </c>
      <c r="I11" s="3">
        <v>0.21</v>
      </c>
      <c r="J11" s="3">
        <v>0.05</v>
      </c>
      <c r="K11" s="9">
        <f t="shared" ref="K11:K13" si="5">G11*I11-L11*I11</f>
        <v>20374.735499999999</v>
      </c>
      <c r="L11" s="9">
        <f t="shared" ref="L11:L13" si="6">H11*J11</f>
        <v>5106.4500000000007</v>
      </c>
      <c r="M11" s="9">
        <f t="shared" ref="M11:M15" si="7">M10+K11+L11</f>
        <v>386792.99048500013</v>
      </c>
      <c r="N11" s="9">
        <v>0</v>
      </c>
      <c r="O11" s="30"/>
    </row>
    <row r="12" spans="1:15" x14ac:dyDescent="0.2">
      <c r="A12" s="29">
        <v>45962</v>
      </c>
      <c r="C12" s="31">
        <f t="shared" si="0"/>
        <v>28166299</v>
      </c>
      <c r="D12" s="46">
        <v>61496</v>
      </c>
      <c r="E12" s="32">
        <f t="shared" si="2"/>
        <v>163625</v>
      </c>
      <c r="F12" s="32">
        <f t="shared" si="2"/>
        <v>163625</v>
      </c>
      <c r="G12" s="14">
        <f t="shared" si="3"/>
        <v>102129</v>
      </c>
      <c r="H12" s="14">
        <f t="shared" si="4"/>
        <v>102129</v>
      </c>
      <c r="I12" s="3">
        <v>0.21</v>
      </c>
      <c r="J12" s="3">
        <v>0.05</v>
      </c>
      <c r="K12" s="9">
        <f t="shared" si="5"/>
        <v>20374.735499999999</v>
      </c>
      <c r="L12" s="9">
        <f t="shared" si="6"/>
        <v>5106.4500000000007</v>
      </c>
      <c r="M12" s="9">
        <f t="shared" si="7"/>
        <v>412274.17598500015</v>
      </c>
      <c r="N12" s="9">
        <v>0</v>
      </c>
    </row>
    <row r="13" spans="1:15" x14ac:dyDescent="0.2">
      <c r="A13" s="29">
        <v>45992</v>
      </c>
      <c r="C13" s="31">
        <f t="shared" si="0"/>
        <v>28166299</v>
      </c>
      <c r="D13" s="46">
        <v>61496</v>
      </c>
      <c r="E13" s="32">
        <f>161645+1980+2</f>
        <v>163627</v>
      </c>
      <c r="F13" s="32">
        <f t="shared" si="2"/>
        <v>163625</v>
      </c>
      <c r="G13" s="14">
        <f t="shared" si="3"/>
        <v>102131</v>
      </c>
      <c r="H13" s="14">
        <f t="shared" si="4"/>
        <v>102129</v>
      </c>
      <c r="I13" s="3">
        <v>0.21</v>
      </c>
      <c r="J13" s="3">
        <v>0.05</v>
      </c>
      <c r="K13" s="9">
        <f t="shared" si="5"/>
        <v>20375.155499999997</v>
      </c>
      <c r="L13" s="9">
        <f t="shared" si="6"/>
        <v>5106.4500000000007</v>
      </c>
      <c r="M13" s="9">
        <f t="shared" si="7"/>
        <v>437755.78148500016</v>
      </c>
      <c r="N13" s="9">
        <v>0</v>
      </c>
    </row>
    <row r="14" spans="1:15" x14ac:dyDescent="0.2">
      <c r="A14" s="29">
        <v>46023</v>
      </c>
      <c r="C14" s="31">
        <f t="shared" si="0"/>
        <v>28166299</v>
      </c>
      <c r="D14" s="46">
        <v>61496.49</v>
      </c>
      <c r="E14" s="32">
        <f>157940</f>
        <v>157940</v>
      </c>
      <c r="F14" s="32">
        <f>157940.47</f>
        <v>157940.47</v>
      </c>
      <c r="G14" s="14">
        <f>E14-D14</f>
        <v>96443.510000000009</v>
      </c>
      <c r="H14" s="14">
        <f>F14-D14</f>
        <v>96443.98000000001</v>
      </c>
      <c r="I14" s="3">
        <v>0.21</v>
      </c>
      <c r="J14" s="3">
        <v>0.05</v>
      </c>
      <c r="K14" s="9">
        <f>G14*I14-L14*I14</f>
        <v>19240.475310000002</v>
      </c>
      <c r="L14" s="9">
        <f>H14*J14</f>
        <v>4822.1990000000005</v>
      </c>
      <c r="M14" s="9">
        <f t="shared" si="7"/>
        <v>461818.45579500019</v>
      </c>
      <c r="N14" s="9">
        <v>0</v>
      </c>
    </row>
    <row r="15" spans="1:15" x14ac:dyDescent="0.2">
      <c r="A15" s="29">
        <v>46054</v>
      </c>
      <c r="C15" s="31">
        <f t="shared" si="0"/>
        <v>28166299</v>
      </c>
      <c r="D15" s="46">
        <v>61496</v>
      </c>
      <c r="E15" s="32">
        <f>157940.47</f>
        <v>157940.47</v>
      </c>
      <c r="F15" s="32">
        <f>157940.47</f>
        <v>157940.47</v>
      </c>
      <c r="G15" s="14">
        <f>E15-D15</f>
        <v>96444.47</v>
      </c>
      <c r="H15" s="14">
        <f>F15-D15</f>
        <v>96444.47</v>
      </c>
      <c r="I15" s="3">
        <v>0.21</v>
      </c>
      <c r="J15" s="3">
        <v>0.05</v>
      </c>
      <c r="K15" s="9">
        <f>G15*I15-L15*I15</f>
        <v>19240.671764999999</v>
      </c>
      <c r="L15" s="9">
        <f>H15*J15</f>
        <v>4822.2235000000001</v>
      </c>
      <c r="M15" s="9">
        <f t="shared" si="7"/>
        <v>485881.35106000019</v>
      </c>
      <c r="N15" s="9">
        <v>0</v>
      </c>
    </row>
    <row r="16" spans="1:15" x14ac:dyDescent="0.2">
      <c r="D16" s="32"/>
      <c r="E16" s="32"/>
      <c r="F16" s="32"/>
      <c r="G16" s="14"/>
      <c r="H16" s="14"/>
      <c r="I16" s="3"/>
      <c r="J16" s="3"/>
      <c r="K16" s="9"/>
      <c r="L16" s="9"/>
      <c r="M16" s="9"/>
      <c r="N16" s="9"/>
    </row>
    <row r="17" spans="4:14" x14ac:dyDescent="0.2">
      <c r="D17" s="32"/>
      <c r="E17" s="32"/>
      <c r="F17" s="32"/>
      <c r="G17" s="14"/>
      <c r="H17" s="14"/>
      <c r="I17" s="3"/>
      <c r="J17" s="3"/>
      <c r="K17" s="9"/>
      <c r="L17" s="9"/>
      <c r="M17" s="9"/>
      <c r="N17" s="9"/>
    </row>
    <row r="18" spans="4:14" x14ac:dyDescent="0.2">
      <c r="D18" s="32"/>
      <c r="E18" s="32"/>
      <c r="F18" s="32"/>
      <c r="G18" s="14"/>
      <c r="H18" s="14"/>
      <c r="I18" s="3"/>
      <c r="J18" s="3"/>
      <c r="K18" s="9"/>
      <c r="L18" s="9"/>
      <c r="M18" s="9"/>
      <c r="N18" s="9"/>
    </row>
    <row r="19" spans="4:14" x14ac:dyDescent="0.2">
      <c r="D19" s="32"/>
      <c r="E19" s="32"/>
      <c r="F19" s="32"/>
      <c r="G19" s="14"/>
      <c r="H19" s="14"/>
      <c r="I19" s="3"/>
      <c r="J19" s="3"/>
      <c r="K19" s="9"/>
      <c r="L19" s="9"/>
      <c r="M19" s="9"/>
      <c r="N19" s="9"/>
    </row>
  </sheetData>
  <pageMargins left="0.7" right="0.7" top="0.75" bottom="0.75" header="0.3" footer="0.3"/>
  <pageSetup scale="48" orientation="portrait" horizontalDpi="200" verticalDpi="200" r:id="rId1"/>
  <headerFooter>
    <oddHeader>&amp;R&amp;"Times New Roman,Bold"&amp;12Attachment to Response to Question No. 3
Page 6 of 6
Clements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_x0020_Testimony xmlns="65bfb563-8fe2-4d34-a09f-38a217d8feea" xsi:nil="true"/>
    <Year xmlns="65bfb563-8fe2-4d34-a09f-38a217d8feea">2026</Year>
    <Filing_x0020_Case_x0020__x0023_ xmlns="65bfb563-8fe2-4d34-a09f-38a217d8feea" xsi:nil="true"/>
    <Construction_x0020_Monitoring_x0020_Description xmlns="65bfb563-8fe2-4d34-a09f-38a217d8feea" xsi:nil="true"/>
    <Review_x0020_Case_x0020_Doc_x0020_Types xmlns="65bfb563-8fe2-4d34-a09f-38a217d8feea">01.2 – 1st Data Request Attachments</Review_x0020_Case_x0020_Doc_x0020_Types>
    <Status xmlns="65bfb563-8fe2-4d34-a09f-38a217d8feea"/>
    <Filing_x0020_Witness xmlns="65bfb563-8fe2-4d34-a09f-38a217d8feea" xsi:nil="true"/>
    <Filings xmlns="65bfb563-8fe2-4d34-a09f-38a217d8feea" xsi:nil="true"/>
    <IconOverlay xmlns="http://schemas.microsoft.com/sharepoint/v4" xsi:nil="true"/>
    <Document_x0020_Type xmlns="65bfb563-8fe2-4d34-a09f-38a217d8feea">
      <Value>ECR</Value>
    </Document_x0020_Type>
    <Filing_x0020_Type xmlns="65bfb563-8fe2-4d34-a09f-38a217d8feea">
      <Value>Review Cases (ECR/FAC/OST)</Value>
    </Filing_x0020_Type>
    <Construction_x0020_Monitoring xmlns="65bfb563-8fe2-4d34-a09f-38a217d8feea" xsi:nil="true"/>
    <Case_x0020__x0023_ xmlns="65bfb563-8fe2-4d34-a09f-38a217d8feea">2026-00178</Case_x0020__x0023_>
    <Review_x0020_Case_x0020_Expense_x0020_Period xmlns="65bfb563-8fe2-4d34-a09f-38a217d8feea">Nov-Apr (ECR)</Review_x0020_Case_x0020_Expense_x0020_Period>
    <Filing_x0020_Doc_x0020_Types xmlns="65bfb563-8fe2-4d34-a09f-38a217d8feea" xsi:nil="true"/>
    <Company xmlns="65bfb563-8fe2-4d34-a09f-38a217d8feea">
      <Value>LGE</Value>
    </Compan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510F20E04BCF41BE361D2F61EE6FFA" ma:contentTypeVersion="32" ma:contentTypeDescription="Create a new document." ma:contentTypeScope="" ma:versionID="f988aafe859415acc31a51651e3c6535">
  <xsd:schema xmlns:xsd="http://www.w3.org/2001/XMLSchema" xmlns:xs="http://www.w3.org/2001/XMLSchema" xmlns:p="http://schemas.microsoft.com/office/2006/metadata/properties" xmlns:ns1="http://schemas.microsoft.com/sharepoint/v3" xmlns:ns2="65bfb563-8fe2-4d34-a09f-38a217d8feea" xmlns:ns3="http://schemas.microsoft.com/sharepoint/v4" targetNamespace="http://schemas.microsoft.com/office/2006/metadata/properties" ma:root="true" ma:fieldsID="3eb28f983adcb7eb5eb1a3633c52ec28" ns1:_="" ns2:_="" ns3:_="">
    <xsd:import namespace="http://schemas.microsoft.com/sharepoint/v3"/>
    <xsd:import namespace="65bfb563-8fe2-4d34-a09f-38a217d8feea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Company" minOccurs="0"/>
                <xsd:element ref="ns2:Year"/>
                <xsd:element ref="ns2:Document_x0020_Type" minOccurs="0"/>
                <xsd:element ref="ns2:Filing_x0020_Type" minOccurs="0"/>
                <xsd:element ref="ns2:Filings" minOccurs="0"/>
                <xsd:element ref="ns2:Filing_x0020_Doc_x0020_Types" minOccurs="0"/>
                <xsd:element ref="ns2:Filing_x0020_Case_x0020__x0023_" minOccurs="0"/>
                <xsd:element ref="ns2:Filing_x0020_Witness" minOccurs="0"/>
                <xsd:element ref="ns2:Review_x0020_Case_x0020_Expense_x0020_Period" minOccurs="0"/>
                <xsd:element ref="ns2:Review_x0020_Case_x0020_Doc_x0020_Types" minOccurs="0"/>
                <xsd:element ref="ns2:Case_x0020__x0023_" minOccurs="0"/>
                <xsd:element ref="ns2:Witness_x0020_Testimony" minOccurs="0"/>
                <xsd:element ref="ns2:Construction_x0020_Monitoring_x0020_Description" minOccurs="0"/>
                <xsd:element ref="ns2:Construction_x0020_Monitoring" minOccurs="0"/>
                <xsd:element ref="ns2:Status" minOccurs="0"/>
                <xsd:element ref="ns3:IconOverlay" minOccurs="0"/>
                <xsd:element ref="ns1:_vti_ItemDeclaredRecord" minOccurs="0"/>
                <xsd:element ref="ns1:_vti_ItemHoldRecord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31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32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bfb563-8fe2-4d34-a09f-38a217d8feea" elementFormDefault="qualified">
    <xsd:import namespace="http://schemas.microsoft.com/office/2006/documentManagement/types"/>
    <xsd:import namespace="http://schemas.microsoft.com/office/infopath/2007/PartnerControls"/>
    <xsd:element name="Company" ma:index="2" nillable="true" ma:displayName="Company" ma:internalName="Company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KU"/>
                    <xsd:enumeration value="LGE"/>
                    <xsd:enumeration value="ODP"/>
                  </xsd:restriction>
                </xsd:simpleType>
              </xsd:element>
            </xsd:sequence>
          </xsd:extension>
        </xsd:complexContent>
      </xsd:complexType>
    </xsd:element>
    <xsd:element name="Year" ma:index="3" ma:displayName="Year" ma:format="Dropdown" ma:internalName="Year">
      <xsd:simpleType>
        <xsd:restriction base="dms:Choice"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</xsd:restriction>
      </xsd:simpleType>
    </xsd:element>
    <xsd:element name="Document_x0020_Type" ma:index="4" nillable="true" ma:displayName="Document Type" ma:internalName="Document_x0020_Typ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DSM"/>
                    <xsd:enumeration value="ECR"/>
                    <xsd:enumeration value="FAC / OST"/>
                    <xsd:enumeration value="GLT"/>
                    <xsd:enumeration value="GSC"/>
                    <xsd:enumeration value="LFF"/>
                    <xsd:enumeration value="PGR"/>
                    <xsd:enumeration value="RAR"/>
                  </xsd:restriction>
                </xsd:simpleType>
              </xsd:element>
            </xsd:sequence>
          </xsd:extension>
        </xsd:complexContent>
      </xsd:complexType>
    </xsd:element>
    <xsd:element name="Filing_x0020_Type" ma:index="5" nillable="true" ma:displayName="Filing Type" ma:internalName="Filing_x0020_Typ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Monthly Filings (ECR/LFF/PGR/RAR)"/>
                    <xsd:enumeration value="Form A Filings (FAC/OST)"/>
                    <xsd:enumeration value="Form B Filings (FAC/OST)"/>
                    <xsd:enumeration value="Fixed NAS FAC/OSS Factor (NFOF)"/>
                    <xsd:enumeration value="Fuel Supply Contracts (FAC)"/>
                    <xsd:enumeration value="Avoided Energy Cost (LQF)"/>
                    <xsd:enumeration value="Municipal WPS Reports (FAC)"/>
                    <xsd:enumeration value="Quarterly Filings (GSC)"/>
                    <xsd:enumeration value="Annual Filing (DSM)"/>
                    <xsd:enumeration value="Annual Filing (GLT/LFF/WNA)"/>
                    <xsd:enumeration value="Forecasted Annual Filing (GLT)"/>
                    <xsd:enumeration value="True-up Annual Filing (GLT)"/>
                    <xsd:enumeration value="Review Cases (ECR/FAC/OST)"/>
                    <xsd:enumeration value="Construction Monitoring (ECR)"/>
                    <xsd:enumeration value="Approved Project Detail (ECR/GLT/PGR)"/>
                    <xsd:enumeration value="Reports"/>
                  </xsd:restriction>
                </xsd:simpleType>
              </xsd:element>
            </xsd:sequence>
          </xsd:extension>
        </xsd:complexContent>
      </xsd:complexType>
    </xsd:element>
    <xsd:element name="Filings" ma:index="6" nillable="true" ma:displayName="Filing Expense Period" ma:format="Dropdown" ma:internalName="Filings">
      <xsd:simpleType>
        <xsd:restriction base="dms:Choice">
          <xsd:enumeration value="01-Jan"/>
          <xsd:enumeration value="02-Feb"/>
          <xsd:enumeration value="03-Mar"/>
          <xsd:enumeration value="04-Apr"/>
          <xsd:enumeration value="05-May"/>
          <xsd:enumeration value="06-Jun"/>
          <xsd:enumeration value="07-Jul"/>
          <xsd:enumeration value="08-Aug"/>
          <xsd:enumeration value="09-Sep"/>
          <xsd:enumeration value="10-Oct"/>
          <xsd:enumeration value="11-Nov"/>
          <xsd:enumeration value="12-Dec"/>
          <xsd:enumeration value="Nov-Jan (GSC)"/>
          <xsd:enumeration value="Feb-Apr (GSC)"/>
          <xsd:enumeration value="May-Jul (GSC)"/>
          <xsd:enumeration value="Aug-Oct (GSC)"/>
          <xsd:enumeration value="Apr-May (LFF)"/>
          <xsd:enumeration value="Jan-Dec (GLT/WNA)"/>
          <xsd:enumeration value="N/A"/>
        </xsd:restriction>
      </xsd:simpleType>
    </xsd:element>
    <xsd:element name="Filing_x0020_Doc_x0020_Types" ma:index="7" nillable="true" ma:displayName="Filing Doc Types" ma:format="Dropdown" ma:internalName="Filing_x0020_Doc_x0020_Types">
      <xsd:simpleType>
        <xsd:restriction base="dms:Choice">
          <xsd:enumeration value="00 – Orders/Requests for Information"/>
          <xsd:enumeration value="01.1 – 1st Data Request Responses/Testimony"/>
          <xsd:enumeration value="01.2 – 1st Data Request Attachments"/>
          <xsd:enumeration value="01.3 – 1st Data Request Confidentiality Petition"/>
          <xsd:enumeration value="01.4 – 1st Data Request/Testimony - As Filed"/>
          <xsd:enumeration value="02.1 – 2nd Data Request Responses/Testimony"/>
          <xsd:enumeration value="02.2 – 2nd Data Request Attachments"/>
          <xsd:enumeration value="02.3 – 2nd Data Request Confidentiality Petition"/>
          <xsd:enumeration value="02.4 – 2nd Data Request/Testimony - As Filed"/>
          <xsd:enumeration value="03.1 – 3rd Data Request Responses/Testimony"/>
          <xsd:enumeration value="03.2 – 3rd Data Request Attachments"/>
          <xsd:enumeration value="03.3 – 3rd Data Request Confidentiality Petition"/>
          <xsd:enumeration value="03.4 – 3rd Data Request/Testimony - As Filed"/>
          <xsd:enumeration value="04.1 – 4th Data Request Responses/Testimony"/>
          <xsd:enumeration value="04.2 – 4th Data Request Attachments"/>
          <xsd:enumeration value="04.3 – 4th Data Request Confidentiality Petition"/>
          <xsd:enumeration value="04.4 – 4th Data Request/Testimony - As Filed"/>
          <xsd:enumeration value="05.1 – Post Hearing Data Request Responses/Testimony"/>
          <xsd:enumeration value="05.2 – Post Hearing Data Request Attachments"/>
          <xsd:enumeration value="05.3 – Post Hearing Data Request Confidentiality Petition"/>
          <xsd:enumeration value="05.4 – Post Hearing Data Request/Testimony - As Filed"/>
          <xsd:enumeration value="06 – Technical Conference or Hearings"/>
          <xsd:enumeration value="07 – Briefs"/>
          <xsd:enumeration value="08 – Support"/>
          <xsd:enumeration value="09 – Tariffs"/>
          <xsd:enumeration value="10 – Proof of Publication/Certificate of Notice"/>
          <xsd:enumeration value="11 – eFiled/Filed Documents"/>
          <xsd:enumeration value="11.1 – Application"/>
          <xsd:enumeration value="11.2 – Application - As Filed"/>
          <xsd:enumeration value="12 – Talking Points (Internal Use Only)"/>
          <xsd:enumeration value="13 – Data Request Assignments"/>
          <xsd:enumeration value="14 – Review Checklists"/>
        </xsd:restriction>
      </xsd:simpleType>
    </xsd:element>
    <xsd:element name="Filing_x0020_Case_x0020__x0023_" ma:index="8" nillable="true" ma:displayName="Filing Case #" ma:internalName="Filing_x0020_Case_x0020__x0023_">
      <xsd:simpleType>
        <xsd:restriction base="dms:Text">
          <xsd:maxLength value="255"/>
        </xsd:restriction>
      </xsd:simpleType>
    </xsd:element>
    <xsd:element name="Filing_x0020_Witness" ma:index="9" nillable="true" ma:displayName="Filing Witness" ma:format="Dropdown" ma:internalName="Filing_x0020_Witness">
      <xsd:simpleType>
        <xsd:restriction base="dms:Choice">
          <xsd:enumeration value="Billiter, Delbert"/>
          <xsd:enumeration value="Drake, Michael"/>
          <xsd:enumeration value="Fackler, Andrea"/>
          <xsd:enumeration value="Garrett, Chris"/>
          <xsd:enumeration value="Rahn, Derek"/>
          <xsd:enumeration value="Rieth, Tom"/>
          <xsd:enumeration value="Schram, Chuck"/>
          <xsd:enumeration value="Sebourn, Michael"/>
          <xsd:enumeration value="Wilson, Stuart"/>
        </xsd:restriction>
      </xsd:simpleType>
    </xsd:element>
    <xsd:element name="Review_x0020_Case_x0020_Expense_x0020_Period" ma:index="10" nillable="true" ma:displayName="Review Case Expense Period" ma:format="Dropdown" ma:internalName="Review_x0020_Case_x0020_Expense_x0020_Period">
      <xsd:simpleType>
        <xsd:restriction base="dms:Choice">
          <xsd:enumeration value="Mar-Aug (ECR)"/>
          <xsd:enumeration value="Sep-Feb (ECR)"/>
          <xsd:enumeration value="Mar-Feb (ECR)"/>
          <xsd:enumeration value="May-Oct (ECR)"/>
          <xsd:enumeration value="May-Oct (FAC)"/>
          <xsd:enumeration value="Nov-Apr (FAC)"/>
          <xsd:enumeration value="Nov-Oct (FAC)"/>
          <xsd:enumeration value="Nov-Apr (ECR)"/>
        </xsd:restriction>
      </xsd:simpleType>
    </xsd:element>
    <xsd:element name="Review_x0020_Case_x0020_Doc_x0020_Types" ma:index="11" nillable="true" ma:displayName="Review Case Doc Types" ma:format="Dropdown" ma:internalName="Review_x0020_Case_x0020_Doc_x0020_Types">
      <xsd:simpleType>
        <xsd:restriction base="dms:Choice">
          <xsd:enumeration value="00.1 – Orders"/>
          <xsd:enumeration value="00.2 – Requests for Information"/>
          <xsd:enumeration value="00.4 – Other Communications/eFilings"/>
          <xsd:enumeration value="01.1 – 1st Data Request Responses/Testimony"/>
          <xsd:enumeration value="01.2 – 1st Data Request Attachments"/>
          <xsd:enumeration value="01.3 – 1st Data Request Confidentiality Petition"/>
          <xsd:enumeration value="01.4 – 1st Data Request/Testimony - As Filed"/>
          <xsd:enumeration value="01.5 – 1st Data Request/Testimony Support"/>
          <xsd:enumeration value="02.1 – 2nd Data Request Responses/Testimony"/>
          <xsd:enumeration value="02.2 – 2nd Data Request Attachments"/>
          <xsd:enumeration value="02.3 – 2nd Data Request Confidentiality Petition"/>
          <xsd:enumeration value="02.4 – 2nd Data Request/Testimony - As Filed"/>
          <xsd:enumeration value="03.1 – 3rd Data Request Responses/Testimony"/>
          <xsd:enumeration value="03.2 – 3rd Data Request Attachments"/>
          <xsd:enumeration value="03.3 – 3rd Data Request Confidentiality Petition"/>
          <xsd:enumeration value="03.4 – 3rd Data Request/Testimony - As Filed"/>
          <xsd:enumeration value="04.1 – 4th Data Request Responses/Testimony"/>
          <xsd:enumeration value="04.2 – 4th Data Request Attachments"/>
          <xsd:enumeration value="04.3 – 4th Data Request Confidentiality Petition"/>
          <xsd:enumeration value="04.4 – 4th Data Request/Testimony - As Filed"/>
          <xsd:enumeration value="05.1 – Post Hearing Data Request Responses/Testimony"/>
          <xsd:enumeration value="05.2 – Post Hearing Data Request Attachments"/>
          <xsd:enumeration value="05.3 – Post Hearing Data Request Confidentiality Petition"/>
          <xsd:enumeration value="05.4 – Post Hearing Data Request/Testimony - As Filed"/>
          <xsd:enumeration value="06 – Technical Conference or Hearings"/>
          <xsd:enumeration value="07 – Briefs"/>
          <xsd:enumeration value="08 – Support"/>
          <xsd:enumeration value="09 – Tariffs"/>
          <xsd:enumeration value="10 – Proof of Publication/Certificate of Notice"/>
          <xsd:enumeration value="11 – eFiled/Filed Documents"/>
          <xsd:enumeration value="11.1 – Application"/>
          <xsd:enumeration value="11.2 – Application - As Filed"/>
          <xsd:enumeration value="12 – Talking Points (Internal Use Only)"/>
          <xsd:enumeration value="13 – Data Request Assignments"/>
          <xsd:enumeration value="14 – Review Checklists"/>
        </xsd:restriction>
      </xsd:simpleType>
    </xsd:element>
    <xsd:element name="Case_x0020__x0023_" ma:index="12" nillable="true" ma:displayName="Review Case #" ma:internalName="Case_x0020__x0023_">
      <xsd:simpleType>
        <xsd:restriction base="dms:Text">
          <xsd:maxLength value="255"/>
        </xsd:restriction>
      </xsd:simpleType>
    </xsd:element>
    <xsd:element name="Witness_x0020_Testimony" ma:index="13" nillable="true" ma:displayName="Review Case Witness" ma:format="Dropdown" ma:internalName="Witness_x0020_Testimony">
      <xsd:simpleType>
        <xsd:restriction base="dms:Choice">
          <xsd:enumeration value="Billiter, Delbert"/>
          <xsd:enumeration value="Drake, Michael"/>
          <xsd:enumeration value="Fackler, Andrea"/>
          <xsd:enumeration value="Garrett, Christopher"/>
          <xsd:enumeration value="Neal, Susan"/>
          <xsd:enumeration value="Williams, Scott"/>
          <xsd:enumeration value="Multiple"/>
          <xsd:enumeration value="N/A"/>
          <xsd:enumeration value="Rahn, Derek"/>
          <xsd:enumeration value="Schram, Chuck"/>
          <xsd:enumeration value="Sebourn, Michael"/>
          <xsd:enumeration value="Wilson, Stuart"/>
        </xsd:restriction>
      </xsd:simpleType>
    </xsd:element>
    <xsd:element name="Construction_x0020_Monitoring_x0020_Description" ma:index="14" nillable="true" ma:displayName="Construction Monitoring Description" ma:format="Dropdown" ma:internalName="Construction_x0020_Monitoring_x0020_Description">
      <xsd:simpleType>
        <xsd:restriction base="dms:Choice">
          <xsd:enumeration value="2011 ECR Plan"/>
          <xsd:enumeration value="2016 ECR Plan"/>
          <xsd:enumeration value="TC Landfill"/>
          <xsd:enumeration value="2020 ECR Plan"/>
        </xsd:restriction>
      </xsd:simpleType>
    </xsd:element>
    <xsd:element name="Construction_x0020_Monitoring" ma:index="15" nillable="true" ma:displayName="Construction Monitoring Period" ma:format="Dropdown" ma:internalName="Construction_x0020_Monitoring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Status" ma:index="23" nillable="true" ma:displayName="Status (Internal Use Only)" ma:internalName="Statu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inal"/>
                    <xsd:enumeration value="Filed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0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AA25DB-1496-4F28-8B46-4A7001E62601}">
  <ds:schemaRefs>
    <ds:schemaRef ds:uri="65bfb563-8fe2-4d34-a09f-38a217d8feea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schemas.microsoft.com/sharepoint/v4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7CD6763-1B51-498D-A659-D8D3D83DBA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5bfb563-8fe2-4d34-a09f-38a217d8feea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50240B-38C0-4921-AA54-50D6EE6D5C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Project 24</vt:lpstr>
      <vt:lpstr>Project 25</vt:lpstr>
      <vt:lpstr>Project 29</vt:lpstr>
      <vt:lpstr>Project 30</vt:lpstr>
      <vt:lpstr>Project 31</vt:lpstr>
      <vt:lpstr>Project 32</vt:lpstr>
      <vt:lpstr>'Project 24'!Print_Area</vt:lpstr>
      <vt:lpstr>'Project 25'!Print_Area</vt:lpstr>
      <vt:lpstr>'Project 29'!Print_Area</vt:lpstr>
      <vt:lpstr>'Project 30'!Print_Area</vt:lpstr>
      <vt:lpstr>'Project 31'!Print_Area</vt:lpstr>
      <vt:lpstr>'Project 32'!Print_Area</vt:lpstr>
    </vt:vector>
  </TitlesOfParts>
  <Company>LG&amp;E Energy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N093419</dc:creator>
  <cp:lastModifiedBy>Sharp, Stephen</cp:lastModifiedBy>
  <cp:lastPrinted>2026-08-07T16:14:19Z</cp:lastPrinted>
  <dcterms:created xsi:type="dcterms:W3CDTF">2006-06-09T14:23:56Z</dcterms:created>
  <dcterms:modified xsi:type="dcterms:W3CDTF">2026-08-24T16:34:35Z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adee1c6-0c13-46fe-9f7d-d5b32ad2c571_Enabled">
    <vt:lpwstr>true</vt:lpwstr>
  </property>
  <property fmtid="{D5CDD505-2E9C-101B-9397-08002B2CF9AE}" pid="3" name="MSIP_Label_0adee1c6-0c13-46fe-9f7d-d5b32ad2c571_SetDate">
    <vt:lpwstr>2023-03-21T10:51:08Z</vt:lpwstr>
  </property>
  <property fmtid="{D5CDD505-2E9C-101B-9397-08002B2CF9AE}" pid="4" name="MSIP_Label_0adee1c6-0c13-46fe-9f7d-d5b32ad2c571_Method">
    <vt:lpwstr>Privileged</vt:lpwstr>
  </property>
  <property fmtid="{D5CDD505-2E9C-101B-9397-08002B2CF9AE}" pid="5" name="MSIP_Label_0adee1c6-0c13-46fe-9f7d-d5b32ad2c571_Name">
    <vt:lpwstr>0adee1c6-0c13-46fe-9f7d-d5b32ad2c571</vt:lpwstr>
  </property>
  <property fmtid="{D5CDD505-2E9C-101B-9397-08002B2CF9AE}" pid="6" name="MSIP_Label_0adee1c6-0c13-46fe-9f7d-d5b32ad2c571_SiteId">
    <vt:lpwstr>5ee3b0ba-a559-45ee-a69e-6d3e963a3e72</vt:lpwstr>
  </property>
  <property fmtid="{D5CDD505-2E9C-101B-9397-08002B2CF9AE}" pid="7" name="MSIP_Label_0adee1c6-0c13-46fe-9f7d-d5b32ad2c571_ActionId">
    <vt:lpwstr>38958212-403e-43ad-9c7c-ecc34caede66</vt:lpwstr>
  </property>
  <property fmtid="{D5CDD505-2E9C-101B-9397-08002B2CF9AE}" pid="8" name="MSIP_Label_0adee1c6-0c13-46fe-9f7d-d5b32ad2c571_ContentBits">
    <vt:lpwstr>2</vt:lpwstr>
  </property>
  <property fmtid="{D5CDD505-2E9C-101B-9397-08002B2CF9AE}" pid="9" name="MSIP_Label_e0c8e74a-db15-49f1-980d-3d74f2e3ff07_Enabled">
    <vt:lpwstr>true</vt:lpwstr>
  </property>
  <property fmtid="{D5CDD505-2E9C-101B-9397-08002B2CF9AE}" pid="10" name="MSIP_Label_e0c8e74a-db15-49f1-980d-3d74f2e3ff07_SetDate">
    <vt:lpwstr>2023-11-29T14:43:17Z</vt:lpwstr>
  </property>
  <property fmtid="{D5CDD505-2E9C-101B-9397-08002B2CF9AE}" pid="11" name="MSIP_Label_e0c8e74a-db15-49f1-980d-3d74f2e3ff07_Method">
    <vt:lpwstr>Privileged</vt:lpwstr>
  </property>
  <property fmtid="{D5CDD505-2E9C-101B-9397-08002B2CF9AE}" pid="12" name="MSIP_Label_e0c8e74a-db15-49f1-980d-3d74f2e3ff07_Name">
    <vt:lpwstr>376d9127-3fad-41bb7-827b-657efc89d923</vt:lpwstr>
  </property>
  <property fmtid="{D5CDD505-2E9C-101B-9397-08002B2CF9AE}" pid="13" name="MSIP_Label_e0c8e74a-db15-49f1-980d-3d74f2e3ff07_SiteId">
    <vt:lpwstr>25b79aa0-07c6-4d65-9c80-df92aacdc157</vt:lpwstr>
  </property>
  <property fmtid="{D5CDD505-2E9C-101B-9397-08002B2CF9AE}" pid="14" name="MSIP_Label_e0c8e74a-db15-49f1-980d-3d74f2e3ff07_ActionId">
    <vt:lpwstr>5d360f28-0146-4b66-bdc3-031b87f6b370</vt:lpwstr>
  </property>
  <property fmtid="{D5CDD505-2E9C-101B-9397-08002B2CF9AE}" pid="15" name="MSIP_Label_e0c8e74a-db15-49f1-980d-3d74f2e3ff07_ContentBits">
    <vt:lpwstr>2</vt:lpwstr>
  </property>
  <property fmtid="{D5CDD505-2E9C-101B-9397-08002B2CF9AE}" pid="16" name="ContentTypeId">
    <vt:lpwstr>0x010100FF510F20E04BCF41BE361D2F61EE6FFA</vt:lpwstr>
  </property>
</Properties>
</file>