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DEK Rider PMM Phase 5 Application/Discovery/STAFF's 1st Set of Data Requests/"/>
    </mc:Choice>
  </mc:AlternateContent>
  <xr:revisionPtr revIDLastSave="0" documentId="13_ncr:20000001_{4B9AA905-AD85-4FC4-AA0D-BCE2133181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 Summary" sheetId="2" r:id="rId1"/>
    <sheet name="Sch 1.0" sheetId="3" r:id="rId2"/>
    <sheet name="Sch 1.1" sheetId="4" r:id="rId3"/>
    <sheet name="Sch 1.2" sheetId="5" r:id="rId4"/>
    <sheet name="Sch 2.0" sheetId="7" r:id="rId5"/>
    <sheet name="Sch 2.1" sheetId="8" r:id="rId6"/>
    <sheet name="Sch 2.2" sheetId="9" r:id="rId7"/>
    <sheet name="Sch 3.0" sheetId="10" r:id="rId8"/>
    <sheet name="Sch 4.1" sheetId="14" r:id="rId9"/>
    <sheet name="Sch 4.2" sheetId="15" r:id="rId10"/>
    <sheet name="Sch 4.3" sheetId="16" r:id="rId11"/>
    <sheet name="Sch 4.4" sheetId="19" r:id="rId12"/>
    <sheet name="Sch 4.5" sheetId="18" r:id="rId13"/>
    <sheet name="Sch 4.6" sheetId="21" r:id="rId14"/>
  </sheets>
  <definedNames>
    <definedName name="_xlnm._FilterDatabase" localSheetId="11" hidden="1">'Sch 4.4'!$K$34:$K$45</definedName>
    <definedName name="_xlnm.Print_Area" localSheetId="4">'Sch 2.0'!$A$1:$R$53</definedName>
    <definedName name="_xlnm.Print_Area" localSheetId="5">'Sch 2.1'!$A$1:$R$65</definedName>
    <definedName name="_xlnm.Print_Area" localSheetId="6">'Sch 2.2'!$A$2:$J$30</definedName>
    <definedName name="_xlnm.Print_Area" localSheetId="7">'Sch 3.0'!$A$1:$O$21</definedName>
    <definedName name="_xlnm.Print_Area" localSheetId="10">'Sch 4.3'!$A$1:$R$51</definedName>
    <definedName name="_xlnm.Print_Area" localSheetId="11">'Sch 4.4'!$A$1:$R$60</definedName>
    <definedName name="_xlnm.Print_Area" localSheetId="12">'Sch 4.5'!$A$1:$J$31</definedName>
    <definedName name="_xlnm.Print_Area" localSheetId="13">'Sch 4.6'!$A$1:$R$50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7" i="14" l="1"/>
  <c r="L48" i="8" l="1"/>
  <c r="L47" i="8"/>
  <c r="L46" i="8"/>
  <c r="L45" i="8"/>
  <c r="L44" i="8"/>
  <c r="L43" i="8"/>
  <c r="L42" i="8"/>
  <c r="L41" i="8"/>
  <c r="L40" i="8"/>
  <c r="L39" i="8"/>
  <c r="P39" i="8" s="1"/>
  <c r="L38" i="8"/>
  <c r="P38" i="8" s="1"/>
  <c r="L37" i="8"/>
  <c r="L36" i="8"/>
  <c r="L35" i="8"/>
  <c r="L49" i="8" s="1"/>
  <c r="K25" i="8"/>
  <c r="E25" i="8"/>
  <c r="D25" i="8"/>
  <c r="C25" i="8"/>
  <c r="K24" i="8"/>
  <c r="E24" i="8"/>
  <c r="D24" i="8"/>
  <c r="C24" i="8"/>
  <c r="F24" i="8" s="1"/>
  <c r="K23" i="8"/>
  <c r="E23" i="8"/>
  <c r="D23" i="8"/>
  <c r="C23" i="8"/>
  <c r="F23" i="8" s="1"/>
  <c r="K22" i="8"/>
  <c r="E22" i="8"/>
  <c r="D22" i="8"/>
  <c r="C22" i="8"/>
  <c r="F22" i="8" s="1"/>
  <c r="K21" i="8"/>
  <c r="E21" i="8"/>
  <c r="D21" i="8"/>
  <c r="C21" i="8"/>
  <c r="F21" i="8" s="1"/>
  <c r="K20" i="8"/>
  <c r="E20" i="8"/>
  <c r="D20" i="8"/>
  <c r="C20" i="8"/>
  <c r="F20" i="8" s="1"/>
  <c r="K19" i="8"/>
  <c r="E19" i="8"/>
  <c r="D19" i="8"/>
  <c r="C19" i="8"/>
  <c r="F19" i="8" s="1"/>
  <c r="K18" i="8"/>
  <c r="E18" i="8"/>
  <c r="F18" i="8" s="1"/>
  <c r="D18" i="8"/>
  <c r="C18" i="8"/>
  <c r="K17" i="8"/>
  <c r="E17" i="8"/>
  <c r="D17" i="8"/>
  <c r="C17" i="8"/>
  <c r="K16" i="8"/>
  <c r="E16" i="8"/>
  <c r="D16" i="8"/>
  <c r="C16" i="8"/>
  <c r="K15" i="8"/>
  <c r="E15" i="8"/>
  <c r="D15" i="8"/>
  <c r="C15" i="8"/>
  <c r="K14" i="8"/>
  <c r="E14" i="8"/>
  <c r="D14" i="8"/>
  <c r="C14" i="8"/>
  <c r="K13" i="8"/>
  <c r="E13" i="8"/>
  <c r="D13" i="8"/>
  <c r="I14" i="8" s="1"/>
  <c r="I15" i="8" s="1"/>
  <c r="I16" i="8" s="1"/>
  <c r="I17" i="8" s="1"/>
  <c r="I18" i="8" s="1"/>
  <c r="I19" i="8" s="1"/>
  <c r="I20" i="8" s="1"/>
  <c r="I21" i="8" s="1"/>
  <c r="I22" i="8" s="1"/>
  <c r="I23" i="8" s="1"/>
  <c r="I24" i="8" s="1"/>
  <c r="I25" i="8" s="1"/>
  <c r="C13" i="8"/>
  <c r="K12" i="8"/>
  <c r="E12" i="8"/>
  <c r="D12" i="8"/>
  <c r="C12" i="8"/>
  <c r="H14" i="8" s="1"/>
  <c r="P48" i="8"/>
  <c r="O48" i="8"/>
  <c r="O47" i="8"/>
  <c r="P47" i="8"/>
  <c r="O46" i="8"/>
  <c r="P46" i="8"/>
  <c r="O45" i="8"/>
  <c r="P45" i="8"/>
  <c r="O44" i="8"/>
  <c r="P44" i="8" s="1"/>
  <c r="O43" i="8"/>
  <c r="P43" i="8"/>
  <c r="O42" i="8"/>
  <c r="P42" i="8"/>
  <c r="O41" i="8"/>
  <c r="P41" i="8"/>
  <c r="P40" i="8"/>
  <c r="O40" i="8"/>
  <c r="O39" i="8"/>
  <c r="O38" i="8"/>
  <c r="O37" i="8"/>
  <c r="M34" i="8"/>
  <c r="Q34" i="8" s="1"/>
  <c r="M33" i="8"/>
  <c r="Q33" i="8" s="1"/>
  <c r="N26" i="8"/>
  <c r="O25" i="8"/>
  <c r="F25" i="8"/>
  <c r="O24" i="8"/>
  <c r="O23" i="8"/>
  <c r="O22" i="8"/>
  <c r="O21" i="8"/>
  <c r="O20" i="8"/>
  <c r="O19" i="8"/>
  <c r="O18" i="8"/>
  <c r="O17" i="8"/>
  <c r="F17" i="8"/>
  <c r="O16" i="8"/>
  <c r="F16" i="8"/>
  <c r="O15" i="8"/>
  <c r="F15" i="8"/>
  <c r="O14" i="8"/>
  <c r="K26" i="8"/>
  <c r="I11" i="8"/>
  <c r="H11" i="8"/>
  <c r="E11" i="8"/>
  <c r="D11" i="8"/>
  <c r="C11" i="8"/>
  <c r="H10" i="8"/>
  <c r="J10" i="8" s="1"/>
  <c r="F10" i="8"/>
  <c r="E27" i="16"/>
  <c r="I13" i="8" l="1"/>
  <c r="F13" i="8"/>
  <c r="H13" i="8"/>
  <c r="J13" i="8" s="1"/>
  <c r="L13" i="8" s="1"/>
  <c r="P37" i="8"/>
  <c r="F14" i="8"/>
  <c r="E26" i="8"/>
  <c r="M35" i="8"/>
  <c r="L10" i="8"/>
  <c r="J14" i="8"/>
  <c r="L14" i="8" s="1"/>
  <c r="P14" i="8" s="1"/>
  <c r="H15" i="8"/>
  <c r="F11" i="8"/>
  <c r="F26" i="8" s="1"/>
  <c r="I12" i="8"/>
  <c r="I26" i="8" s="1"/>
  <c r="J11" i="8"/>
  <c r="L11" i="8" s="1"/>
  <c r="C26" i="8"/>
  <c r="D26" i="8"/>
  <c r="H12" i="8"/>
  <c r="J12" i="8" s="1"/>
  <c r="L12" i="8" s="1"/>
  <c r="F12" i="8"/>
  <c r="F35" i="7"/>
  <c r="F44" i="16"/>
  <c r="E44" i="7"/>
  <c r="G36" i="7"/>
  <c r="G43" i="7"/>
  <c r="H43" i="7"/>
  <c r="I43" i="7"/>
  <c r="J43" i="7"/>
  <c r="K43" i="7"/>
  <c r="L43" i="7"/>
  <c r="M43" i="7"/>
  <c r="N43" i="7"/>
  <c r="O43" i="7"/>
  <c r="P43" i="7"/>
  <c r="Q43" i="7"/>
  <c r="Q42" i="7"/>
  <c r="P42" i="7"/>
  <c r="O42" i="7"/>
  <c r="N42" i="7"/>
  <c r="M42" i="7"/>
  <c r="L42" i="7"/>
  <c r="K42" i="7"/>
  <c r="J42" i="7"/>
  <c r="I42" i="7"/>
  <c r="H42" i="7"/>
  <c r="G42" i="7"/>
  <c r="Q41" i="7"/>
  <c r="P41" i="7"/>
  <c r="O41" i="7"/>
  <c r="N41" i="7"/>
  <c r="M41" i="7"/>
  <c r="L41" i="7"/>
  <c r="K41" i="7"/>
  <c r="J41" i="7"/>
  <c r="I41" i="7"/>
  <c r="H41" i="7"/>
  <c r="G41" i="7"/>
  <c r="F41" i="7"/>
  <c r="M37" i="8" l="1"/>
  <c r="M38" i="8" s="1"/>
  <c r="M39" i="8" s="1"/>
  <c r="M40" i="8" s="1"/>
  <c r="M41" i="8" s="1"/>
  <c r="M42" i="8" s="1"/>
  <c r="M43" i="8" s="1"/>
  <c r="M44" i="8" s="1"/>
  <c r="M45" i="8" s="1"/>
  <c r="M46" i="8" s="1"/>
  <c r="M47" i="8" s="1"/>
  <c r="M48" i="8" s="1"/>
  <c r="M36" i="8"/>
  <c r="Q36" i="8" s="1"/>
  <c r="Q37" i="8" s="1"/>
  <c r="Q38" i="8" s="1"/>
  <c r="Q39" i="8" s="1"/>
  <c r="Q40" i="8" s="1"/>
  <c r="Q41" i="8" s="1"/>
  <c r="Q42" i="8" s="1"/>
  <c r="Q43" i="8" s="1"/>
  <c r="Q44" i="8" s="1"/>
  <c r="Q45" i="8" s="1"/>
  <c r="Q46" i="8" s="1"/>
  <c r="Q47" i="8" s="1"/>
  <c r="Q48" i="8" s="1"/>
  <c r="Q53" i="8" s="1"/>
  <c r="Q35" i="8"/>
  <c r="J15" i="8"/>
  <c r="L15" i="8" s="1"/>
  <c r="P15" i="8" s="1"/>
  <c r="H16" i="8"/>
  <c r="M10" i="8"/>
  <c r="F43" i="7"/>
  <c r="F42" i="7"/>
  <c r="F42" i="16"/>
  <c r="Q10" i="8" l="1"/>
  <c r="M11" i="8"/>
  <c r="H17" i="8"/>
  <c r="J16" i="8"/>
  <c r="E44" i="16"/>
  <c r="L16" i="8" l="1"/>
  <c r="H18" i="8"/>
  <c r="J17" i="8"/>
  <c r="L17" i="8" s="1"/>
  <c r="P17" i="8" s="1"/>
  <c r="M12" i="8"/>
  <c r="Q11" i="8"/>
  <c r="I12" i="19"/>
  <c r="I11" i="19"/>
  <c r="I22" i="19"/>
  <c r="I23" i="19"/>
  <c r="I21" i="19"/>
  <c r="I20" i="19"/>
  <c r="I19" i="19"/>
  <c r="I18" i="19"/>
  <c r="I17" i="19"/>
  <c r="I16" i="19"/>
  <c r="I15" i="19"/>
  <c r="I14" i="19"/>
  <c r="I13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9" i="8" l="1"/>
  <c r="J18" i="8"/>
  <c r="L18" i="8" s="1"/>
  <c r="P18" i="8" s="1"/>
  <c r="M13" i="8"/>
  <c r="Q12" i="8"/>
  <c r="P16" i="8"/>
  <c r="Q11" i="19"/>
  <c r="Q10" i="19"/>
  <c r="M11" i="19"/>
  <c r="M10" i="19"/>
  <c r="C24" i="19"/>
  <c r="N24" i="19"/>
  <c r="F24" i="19"/>
  <c r="E24" i="19"/>
  <c r="D24" i="19"/>
  <c r="J19" i="8" l="1"/>
  <c r="H20" i="8"/>
  <c r="M14" i="8"/>
  <c r="M15" i="8" s="1"/>
  <c r="M16" i="8" s="1"/>
  <c r="M17" i="8" s="1"/>
  <c r="M18" i="8" s="1"/>
  <c r="Q13" i="8"/>
  <c r="Q14" i="8" s="1"/>
  <c r="Q15" i="8" s="1"/>
  <c r="Q16" i="8" s="1"/>
  <c r="Q17" i="8" s="1"/>
  <c r="Q18" i="8" s="1"/>
  <c r="H24" i="19"/>
  <c r="J20" i="8" l="1"/>
  <c r="L20" i="8" s="1"/>
  <c r="P20" i="8" s="1"/>
  <c r="H21" i="8"/>
  <c r="L19" i="8"/>
  <c r="M19" i="8" s="1"/>
  <c r="F35" i="16"/>
  <c r="G35" i="16"/>
  <c r="H35" i="16"/>
  <c r="I35" i="16"/>
  <c r="J35" i="16"/>
  <c r="K35" i="16"/>
  <c r="L35" i="16"/>
  <c r="M35" i="16"/>
  <c r="N35" i="16"/>
  <c r="O35" i="16"/>
  <c r="P35" i="16"/>
  <c r="Q35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F41" i="16"/>
  <c r="G41" i="16"/>
  <c r="H41" i="16"/>
  <c r="I41" i="16"/>
  <c r="J41" i="16"/>
  <c r="K41" i="16"/>
  <c r="L41" i="16"/>
  <c r="M41" i="16"/>
  <c r="N41" i="16"/>
  <c r="O41" i="16"/>
  <c r="P41" i="16"/>
  <c r="Q41" i="16"/>
  <c r="G42" i="16"/>
  <c r="H42" i="16"/>
  <c r="I42" i="16"/>
  <c r="J42" i="16"/>
  <c r="K42" i="16"/>
  <c r="L42" i="16"/>
  <c r="M42" i="16"/>
  <c r="N42" i="16"/>
  <c r="O42" i="16"/>
  <c r="P42" i="16"/>
  <c r="Q42" i="16"/>
  <c r="F38" i="16"/>
  <c r="R25" i="16"/>
  <c r="R26" i="16"/>
  <c r="R24" i="16"/>
  <c r="P19" i="8" l="1"/>
  <c r="H22" i="8"/>
  <c r="J21" i="8"/>
  <c r="L21" i="8" s="1"/>
  <c r="P21" i="8" s="1"/>
  <c r="M20" i="8"/>
  <c r="E23" i="19"/>
  <c r="D23" i="19"/>
  <c r="C23" i="19"/>
  <c r="E22" i="19"/>
  <c r="F22" i="19" s="1"/>
  <c r="D22" i="19"/>
  <c r="C22" i="19"/>
  <c r="E21" i="19"/>
  <c r="D21" i="19"/>
  <c r="C21" i="19"/>
  <c r="F21" i="19" s="1"/>
  <c r="E20" i="19"/>
  <c r="D20" i="19"/>
  <c r="C20" i="19"/>
  <c r="E19" i="19"/>
  <c r="D19" i="19"/>
  <c r="C19" i="19"/>
  <c r="E18" i="19"/>
  <c r="D18" i="19"/>
  <c r="C18" i="19"/>
  <c r="E17" i="19"/>
  <c r="D17" i="19"/>
  <c r="C17" i="19"/>
  <c r="F17" i="19" s="1"/>
  <c r="E16" i="19"/>
  <c r="D16" i="19"/>
  <c r="C16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O17" i="19"/>
  <c r="M21" i="8" l="1"/>
  <c r="J22" i="8"/>
  <c r="L22" i="8" s="1"/>
  <c r="P22" i="8" s="1"/>
  <c r="H23" i="8"/>
  <c r="Q19" i="8"/>
  <c r="Q20" i="8" s="1"/>
  <c r="Q21" i="8" s="1"/>
  <c r="Q22" i="8" s="1"/>
  <c r="F14" i="19"/>
  <c r="F19" i="19"/>
  <c r="F20" i="19"/>
  <c r="F15" i="19"/>
  <c r="F18" i="19"/>
  <c r="F12" i="19"/>
  <c r="O15" i="19"/>
  <c r="F16" i="19"/>
  <c r="F13" i="19"/>
  <c r="F23" i="19"/>
  <c r="O23" i="19"/>
  <c r="O18" i="19"/>
  <c r="J12" i="19"/>
  <c r="O20" i="19"/>
  <c r="O12" i="19"/>
  <c r="O13" i="19"/>
  <c r="O16" i="19"/>
  <c r="O19" i="19"/>
  <c r="O21" i="19"/>
  <c r="O22" i="19"/>
  <c r="O14" i="19"/>
  <c r="J23" i="8" l="1"/>
  <c r="L23" i="8" s="1"/>
  <c r="H24" i="8"/>
  <c r="M22" i="8"/>
  <c r="J13" i="19"/>
  <c r="M23" i="8" l="1"/>
  <c r="J24" i="8"/>
  <c r="L24" i="8" s="1"/>
  <c r="P24" i="8" s="1"/>
  <c r="H25" i="8"/>
  <c r="P23" i="8"/>
  <c r="Q23" i="8" s="1"/>
  <c r="Q24" i="8" s="1"/>
  <c r="J14" i="19"/>
  <c r="I24" i="19"/>
  <c r="J15" i="19"/>
  <c r="M24" i="8" l="1"/>
  <c r="J25" i="8"/>
  <c r="H26" i="8"/>
  <c r="J16" i="19"/>
  <c r="L25" i="8" l="1"/>
  <c r="J26" i="8"/>
  <c r="J17" i="19"/>
  <c r="P25" i="8" l="1"/>
  <c r="L26" i="8"/>
  <c r="M25" i="8"/>
  <c r="J18" i="19"/>
  <c r="P26" i="8" l="1"/>
  <c r="Q25" i="8"/>
  <c r="Q30" i="8" s="1"/>
  <c r="Q56" i="8" s="1"/>
  <c r="J19" i="19"/>
  <c r="J20" i="19" l="1"/>
  <c r="J21" i="19" l="1"/>
  <c r="J22" i="19" l="1"/>
  <c r="J23" i="19" l="1"/>
  <c r="J24" i="19" s="1"/>
  <c r="L10" i="19" l="1"/>
  <c r="F10" i="19"/>
  <c r="R24" i="7" l="1"/>
  <c r="E23" i="21" l="1"/>
  <c r="F23" i="21"/>
  <c r="G23" i="21"/>
  <c r="Q23" i="21" s="1"/>
  <c r="H23" i="21"/>
  <c r="I23" i="21"/>
  <c r="I26" i="21" s="1"/>
  <c r="J23" i="21"/>
  <c r="J26" i="21" s="1"/>
  <c r="K23" i="21"/>
  <c r="L23" i="21"/>
  <c r="M23" i="21"/>
  <c r="N23" i="21"/>
  <c r="N26" i="21" s="1"/>
  <c r="O23" i="21"/>
  <c r="O26" i="21" s="1"/>
  <c r="P23" i="21"/>
  <c r="P26" i="21" s="1"/>
  <c r="E24" i="21"/>
  <c r="F24" i="21"/>
  <c r="G24" i="21"/>
  <c r="H24" i="21"/>
  <c r="I24" i="21"/>
  <c r="J24" i="21"/>
  <c r="K24" i="21"/>
  <c r="L24" i="21"/>
  <c r="M24" i="21"/>
  <c r="N24" i="21"/>
  <c r="O24" i="21"/>
  <c r="P24" i="21"/>
  <c r="E25" i="21"/>
  <c r="F25" i="21"/>
  <c r="G25" i="21"/>
  <c r="Q25" i="21" s="1"/>
  <c r="H25" i="21"/>
  <c r="I25" i="21"/>
  <c r="J25" i="21"/>
  <c r="K25" i="21"/>
  <c r="L25" i="21"/>
  <c r="M25" i="21"/>
  <c r="N25" i="21"/>
  <c r="O25" i="21"/>
  <c r="P25" i="21"/>
  <c r="D23" i="21"/>
  <c r="D26" i="21" s="1"/>
  <c r="Q40" i="21"/>
  <c r="Q39" i="21"/>
  <c r="D45" i="21"/>
  <c r="Q44" i="21"/>
  <c r="Q37" i="21"/>
  <c r="D44" i="21"/>
  <c r="D37" i="21"/>
  <c r="Q22" i="21"/>
  <c r="Q15" i="21"/>
  <c r="D22" i="21"/>
  <c r="D15" i="21"/>
  <c r="F26" i="21"/>
  <c r="D25" i="21"/>
  <c r="H26" i="21"/>
  <c r="D24" i="21"/>
  <c r="M26" i="21"/>
  <c r="L26" i="21"/>
  <c r="K26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Q18" i="21"/>
  <c r="Q17" i="21"/>
  <c r="Q16" i="21"/>
  <c r="Q19" i="21" s="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Q11" i="21"/>
  <c r="Q10" i="21"/>
  <c r="Q9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Q33" i="21"/>
  <c r="Q32" i="21"/>
  <c r="Q31" i="21"/>
  <c r="A15" i="18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8" i="18" s="1"/>
  <c r="A29" i="18" s="1"/>
  <c r="C16" i="18"/>
  <c r="C17" i="18" s="1"/>
  <c r="C18" i="18" s="1"/>
  <c r="C19" i="18" s="1"/>
  <c r="C20" i="18" s="1"/>
  <c r="C21" i="18" s="1"/>
  <c r="C22" i="18" s="1"/>
  <c r="C23" i="18" s="1"/>
  <c r="C24" i="18" s="1"/>
  <c r="C25" i="18" s="1"/>
  <c r="C26" i="18" s="1"/>
  <c r="F37" i="7"/>
  <c r="F36" i="7"/>
  <c r="H35" i="7"/>
  <c r="G35" i="7"/>
  <c r="F48" i="21" l="1"/>
  <c r="N48" i="21"/>
  <c r="G48" i="21"/>
  <c r="P48" i="21"/>
  <c r="Q24" i="21"/>
  <c r="G26" i="21"/>
  <c r="I48" i="21"/>
  <c r="E48" i="21"/>
  <c r="H48" i="21"/>
  <c r="J48" i="21"/>
  <c r="L48" i="21"/>
  <c r="K48" i="21"/>
  <c r="M48" i="21"/>
  <c r="O48" i="21"/>
  <c r="Q46" i="21"/>
  <c r="Q47" i="21"/>
  <c r="Q45" i="21"/>
  <c r="Q38" i="21"/>
  <c r="Q41" i="21" s="1"/>
  <c r="D41" i="21"/>
  <c r="Q34" i="21"/>
  <c r="Q26" i="21"/>
  <c r="E26" i="21"/>
  <c r="D48" i="21"/>
  <c r="Q48" i="21" l="1"/>
  <c r="Q35" i="7"/>
  <c r="O35" i="7"/>
  <c r="N35" i="7"/>
  <c r="E10" i="5" l="1"/>
  <c r="E11" i="5" l="1"/>
  <c r="A29" i="4" l="1"/>
  <c r="A28" i="4"/>
  <c r="F16" i="4" l="1"/>
  <c r="F27" i="16" l="1"/>
  <c r="G27" i="16"/>
  <c r="H27" i="16"/>
  <c r="I27" i="16"/>
  <c r="J27" i="16"/>
  <c r="K27" i="16"/>
  <c r="L27" i="16"/>
  <c r="M27" i="16"/>
  <c r="N27" i="16"/>
  <c r="O27" i="16"/>
  <c r="P27" i="16"/>
  <c r="Q27" i="16"/>
  <c r="H14" i="18"/>
  <c r="I14" i="18" s="1"/>
  <c r="F21" i="16"/>
  <c r="F15" i="18" s="1"/>
  <c r="G21" i="16"/>
  <c r="F16" i="18" s="1"/>
  <c r="H21" i="16"/>
  <c r="F17" i="18" s="1"/>
  <c r="I21" i="16"/>
  <c r="F18" i="18" s="1"/>
  <c r="J21" i="16"/>
  <c r="F19" i="18" s="1"/>
  <c r="K21" i="16"/>
  <c r="F20" i="18" s="1"/>
  <c r="L21" i="16"/>
  <c r="F21" i="18" s="1"/>
  <c r="M21" i="16"/>
  <c r="F22" i="18" s="1"/>
  <c r="N21" i="16"/>
  <c r="F23" i="18" s="1"/>
  <c r="O21" i="16"/>
  <c r="F24" i="18" s="1"/>
  <c r="P21" i="16"/>
  <c r="F25" i="18" s="1"/>
  <c r="Q21" i="16"/>
  <c r="F26" i="18" s="1"/>
  <c r="E21" i="16"/>
  <c r="F14" i="18" s="1"/>
  <c r="G14" i="18" s="1"/>
  <c r="H25" i="18" l="1"/>
  <c r="L44" i="19"/>
  <c r="P44" i="19" s="1"/>
  <c r="H23" i="18"/>
  <c r="L42" i="19"/>
  <c r="P42" i="19" s="1"/>
  <c r="H26" i="18"/>
  <c r="L45" i="19"/>
  <c r="P45" i="19" s="1"/>
  <c r="H22" i="18"/>
  <c r="L41" i="19"/>
  <c r="P41" i="19" s="1"/>
  <c r="H24" i="18"/>
  <c r="L43" i="19"/>
  <c r="P43" i="19" s="1"/>
  <c r="H21" i="18"/>
  <c r="L40" i="19"/>
  <c r="P40" i="19" s="1"/>
  <c r="H20" i="18"/>
  <c r="L39" i="19"/>
  <c r="P39" i="19" s="1"/>
  <c r="H19" i="18"/>
  <c r="L38" i="19"/>
  <c r="P38" i="19" s="1"/>
  <c r="H18" i="18"/>
  <c r="L37" i="19"/>
  <c r="P37" i="19" s="1"/>
  <c r="H17" i="18"/>
  <c r="L36" i="19"/>
  <c r="P36" i="19" s="1"/>
  <c r="H16" i="18"/>
  <c r="L35" i="19"/>
  <c r="P35" i="19" s="1"/>
  <c r="H15" i="18"/>
  <c r="I15" i="18" s="1"/>
  <c r="L34" i="19"/>
  <c r="G15" i="18"/>
  <c r="G16" i="18" s="1"/>
  <c r="G17" i="18" s="1"/>
  <c r="G18" i="18" s="1"/>
  <c r="G19" i="18" s="1"/>
  <c r="G20" i="18" s="1"/>
  <c r="G21" i="18" s="1"/>
  <c r="G22" i="18" s="1"/>
  <c r="G23" i="18" s="1"/>
  <c r="G24" i="18" s="1"/>
  <c r="G25" i="18" s="1"/>
  <c r="G26" i="18" s="1"/>
  <c r="E15" i="16"/>
  <c r="I16" i="18" l="1"/>
  <c r="I17" i="18" s="1"/>
  <c r="I18" i="18" s="1"/>
  <c r="I19" i="18" s="1"/>
  <c r="I20" i="18" s="1"/>
  <c r="I21" i="18" s="1"/>
  <c r="I22" i="18" s="1"/>
  <c r="I23" i="18" s="1"/>
  <c r="I24" i="18" s="1"/>
  <c r="I25" i="18" s="1"/>
  <c r="I26" i="18" s="1"/>
  <c r="P34" i="19"/>
  <c r="M34" i="19"/>
  <c r="M35" i="19" s="1"/>
  <c r="M36" i="19" s="1"/>
  <c r="M37" i="19" s="1"/>
  <c r="M38" i="19" s="1"/>
  <c r="M39" i="19" s="1"/>
  <c r="M40" i="19" s="1"/>
  <c r="M41" i="19" s="1"/>
  <c r="M42" i="19" s="1"/>
  <c r="M43" i="19" s="1"/>
  <c r="M44" i="19" s="1"/>
  <c r="M45" i="19" s="1"/>
  <c r="L46" i="19"/>
  <c r="G27" i="18"/>
  <c r="G29" i="18" s="1"/>
  <c r="I27" i="18"/>
  <c r="I29" i="18" s="1"/>
  <c r="D14" i="18"/>
  <c r="E14" i="18" s="1"/>
  <c r="A6" i="2"/>
  <c r="A7" i="2"/>
  <c r="A33" i="14"/>
  <c r="A34" i="14" s="1"/>
  <c r="A31" i="14"/>
  <c r="A30" i="14"/>
  <c r="Q34" i="19" l="1"/>
  <c r="Q35" i="19" s="1"/>
  <c r="Q36" i="19" s="1"/>
  <c r="Q37" i="19" s="1"/>
  <c r="Q38" i="19" s="1"/>
  <c r="Q39" i="19" s="1"/>
  <c r="Q40" i="19" s="1"/>
  <c r="Q41" i="19" s="1"/>
  <c r="Q42" i="19" s="1"/>
  <c r="Q43" i="19" s="1"/>
  <c r="Q44" i="19" s="1"/>
  <c r="Q45" i="19" s="1"/>
  <c r="Q50" i="19" s="1"/>
  <c r="P46" i="19"/>
  <c r="R26" i="7" l="1"/>
  <c r="R25" i="7"/>
  <c r="Q44" i="7" l="1"/>
  <c r="P44" i="7"/>
  <c r="O44" i="7"/>
  <c r="N44" i="7"/>
  <c r="M44" i="7"/>
  <c r="L44" i="7"/>
  <c r="K44" i="7"/>
  <c r="J44" i="7"/>
  <c r="I44" i="7"/>
  <c r="H44" i="7"/>
  <c r="G44" i="7"/>
  <c r="F44" i="7"/>
  <c r="Q15" i="16" l="1"/>
  <c r="D26" i="18" s="1"/>
  <c r="P15" i="16"/>
  <c r="D25" i="18" s="1"/>
  <c r="O15" i="16"/>
  <c r="D24" i="18" s="1"/>
  <c r="N15" i="16"/>
  <c r="D23" i="18" s="1"/>
  <c r="M15" i="16"/>
  <c r="D22" i="18" s="1"/>
  <c r="L15" i="16"/>
  <c r="D21" i="18" s="1"/>
  <c r="K15" i="16"/>
  <c r="D20" i="18" s="1"/>
  <c r="J15" i="16"/>
  <c r="D19" i="18" s="1"/>
  <c r="I15" i="16"/>
  <c r="D18" i="18" s="1"/>
  <c r="H15" i="16"/>
  <c r="D17" i="18" s="1"/>
  <c r="G15" i="16"/>
  <c r="D16" i="18" s="1"/>
  <c r="F15" i="16"/>
  <c r="D15" i="18" s="1"/>
  <c r="E15" i="18" s="1"/>
  <c r="E16" i="18" l="1"/>
  <c r="E17" i="18" s="1"/>
  <c r="E18" i="18" s="1"/>
  <c r="E19" i="18" s="1"/>
  <c r="E20" i="18" s="1"/>
  <c r="E21" i="18" s="1"/>
  <c r="E22" i="18" s="1"/>
  <c r="E23" i="18" s="1"/>
  <c r="E24" i="18" s="1"/>
  <c r="E25" i="18" s="1"/>
  <c r="E26" i="18" s="1"/>
  <c r="Q38" i="16"/>
  <c r="P38" i="16"/>
  <c r="O38" i="16"/>
  <c r="N38" i="16"/>
  <c r="M38" i="16"/>
  <c r="L38" i="16"/>
  <c r="K38" i="16"/>
  <c r="J38" i="16"/>
  <c r="I38" i="16"/>
  <c r="H38" i="16"/>
  <c r="G38" i="16"/>
  <c r="E27" i="18" l="1"/>
  <c r="E29" i="18" s="1"/>
  <c r="R19" i="16"/>
  <c r="R20" i="16"/>
  <c r="R13" i="16"/>
  <c r="R14" i="16"/>
  <c r="A33" i="4" l="1"/>
  <c r="H36" i="7" l="1"/>
  <c r="I36" i="7"/>
  <c r="J36" i="7"/>
  <c r="K36" i="7"/>
  <c r="L36" i="7"/>
  <c r="M36" i="7"/>
  <c r="N36" i="7"/>
  <c r="O36" i="7"/>
  <c r="P36" i="7"/>
  <c r="Q36" i="7"/>
  <c r="G37" i="7"/>
  <c r="H37" i="7"/>
  <c r="I37" i="7"/>
  <c r="J37" i="7"/>
  <c r="K37" i="7"/>
  <c r="L37" i="7"/>
  <c r="M37" i="7"/>
  <c r="N37" i="7"/>
  <c r="O37" i="7"/>
  <c r="P37" i="7"/>
  <c r="Q37" i="7"/>
  <c r="P35" i="7"/>
  <c r="E38" i="7"/>
  <c r="E46" i="7" s="1"/>
  <c r="P15" i="7"/>
  <c r="Q15" i="7"/>
  <c r="F27" i="7"/>
  <c r="H15" i="9" s="1"/>
  <c r="G27" i="7"/>
  <c r="H16" i="9" s="1"/>
  <c r="H27" i="7"/>
  <c r="H17" i="9" s="1"/>
  <c r="I27" i="7"/>
  <c r="H18" i="9" s="1"/>
  <c r="J27" i="7"/>
  <c r="H19" i="9" s="1"/>
  <c r="K27" i="7"/>
  <c r="H20" i="9" s="1"/>
  <c r="L27" i="7"/>
  <c r="H21" i="9" s="1"/>
  <c r="M27" i="7"/>
  <c r="H22" i="9" s="1"/>
  <c r="N27" i="7"/>
  <c r="H23" i="9" s="1"/>
  <c r="O27" i="7"/>
  <c r="H24" i="9" s="1"/>
  <c r="P27" i="7"/>
  <c r="H25" i="9" s="1"/>
  <c r="Q27" i="7"/>
  <c r="H26" i="9" s="1"/>
  <c r="E27" i="7"/>
  <c r="I14" i="9" s="1"/>
  <c r="N15" i="7"/>
  <c r="D23" i="9" s="1"/>
  <c r="O15" i="7"/>
  <c r="Q21" i="7"/>
  <c r="R20" i="7"/>
  <c r="F26" i="9" l="1"/>
  <c r="D24" i="9"/>
  <c r="D25" i="9"/>
  <c r="D26" i="9"/>
  <c r="P38" i="7"/>
  <c r="R19" i="7"/>
  <c r="R13" i="7"/>
  <c r="R14" i="7"/>
  <c r="C15" i="9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O16" i="10" l="1"/>
  <c r="O15" i="10"/>
  <c r="O14" i="10"/>
  <c r="O13" i="10"/>
  <c r="A1" i="7" l="1"/>
  <c r="E33" i="16" l="1"/>
  <c r="E12" i="15" l="1"/>
  <c r="F12" i="15" s="1"/>
  <c r="E11" i="15"/>
  <c r="E10" i="15"/>
  <c r="E33" i="7"/>
  <c r="E12" i="5"/>
  <c r="F12" i="5" s="1"/>
  <c r="A15" i="9" l="1"/>
  <c r="E15" i="7" l="1"/>
  <c r="E14" i="9" l="1"/>
  <c r="F38" i="7"/>
  <c r="F46" i="7" s="1"/>
  <c r="I15" i="9" l="1"/>
  <c r="A2" i="15" l="1"/>
  <c r="A3" i="18"/>
  <c r="A2" i="18"/>
  <c r="A2" i="16"/>
  <c r="A3" i="15"/>
  <c r="A3" i="14"/>
  <c r="A2" i="14"/>
  <c r="F14" i="14" l="1"/>
  <c r="E38" i="16"/>
  <c r="E46" i="16" s="1"/>
  <c r="F46" i="16" s="1"/>
  <c r="A35" i="16"/>
  <c r="C13" i="15"/>
  <c r="F11" i="15"/>
  <c r="A11" i="15"/>
  <c r="A12" i="15" s="1"/>
  <c r="A13" i="15" s="1"/>
  <c r="A14" i="14"/>
  <c r="A15" i="14" s="1"/>
  <c r="A16" i="14" s="1"/>
  <c r="A17" i="14" s="1"/>
  <c r="A18" i="14" s="1"/>
  <c r="A19" i="14" s="1"/>
  <c r="A20" i="14" s="1"/>
  <c r="A23" i="14" s="1"/>
  <c r="A24" i="14" s="1"/>
  <c r="H44" i="16" l="1"/>
  <c r="K14" i="19" s="1"/>
  <c r="L14" i="19" s="1"/>
  <c r="P14" i="19" s="1"/>
  <c r="A25" i="14"/>
  <c r="A26" i="14" s="1"/>
  <c r="A28" i="14" s="1"/>
  <c r="R18" i="16"/>
  <c r="R21" i="16" s="1"/>
  <c r="R12" i="16"/>
  <c r="R15" i="16" s="1"/>
  <c r="R27" i="16"/>
  <c r="E13" i="15"/>
  <c r="F10" i="15"/>
  <c r="F13" i="15" s="1"/>
  <c r="F19" i="14" s="1"/>
  <c r="G44" i="16" l="1"/>
  <c r="K13" i="19" s="1"/>
  <c r="L13" i="19" s="1"/>
  <c r="P13" i="19" s="1"/>
  <c r="N44" i="16"/>
  <c r="K20" i="19" s="1"/>
  <c r="L20" i="19" s="1"/>
  <c r="P20" i="19" s="1"/>
  <c r="I44" i="16"/>
  <c r="K15" i="19" s="1"/>
  <c r="L15" i="19" s="1"/>
  <c r="P15" i="19" s="1"/>
  <c r="P44" i="16"/>
  <c r="K22" i="19" s="1"/>
  <c r="L22" i="19" s="1"/>
  <c r="P22" i="19" s="1"/>
  <c r="M44" i="16"/>
  <c r="K19" i="19" s="1"/>
  <c r="L19" i="19" s="1"/>
  <c r="P19" i="19" s="1"/>
  <c r="Q44" i="16"/>
  <c r="K23" i="19" s="1"/>
  <c r="L23" i="19" s="1"/>
  <c r="P23" i="19" s="1"/>
  <c r="O44" i="16"/>
  <c r="K21" i="19" s="1"/>
  <c r="L21" i="19" s="1"/>
  <c r="P21" i="19" s="1"/>
  <c r="L44" i="16"/>
  <c r="K18" i="19" s="1"/>
  <c r="L18" i="19" s="1"/>
  <c r="P18" i="19" s="1"/>
  <c r="J44" i="16"/>
  <c r="K16" i="19" s="1"/>
  <c r="L16" i="19" s="1"/>
  <c r="P16" i="19" s="1"/>
  <c r="K44" i="16"/>
  <c r="K17" i="19" s="1"/>
  <c r="L17" i="19" s="1"/>
  <c r="P17" i="19" s="1"/>
  <c r="K12" i="19"/>
  <c r="K24" i="19" s="1"/>
  <c r="L12" i="19" l="1"/>
  <c r="F23" i="14"/>
  <c r="I16" i="9"/>
  <c r="L24" i="19" l="1"/>
  <c r="P12" i="19"/>
  <c r="Q12" i="19" s="1"/>
  <c r="Q13" i="19" s="1"/>
  <c r="Q14" i="19" s="1"/>
  <c r="Q15" i="19" s="1"/>
  <c r="Q16" i="19" s="1"/>
  <c r="Q17" i="19" s="1"/>
  <c r="Q18" i="19" s="1"/>
  <c r="Q19" i="19" s="1"/>
  <c r="Q20" i="19" s="1"/>
  <c r="Q21" i="19" s="1"/>
  <c r="Q22" i="19" s="1"/>
  <c r="Q23" i="19" s="1"/>
  <c r="M12" i="19"/>
  <c r="M13" i="19" s="1"/>
  <c r="M14" i="19" s="1"/>
  <c r="M15" i="19" s="1"/>
  <c r="M16" i="19" s="1"/>
  <c r="M17" i="19" s="1"/>
  <c r="M18" i="19" s="1"/>
  <c r="M19" i="19" s="1"/>
  <c r="M20" i="19" s="1"/>
  <c r="M21" i="19" s="1"/>
  <c r="M22" i="19" s="1"/>
  <c r="M23" i="19" s="1"/>
  <c r="G46" i="16"/>
  <c r="I17" i="9"/>
  <c r="P24" i="19" l="1"/>
  <c r="H46" i="16"/>
  <c r="I46" i="16" s="1"/>
  <c r="J46" i="16" s="1"/>
  <c r="K46" i="16" s="1"/>
  <c r="Q28" i="19"/>
  <c r="Q53" i="19" s="1"/>
  <c r="F17" i="14" s="1"/>
  <c r="I18" i="9"/>
  <c r="A5" i="2"/>
  <c r="L46" i="16" l="1"/>
  <c r="I19" i="9"/>
  <c r="A3" i="10"/>
  <c r="A2" i="10"/>
  <c r="A3" i="9"/>
  <c r="A2" i="9"/>
  <c r="A2" i="7"/>
  <c r="A3" i="5"/>
  <c r="A2" i="5"/>
  <c r="A3" i="4"/>
  <c r="A2" i="4"/>
  <c r="M46" i="16" l="1"/>
  <c r="N46" i="16" s="1"/>
  <c r="O46" i="16" s="1"/>
  <c r="P46" i="16" s="1"/>
  <c r="Q46" i="16" s="1"/>
  <c r="R46" i="16"/>
  <c r="I20" i="9"/>
  <c r="P21" i="7"/>
  <c r="F25" i="9" s="1"/>
  <c r="O21" i="7"/>
  <c r="F24" i="9" s="1"/>
  <c r="N21" i="7"/>
  <c r="F23" i="9" s="1"/>
  <c r="M21" i="7"/>
  <c r="F22" i="9" s="1"/>
  <c r="L21" i="7"/>
  <c r="F21" i="9" s="1"/>
  <c r="K21" i="7"/>
  <c r="F20" i="9" s="1"/>
  <c r="J21" i="7"/>
  <c r="F19" i="9" s="1"/>
  <c r="I21" i="7"/>
  <c r="F18" i="9" s="1"/>
  <c r="H21" i="7"/>
  <c r="F17" i="9" s="1"/>
  <c r="G21" i="7"/>
  <c r="F16" i="9" s="1"/>
  <c r="F21" i="7"/>
  <c r="F15" i="9" s="1"/>
  <c r="M15" i="7"/>
  <c r="D22" i="9" s="1"/>
  <c r="L15" i="7"/>
  <c r="D21" i="9" s="1"/>
  <c r="K15" i="7"/>
  <c r="D20" i="9" s="1"/>
  <c r="J15" i="7"/>
  <c r="D19" i="9" s="1"/>
  <c r="I15" i="7"/>
  <c r="D18" i="9" s="1"/>
  <c r="H15" i="7"/>
  <c r="D17" i="9" s="1"/>
  <c r="G15" i="7"/>
  <c r="D16" i="9" s="1"/>
  <c r="F15" i="7"/>
  <c r="D15" i="9" s="1"/>
  <c r="E15" i="9" s="1"/>
  <c r="F15" i="14" l="1"/>
  <c r="E21" i="7"/>
  <c r="R21" i="7"/>
  <c r="M35" i="7"/>
  <c r="M38" i="7" s="1"/>
  <c r="I35" i="7"/>
  <c r="I38" i="7" s="1"/>
  <c r="L35" i="7"/>
  <c r="L38" i="7" s="1"/>
  <c r="N38" i="7"/>
  <c r="O38" i="7"/>
  <c r="Q38" i="7"/>
  <c r="K35" i="7"/>
  <c r="K38" i="7" s="1"/>
  <c r="H38" i="7"/>
  <c r="J35" i="7"/>
  <c r="J38" i="7" s="1"/>
  <c r="G38" i="7"/>
  <c r="I21" i="9"/>
  <c r="G14" i="9" l="1"/>
  <c r="F22" i="4"/>
  <c r="G46" i="7"/>
  <c r="I22" i="9"/>
  <c r="H46" i="7" l="1"/>
  <c r="I46" i="7" s="1"/>
  <c r="J46" i="7" s="1"/>
  <c r="K46" i="7" s="1"/>
  <c r="L46" i="7" s="1"/>
  <c r="M46" i="7" s="1"/>
  <c r="N46" i="7" s="1"/>
  <c r="O46" i="7" s="1"/>
  <c r="P46" i="7" s="1"/>
  <c r="Q46" i="7" s="1"/>
  <c r="R46" i="7"/>
  <c r="F14" i="4" s="1"/>
  <c r="G15" i="9"/>
  <c r="G16" i="9" s="1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I23" i="9"/>
  <c r="I24" i="9" l="1"/>
  <c r="R18" i="7"/>
  <c r="R12" i="7"/>
  <c r="R15" i="7" s="1"/>
  <c r="I25" i="9" l="1"/>
  <c r="I26" i="9" l="1"/>
  <c r="I27" i="9" s="1"/>
  <c r="R27" i="7" l="1"/>
  <c r="E16" i="9" l="1"/>
  <c r="E17" i="9" l="1"/>
  <c r="E18" i="9" l="1"/>
  <c r="E19" i="9" l="1"/>
  <c r="E20" i="9" l="1"/>
  <c r="E21" i="9" l="1"/>
  <c r="E22" i="9" l="1"/>
  <c r="E23" i="9" l="1"/>
  <c r="E24" i="9" l="1"/>
  <c r="E25" i="9" l="1"/>
  <c r="G27" i="9" l="1"/>
  <c r="G29" i="9" s="1"/>
  <c r="E26" i="9"/>
  <c r="E27" i="9" l="1"/>
  <c r="E29" i="9" s="1"/>
  <c r="F12" i="4"/>
  <c r="A13" i="4"/>
  <c r="H13" i="3" l="1"/>
  <c r="H14" i="3"/>
  <c r="H15" i="3"/>
  <c r="H12" i="3"/>
  <c r="A14" i="10" l="1"/>
  <c r="A15" i="10" s="1"/>
  <c r="A16" i="10" s="1"/>
  <c r="A16" i="9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8" i="9" s="1"/>
  <c r="A29" i="9" s="1"/>
  <c r="I29" i="9" l="1"/>
  <c r="F11" i="5"/>
  <c r="F10" i="5"/>
  <c r="E13" i="5"/>
  <c r="C13" i="5"/>
  <c r="A11" i="5"/>
  <c r="A12" i="5" s="1"/>
  <c r="A13" i="5" s="1"/>
  <c r="A14" i="4"/>
  <c r="A15" i="4" s="1"/>
  <c r="A16" i="4" s="1"/>
  <c r="A17" i="4" s="1"/>
  <c r="A18" i="4" s="1"/>
  <c r="A19" i="4" s="1"/>
  <c r="A22" i="4" s="1"/>
  <c r="A23" i="4" s="1"/>
  <c r="A24" i="4" s="1"/>
  <c r="A25" i="4" s="1"/>
  <c r="D16" i="3"/>
  <c r="A13" i="3"/>
  <c r="A14" i="3" s="1"/>
  <c r="A15" i="3" s="1"/>
  <c r="A16" i="3" s="1"/>
  <c r="A27" i="4" l="1"/>
  <c r="F13" i="4"/>
  <c r="F15" i="4" s="1"/>
  <c r="F13" i="5"/>
  <c r="F18" i="4" s="1"/>
  <c r="F23" i="4" l="1"/>
  <c r="F17" i="4" l="1"/>
  <c r="F19" i="4" s="1"/>
  <c r="F24" i="4" l="1"/>
  <c r="F25" i="4" s="1"/>
  <c r="F27" i="4" s="1"/>
  <c r="F12" i="14" l="1"/>
  <c r="F16" i="14" s="1"/>
  <c r="F24" i="14" s="1"/>
  <c r="F18" i="14" l="1"/>
  <c r="F20" i="14" l="1"/>
  <c r="F25" i="14" s="1"/>
  <c r="F26" i="14" l="1"/>
  <c r="F29" i="4"/>
  <c r="E16" i="3" s="1"/>
  <c r="E12" i="3" l="1"/>
  <c r="F28" i="14"/>
  <c r="F31" i="14" s="1"/>
  <c r="E15" i="3"/>
  <c r="E14" i="3"/>
  <c r="E13" i="3"/>
  <c r="F34" i="14" l="1"/>
  <c r="F16" i="3" s="1"/>
  <c r="F12" i="3" s="1"/>
  <c r="F15" i="3" l="1"/>
  <c r="G15" i="3" s="1"/>
  <c r="F14" i="3"/>
  <c r="G14" i="3" s="1"/>
  <c r="G12" i="3"/>
  <c r="F13" i="3"/>
  <c r="G13" i="3" s="1"/>
  <c r="G16" i="3"/>
  <c r="I13" i="3" l="1"/>
  <c r="I12" i="3"/>
  <c r="I14" i="3"/>
  <c r="I15" i="3"/>
</calcChain>
</file>

<file path=xl/sharedStrings.xml><?xml version="1.0" encoding="utf-8"?>
<sst xmlns="http://schemas.openxmlformats.org/spreadsheetml/2006/main" count="777" uniqueCount="256">
  <si>
    <t>Duke Energy Kentucky</t>
  </si>
  <si>
    <t>Table of Contents</t>
  </si>
  <si>
    <t>1.0</t>
  </si>
  <si>
    <t>1.1</t>
  </si>
  <si>
    <t>1.2</t>
  </si>
  <si>
    <t>2.0</t>
  </si>
  <si>
    <t>2.1</t>
  </si>
  <si>
    <t>2.2</t>
  </si>
  <si>
    <t>3.0</t>
  </si>
  <si>
    <t>Description</t>
  </si>
  <si>
    <t>Revenue Requirement</t>
  </si>
  <si>
    <t>Cost of Capital</t>
  </si>
  <si>
    <t>Plant Additions and Depreciation</t>
  </si>
  <si>
    <t>Billing Determinants</t>
  </si>
  <si>
    <t>Rate Schedule</t>
  </si>
  <si>
    <t>Revenue</t>
  </si>
  <si>
    <t>Requirement</t>
  </si>
  <si>
    <t>Billing</t>
  </si>
  <si>
    <t>Determinants</t>
  </si>
  <si>
    <t>Monthly</t>
  </si>
  <si>
    <t>Total</t>
  </si>
  <si>
    <t>Reference</t>
  </si>
  <si>
    <t>Return on Investment</t>
  </si>
  <si>
    <t>Rate Base</t>
  </si>
  <si>
    <t>Cost of Removal</t>
  </si>
  <si>
    <t>Accumulated Reserve for Depreciation</t>
  </si>
  <si>
    <t>Net PP&amp;E</t>
  </si>
  <si>
    <t>Deferred Taxes on Liberalized Depreciation</t>
  </si>
  <si>
    <t>Net Rate Base</t>
  </si>
  <si>
    <t>Authorized Rate of Return, Adjusted for Income Taxes</t>
  </si>
  <si>
    <t>Operating Expenses</t>
  </si>
  <si>
    <t>Depreciation</t>
  </si>
  <si>
    <t>Property Tax</t>
  </si>
  <si>
    <t>PSC Assessment</t>
  </si>
  <si>
    <t>Total Operating Expenses</t>
  </si>
  <si>
    <t>Total Annual Revenue Requirement</t>
  </si>
  <si>
    <t>Line 4 + Line 5</t>
  </si>
  <si>
    <t>Line 6 * Line 7</t>
  </si>
  <si>
    <t>Sum Lines 9 thru 11</t>
  </si>
  <si>
    <t>Line 8 + Line 12</t>
  </si>
  <si>
    <t>Notes:</t>
  </si>
  <si>
    <t>Capital Structure</t>
  </si>
  <si>
    <t>Ratio</t>
  </si>
  <si>
    <t>Cost</t>
  </si>
  <si>
    <t xml:space="preserve">Weighted </t>
  </si>
  <si>
    <t>Pre-Tax @ Effect.</t>
  </si>
  <si>
    <t>Short term Debt</t>
  </si>
  <si>
    <t>Long term Debt</t>
  </si>
  <si>
    <t>Equity</t>
  </si>
  <si>
    <t>Acct</t>
  </si>
  <si>
    <t>Number</t>
  </si>
  <si>
    <t>Additions</t>
  </si>
  <si>
    <t>Total Additions</t>
  </si>
  <si>
    <t>Retirements</t>
  </si>
  <si>
    <t>Total Retirements</t>
  </si>
  <si>
    <t>Total Cost of removal</t>
  </si>
  <si>
    <t>Month</t>
  </si>
  <si>
    <t xml:space="preserve">Number of </t>
  </si>
  <si>
    <t>Months</t>
  </si>
  <si>
    <t>RS- Residential</t>
  </si>
  <si>
    <t>IT - Interruptible Transportation</t>
  </si>
  <si>
    <t>GS - General Service</t>
  </si>
  <si>
    <t>(A)</t>
  </si>
  <si>
    <t>(B)</t>
  </si>
  <si>
    <t>Thirteen Month Average Additions and Retirements</t>
  </si>
  <si>
    <t>(C)</t>
  </si>
  <si>
    <t>FT - Firm Transportation (Includes DGS)</t>
  </si>
  <si>
    <t>Book Depreciation</t>
  </si>
  <si>
    <t>Schedule</t>
  </si>
  <si>
    <t>FT - Firm Transportation (CCF)</t>
  </si>
  <si>
    <t>IT - Interruptible Transportation (CCF)</t>
  </si>
  <si>
    <t>Per CCF</t>
  </si>
  <si>
    <t>Line 4 *</t>
  </si>
  <si>
    <t>By Month</t>
  </si>
  <si>
    <t>(D)</t>
  </si>
  <si>
    <t>( F)</t>
  </si>
  <si>
    <t>( G)</t>
  </si>
  <si>
    <t>Cumulative</t>
  </si>
  <si>
    <t>Number of months</t>
  </si>
  <si>
    <t>13 Month Average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</si>
  <si>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</si>
  <si>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</si>
  <si>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</si>
  <si>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</si>
  <si>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</si>
  <si>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</si>
  <si>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</si>
  <si>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</si>
  <si>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</si>
  <si>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</si>
  <si>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</si>
  <si>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</si>
  <si>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EOY</t>
  </si>
  <si>
    <t xml:space="preserve"> </t>
  </si>
  <si>
    <t>Rate</t>
  </si>
  <si>
    <t>Annual</t>
  </si>
  <si>
    <t>13 month</t>
  </si>
  <si>
    <t>Average</t>
  </si>
  <si>
    <t>Total Accumulated Depreciation Reserve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</si>
  <si>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</si>
  <si>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</si>
  <si>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</si>
  <si>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</si>
  <si>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</si>
  <si>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</si>
  <si>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</si>
  <si>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</si>
  <si>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</si>
  <si>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</si>
  <si>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</si>
  <si>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</si>
  <si>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Accumulated Depreciation Reserve</t>
  </si>
  <si>
    <t>(Q)</t>
  </si>
  <si>
    <t>Accumulated Deferred Taxes on Liberalized Depreciation</t>
  </si>
  <si>
    <r>
      <t xml:space="preserve">Gas Plant Investments </t>
    </r>
    <r>
      <rPr>
        <b/>
        <u/>
        <vertAlign val="superscript"/>
        <sz val="11"/>
        <color theme="1"/>
        <rFont val="Calibri"/>
        <family val="2"/>
        <scheme val="minor"/>
      </rPr>
      <t>(1)</t>
    </r>
  </si>
  <si>
    <t>( E)</t>
  </si>
  <si>
    <t>( H)</t>
  </si>
  <si>
    <t>Collections/(Refunds) for prior years</t>
  </si>
  <si>
    <t>Adjusted Revenue Requirement</t>
  </si>
  <si>
    <t>Total (Over)/Under Collections</t>
  </si>
  <si>
    <t>Tax Rate of 24.925%</t>
  </si>
  <si>
    <t>Pipeline Modernization Mechanism ("Rider PMM")</t>
  </si>
  <si>
    <t>Rider PMM by Rate Schedule</t>
  </si>
  <si>
    <t>Line</t>
  </si>
  <si>
    <t>No.</t>
  </si>
  <si>
    <t>Approved KyPSC</t>
  </si>
  <si>
    <t>Rider PMM</t>
  </si>
  <si>
    <t>PMM Investment</t>
  </si>
  <si>
    <t>PMM Rates by Rate Schedule</t>
  </si>
  <si>
    <t>PMM Additions and Retirements</t>
  </si>
  <si>
    <t>PMM Capex</t>
  </si>
  <si>
    <t>Net PMM Investment  - Property, Plant and Equipment</t>
  </si>
  <si>
    <t>Required Return on PMM Related Investment</t>
  </si>
  <si>
    <t>PMM Rider Billing Determinants by Rate Schedule</t>
  </si>
  <si>
    <t>Sch. 1.1</t>
  </si>
  <si>
    <t>Sch. 4.1</t>
  </si>
  <si>
    <t>Sch. 2.2</t>
  </si>
  <si>
    <t>Sch. 2.0</t>
  </si>
  <si>
    <t>Sch. 2.1</t>
  </si>
  <si>
    <t>Sch. 1.2</t>
  </si>
  <si>
    <t>Sch. 4.5</t>
  </si>
  <si>
    <t>Sch. 4.3</t>
  </si>
  <si>
    <t>Sch. 4.4</t>
  </si>
  <si>
    <t>Sch. 4.2</t>
  </si>
  <si>
    <t>Mains - Feeder</t>
  </si>
  <si>
    <t>Sch. 3.0</t>
  </si>
  <si>
    <t>Gross Distribution Plant</t>
  </si>
  <si>
    <t>Land and Land Rights</t>
  </si>
  <si>
    <t>System M&amp;R Station Equipment</t>
  </si>
  <si>
    <t>A</t>
  </si>
  <si>
    <t>B</t>
  </si>
  <si>
    <t>H</t>
  </si>
  <si>
    <t>projected</t>
  </si>
  <si>
    <t>Tax Rate</t>
  </si>
  <si>
    <t>Forecasted ADIT</t>
  </si>
  <si>
    <t>Book Adds/Retires - 15 YR MACRS</t>
  </si>
  <si>
    <t>Book Adds/Retires - Non-Depreciable Land</t>
  </si>
  <si>
    <t>Total MACRS Depreciation</t>
  </si>
  <si>
    <t>Days to Prorate</t>
  </si>
  <si>
    <t>Future Days in Period</t>
  </si>
  <si>
    <t>Total Book Additions/ Retirements</t>
  </si>
  <si>
    <t>Book Adds/Retires - 20 YR MACRS</t>
  </si>
  <si>
    <t>C</t>
  </si>
  <si>
    <t>A + B + C = D</t>
  </si>
  <si>
    <t>A * 5% = E</t>
  </si>
  <si>
    <t>B * 3.75% = F</t>
  </si>
  <si>
    <t>E + F = G</t>
  </si>
  <si>
    <t>G  -H = I</t>
  </si>
  <si>
    <t>Book/Tax Difference</t>
  </si>
  <si>
    <t>Accumulated Book/Tax Difference</t>
  </si>
  <si>
    <t>J</t>
  </si>
  <si>
    <t>K</t>
  </si>
  <si>
    <t>L</t>
  </si>
  <si>
    <t>Prorated Book/Tax Difference</t>
  </si>
  <si>
    <t>Prorated Accumulated Book/Tax Difference</t>
  </si>
  <si>
    <t>N</t>
  </si>
  <si>
    <t>Natural gas revenue is defined to include base, gas cost and miscellaneous revenue</t>
  </si>
  <si>
    <t>The cap for the annual PMM revenue requirement is no more than 5% increase in natural gas revenue per year</t>
  </si>
  <si>
    <t>4.1</t>
  </si>
  <si>
    <t>Revenue Requirement - True Up</t>
  </si>
  <si>
    <t>4.2</t>
  </si>
  <si>
    <t>4.3</t>
  </si>
  <si>
    <t>Plant Additions and Depreciation - True Up</t>
  </si>
  <si>
    <t>4.4</t>
  </si>
  <si>
    <t>PMM Additions and Retirements - True Up</t>
  </si>
  <si>
    <r>
      <t>RS - Residential (CCF)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</si>
  <si>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GS - General Service (CCF)</t>
    </r>
    <r>
      <rPr>
        <vertAlign val="superscript"/>
        <sz val="11"/>
        <color theme="1"/>
        <rFont val="Calibri"/>
        <family val="2"/>
        <scheme val="minor"/>
      </rPr>
      <t xml:space="preserve"> (1) (2)</t>
    </r>
  </si>
  <si>
    <t xml:space="preserve">(1) General Service includes Commercial, Industrial, OPA, Street Lighting and Interdepartmental. </t>
  </si>
  <si>
    <t>per  CCF</t>
  </si>
  <si>
    <t>Balance @ 12/31/2024</t>
  </si>
  <si>
    <t>A * Tax Rate Table = E</t>
  </si>
  <si>
    <t>B * Tax Rate Table = F</t>
  </si>
  <si>
    <t>15 Yr MACRS for Tax</t>
  </si>
  <si>
    <t>20 Yr MACRS for Tax</t>
  </si>
  <si>
    <t>n/a</t>
  </si>
  <si>
    <t>TAX RATE TABLE</t>
  </si>
  <si>
    <t>MACRS 15</t>
  </si>
  <si>
    <t>MACRS 20</t>
  </si>
  <si>
    <t>Cost of Removal Book/Tax Difference</t>
  </si>
  <si>
    <t>Prorated 2024 Book/Tax Difference</t>
  </si>
  <si>
    <t>Total Forecasted ADIT</t>
  </si>
  <si>
    <t>1st Yr 15 Yr MACRS for Tax - 5%</t>
  </si>
  <si>
    <t>1st Yr 20 Yr MACRS for Tax - 3.75%</t>
  </si>
  <si>
    <t>Deferred Taxes on Liberalized Depreciation - True Up</t>
  </si>
  <si>
    <t>Actuals</t>
  </si>
  <si>
    <t>Year 1</t>
  </si>
  <si>
    <t>Year 2</t>
  </si>
  <si>
    <t>Year 3</t>
  </si>
  <si>
    <t>Book vs Tax Depreciation</t>
  </si>
  <si>
    <t>(I * L) / K = M</t>
  </si>
  <si>
    <t>2026 Projection Filing</t>
  </si>
  <si>
    <t>Year 4</t>
  </si>
  <si>
    <t>Total Estimated Annual Revenue Requirement</t>
  </si>
  <si>
    <t>Cap Adjustment</t>
  </si>
  <si>
    <t>(3) Total Approved Revenue  + Prior Period Revenue Requirements cannot exceed 5% increase per 25-00125 Order</t>
  </si>
  <si>
    <t>Case 2025-00125</t>
  </si>
  <si>
    <r>
      <t xml:space="preserve">Rate 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</si>
  <si>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rPr>
        <b/>
        <sz val="11"/>
        <color rgb="FF0000FF"/>
        <rFont val="Calibri"/>
        <family val="2"/>
        <scheme val="minor"/>
      </rPr>
      <t>2027</t>
    </r>
    <r>
      <rPr>
        <b/>
        <sz val="11"/>
        <color theme="1"/>
        <rFont val="Calibri"/>
        <family val="2"/>
        <scheme val="minor"/>
      </rPr>
      <t xml:space="preserve"> Projected</t>
    </r>
  </si>
  <si>
    <r>
      <rPr>
        <b/>
        <sz val="11"/>
        <color rgb="FF0000FF"/>
        <rFont val="Calibri"/>
        <family val="2"/>
        <scheme val="minor"/>
      </rPr>
      <t xml:space="preserve">2025 </t>
    </r>
    <r>
      <rPr>
        <b/>
        <sz val="11"/>
        <color theme="1"/>
        <rFont val="Calibri"/>
        <family val="2"/>
        <scheme val="minor"/>
      </rPr>
      <t>True Up</t>
    </r>
  </si>
  <si>
    <t>December 31, 2027</t>
  </si>
  <si>
    <t>Forecasted PMM Revenue Requirement for 2027</t>
  </si>
  <si>
    <t>Capital structure and cost of debt approved in Case No. 2025-00125</t>
  </si>
  <si>
    <t>Return on equity approved in Case No. 2025-00125 for use in natural gas capital riders</t>
  </si>
  <si>
    <t>Projected 2027 Depreciation Expense</t>
  </si>
  <si>
    <t>Projected 2027 Additions</t>
  </si>
  <si>
    <t>Test Year 12/31/27 PMM Investment Summary</t>
  </si>
  <si>
    <t>for the Twelve Month Ending December, 2027</t>
  </si>
  <si>
    <t>PMM Revenue Requirement for 2025</t>
  </si>
  <si>
    <t>December 31, 2025</t>
  </si>
  <si>
    <t>Actual 2025 Additions</t>
  </si>
  <si>
    <t>Actual 2025 Depreciation Expense</t>
  </si>
  <si>
    <t>Gas Plant Investments</t>
  </si>
  <si>
    <t>Difference (Actuals - Projections)</t>
  </si>
  <si>
    <t>Projected 2024 Additions</t>
  </si>
  <si>
    <t>Actual 2024 Additions</t>
  </si>
  <si>
    <t>Projected 2025 Additions</t>
  </si>
  <si>
    <t>Additions (Actuals vs Projections) 2024/2025</t>
  </si>
  <si>
    <t>(1) See Sch 4.5 for detail of 2025 PMM eligible additions.</t>
  </si>
  <si>
    <t>Capital structure approved in Case No. 2021-00190</t>
  </si>
  <si>
    <t>ROE represents rate approved for use in natural gas capital riders.</t>
  </si>
  <si>
    <t>2025 Billed Revenues</t>
  </si>
  <si>
    <t>Test Year 12/31/25 PMM Investment Summary</t>
  </si>
  <si>
    <t>2024 Projection Filing</t>
  </si>
  <si>
    <t>Cost of Capital - True Up</t>
  </si>
  <si>
    <t>(Sum Line 8 thru 10) * (0.1595% / (1-0.1595%))</t>
  </si>
  <si>
    <t>(2) PSC Assessment using Fiscal Year 2025 rate of 0.1595%</t>
  </si>
  <si>
    <t>Year 5</t>
  </si>
  <si>
    <t>(2) Depreciation rates approved in Case No. 2025-00125.</t>
  </si>
  <si>
    <t>(1) See Schedule 2.2 for detail of 2027 PMM eligible additions.</t>
  </si>
  <si>
    <t>Balance @ 12/31/2026</t>
  </si>
  <si>
    <t>(2) Per Order 2022-00229, all Rider PMM rates should be in volumetric format for the 2027 calendar year.</t>
  </si>
  <si>
    <r>
      <t>(Sum Line 8 thru 10) * (</t>
    </r>
    <r>
      <rPr>
        <sz val="11"/>
        <color rgb="FF0000FF"/>
        <rFont val="Calibri"/>
        <family val="2"/>
        <scheme val="minor"/>
      </rPr>
      <t xml:space="preserve">0.1302% </t>
    </r>
    <r>
      <rPr>
        <sz val="11"/>
        <rFont val="Calibri"/>
        <family val="2"/>
        <scheme val="minor"/>
      </rPr>
      <t>/ (</t>
    </r>
    <r>
      <rPr>
        <sz val="11"/>
        <color rgb="FF0000FF"/>
        <rFont val="Calibri"/>
        <family val="2"/>
        <scheme val="minor"/>
      </rPr>
      <t>1-0.1302%</t>
    </r>
    <r>
      <rPr>
        <sz val="11"/>
        <color theme="1"/>
        <rFont val="Calibri"/>
        <family val="2"/>
        <scheme val="minor"/>
      </rPr>
      <t>))</t>
    </r>
  </si>
  <si>
    <t>(2) In Case No. 2024-00191, PSC Assessment using Fiscal Year 2021  rate of 0.1302%</t>
  </si>
  <si>
    <r>
      <t xml:space="preserve">Case No. </t>
    </r>
    <r>
      <rPr>
        <b/>
        <u/>
        <sz val="11"/>
        <color rgb="FF0000FF"/>
        <rFont val="Calibri"/>
        <family val="2"/>
        <scheme val="minor"/>
      </rPr>
      <t>2025-00125</t>
    </r>
  </si>
  <si>
    <t xml:space="preserve">(3) Total Approved Revenue  + Prior Period Revenue Requirements cannot exceed 5% increase as approved in Case No. 2025-00125 </t>
  </si>
  <si>
    <t>Actuals vs. Projections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</si>
</sst>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_(&quot;$&quot;* #,##0_);_(&quot;$&quot;* \(#,##0\);_(&quot;$&quot;* &quot;-&quot;??_);_(@_)"/>
    <numFmt numFmtId="167" formatCode="[$-409]mmm\-yy;@"/>
    <numFmt numFmtId="168" formatCode="_(&quot;$&quot;* #,##0.00000_);_(&quot;$&quot;* \(#,##0.00000\);_(&quot;$&quot;* &quot;-&quot;?????_);_(@_)"/>
    <numFmt numFmtId="169" formatCode="0.00000%"/>
    <numFmt numFmtId="170" formatCode="_(* #,##0.000000000_);_(* \(#,##0.000000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vertAlign val="superscript"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22" fillId="0" borderId="0"/>
    <xf numFmtId="0" fontId="1" fillId="0" borderId="0"/>
    <xf numFmtId="0" fontId="8" fillId="0" borderId="0"/>
    <xf numFmtId="0" fontId="8" fillId="0" borderId="0"/>
    <xf numFmtId="0" fontId="8" fillId="0" borderId="0"/>
  </cellStyleXfs>
  <cellXfs count="220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164" fontId="0" fillId="0" borderId="0" xfId="1" applyNumberFormat="1" applyFont="1" applyAlignment="1">
      <alignment horizontal="center"/>
    </xf>
    <xf numFmtId="165" fontId="0" fillId="0" borderId="0" xfId="3" applyNumberFormat="1" applyFont="1"/>
    <xf numFmtId="165" fontId="0" fillId="0" borderId="2" xfId="3" applyNumberFormat="1" applyFont="1" applyBorder="1"/>
    <xf numFmtId="10" fontId="0" fillId="0" borderId="0" xfId="0" applyNumberFormat="1"/>
    <xf numFmtId="0" fontId="0" fillId="0" borderId="0" xfId="0" quotePrefix="1"/>
    <xf numFmtId="0" fontId="2" fillId="0" borderId="0" xfId="0" quotePrefix="1" applyFont="1" applyAlignment="1">
      <alignment horizontal="center"/>
    </xf>
    <xf numFmtId="164" fontId="0" fillId="0" borderId="0" xfId="1" applyNumberFormat="1" applyFont="1" applyBorder="1"/>
    <xf numFmtId="164" fontId="6" fillId="0" borderId="0" xfId="1" applyNumberFormat="1" applyFont="1" applyBorder="1"/>
    <xf numFmtId="0" fontId="2" fillId="0" borderId="0" xfId="0" applyFont="1" applyAlignment="1">
      <alignment horizontal="left"/>
    </xf>
    <xf numFmtId="167" fontId="0" fillId="0" borderId="0" xfId="0" applyNumberFormat="1"/>
    <xf numFmtId="166" fontId="5" fillId="0" borderId="0" xfId="2" applyNumberFormat="1" applyFont="1"/>
    <xf numFmtId="164" fontId="5" fillId="0" borderId="0" xfId="1" applyNumberFormat="1" applyFont="1"/>
    <xf numFmtId="164" fontId="5" fillId="0" borderId="0" xfId="1" applyNumberFormat="1" applyFont="1" applyBorder="1"/>
    <xf numFmtId="0" fontId="7" fillId="0" borderId="0" xfId="0" applyFont="1"/>
    <xf numFmtId="3" fontId="0" fillId="0" borderId="0" xfId="0" applyNumberFormat="1"/>
    <xf numFmtId="167" fontId="0" fillId="0" borderId="0" xfId="0" applyNumberFormat="1" applyAlignment="1">
      <alignment wrapText="1"/>
    </xf>
    <xf numFmtId="168" fontId="0" fillId="0" borderId="0" xfId="2" applyNumberFormat="1" applyFont="1" applyAlignment="1">
      <alignment horizontal="center"/>
    </xf>
    <xf numFmtId="165" fontId="0" fillId="0" borderId="0" xfId="0" applyNumberFormat="1"/>
    <xf numFmtId="37" fontId="0" fillId="0" borderId="0" xfId="0" applyNumberFormat="1"/>
    <xf numFmtId="165" fontId="0" fillId="0" borderId="0" xfId="3" quotePrefix="1" applyNumberFormat="1" applyFont="1" applyAlignment="1">
      <alignment horizontal="center"/>
    </xf>
    <xf numFmtId="165" fontId="0" fillId="0" borderId="0" xfId="3" applyNumberFormat="1" applyFont="1" applyBorder="1" applyAlignment="1">
      <alignment horizontal="center"/>
    </xf>
    <xf numFmtId="43" fontId="0" fillId="0" borderId="0" xfId="0" applyNumberFormat="1"/>
    <xf numFmtId="167" fontId="0" fillId="0" borderId="0" xfId="0" applyNumberFormat="1" applyAlignment="1">
      <alignment horizontal="left"/>
    </xf>
    <xf numFmtId="10" fontId="2" fillId="0" borderId="0" xfId="0" applyNumberFormat="1" applyFont="1" applyAlignment="1">
      <alignment horizontal="center"/>
    </xf>
    <xf numFmtId="0" fontId="0" fillId="0" borderId="0" xfId="0" quotePrefix="1" applyAlignment="1">
      <alignment horizontal="left"/>
    </xf>
    <xf numFmtId="0" fontId="2" fillId="0" borderId="2" xfId="0" applyFont="1" applyBorder="1" applyAlignment="1">
      <alignment horizontal="center"/>
    </xf>
    <xf numFmtId="164" fontId="0" fillId="0" borderId="0" xfId="1" applyNumberFormat="1" applyFont="1" applyFill="1"/>
    <xf numFmtId="0" fontId="5" fillId="0" borderId="0" xfId="0" applyFont="1"/>
    <xf numFmtId="164" fontId="1" fillId="0" borderId="0" xfId="1" applyNumberFormat="1" applyFont="1" applyBorder="1"/>
    <xf numFmtId="0" fontId="0" fillId="0" borderId="0" xfId="0" applyAlignment="1">
      <alignment horizontal="center" vertical="center"/>
    </xf>
    <xf numFmtId="42" fontId="0" fillId="0" borderId="0" xfId="1" applyNumberFormat="1" applyFont="1" applyAlignment="1">
      <alignment horizontal="center"/>
    </xf>
    <xf numFmtId="42" fontId="0" fillId="0" borderId="1" xfId="1" applyNumberFormat="1" applyFont="1" applyBorder="1"/>
    <xf numFmtId="42" fontId="0" fillId="0" borderId="2" xfId="1" applyNumberFormat="1" applyFont="1" applyBorder="1"/>
    <xf numFmtId="42" fontId="0" fillId="0" borderId="0" xfId="1" applyNumberFormat="1" applyFont="1"/>
    <xf numFmtId="42" fontId="0" fillId="0" borderId="3" xfId="0" applyNumberFormat="1" applyBorder="1"/>
    <xf numFmtId="42" fontId="0" fillId="0" borderId="0" xfId="0" applyNumberFormat="1"/>
    <xf numFmtId="42" fontId="0" fillId="0" borderId="0" xfId="1" applyNumberFormat="1" applyFont="1" applyBorder="1"/>
    <xf numFmtId="42" fontId="0" fillId="0" borderId="2" xfId="0" applyNumberFormat="1" applyBorder="1"/>
    <xf numFmtId="42" fontId="0" fillId="0" borderId="0" xfId="1" applyNumberFormat="1" applyFont="1" applyFill="1"/>
    <xf numFmtId="42" fontId="0" fillId="0" borderId="1" xfId="0" applyNumberFormat="1" applyBorder="1"/>
    <xf numFmtId="165" fontId="5" fillId="0" borderId="0" xfId="3" applyNumberFormat="1" applyFont="1"/>
    <xf numFmtId="164" fontId="5" fillId="0" borderId="0" xfId="1" applyNumberFormat="1" applyFont="1" applyFill="1" applyBorder="1"/>
    <xf numFmtId="42" fontId="4" fillId="0" borderId="0" xfId="1" applyNumberFormat="1" applyFont="1" applyFill="1" applyBorder="1"/>
    <xf numFmtId="42" fontId="1" fillId="0" borderId="0" xfId="1" applyNumberFormat="1" applyFont="1" applyBorder="1"/>
    <xf numFmtId="42" fontId="0" fillId="0" borderId="0" xfId="1" applyNumberFormat="1" applyFont="1" applyFill="1" applyBorder="1"/>
    <xf numFmtId="42" fontId="0" fillId="0" borderId="4" xfId="1" applyNumberFormat="1" applyFont="1" applyFill="1" applyBorder="1"/>
    <xf numFmtId="0" fontId="3" fillId="0" borderId="0" xfId="0" quotePrefix="1" applyFont="1" applyAlignment="1">
      <alignment horizontal="center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quotePrefix="1" applyFont="1" applyAlignment="1">
      <alignment horizontal="centerContinuous"/>
    </xf>
    <xf numFmtId="164" fontId="0" fillId="0" borderId="0" xfId="1" applyNumberFormat="1" applyFont="1" applyFill="1" applyBorder="1"/>
    <xf numFmtId="41" fontId="5" fillId="0" borderId="0" xfId="1" applyNumberFormat="1" applyFont="1" applyFill="1" applyBorder="1"/>
    <xf numFmtId="41" fontId="5" fillId="0" borderId="2" xfId="1" applyNumberFormat="1" applyFont="1" applyFill="1" applyBorder="1"/>
    <xf numFmtId="41" fontId="0" fillId="0" borderId="0" xfId="0" applyNumberFormat="1"/>
    <xf numFmtId="41" fontId="0" fillId="0" borderId="0" xfId="1" quotePrefix="1" applyNumberFormat="1" applyFont="1"/>
    <xf numFmtId="41" fontId="5" fillId="0" borderId="0" xfId="1" applyNumberFormat="1" applyFont="1" applyBorder="1"/>
    <xf numFmtId="41" fontId="5" fillId="0" borderId="2" xfId="1" applyNumberFormat="1" applyFont="1" applyBorder="1"/>
    <xf numFmtId="41" fontId="11" fillId="0" borderId="0" xfId="0" applyNumberFormat="1" applyFont="1"/>
    <xf numFmtId="41" fontId="11" fillId="0" borderId="0" xfId="3" applyNumberFormat="1" applyFont="1" applyFill="1" applyBorder="1"/>
    <xf numFmtId="0" fontId="15" fillId="0" borderId="0" xfId="0" applyFont="1"/>
    <xf numFmtId="0" fontId="15" fillId="0" borderId="0" xfId="0" applyFont="1" applyAlignment="1">
      <alignment horizontal="left"/>
    </xf>
    <xf numFmtId="42" fontId="11" fillId="0" borderId="0" xfId="1" applyNumberFormat="1" applyFont="1" applyBorder="1"/>
    <xf numFmtId="42" fontId="11" fillId="0" borderId="0" xfId="1" applyNumberFormat="1" applyFont="1" applyAlignment="1">
      <alignment horizontal="center"/>
    </xf>
    <xf numFmtId="17" fontId="12" fillId="0" borderId="0" xfId="0" applyNumberFormat="1" applyFont="1" applyAlignment="1">
      <alignment horizontal="center"/>
    </xf>
    <xf numFmtId="42" fontId="5" fillId="0" borderId="2" xfId="1" applyNumberFormat="1" applyFont="1" applyFill="1" applyBorder="1"/>
    <xf numFmtId="42" fontId="0" fillId="0" borderId="2" xfId="1" applyNumberFormat="1" applyFont="1" applyFill="1" applyBorder="1"/>
    <xf numFmtId="0" fontId="0" fillId="0" borderId="0" xfId="3" quotePrefix="1" applyNumberFormat="1" applyFont="1" applyAlignment="1">
      <alignment horizontal="center"/>
    </xf>
    <xf numFmtId="0" fontId="0" fillId="0" borderId="0" xfId="1" quotePrefix="1" applyNumberFormat="1" applyFont="1" applyAlignment="1">
      <alignment horizontal="center"/>
    </xf>
    <xf numFmtId="41" fontId="0" fillId="0" borderId="0" xfId="1" applyNumberFormat="1" applyFont="1"/>
    <xf numFmtId="41" fontId="5" fillId="0" borderId="0" xfId="1" applyNumberFormat="1" applyFont="1"/>
    <xf numFmtId="42" fontId="5" fillId="0" borderId="0" xfId="2" applyNumberFormat="1" applyFont="1"/>
    <xf numFmtId="41" fontId="0" fillId="0" borderId="0" xfId="1" applyNumberFormat="1" applyFont="1" applyAlignment="1">
      <alignment horizontal="center"/>
    </xf>
    <xf numFmtId="41" fontId="0" fillId="0" borderId="2" xfId="1" applyNumberFormat="1" applyFont="1" applyFill="1" applyBorder="1"/>
    <xf numFmtId="0" fontId="11" fillId="0" borderId="0" xfId="0" applyFont="1"/>
    <xf numFmtId="37" fontId="11" fillId="0" borderId="0" xfId="3" applyNumberFormat="1" applyFont="1" applyFill="1" applyBorder="1"/>
    <xf numFmtId="167" fontId="11" fillId="0" borderId="0" xfId="0" applyNumberFormat="1" applyFont="1" applyAlignment="1">
      <alignment horizontal="right"/>
    </xf>
    <xf numFmtId="167" fontId="11" fillId="0" borderId="0" xfId="0" applyNumberFormat="1" applyFont="1"/>
    <xf numFmtId="167" fontId="0" fillId="0" borderId="0" xfId="0" applyNumberFormat="1" applyAlignment="1">
      <alignment horizontal="right"/>
    </xf>
    <xf numFmtId="42" fontId="11" fillId="0" borderId="0" xfId="1" applyNumberFormat="1" applyFont="1" applyFill="1" applyBorder="1"/>
    <xf numFmtId="0" fontId="12" fillId="0" borderId="0" xfId="0" quotePrefix="1" applyFont="1" applyAlignment="1">
      <alignment horizontal="center"/>
    </xf>
    <xf numFmtId="0" fontId="9" fillId="0" borderId="2" xfId="0" applyFont="1" applyBorder="1" applyAlignment="1">
      <alignment horizontal="centerContinuous"/>
    </xf>
    <xf numFmtId="0" fontId="0" fillId="0" borderId="0" xfId="3" quotePrefix="1" applyNumberFormat="1" applyFont="1" applyFill="1" applyAlignment="1">
      <alignment horizontal="center"/>
    </xf>
    <xf numFmtId="0" fontId="2" fillId="0" borderId="2" xfId="0" applyFont="1" applyBorder="1" applyAlignment="1">
      <alignment horizontal="centerContinuous"/>
    </xf>
    <xf numFmtId="42" fontId="11" fillId="0" borderId="2" xfId="1" applyNumberFormat="1" applyFont="1" applyFill="1" applyBorder="1"/>
    <xf numFmtId="165" fontId="11" fillId="0" borderId="0" xfId="3" applyNumberFormat="1" applyFont="1" applyFill="1"/>
    <xf numFmtId="165" fontId="11" fillId="0" borderId="2" xfId="3" applyNumberFormat="1" applyFont="1" applyFill="1" applyBorder="1"/>
    <xf numFmtId="15" fontId="12" fillId="0" borderId="0" xfId="0" quotePrefix="1" applyNumberFormat="1" applyFont="1" applyAlignment="1">
      <alignment horizontal="center"/>
    </xf>
    <xf numFmtId="42" fontId="0" fillId="0" borderId="0" xfId="1" applyNumberFormat="1" applyFont="1" applyFill="1" applyAlignment="1">
      <alignment horizontal="center"/>
    </xf>
    <xf numFmtId="41" fontId="0" fillId="0" borderId="0" xfId="1" applyNumberFormat="1" applyFont="1" applyFill="1" applyAlignment="1">
      <alignment horizontal="center"/>
    </xf>
    <xf numFmtId="42" fontId="0" fillId="0" borderId="1" xfId="1" applyNumberFormat="1" applyFont="1" applyFill="1" applyBorder="1"/>
    <xf numFmtId="165" fontId="11" fillId="0" borderId="1" xfId="1" applyNumberFormat="1" applyFont="1" applyFill="1" applyBorder="1"/>
    <xf numFmtId="0" fontId="9" fillId="0" borderId="0" xfId="0" applyFont="1" applyAlignment="1">
      <alignment horizontal="centerContinuous"/>
    </xf>
    <xf numFmtId="42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42" fontId="5" fillId="0" borderId="0" xfId="1" applyNumberFormat="1" applyFont="1" applyFill="1" applyBorder="1"/>
    <xf numFmtId="0" fontId="0" fillId="0" borderId="0" xfId="3" quotePrefix="1" applyNumberFormat="1" applyFont="1" applyFill="1" applyBorder="1" applyAlignment="1">
      <alignment horizontal="center"/>
    </xf>
    <xf numFmtId="165" fontId="0" fillId="0" borderId="0" xfId="3" quotePrefix="1" applyNumberFormat="1" applyFont="1" applyBorder="1" applyAlignment="1">
      <alignment horizontal="center"/>
    </xf>
    <xf numFmtId="44" fontId="5" fillId="0" borderId="0" xfId="2" applyFont="1" applyFill="1" applyBorder="1"/>
    <xf numFmtId="41" fontId="5" fillId="0" borderId="0" xfId="3" applyNumberFormat="1" applyFont="1" applyFill="1" applyBorder="1"/>
    <xf numFmtId="42" fontId="11" fillId="0" borderId="2" xfId="1" applyNumberFormat="1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2" xfId="0" applyBorder="1" applyAlignment="1">
      <alignment horizontal="left" indent="1"/>
    </xf>
    <xf numFmtId="167" fontId="0" fillId="0" borderId="0" xfId="0" applyNumberFormat="1" applyAlignment="1">
      <alignment horizontal="left" wrapText="1"/>
    </xf>
    <xf numFmtId="164" fontId="0" fillId="0" borderId="0" xfId="1" applyNumberFormat="1" applyFont="1" applyAlignmen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left" wrapText="1"/>
    </xf>
    <xf numFmtId="164" fontId="0" fillId="0" borderId="2" xfId="1" applyNumberFormat="1" applyFont="1" applyBorder="1" applyAlignment="1">
      <alignment horizontal="left" wrapText="1"/>
    </xf>
    <xf numFmtId="164" fontId="0" fillId="0" borderId="0" xfId="0" applyNumberFormat="1" applyAlignment="1">
      <alignment horizontal="left"/>
    </xf>
    <xf numFmtId="164" fontId="0" fillId="0" borderId="4" xfId="1" applyNumberFormat="1" applyFont="1" applyBorder="1" applyAlignment="1"/>
    <xf numFmtId="164" fontId="0" fillId="0" borderId="0" xfId="1" applyNumberFormat="1" applyFont="1" applyBorder="1" applyAlignment="1"/>
    <xf numFmtId="164" fontId="0" fillId="0" borderId="1" xfId="1" applyNumberFormat="1" applyFont="1" applyBorder="1" applyAlignment="1"/>
    <xf numFmtId="164" fontId="0" fillId="0" borderId="5" xfId="1" applyNumberFormat="1" applyFont="1" applyBorder="1"/>
    <xf numFmtId="0" fontId="0" fillId="0" borderId="2" xfId="0" applyBorder="1" applyAlignment="1">
      <alignment horizontal="center" wrapText="1"/>
    </xf>
    <xf numFmtId="0" fontId="0" fillId="0" borderId="0" xfId="0" applyAlignment="1">
      <alignment horizontal="left" wrapText="1"/>
    </xf>
    <xf numFmtId="164" fontId="0" fillId="0" borderId="0" xfId="1" applyNumberFormat="1" applyFont="1" applyBorder="1" applyAlignment="1">
      <alignment horizontal="left" wrapText="1"/>
    </xf>
    <xf numFmtId="0" fontId="0" fillId="0" borderId="0" xfId="0" applyAlignment="1">
      <alignment wrapText="1"/>
    </xf>
    <xf numFmtId="43" fontId="0" fillId="0" borderId="0" xfId="0" applyNumberFormat="1" applyAlignment="1">
      <alignment horizontal="center"/>
    </xf>
    <xf numFmtId="0" fontId="0" fillId="2" borderId="0" xfId="0" applyFill="1"/>
    <xf numFmtId="164" fontId="0" fillId="2" borderId="0" xfId="1" applyNumberFormat="1" applyFont="1" applyFill="1" applyAlignment="1"/>
    <xf numFmtId="169" fontId="11" fillId="0" borderId="0" xfId="3" applyNumberFormat="1" applyFont="1" applyFill="1"/>
    <xf numFmtId="0" fontId="18" fillId="0" borderId="0" xfId="0" applyFont="1"/>
    <xf numFmtId="0" fontId="9" fillId="0" borderId="0" xfId="0" applyFont="1"/>
    <xf numFmtId="0" fontId="0" fillId="0" borderId="0" xfId="0" applyAlignment="1">
      <alignment horizontal="left" indent="1"/>
    </xf>
    <xf numFmtId="44" fontId="0" fillId="0" borderId="0" xfId="2" applyFont="1" applyAlignment="1">
      <alignment horizontal="center"/>
    </xf>
    <xf numFmtId="10" fontId="13" fillId="0" borderId="0" xfId="0" applyNumberFormat="1" applyFont="1" applyAlignment="1">
      <alignment horizontal="center"/>
    </xf>
    <xf numFmtId="0" fontId="9" fillId="2" borderId="0" xfId="0" applyFont="1" applyFill="1" applyAlignment="1">
      <alignment horizontal="center" wrapText="1"/>
    </xf>
    <xf numFmtId="164" fontId="0" fillId="0" borderId="4" xfId="1" applyNumberFormat="1" applyFont="1" applyBorder="1"/>
    <xf numFmtId="164" fontId="0" fillId="0" borderId="0" xfId="1" applyNumberFormat="1" applyFont="1" applyBorder="1" applyAlignment="1">
      <alignment horizontal="left" indent="1"/>
    </xf>
    <xf numFmtId="164" fontId="0" fillId="0" borderId="0" xfId="1" applyNumberFormat="1" applyFont="1" applyBorder="1" applyAlignment="1">
      <alignment horizontal="center" wrapText="1"/>
    </xf>
    <xf numFmtId="164" fontId="0" fillId="0" borderId="0" xfId="1" applyNumberFormat="1" applyFont="1" applyFill="1" applyAlignment="1"/>
    <xf numFmtId="164" fontId="0" fillId="0" borderId="2" xfId="1" applyNumberFormat="1" applyFont="1" applyBorder="1" applyAlignment="1"/>
    <xf numFmtId="164" fontId="0" fillId="0" borderId="0" xfId="1" applyNumberFormat="1" applyFont="1" applyAlignment="1">
      <alignment horizontal="left"/>
    </xf>
    <xf numFmtId="164" fontId="0" fillId="0" borderId="0" xfId="1" applyNumberFormat="1" applyFont="1" applyBorder="1" applyAlignment="1">
      <alignment horizontal="left"/>
    </xf>
    <xf numFmtId="164" fontId="0" fillId="0" borderId="0" xfId="0" applyNumberFormat="1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3" fontId="15" fillId="0" borderId="0" xfId="0" applyNumberFormat="1" applyFont="1"/>
    <xf numFmtId="165" fontId="5" fillId="0" borderId="0" xfId="3" quotePrefix="1" applyNumberFormat="1" applyFont="1" applyFill="1" applyAlignment="1">
      <alignment horizontal="center"/>
    </xf>
    <xf numFmtId="165" fontId="5" fillId="0" borderId="0" xfId="3" applyNumberFormat="1" applyFont="1" applyFill="1" applyBorder="1" applyAlignment="1">
      <alignment horizontal="center"/>
    </xf>
    <xf numFmtId="165" fontId="5" fillId="0" borderId="0" xfId="3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3" quotePrefix="1" applyNumberFormat="1" applyFont="1" applyAlignment="1">
      <alignment horizontal="center"/>
    </xf>
    <xf numFmtId="165" fontId="5" fillId="0" borderId="0" xfId="3" quotePrefix="1" applyNumberFormat="1" applyFont="1" applyBorder="1" applyAlignment="1">
      <alignment horizontal="center"/>
    </xf>
    <xf numFmtId="165" fontId="5" fillId="0" borderId="0" xfId="3" quotePrefix="1" applyNumberFormat="1" applyFont="1" applyFill="1" applyBorder="1" applyAlignment="1">
      <alignment horizontal="center"/>
    </xf>
    <xf numFmtId="165" fontId="0" fillId="0" borderId="0" xfId="3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right" wrapText="1"/>
    </xf>
    <xf numFmtId="42" fontId="5" fillId="0" borderId="0" xfId="2" applyNumberFormat="1" applyFont="1" applyFill="1"/>
    <xf numFmtId="41" fontId="5" fillId="0" borderId="0" xfId="1" applyNumberFormat="1" applyFont="1" applyFill="1"/>
    <xf numFmtId="41" fontId="0" fillId="0" borderId="0" xfId="1" applyNumberFormat="1" applyFont="1" applyFill="1"/>
    <xf numFmtId="0" fontId="13" fillId="0" borderId="2" xfId="0" applyFont="1" applyBorder="1" applyAlignment="1">
      <alignment horizontal="centerContinuous"/>
    </xf>
    <xf numFmtId="15" fontId="3" fillId="0" borderId="0" xfId="0" quotePrefix="1" applyNumberFormat="1" applyFont="1" applyAlignment="1">
      <alignment horizontal="center"/>
    </xf>
    <xf numFmtId="41" fontId="11" fillId="0" borderId="0" xfId="1" applyNumberFormat="1" applyFont="1" applyFill="1" applyBorder="1"/>
    <xf numFmtId="0" fontId="13" fillId="0" borderId="0" xfId="0" applyFont="1" applyAlignment="1">
      <alignment horizontal="left"/>
    </xf>
    <xf numFmtId="42" fontId="2" fillId="0" borderId="3" xfId="0" applyNumberFormat="1" applyFont="1" applyBorder="1"/>
    <xf numFmtId="165" fontId="0" fillId="0" borderId="0" xfId="3" applyNumberFormat="1" applyFont="1" applyFill="1"/>
    <xf numFmtId="165" fontId="0" fillId="0" borderId="2" xfId="3" applyNumberFormat="1" applyFont="1" applyFill="1" applyBorder="1"/>
    <xf numFmtId="165" fontId="0" fillId="0" borderId="2" xfId="0" applyNumberFormat="1" applyBorder="1"/>
    <xf numFmtId="164" fontId="0" fillId="0" borderId="0" xfId="1" applyNumberFormat="1" applyFont="1" applyFill="1" applyAlignment="1">
      <alignment horizontal="left" wrapText="1"/>
    </xf>
    <xf numFmtId="164" fontId="0" fillId="0" borderId="0" xfId="1" applyNumberFormat="1" applyFont="1" applyFill="1" applyAlignment="1">
      <alignment horizontal="right"/>
    </xf>
    <xf numFmtId="164" fontId="0" fillId="0" borderId="2" xfId="1" applyNumberFormat="1" applyFont="1" applyFill="1" applyBorder="1" applyAlignment="1">
      <alignment horizontal="left" wrapText="1"/>
    </xf>
    <xf numFmtId="164" fontId="0" fillId="0" borderId="2" xfId="1" applyNumberFormat="1" applyFont="1" applyFill="1" applyBorder="1" applyAlignment="1"/>
    <xf numFmtId="164" fontId="0" fillId="0" borderId="0" xfId="1" applyNumberFormat="1" applyFont="1" applyFill="1" applyBorder="1" applyAlignment="1">
      <alignment horizontal="right"/>
    </xf>
    <xf numFmtId="164" fontId="0" fillId="0" borderId="0" xfId="1" applyNumberFormat="1" applyFont="1" applyFill="1" applyBorder="1" applyAlignment="1"/>
    <xf numFmtId="170" fontId="0" fillId="0" borderId="0" xfId="1" applyNumberFormat="1" applyFont="1"/>
    <xf numFmtId="164" fontId="2" fillId="0" borderId="5" xfId="0" applyNumberFormat="1" applyFont="1" applyBorder="1"/>
    <xf numFmtId="165" fontId="11" fillId="0" borderId="0" xfId="1" applyNumberFormat="1" applyFont="1" applyFill="1"/>
    <xf numFmtId="165" fontId="11" fillId="0" borderId="2" xfId="1" applyNumberFormat="1" applyFont="1" applyFill="1" applyBorder="1"/>
    <xf numFmtId="165" fontId="11" fillId="0" borderId="0" xfId="3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quotePrefix="1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2" fillId="0" borderId="10" xfId="0" quotePrefix="1" applyFont="1" applyBorder="1" applyAlignment="1">
      <alignment horizontal="center"/>
    </xf>
    <xf numFmtId="0" fontId="0" fillId="0" borderId="9" xfId="0" applyBorder="1"/>
    <xf numFmtId="42" fontId="0" fillId="0" borderId="10" xfId="0" applyNumberFormat="1" applyBorder="1"/>
    <xf numFmtId="42" fontId="0" fillId="0" borderId="12" xfId="0" applyNumberFormat="1" applyBorder="1"/>
    <xf numFmtId="42" fontId="0" fillId="0" borderId="10" xfId="1" applyNumberFormat="1" applyFont="1" applyFill="1" applyBorder="1"/>
    <xf numFmtId="0" fontId="0" fillId="0" borderId="10" xfId="0" applyBorder="1"/>
    <xf numFmtId="0" fontId="2" fillId="0" borderId="9" xfId="0" applyFont="1" applyBorder="1"/>
    <xf numFmtId="165" fontId="0" fillId="0" borderId="0" xfId="3" quotePrefix="1" applyNumberFormat="1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42" fontId="0" fillId="0" borderId="10" xfId="1" applyNumberFormat="1" applyFont="1" applyBorder="1"/>
    <xf numFmtId="42" fontId="11" fillId="0" borderId="0" xfId="0" applyNumberFormat="1" applyFont="1"/>
    <xf numFmtId="42" fontId="11" fillId="0" borderId="2" xfId="0" applyNumberFormat="1" applyFont="1" applyBorder="1"/>
    <xf numFmtId="0" fontId="21" fillId="0" borderId="0" xfId="0" applyFont="1" applyAlignment="1">
      <alignment horizontal="center"/>
    </xf>
    <xf numFmtId="41" fontId="11" fillId="0" borderId="2" xfId="1" applyNumberFormat="1" applyFont="1" applyFill="1" applyBorder="1"/>
    <xf numFmtId="42" fontId="22" fillId="0" borderId="0" xfId="5" applyNumberFormat="1"/>
    <xf numFmtId="3" fontId="14" fillId="0" borderId="0" xfId="4" applyNumberFormat="1" applyFont="1"/>
    <xf numFmtId="0" fontId="19" fillId="0" borderId="0" xfId="0" applyFont="1"/>
    <xf numFmtId="164" fontId="15" fillId="0" borderId="0" xfId="1" applyNumberFormat="1" applyFont="1" applyFill="1"/>
    <xf numFmtId="0" fontId="16" fillId="0" borderId="0" xfId="0" applyFont="1"/>
    <xf numFmtId="0" fontId="18" fillId="0" borderId="0" xfId="0" quotePrefix="1" applyFont="1"/>
    <xf numFmtId="164" fontId="0" fillId="0" borderId="5" xfId="0" applyNumberFormat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quotePrefix="1" applyFont="1" applyAlignment="1">
      <alignment horizontal="center"/>
    </xf>
  </cellXfs>
  <cellStyles count="10">
    <cellStyle name="Comma" xfId="1" builtinId="3"/>
    <cellStyle name="Currency" xfId="2" builtinId="4"/>
    <cellStyle name="Normal" xfId="0" builtinId="0"/>
    <cellStyle name="Normal 2" xfId="4" xr:uid="{00000000-0005-0000-0000-000003000000}"/>
    <cellStyle name="Normal 2 2" xfId="6" xr:uid="{6A40515E-8FFB-41FB-8E52-07A2941BB554}"/>
    <cellStyle name="Normal 3" xfId="5" xr:uid="{D5B30F63-3795-4A0A-9AC7-82C35F32C122}"/>
    <cellStyle name="Normal 4 2" xfId="9" xr:uid="{075779ED-96E3-4534-8356-34CE8B5D061E}"/>
    <cellStyle name="Normal 7" xfId="7" xr:uid="{CEB0CE09-350B-4916-8F64-4EB68FA8ABFC}"/>
    <cellStyle name="Normal 81" xfId="8" xr:uid="{D8A4609E-E7B3-46B5-839F-E746F2E29B58}"/>
    <cellStyle name="Percent" xfId="3" builtinId="5"/>
  </cellStyles>
  <dxfs count="0"/>
  <tableStyles count="0" defaultTableStyle="TableStyleMedium2" defaultPivotStyle="PivotStyleLight16"/>
  <colors>
    <mruColors>
      <color rgb="FF0000FF"/>
      <color rgb="FF0A1CC2"/>
      <color rgb="FFFFCCFF"/>
      <color rgb="FF00FF00"/>
      <color rgb="FF0070C0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L24"/>
  <sheetViews>
    <sheetView tabSelected="1" view="pageLayout" zoomScaleNormal="100" workbookViewId="0">
      <selection activeCell="H12" sqref="H12"/>
    </sheetView>
  </sheetViews>
  <sheetFormatPr defaultRowHeight="14.4" x14ac:dyDescent="0.3"/>
  <cols>
    <col min="4" max="4" width="2.5546875" customWidth="1"/>
    <col min="5" max="5" width="48" customWidth="1"/>
    <col min="6" max="6" width="13" customWidth="1"/>
    <col min="8" max="8" width="25" customWidth="1"/>
  </cols>
  <sheetData>
    <row r="5" spans="1:12" x14ac:dyDescent="0.3">
      <c r="A5" s="216" t="str">
        <f>'Sch 1.0'!A2:J2</f>
        <v>Duke Energy Kentucky</v>
      </c>
      <c r="B5" s="216"/>
      <c r="C5" s="216"/>
      <c r="D5" s="216"/>
      <c r="E5" s="216"/>
      <c r="F5" s="216"/>
      <c r="G5" s="216"/>
      <c r="H5" s="58"/>
      <c r="I5" s="58"/>
      <c r="J5" s="58"/>
      <c r="K5" s="58"/>
    </row>
    <row r="6" spans="1:12" x14ac:dyDescent="0.3">
      <c r="A6" s="216" t="str">
        <f>'Sch 1.0'!A3:J3</f>
        <v>Pipeline Modernization Mechanism ("Rider PMM")</v>
      </c>
      <c r="B6" s="216"/>
      <c r="C6" s="216"/>
      <c r="D6" s="216"/>
      <c r="E6" s="216"/>
      <c r="F6" s="216"/>
      <c r="G6" s="216"/>
      <c r="H6" s="58"/>
      <c r="I6" s="58"/>
      <c r="J6" s="58"/>
      <c r="K6" s="58"/>
    </row>
    <row r="7" spans="1:12" x14ac:dyDescent="0.3">
      <c r="A7" s="217" t="str">
        <f>"Forecasted Period Ending "&amp;'Sch 1.1'!F7</f>
        <v>Forecasted Period Ending December 31, 2027</v>
      </c>
      <c r="B7" s="217"/>
      <c r="C7" s="217"/>
      <c r="D7" s="217"/>
      <c r="E7" s="217"/>
      <c r="F7" s="217"/>
      <c r="G7" s="217"/>
      <c r="H7" s="102"/>
      <c r="I7" s="102"/>
      <c r="J7" s="102"/>
      <c r="K7" s="102"/>
      <c r="L7" s="70"/>
    </row>
    <row r="8" spans="1:12" x14ac:dyDescent="0.3">
      <c r="A8" s="216" t="s">
        <v>1</v>
      </c>
      <c r="B8" s="216"/>
      <c r="C8" s="216"/>
      <c r="D8" s="216"/>
      <c r="E8" s="216"/>
      <c r="F8" s="216"/>
      <c r="G8" s="216"/>
      <c r="H8" s="58"/>
      <c r="I8" s="58"/>
      <c r="J8" s="58"/>
      <c r="K8" s="58"/>
    </row>
    <row r="11" spans="1:12" x14ac:dyDescent="0.3">
      <c r="C11" s="8" t="s">
        <v>68</v>
      </c>
      <c r="D11" s="9"/>
      <c r="E11" s="10" t="s">
        <v>9</v>
      </c>
      <c r="F11" s="9"/>
    </row>
    <row r="12" spans="1:12" x14ac:dyDescent="0.3">
      <c r="C12" s="5" t="s">
        <v>2</v>
      </c>
      <c r="E12" s="6" t="s">
        <v>128</v>
      </c>
    </row>
    <row r="13" spans="1:12" x14ac:dyDescent="0.3">
      <c r="C13" s="5" t="s">
        <v>3</v>
      </c>
      <c r="E13" s="6" t="s">
        <v>10</v>
      </c>
    </row>
    <row r="14" spans="1:12" x14ac:dyDescent="0.3">
      <c r="C14" s="5" t="s">
        <v>4</v>
      </c>
      <c r="E14" s="6" t="s">
        <v>11</v>
      </c>
    </row>
    <row r="15" spans="1:12" x14ac:dyDescent="0.3">
      <c r="C15" s="5" t="s">
        <v>5</v>
      </c>
      <c r="E15" s="6" t="s">
        <v>12</v>
      </c>
    </row>
    <row r="16" spans="1:12" x14ac:dyDescent="0.3">
      <c r="C16" s="5" t="s">
        <v>6</v>
      </c>
      <c r="E16" s="6" t="s">
        <v>27</v>
      </c>
    </row>
    <row r="17" spans="3:9" x14ac:dyDescent="0.3">
      <c r="C17" s="5" t="s">
        <v>7</v>
      </c>
      <c r="E17" s="6" t="s">
        <v>129</v>
      </c>
      <c r="I17" s="70"/>
    </row>
    <row r="18" spans="3:9" x14ac:dyDescent="0.3">
      <c r="C18" s="5" t="s">
        <v>8</v>
      </c>
      <c r="E18" s="6" t="s">
        <v>13</v>
      </c>
      <c r="I18" s="70"/>
    </row>
    <row r="19" spans="3:9" x14ac:dyDescent="0.3">
      <c r="C19" s="5" t="s">
        <v>178</v>
      </c>
      <c r="E19" s="6" t="s">
        <v>179</v>
      </c>
    </row>
    <row r="20" spans="3:9" x14ac:dyDescent="0.3">
      <c r="C20" s="5" t="s">
        <v>180</v>
      </c>
      <c r="E20" s="6" t="s">
        <v>243</v>
      </c>
    </row>
    <row r="21" spans="3:9" x14ac:dyDescent="0.3">
      <c r="C21" s="5" t="s">
        <v>181</v>
      </c>
      <c r="E21" s="6" t="s">
        <v>182</v>
      </c>
    </row>
    <row r="22" spans="3:9" x14ac:dyDescent="0.3">
      <c r="C22" s="5" t="s">
        <v>183</v>
      </c>
      <c r="E22" s="6" t="s">
        <v>203</v>
      </c>
    </row>
    <row r="23" spans="3:9" x14ac:dyDescent="0.3">
      <c r="C23" s="4">
        <v>4.5</v>
      </c>
      <c r="E23" s="6" t="s">
        <v>184</v>
      </c>
    </row>
    <row r="24" spans="3:9" x14ac:dyDescent="0.3">
      <c r="C24" s="4">
        <v>4.5999999999999996</v>
      </c>
      <c r="E24" s="6" t="s">
        <v>255</v>
      </c>
    </row>
  </sheetData>
  <mergeCells count="4">
    <mergeCell ref="A5:G5"/>
    <mergeCell ref="A6:G6"/>
    <mergeCell ref="A7:G7"/>
    <mergeCell ref="A8:G8"/>
  </mergeCells>
  <printOptions horizontalCentered="1"/>
  <pageMargins left="0.7" right="0.7" top="0.75" bottom="0.75" header="0.3" footer="0.3"/>
  <pageSetup scale="81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9"/>
  <sheetViews>
    <sheetView view="pageLayout" zoomScaleNormal="100" workbookViewId="0">
      <selection activeCell="K11" sqref="K11"/>
    </sheetView>
  </sheetViews>
  <sheetFormatPr defaultRowHeight="14.4" x14ac:dyDescent="0.3"/>
  <cols>
    <col min="1" max="1" width="8.33203125" bestFit="1" customWidth="1"/>
    <col min="2" max="2" width="19.6640625" customWidth="1"/>
    <col min="3" max="3" width="13.5546875" customWidth="1"/>
    <col min="4" max="4" width="17.44140625" customWidth="1"/>
    <col min="5" max="5" width="16.6640625" customWidth="1"/>
    <col min="6" max="6" width="17.6640625" customWidth="1"/>
  </cols>
  <sheetData>
    <row r="1" spans="1:11" x14ac:dyDescent="0.3">
      <c r="A1" s="4"/>
      <c r="E1" s="4"/>
      <c r="F1" s="4"/>
      <c r="H1" s="4"/>
    </row>
    <row r="2" spans="1:11" x14ac:dyDescent="0.3">
      <c r="A2" s="58" t="str">
        <f>'Sch 1.0'!A2:J2</f>
        <v>Duke Energy Kentucky</v>
      </c>
      <c r="B2" s="58"/>
      <c r="C2" s="58"/>
      <c r="D2" s="58"/>
      <c r="E2" s="58"/>
      <c r="F2" s="58"/>
      <c r="H2" s="58"/>
      <c r="I2" s="58"/>
    </row>
    <row r="3" spans="1:11" x14ac:dyDescent="0.3">
      <c r="A3" s="58" t="str">
        <f>'Sch 1.0'!A4:J4</f>
        <v>Rider PMM by Rate Schedule</v>
      </c>
      <c r="B3" s="58"/>
      <c r="C3" s="58"/>
      <c r="D3" s="58"/>
      <c r="E3" s="58"/>
      <c r="F3" s="58"/>
      <c r="H3" s="58"/>
      <c r="I3" s="58"/>
    </row>
    <row r="4" spans="1:11" x14ac:dyDescent="0.3">
      <c r="A4" s="58" t="s">
        <v>11</v>
      </c>
      <c r="B4" s="58"/>
      <c r="C4" s="58"/>
      <c r="D4" s="58"/>
      <c r="E4" s="58"/>
      <c r="F4" s="58"/>
      <c r="H4" s="58"/>
      <c r="I4" s="58"/>
    </row>
    <row r="5" spans="1:11" x14ac:dyDescent="0.3">
      <c r="A5" s="4"/>
      <c r="B5" s="4"/>
      <c r="C5" s="4"/>
      <c r="D5" s="4"/>
      <c r="E5" s="4"/>
      <c r="F5" s="4"/>
      <c r="H5" s="4"/>
      <c r="I5" s="4"/>
      <c r="J5" s="4"/>
      <c r="K5" s="4"/>
    </row>
    <row r="6" spans="1:11" x14ac:dyDescent="0.3">
      <c r="A6" s="3" t="s">
        <v>123</v>
      </c>
      <c r="B6" s="3"/>
      <c r="C6" s="3"/>
      <c r="D6" s="3"/>
      <c r="E6" s="3" t="s">
        <v>44</v>
      </c>
      <c r="F6" s="3" t="s">
        <v>45</v>
      </c>
    </row>
    <row r="7" spans="1:11" x14ac:dyDescent="0.3">
      <c r="A7" s="8" t="s">
        <v>124</v>
      </c>
      <c r="B7" s="8" t="s">
        <v>41</v>
      </c>
      <c r="C7" s="8" t="s">
        <v>42</v>
      </c>
      <c r="D7" s="8" t="s">
        <v>43</v>
      </c>
      <c r="E7" s="8" t="s">
        <v>43</v>
      </c>
      <c r="F7" s="8" t="s">
        <v>120</v>
      </c>
    </row>
    <row r="8" spans="1:11" x14ac:dyDescent="0.3">
      <c r="A8" s="8"/>
      <c r="B8" s="16" t="s">
        <v>62</v>
      </c>
      <c r="C8" s="3" t="s">
        <v>63</v>
      </c>
      <c r="D8" s="3" t="s">
        <v>65</v>
      </c>
      <c r="E8" s="3" t="s">
        <v>74</v>
      </c>
      <c r="F8" s="3" t="s">
        <v>99</v>
      </c>
    </row>
    <row r="10" spans="1:11" x14ac:dyDescent="0.3">
      <c r="A10" s="4">
        <v>1</v>
      </c>
      <c r="B10" t="s">
        <v>46</v>
      </c>
      <c r="C10" s="95">
        <v>2.6169999999999999E-2</v>
      </c>
      <c r="D10" s="95">
        <v>1.6670000000000001E-2</v>
      </c>
      <c r="E10" s="171">
        <f>ROUND(C10*D10,5)</f>
        <v>4.4000000000000002E-4</v>
      </c>
      <c r="F10" s="28">
        <f>E10</f>
        <v>4.4000000000000002E-4</v>
      </c>
    </row>
    <row r="11" spans="1:11" x14ac:dyDescent="0.3">
      <c r="A11" s="4">
        <f>A10+1</f>
        <v>2</v>
      </c>
      <c r="B11" t="s">
        <v>47</v>
      </c>
      <c r="C11" s="95">
        <v>0.46039000000000002</v>
      </c>
      <c r="D11" s="95">
        <v>3.6560000000000002E-2</v>
      </c>
      <c r="E11" s="171">
        <f>ROUND(C11*D11,5)</f>
        <v>1.6830000000000001E-2</v>
      </c>
      <c r="F11" s="28">
        <f>E11</f>
        <v>1.6830000000000001E-2</v>
      </c>
    </row>
    <row r="12" spans="1:11" x14ac:dyDescent="0.3">
      <c r="A12" s="4">
        <f>A11+1</f>
        <v>3</v>
      </c>
      <c r="B12" t="s">
        <v>48</v>
      </c>
      <c r="C12" s="96">
        <v>0.51344000000000001</v>
      </c>
      <c r="D12" s="95">
        <v>9.2999999999999999E-2</v>
      </c>
      <c r="E12" s="172">
        <f>ROUND(C12*D12,5)</f>
        <v>4.7750000000000001E-2</v>
      </c>
      <c r="F12" s="173">
        <f>ROUND(E12/(1-0.24925),5)</f>
        <v>6.3600000000000004E-2</v>
      </c>
    </row>
    <row r="13" spans="1:11" x14ac:dyDescent="0.3">
      <c r="A13" s="4">
        <f>A12+1</f>
        <v>4</v>
      </c>
      <c r="B13" t="s">
        <v>20</v>
      </c>
      <c r="C13" s="171">
        <f>SUM(C10:C12)</f>
        <v>1</v>
      </c>
      <c r="E13" s="28">
        <f>SUM(E10:E12)</f>
        <v>6.5019999999999994E-2</v>
      </c>
      <c r="F13" s="28">
        <f>SUM(F10:F12)</f>
        <v>8.0869999999999997E-2</v>
      </c>
    </row>
    <row r="18" spans="2:2" x14ac:dyDescent="0.3">
      <c r="B18" t="s">
        <v>238</v>
      </c>
    </row>
    <row r="19" spans="2:2" x14ac:dyDescent="0.3">
      <c r="B19" t="s">
        <v>239</v>
      </c>
    </row>
  </sheetData>
  <printOptions horizontalCentered="1"/>
  <pageMargins left="0.7" right="0.7" top="0.90833333333333333" bottom="0.75" header="0.3" footer="0.3"/>
  <pageSetup scale="80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50"/>
  <sheetViews>
    <sheetView view="pageLayout" zoomScale="55" zoomScaleNormal="85" zoomScaleSheetLayoutView="55" zoomScalePageLayoutView="55" workbookViewId="0">
      <selection activeCell="K11" sqref="K11"/>
    </sheetView>
  </sheetViews>
  <sheetFormatPr defaultRowHeight="14.4" x14ac:dyDescent="0.3"/>
  <cols>
    <col min="1" max="1" width="8.33203125" bestFit="1" customWidth="1"/>
    <col min="2" max="2" width="30.44140625" customWidth="1"/>
    <col min="3" max="4" width="13.5546875" customWidth="1"/>
    <col min="5" max="5" width="15.33203125" bestFit="1" customWidth="1"/>
    <col min="6" max="6" width="12.88671875" bestFit="1" customWidth="1"/>
    <col min="7" max="7" width="12.33203125" bestFit="1" customWidth="1"/>
    <col min="8" max="8" width="11.6640625" customWidth="1"/>
    <col min="9" max="9" width="14" customWidth="1"/>
    <col min="10" max="11" width="12.5546875" bestFit="1" customWidth="1"/>
    <col min="12" max="12" width="17" customWidth="1"/>
    <col min="13" max="13" width="12.33203125" bestFit="1" customWidth="1"/>
    <col min="14" max="14" width="14.6640625" customWidth="1"/>
    <col min="15" max="15" width="11.6640625" customWidth="1"/>
    <col min="16" max="17" width="12.5546875" bestFit="1" customWidth="1"/>
    <col min="18" max="18" width="13.6640625" bestFit="1" customWidth="1"/>
    <col min="19" max="19" width="10.5546875" bestFit="1" customWidth="1"/>
    <col min="20" max="20" width="13.5546875" customWidth="1"/>
  </cols>
  <sheetData>
    <row r="1" spans="1:20" x14ac:dyDescent="0.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</row>
    <row r="2" spans="1:20" x14ac:dyDescent="0.3">
      <c r="A2" s="58" t="str">
        <f>'Sch 1.0'!A3:J3</f>
        <v>Pipeline Modernization Mechanism ("Rider PMM")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20" x14ac:dyDescent="0.3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0" x14ac:dyDescent="0.3">
      <c r="A4" s="4"/>
    </row>
    <row r="5" spans="1:20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R5" s="3"/>
    </row>
    <row r="6" spans="1:20" x14ac:dyDescent="0.3">
      <c r="A6" s="3" t="s">
        <v>123</v>
      </c>
      <c r="B6" s="3"/>
      <c r="C6" s="3" t="s">
        <v>49</v>
      </c>
      <c r="D6" s="3"/>
      <c r="E6" s="3" t="s">
        <v>92</v>
      </c>
      <c r="F6" s="166" t="s">
        <v>229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3" t="s">
        <v>92</v>
      </c>
    </row>
    <row r="7" spans="1:20" x14ac:dyDescent="0.3">
      <c r="A7" s="8" t="s">
        <v>124</v>
      </c>
      <c r="B7" s="8" t="s">
        <v>9</v>
      </c>
      <c r="C7" s="8" t="s">
        <v>50</v>
      </c>
      <c r="D7" s="8"/>
      <c r="E7" s="90">
        <v>2024</v>
      </c>
      <c r="F7" s="8" t="s">
        <v>81</v>
      </c>
      <c r="G7" s="8" t="s">
        <v>82</v>
      </c>
      <c r="H7" s="8" t="s">
        <v>83</v>
      </c>
      <c r="I7" s="8" t="s">
        <v>84</v>
      </c>
      <c r="J7" s="8" t="s">
        <v>85</v>
      </c>
      <c r="K7" s="8" t="s">
        <v>86</v>
      </c>
      <c r="L7" s="8" t="s">
        <v>87</v>
      </c>
      <c r="M7" s="8" t="s">
        <v>88</v>
      </c>
      <c r="N7" s="8" t="s">
        <v>89</v>
      </c>
      <c r="O7" s="8" t="s">
        <v>90</v>
      </c>
      <c r="P7" s="8" t="s">
        <v>91</v>
      </c>
      <c r="Q7" s="8" t="s">
        <v>80</v>
      </c>
      <c r="R7" s="90">
        <v>2025</v>
      </c>
    </row>
    <row r="8" spans="1:20" x14ac:dyDescent="0.3">
      <c r="B8" s="16" t="s">
        <v>62</v>
      </c>
      <c r="C8" s="16" t="s">
        <v>63</v>
      </c>
      <c r="D8" s="16" t="s">
        <v>65</v>
      </c>
      <c r="E8" s="16" t="s">
        <v>74</v>
      </c>
      <c r="F8" s="16" t="s">
        <v>99</v>
      </c>
      <c r="G8" s="16" t="s">
        <v>100</v>
      </c>
      <c r="H8" s="16" t="s">
        <v>101</v>
      </c>
      <c r="I8" s="16" t="s">
        <v>102</v>
      </c>
      <c r="J8" s="16" t="s">
        <v>103</v>
      </c>
      <c r="K8" s="16" t="s">
        <v>104</v>
      </c>
      <c r="L8" s="16" t="s">
        <v>105</v>
      </c>
      <c r="M8" s="16" t="s">
        <v>106</v>
      </c>
      <c r="N8" s="16" t="s">
        <v>107</v>
      </c>
      <c r="O8" s="16" t="s">
        <v>108</v>
      </c>
      <c r="P8" s="16" t="s">
        <v>109</v>
      </c>
      <c r="Q8" s="16" t="s">
        <v>110</v>
      </c>
      <c r="R8" s="16" t="s">
        <v>112</v>
      </c>
    </row>
    <row r="10" spans="1:20" ht="16.2" x14ac:dyDescent="0.3">
      <c r="B10" s="9" t="s">
        <v>114</v>
      </c>
    </row>
    <row r="11" spans="1:20" x14ac:dyDescent="0.3">
      <c r="B11" s="9" t="s">
        <v>51</v>
      </c>
    </row>
    <row r="12" spans="1:20" x14ac:dyDescent="0.3">
      <c r="A12" s="4">
        <v>1</v>
      </c>
      <c r="B12" t="s">
        <v>144</v>
      </c>
      <c r="C12" s="92">
        <v>376</v>
      </c>
      <c r="D12" s="154"/>
      <c r="E12" s="55">
        <v>73178101.629999995</v>
      </c>
      <c r="F12" s="89">
        <v>1667081.2799999993</v>
      </c>
      <c r="G12" s="89">
        <v>-672650.12000000011</v>
      </c>
      <c r="H12" s="89">
        <v>859764.81000000145</v>
      </c>
      <c r="I12" s="89">
        <v>-3979327.2500000009</v>
      </c>
      <c r="J12" s="89">
        <v>244806.21</v>
      </c>
      <c r="K12" s="89">
        <v>63110.340000000011</v>
      </c>
      <c r="L12" s="89">
        <v>-1606117.98</v>
      </c>
      <c r="M12" s="89">
        <v>16808.43</v>
      </c>
      <c r="N12" s="89">
        <v>44618045.899999999</v>
      </c>
      <c r="O12" s="89">
        <v>519609.34999999963</v>
      </c>
      <c r="P12" s="89">
        <v>3555890.67</v>
      </c>
      <c r="Q12" s="89">
        <v>329526.46999999997</v>
      </c>
      <c r="R12" s="46">
        <f>SUM(E12:Q12)</f>
        <v>118794649.73999999</v>
      </c>
      <c r="T12" s="89"/>
    </row>
    <row r="13" spans="1:20" x14ac:dyDescent="0.3">
      <c r="A13" s="4">
        <v>2</v>
      </c>
      <c r="B13" t="s">
        <v>148</v>
      </c>
      <c r="C13" s="92">
        <v>378</v>
      </c>
      <c r="D13" s="154"/>
      <c r="E13" s="55">
        <v>18757283.93</v>
      </c>
      <c r="F13" s="89">
        <v>-228200.87</v>
      </c>
      <c r="G13" s="89">
        <v>78355.219999999972</v>
      </c>
      <c r="H13" s="89">
        <v>400.72</v>
      </c>
      <c r="I13" s="89">
        <v>1736.8299999999997</v>
      </c>
      <c r="J13" s="89">
        <v>0</v>
      </c>
      <c r="K13" s="89">
        <v>4959.5</v>
      </c>
      <c r="L13" s="89">
        <v>3916.11</v>
      </c>
      <c r="M13" s="89">
        <v>1086.8</v>
      </c>
      <c r="N13" s="89">
        <v>1351918.3299999998</v>
      </c>
      <c r="O13" s="89">
        <v>69294.58</v>
      </c>
      <c r="P13" s="89">
        <v>-433056.35</v>
      </c>
      <c r="Q13" s="89">
        <v>26813</v>
      </c>
      <c r="R13" s="46">
        <f>SUM(E13:Q13)</f>
        <v>19634507.79999999</v>
      </c>
      <c r="T13" s="89"/>
    </row>
    <row r="14" spans="1:20" x14ac:dyDescent="0.3">
      <c r="A14" s="4">
        <v>3</v>
      </c>
      <c r="B14" t="s">
        <v>147</v>
      </c>
      <c r="C14" s="92">
        <v>374</v>
      </c>
      <c r="D14" s="154"/>
      <c r="E14" s="76">
        <v>5924237.0899999999</v>
      </c>
      <c r="F14" s="94">
        <v>0</v>
      </c>
      <c r="G14" s="94">
        <v>754.44</v>
      </c>
      <c r="H14" s="94">
        <v>7009.36</v>
      </c>
      <c r="I14" s="94">
        <v>3591107.6499999994</v>
      </c>
      <c r="J14" s="94">
        <v>164.96</v>
      </c>
      <c r="K14" s="94">
        <v>12197.4</v>
      </c>
      <c r="L14" s="94">
        <v>7173.85</v>
      </c>
      <c r="M14" s="94">
        <v>4339.3999999999996</v>
      </c>
      <c r="N14" s="94">
        <v>2474148.65</v>
      </c>
      <c r="O14" s="94">
        <v>11371.96</v>
      </c>
      <c r="P14" s="94">
        <v>4159.67</v>
      </c>
      <c r="Q14" s="94">
        <v>115050.20999999999</v>
      </c>
      <c r="R14" s="48">
        <f>SUM(E14:Q14)</f>
        <v>12151714.640000002</v>
      </c>
      <c r="T14" s="89"/>
    </row>
    <row r="15" spans="1:20" x14ac:dyDescent="0.3">
      <c r="A15" s="4">
        <v>4</v>
      </c>
      <c r="B15" t="s">
        <v>52</v>
      </c>
      <c r="C15" s="31"/>
      <c r="D15" s="155"/>
      <c r="E15" s="47">
        <f>SUM(E12:E14)</f>
        <v>97859622.650000006</v>
      </c>
      <c r="F15" s="47">
        <f t="shared" ref="F15:Q15" si="0">SUM(F12:F14)</f>
        <v>1438880.4099999992</v>
      </c>
      <c r="G15" s="47">
        <f t="shared" si="0"/>
        <v>-593540.4600000002</v>
      </c>
      <c r="H15" s="47">
        <f t="shared" si="0"/>
        <v>867174.89000000141</v>
      </c>
      <c r="I15" s="47">
        <f t="shared" si="0"/>
        <v>-386482.77000000142</v>
      </c>
      <c r="J15" s="47">
        <f t="shared" si="0"/>
        <v>244971.16999999998</v>
      </c>
      <c r="K15" s="47">
        <f t="shared" si="0"/>
        <v>80267.240000000005</v>
      </c>
      <c r="L15" s="47">
        <f t="shared" si="0"/>
        <v>-1595028.0199999998</v>
      </c>
      <c r="M15" s="47">
        <f t="shared" si="0"/>
        <v>22234.629999999997</v>
      </c>
      <c r="N15" s="47">
        <f t="shared" si="0"/>
        <v>48444112.879999995</v>
      </c>
      <c r="O15" s="47">
        <f t="shared" si="0"/>
        <v>600275.88999999955</v>
      </c>
      <c r="P15" s="47">
        <f t="shared" si="0"/>
        <v>3126993.9899999998</v>
      </c>
      <c r="Q15" s="47">
        <f t="shared" si="0"/>
        <v>471389.67999999993</v>
      </c>
      <c r="R15" s="47">
        <f>SUM(R12:R14)</f>
        <v>150580872.18000001</v>
      </c>
    </row>
    <row r="16" spans="1:20" x14ac:dyDescent="0.3">
      <c r="A16" s="4"/>
      <c r="C16" s="31"/>
      <c r="D16" s="156"/>
      <c r="E16" s="4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7"/>
    </row>
    <row r="17" spans="1:20" x14ac:dyDescent="0.3">
      <c r="B17" s="9" t="s">
        <v>53</v>
      </c>
      <c r="C17" s="4"/>
      <c r="D17" s="157"/>
      <c r="E17" s="47"/>
      <c r="F17" s="7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20" x14ac:dyDescent="0.3">
      <c r="A18" s="4">
        <v>5</v>
      </c>
      <c r="B18" t="s">
        <v>144</v>
      </c>
      <c r="C18" s="92">
        <v>376</v>
      </c>
      <c r="D18" s="158"/>
      <c r="E18" s="107">
        <v>259459.20000000001</v>
      </c>
      <c r="F18" s="89">
        <v>0</v>
      </c>
      <c r="G18" s="89">
        <v>0</v>
      </c>
      <c r="H18" s="89">
        <v>402800.7</v>
      </c>
      <c r="I18" s="89">
        <v>0</v>
      </c>
      <c r="J18" s="89">
        <v>-259459.20000000001</v>
      </c>
      <c r="K18" s="89">
        <v>268153.92</v>
      </c>
      <c r="L18" s="89">
        <v>0</v>
      </c>
      <c r="M18" s="89">
        <v>0</v>
      </c>
      <c r="N18" s="89">
        <v>0</v>
      </c>
      <c r="O18" s="89">
        <v>500819.76</v>
      </c>
      <c r="P18" s="89">
        <v>0</v>
      </c>
      <c r="Q18" s="89">
        <v>0</v>
      </c>
      <c r="R18" s="46">
        <f>SUM(E18:Q18)</f>
        <v>1171774.3799999999</v>
      </c>
    </row>
    <row r="19" spans="1:20" x14ac:dyDescent="0.3">
      <c r="A19" s="4">
        <v>6</v>
      </c>
      <c r="B19" t="s">
        <v>148</v>
      </c>
      <c r="C19" s="108">
        <v>378</v>
      </c>
      <c r="D19" s="159"/>
      <c r="E19" s="107">
        <v>2407</v>
      </c>
      <c r="F19" s="89">
        <v>0</v>
      </c>
      <c r="G19" s="89">
        <v>0</v>
      </c>
      <c r="H19" s="89">
        <v>0</v>
      </c>
      <c r="I19" s="89">
        <v>0</v>
      </c>
      <c r="J19" s="89">
        <v>-2407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46">
        <f>SUM(E19:Q19)</f>
        <v>0</v>
      </c>
      <c r="T19" s="46"/>
    </row>
    <row r="20" spans="1:20" x14ac:dyDescent="0.3">
      <c r="A20" s="4">
        <v>7</v>
      </c>
      <c r="B20" t="s">
        <v>147</v>
      </c>
      <c r="C20" s="108">
        <v>374</v>
      </c>
      <c r="D20" s="159"/>
      <c r="E20" s="76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48">
        <f>SUM(E20:Q20)</f>
        <v>0</v>
      </c>
      <c r="T20" s="89"/>
    </row>
    <row r="21" spans="1:20" x14ac:dyDescent="0.3">
      <c r="A21" s="4">
        <v>8</v>
      </c>
      <c r="B21" t="s">
        <v>54</v>
      </c>
      <c r="C21" s="4"/>
      <c r="D21" s="157"/>
      <c r="E21" s="47">
        <f>SUM(E18:E20)</f>
        <v>261866.2</v>
      </c>
      <c r="F21" s="47">
        <f t="shared" ref="F21:R21" si="1">SUM(F18:F20)</f>
        <v>0</v>
      </c>
      <c r="G21" s="47">
        <f t="shared" si="1"/>
        <v>0</v>
      </c>
      <c r="H21" s="47">
        <f t="shared" si="1"/>
        <v>402800.7</v>
      </c>
      <c r="I21" s="47">
        <f t="shared" si="1"/>
        <v>0</v>
      </c>
      <c r="J21" s="47">
        <f t="shared" si="1"/>
        <v>-261866.2</v>
      </c>
      <c r="K21" s="47">
        <f t="shared" si="1"/>
        <v>268153.92</v>
      </c>
      <c r="L21" s="47">
        <f t="shared" si="1"/>
        <v>0</v>
      </c>
      <c r="M21" s="47">
        <f t="shared" si="1"/>
        <v>0</v>
      </c>
      <c r="N21" s="47">
        <f t="shared" si="1"/>
        <v>0</v>
      </c>
      <c r="O21" s="47">
        <f t="shared" si="1"/>
        <v>500819.76</v>
      </c>
      <c r="P21" s="47">
        <f t="shared" si="1"/>
        <v>0</v>
      </c>
      <c r="Q21" s="47">
        <f t="shared" si="1"/>
        <v>0</v>
      </c>
      <c r="R21" s="47">
        <f t="shared" si="1"/>
        <v>1171774.3799999999</v>
      </c>
      <c r="T21" s="46"/>
    </row>
    <row r="22" spans="1:20" x14ac:dyDescent="0.3">
      <c r="C22" s="4"/>
      <c r="D22" s="157"/>
      <c r="E22" s="4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T22" s="46"/>
    </row>
    <row r="23" spans="1:20" x14ac:dyDescent="0.3">
      <c r="B23" s="9" t="s">
        <v>24</v>
      </c>
      <c r="C23" s="4"/>
      <c r="D23" s="157"/>
      <c r="E23" s="4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20" x14ac:dyDescent="0.3">
      <c r="A24" s="4">
        <v>9</v>
      </c>
      <c r="B24" t="s">
        <v>144</v>
      </c>
      <c r="C24" s="92">
        <v>376</v>
      </c>
      <c r="D24" s="154"/>
      <c r="E24" s="55">
        <v>1551984.67</v>
      </c>
      <c r="F24" s="55">
        <v>10756.21</v>
      </c>
      <c r="G24" s="55">
        <v>2670.68</v>
      </c>
      <c r="H24" s="89">
        <v>3968.4800000000014</v>
      </c>
      <c r="I24" s="89">
        <v>328227.34000000003</v>
      </c>
      <c r="J24" s="89">
        <v>5152.6899999999732</v>
      </c>
      <c r="K24" s="89">
        <v>6956.3599999999988</v>
      </c>
      <c r="L24" s="89">
        <v>1175.53</v>
      </c>
      <c r="M24" s="89">
        <v>4980.5700000000006</v>
      </c>
      <c r="N24" s="89">
        <v>632898.35</v>
      </c>
      <c r="O24" s="89">
        <v>252143.80999999997</v>
      </c>
      <c r="P24" s="89">
        <v>122223.59000000001</v>
      </c>
      <c r="Q24" s="89">
        <v>4798.1499999999996</v>
      </c>
      <c r="R24" s="46">
        <f>SUM(E24:Q24)</f>
        <v>2927936.4299999997</v>
      </c>
      <c r="T24" s="89"/>
    </row>
    <row r="25" spans="1:20" x14ac:dyDescent="0.3">
      <c r="A25" s="4">
        <v>10</v>
      </c>
      <c r="B25" t="s">
        <v>148</v>
      </c>
      <c r="C25" s="108">
        <v>378</v>
      </c>
      <c r="D25" s="160"/>
      <c r="E25" s="55">
        <v>32711.599999999999</v>
      </c>
      <c r="F25" s="89">
        <v>232400.69</v>
      </c>
      <c r="G25" s="89">
        <v>59091.119999999995</v>
      </c>
      <c r="H25" s="89">
        <v>0</v>
      </c>
      <c r="I25" s="89">
        <v>-324203.41000000003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46">
        <f t="shared" ref="R25:R26" si="2">SUM(E25:Q25)</f>
        <v>-5.8207660913467407E-11</v>
      </c>
      <c r="T25" s="89"/>
    </row>
    <row r="26" spans="1:20" x14ac:dyDescent="0.3">
      <c r="A26" s="4">
        <v>11</v>
      </c>
      <c r="B26" t="s">
        <v>147</v>
      </c>
      <c r="C26" s="108">
        <v>374</v>
      </c>
      <c r="D26" s="160"/>
      <c r="E26" s="76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46">
        <f t="shared" si="2"/>
        <v>0</v>
      </c>
    </row>
    <row r="27" spans="1:20" x14ac:dyDescent="0.3">
      <c r="A27" s="4">
        <v>12</v>
      </c>
      <c r="B27" t="s">
        <v>55</v>
      </c>
      <c r="E27" s="47">
        <f>SUM(E24:E26)</f>
        <v>1584696.27</v>
      </c>
      <c r="F27" s="47">
        <f t="shared" ref="F27:R27" si="3">SUM(F24:F26)</f>
        <v>243156.9</v>
      </c>
      <c r="G27" s="47">
        <f t="shared" si="3"/>
        <v>61761.799999999996</v>
      </c>
      <c r="H27" s="47">
        <f t="shared" si="3"/>
        <v>3968.4800000000014</v>
      </c>
      <c r="I27" s="47">
        <f t="shared" si="3"/>
        <v>4023.929999999993</v>
      </c>
      <c r="J27" s="47">
        <f t="shared" si="3"/>
        <v>5152.6899999999732</v>
      </c>
      <c r="K27" s="47">
        <f t="shared" si="3"/>
        <v>6956.3599999999988</v>
      </c>
      <c r="L27" s="47">
        <f t="shared" si="3"/>
        <v>1175.53</v>
      </c>
      <c r="M27" s="47">
        <f t="shared" si="3"/>
        <v>4980.5700000000006</v>
      </c>
      <c r="N27" s="47">
        <f t="shared" si="3"/>
        <v>632898.35</v>
      </c>
      <c r="O27" s="47">
        <f t="shared" si="3"/>
        <v>252143.80999999997</v>
      </c>
      <c r="P27" s="47">
        <f t="shared" si="3"/>
        <v>122223.59000000001</v>
      </c>
      <c r="Q27" s="47">
        <f t="shared" si="3"/>
        <v>4798.1499999999996</v>
      </c>
      <c r="R27" s="47">
        <f t="shared" si="3"/>
        <v>2927936.4299999997</v>
      </c>
    </row>
    <row r="29" spans="1:20" x14ac:dyDescent="0.3">
      <c r="B29" s="9"/>
      <c r="C29" s="34"/>
      <c r="D29" s="34"/>
      <c r="E29" s="103"/>
      <c r="G29" s="37"/>
      <c r="H29" s="37"/>
      <c r="I29" s="212"/>
      <c r="J29" s="37"/>
      <c r="K29" s="37"/>
      <c r="L29" s="37"/>
      <c r="M29" s="37"/>
      <c r="N29" s="37"/>
      <c r="O29" s="37"/>
      <c r="P29" s="37"/>
      <c r="Q29" s="37"/>
      <c r="R29" s="103"/>
    </row>
    <row r="30" spans="1:20" x14ac:dyDescent="0.3">
      <c r="A30" s="4"/>
      <c r="B30" s="33"/>
      <c r="C30" s="34"/>
      <c r="D30" s="34" t="s">
        <v>95</v>
      </c>
      <c r="E30" s="5"/>
      <c r="H30" s="35"/>
      <c r="I30" s="16"/>
      <c r="J30" s="16"/>
      <c r="K30" s="16"/>
      <c r="L30" s="16"/>
      <c r="M30" s="16"/>
      <c r="N30" s="16"/>
      <c r="O30" s="16"/>
      <c r="P30" s="16"/>
      <c r="Q30" s="16"/>
      <c r="R30" s="1"/>
    </row>
    <row r="31" spans="1:20" x14ac:dyDescent="0.3">
      <c r="A31" s="4"/>
      <c r="B31" s="33"/>
      <c r="D31" s="3" t="s">
        <v>31</v>
      </c>
      <c r="E31" s="3" t="s">
        <v>93</v>
      </c>
      <c r="R31" s="3" t="s">
        <v>96</v>
      </c>
    </row>
    <row r="32" spans="1:20" x14ac:dyDescent="0.3">
      <c r="A32" s="4"/>
      <c r="D32" s="3" t="s">
        <v>94</v>
      </c>
      <c r="E32" s="3" t="s">
        <v>92</v>
      </c>
      <c r="F32" s="166" t="s">
        <v>230</v>
      </c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36" t="s">
        <v>97</v>
      </c>
    </row>
    <row r="33" spans="1:18" x14ac:dyDescent="0.3">
      <c r="A33" s="4"/>
      <c r="B33" s="9" t="s">
        <v>111</v>
      </c>
      <c r="D33" s="3"/>
      <c r="E33" s="57">
        <f>E7</f>
        <v>2024</v>
      </c>
      <c r="F33" s="8" t="s">
        <v>81</v>
      </c>
      <c r="G33" s="8" t="s">
        <v>82</v>
      </c>
      <c r="H33" s="8" t="s">
        <v>83</v>
      </c>
      <c r="I33" s="8" t="s">
        <v>84</v>
      </c>
      <c r="J33" s="8" t="s">
        <v>85</v>
      </c>
      <c r="K33" s="8" t="s">
        <v>86</v>
      </c>
      <c r="L33" s="8" t="s">
        <v>87</v>
      </c>
      <c r="M33" s="8" t="s">
        <v>88</v>
      </c>
      <c r="N33" s="8" t="s">
        <v>89</v>
      </c>
      <c r="O33" s="8" t="s">
        <v>90</v>
      </c>
      <c r="P33" s="8" t="s">
        <v>91</v>
      </c>
      <c r="Q33" s="8" t="s">
        <v>80</v>
      </c>
    </row>
    <row r="34" spans="1:18" x14ac:dyDescent="0.3">
      <c r="A34" s="4"/>
      <c r="B34" s="9" t="s">
        <v>51</v>
      </c>
      <c r="D34" s="3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8" x14ac:dyDescent="0.3">
      <c r="A35" s="4">
        <f>A27+1</f>
        <v>13</v>
      </c>
      <c r="B35" t="s">
        <v>144</v>
      </c>
      <c r="C35" s="77">
        <v>376</v>
      </c>
      <c r="D35" s="138">
        <v>1.49E-2</v>
      </c>
      <c r="E35" s="89">
        <v>0</v>
      </c>
      <c r="F35" s="55">
        <f>ROUND(SUM($E$12:E12)*0.0149/12,0)</f>
        <v>90863</v>
      </c>
      <c r="G35" s="55">
        <f>ROUND(SUM($E$12:F12)*0.0149/12,0)</f>
        <v>92933</v>
      </c>
      <c r="H35" s="55">
        <f>ROUND(SUM($E$12:G12)*0.0149/12,0)</f>
        <v>92098</v>
      </c>
      <c r="I35" s="55">
        <f>ROUND(SUM($E$12:H12)*0.0149/12,0)</f>
        <v>93165</v>
      </c>
      <c r="J35" s="55">
        <f>ROUND(SUM($E$12:I12)*0.0149/12,0)</f>
        <v>88224</v>
      </c>
      <c r="K35" s="55">
        <f>ROUND(SUM($E$12:J12)*0.0149/12,0)</f>
        <v>88528</v>
      </c>
      <c r="L35" s="55">
        <f>ROUND(SUM($E$12:K12)*0.0149/12,0)</f>
        <v>88606</v>
      </c>
      <c r="M35" s="55">
        <f>ROUND(SUM($E$12:L12)*0.0149/12,0)</f>
        <v>86612</v>
      </c>
      <c r="N35" s="55">
        <f>ROUND(SUM($E$12:M12)*0.0149/12,0)</f>
        <v>86633</v>
      </c>
      <c r="O35" s="55">
        <f>ROUND(SUM($E$12:N12)*0.0149/12,0)</f>
        <v>142034</v>
      </c>
      <c r="P35" s="55">
        <f>ROUND(SUM($E$12:O12)*0.0149/12,0)</f>
        <v>142679</v>
      </c>
      <c r="Q35" s="55">
        <f>ROUND(SUM($E$12:P12)*0.0149/12,0)</f>
        <v>147094</v>
      </c>
      <c r="R35" s="17"/>
    </row>
    <row r="36" spans="1:18" x14ac:dyDescent="0.3">
      <c r="A36" s="4">
        <v>14</v>
      </c>
      <c r="B36" t="s">
        <v>148</v>
      </c>
      <c r="C36" s="77">
        <v>378</v>
      </c>
      <c r="D36" s="138">
        <v>2.0400000000000001E-2</v>
      </c>
      <c r="E36" s="89">
        <v>0</v>
      </c>
      <c r="F36" s="55">
        <f>ROUND(SUM($E$13:E13)*0.0204/12,0)</f>
        <v>31887</v>
      </c>
      <c r="G36" s="55">
        <f>ROUND(SUM($E$13:F13)*0.0204/12,0)</f>
        <v>31499</v>
      </c>
      <c r="H36" s="55">
        <f>ROUND(SUM($E$13:G13)*0.0204/12,0)</f>
        <v>31633</v>
      </c>
      <c r="I36" s="55">
        <f>ROUND(SUM($E$13:H13)*0.0204/12,0)</f>
        <v>31633</v>
      </c>
      <c r="J36" s="55">
        <f>ROUND(SUM($E$13:I13)*0.0204/12,0)</f>
        <v>31636</v>
      </c>
      <c r="K36" s="55">
        <f>ROUND(SUM($E$13:J13)*0.0204/12,0)</f>
        <v>31636</v>
      </c>
      <c r="L36" s="55">
        <f>ROUND(SUM($E$13:K13)*0.0204/12,0)</f>
        <v>31645</v>
      </c>
      <c r="M36" s="55">
        <f>ROUND(SUM($E$13:L13)*0.0204/12,0)</f>
        <v>31651</v>
      </c>
      <c r="N36" s="55">
        <f>ROUND(SUM($E$13:M13)*0.0204/12,0)</f>
        <v>31653</v>
      </c>
      <c r="O36" s="55">
        <f>ROUND(SUM($E$13:N13)*0.0204/12,0)</f>
        <v>33951</v>
      </c>
      <c r="P36" s="55">
        <f>ROUND(SUM($E$13:O13)*0.0204/12,0)</f>
        <v>34069</v>
      </c>
      <c r="Q36" s="55">
        <f>ROUND(SUM($E$13:P13)*0.0204/12,0)</f>
        <v>33333</v>
      </c>
      <c r="R36" s="17"/>
    </row>
    <row r="37" spans="1:18" x14ac:dyDescent="0.3">
      <c r="A37" s="4">
        <v>15</v>
      </c>
      <c r="B37" t="s">
        <v>147</v>
      </c>
      <c r="C37" s="77">
        <v>374</v>
      </c>
      <c r="D37" s="138">
        <v>0</v>
      </c>
      <c r="E37" s="94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17"/>
    </row>
    <row r="38" spans="1:18" x14ac:dyDescent="0.3">
      <c r="A38" s="4">
        <v>16</v>
      </c>
      <c r="B38" t="s">
        <v>52</v>
      </c>
      <c r="C38" s="31"/>
      <c r="D38" s="161"/>
      <c r="E38" s="49">
        <f>SUM(E35:E35)</f>
        <v>0</v>
      </c>
      <c r="F38" s="49">
        <f>SUM(F35:F37)</f>
        <v>122750</v>
      </c>
      <c r="G38" s="49">
        <f t="shared" ref="G38:Q38" si="4">SUM(G35:G37)</f>
        <v>124432</v>
      </c>
      <c r="H38" s="49">
        <f t="shared" si="4"/>
        <v>123731</v>
      </c>
      <c r="I38" s="49">
        <f t="shared" si="4"/>
        <v>124798</v>
      </c>
      <c r="J38" s="49">
        <f t="shared" si="4"/>
        <v>119860</v>
      </c>
      <c r="K38" s="49">
        <f t="shared" si="4"/>
        <v>120164</v>
      </c>
      <c r="L38" s="49">
        <f t="shared" si="4"/>
        <v>120251</v>
      </c>
      <c r="M38" s="49">
        <f t="shared" si="4"/>
        <v>118263</v>
      </c>
      <c r="N38" s="49">
        <f t="shared" si="4"/>
        <v>118286</v>
      </c>
      <c r="O38" s="49">
        <f t="shared" si="4"/>
        <v>175985</v>
      </c>
      <c r="P38" s="49">
        <f t="shared" si="4"/>
        <v>176748</v>
      </c>
      <c r="Q38" s="49">
        <f t="shared" si="4"/>
        <v>180427</v>
      </c>
      <c r="R38" s="17"/>
    </row>
    <row r="39" spans="1:18" x14ac:dyDescent="0.3">
      <c r="A39" s="4"/>
      <c r="C39" s="31"/>
      <c r="D39" s="161"/>
      <c r="F39" s="1"/>
    </row>
    <row r="40" spans="1:18" x14ac:dyDescent="0.3">
      <c r="A40" s="4"/>
      <c r="B40" s="9" t="s">
        <v>53</v>
      </c>
      <c r="D40" s="3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8" x14ac:dyDescent="0.3">
      <c r="A41" s="4">
        <v>17</v>
      </c>
      <c r="B41" t="s">
        <v>144</v>
      </c>
      <c r="C41" s="77">
        <v>376</v>
      </c>
      <c r="D41" s="138">
        <v>1.49E-2</v>
      </c>
      <c r="E41" s="89">
        <v>0</v>
      </c>
      <c r="F41" s="55">
        <f>ROUND(SUM($E$18:E18)*0.0149/12,0)</f>
        <v>322</v>
      </c>
      <c r="G41" s="55">
        <f>ROUND(SUM($E$18:F18)*0.0149/12,0)</f>
        <v>322</v>
      </c>
      <c r="H41" s="55">
        <f>ROUND(SUM($E$18:G18)*0.0149/12,0)</f>
        <v>322</v>
      </c>
      <c r="I41" s="55">
        <f>ROUND(SUM($E$18:H18)*0.0149/12,0)</f>
        <v>822</v>
      </c>
      <c r="J41" s="55">
        <f>ROUND(SUM($E$18:I18)*0.0149/12,0)</f>
        <v>822</v>
      </c>
      <c r="K41" s="55">
        <f>ROUND(SUM($E$18:J18)*0.0149/12,0)</f>
        <v>500</v>
      </c>
      <c r="L41" s="55">
        <f>ROUND(SUM($E$18:K18)*0.0149/12,0)</f>
        <v>833</v>
      </c>
      <c r="M41" s="55">
        <f>ROUND(SUM($E$18:L18)*0.0149/12,0)</f>
        <v>833</v>
      </c>
      <c r="N41" s="55">
        <f>ROUND(SUM($E$18:M18)*0.0149/12,0)</f>
        <v>833</v>
      </c>
      <c r="O41" s="55">
        <f>ROUND(SUM($E$18:N18)*0.0149/12,0)</f>
        <v>833</v>
      </c>
      <c r="P41" s="55">
        <f>ROUND(SUM($E$18:O18)*0.0149/12,0)</f>
        <v>1455</v>
      </c>
      <c r="Q41" s="55">
        <f>ROUND(SUM($E$18:P18)*0.0149/12,0)</f>
        <v>1455</v>
      </c>
      <c r="R41" s="17"/>
    </row>
    <row r="42" spans="1:18" x14ac:dyDescent="0.3">
      <c r="A42" s="4">
        <v>18</v>
      </c>
      <c r="B42" t="s">
        <v>148</v>
      </c>
      <c r="C42" s="77">
        <v>378</v>
      </c>
      <c r="D42" s="138">
        <v>2.0400000000000001E-2</v>
      </c>
      <c r="E42" s="89">
        <v>0</v>
      </c>
      <c r="F42" s="107">
        <f>ROUND(SUM($E$19:E19)*0.0204/12,0)</f>
        <v>4</v>
      </c>
      <c r="G42" s="107">
        <f>ROUND(SUM($E$19:F19)*0.0204/12,0)</f>
        <v>4</v>
      </c>
      <c r="H42" s="107">
        <f>ROUND(SUM($E$19:G19)*0.0204/12,0)</f>
        <v>4</v>
      </c>
      <c r="I42" s="107">
        <f>ROUND(SUM($E$19:H19)*0.0204/12,0)</f>
        <v>4</v>
      </c>
      <c r="J42" s="107">
        <f>ROUND(SUM($E$19:I19)*0.0204/12,0)</f>
        <v>4</v>
      </c>
      <c r="K42" s="55">
        <f>ROUND(SUM($E$19:J19)*0.0204/12,0)</f>
        <v>0</v>
      </c>
      <c r="L42" s="55">
        <f>ROUND(SUM($E$19:K19)*0.0204/12,0)</f>
        <v>0</v>
      </c>
      <c r="M42" s="55">
        <f>ROUND(SUM($E$19:L19)*0.0204/12,0)</f>
        <v>0</v>
      </c>
      <c r="N42" s="55">
        <f>ROUND(SUM($E$19:M19)*0.0204/12,0)</f>
        <v>0</v>
      </c>
      <c r="O42" s="55">
        <f>ROUND(SUM($E$19:N19)*0.0204/12,0)</f>
        <v>0</v>
      </c>
      <c r="P42" s="55">
        <f>ROUND(SUM($E$19:O19)*0.0204/12,0)</f>
        <v>0</v>
      </c>
      <c r="Q42" s="55">
        <f>ROUND(SUM($E$19:P19)*0.0204/12,0)</f>
        <v>0</v>
      </c>
      <c r="R42" s="17"/>
    </row>
    <row r="43" spans="1:18" x14ac:dyDescent="0.3">
      <c r="A43" s="4">
        <v>19</v>
      </c>
      <c r="B43" t="s">
        <v>147</v>
      </c>
      <c r="C43" s="77">
        <v>374</v>
      </c>
      <c r="D43" s="138">
        <v>0</v>
      </c>
      <c r="E43" s="94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17"/>
    </row>
    <row r="44" spans="1:18" x14ac:dyDescent="0.3">
      <c r="A44" s="4">
        <v>20</v>
      </c>
      <c r="B44" t="s">
        <v>54</v>
      </c>
      <c r="C44" s="31"/>
      <c r="D44" s="161"/>
      <c r="E44" s="49">
        <f t="shared" ref="E44:Q44" si="5">SUM(E41:E41)</f>
        <v>0</v>
      </c>
      <c r="F44" s="49">
        <f>SUM(F41:F43)</f>
        <v>326</v>
      </c>
      <c r="G44" s="44">
        <f t="shared" si="5"/>
        <v>322</v>
      </c>
      <c r="H44" s="44">
        <f t="shared" si="5"/>
        <v>322</v>
      </c>
      <c r="I44" s="44">
        <f t="shared" si="5"/>
        <v>822</v>
      </c>
      <c r="J44" s="44">
        <f t="shared" si="5"/>
        <v>822</v>
      </c>
      <c r="K44" s="44">
        <f t="shared" si="5"/>
        <v>500</v>
      </c>
      <c r="L44" s="44">
        <f t="shared" si="5"/>
        <v>833</v>
      </c>
      <c r="M44" s="44">
        <f t="shared" si="5"/>
        <v>833</v>
      </c>
      <c r="N44" s="44">
        <f t="shared" si="5"/>
        <v>833</v>
      </c>
      <c r="O44" s="44">
        <f t="shared" si="5"/>
        <v>833</v>
      </c>
      <c r="P44" s="44">
        <f t="shared" si="5"/>
        <v>1455</v>
      </c>
      <c r="Q44" s="44">
        <f t="shared" si="5"/>
        <v>1455</v>
      </c>
      <c r="R44" s="17"/>
    </row>
    <row r="45" spans="1:18" x14ac:dyDescent="0.3">
      <c r="A45" s="4"/>
      <c r="C45" s="31"/>
      <c r="D45" s="161"/>
      <c r="F45" s="1"/>
    </row>
    <row r="46" spans="1:18" ht="15" thickBot="1" x14ac:dyDescent="0.35">
      <c r="A46" s="4">
        <v>21</v>
      </c>
      <c r="B46" s="9" t="s">
        <v>98</v>
      </c>
      <c r="C46" s="4"/>
      <c r="D46" s="4"/>
      <c r="E46" s="50">
        <f>+E38-E44</f>
        <v>0</v>
      </c>
      <c r="F46" s="50">
        <f>E46+F38-F44</f>
        <v>122424</v>
      </c>
      <c r="G46" s="50">
        <f t="shared" ref="G46:Q46" si="6">F46+G38-G44</f>
        <v>246534</v>
      </c>
      <c r="H46" s="50">
        <f t="shared" si="6"/>
        <v>369943</v>
      </c>
      <c r="I46" s="50">
        <f t="shared" si="6"/>
        <v>493919</v>
      </c>
      <c r="J46" s="50">
        <f t="shared" si="6"/>
        <v>612957</v>
      </c>
      <c r="K46" s="50">
        <f t="shared" si="6"/>
        <v>732621</v>
      </c>
      <c r="L46" s="50">
        <f>K46+L38-L44</f>
        <v>852039</v>
      </c>
      <c r="M46" s="50">
        <f t="shared" si="6"/>
        <v>969469</v>
      </c>
      <c r="N46" s="50">
        <f t="shared" si="6"/>
        <v>1086922</v>
      </c>
      <c r="O46" s="50">
        <f t="shared" si="6"/>
        <v>1262074</v>
      </c>
      <c r="P46" s="50">
        <f t="shared" si="6"/>
        <v>1437367</v>
      </c>
      <c r="Q46" s="50">
        <f t="shared" si="6"/>
        <v>1616339</v>
      </c>
      <c r="R46" s="50">
        <f>AVERAGE(E46:Q46)</f>
        <v>754046.76923076925</v>
      </c>
    </row>
    <row r="47" spans="1:18" ht="15" thickTop="1" x14ac:dyDescent="0.3">
      <c r="A47" s="4"/>
      <c r="C47" s="4"/>
      <c r="D47" s="4"/>
      <c r="E47" s="37"/>
      <c r="F47" s="3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3">
      <c r="I48" s="70"/>
    </row>
    <row r="49" spans="1:1" x14ac:dyDescent="0.3">
      <c r="A49" t="s">
        <v>40</v>
      </c>
    </row>
    <row r="50" spans="1:1" x14ac:dyDescent="0.3">
      <c r="A50" s="15" t="s">
        <v>237</v>
      </c>
    </row>
  </sheetData>
  <mergeCells count="1">
    <mergeCell ref="A1:R1"/>
  </mergeCells>
  <printOptions horizontalCentered="1"/>
  <pageMargins left="0.7" right="0.7" top="0.75" bottom="0.75" header="0.3" footer="0.3"/>
  <pageSetup scale="48" orientation="landscape" r:id="rId1"/>
  <headerFooter>
    <oddHeader xml:space="preserve">&amp;R&amp;"Times New Roman,Bold"&amp;10KyPSC Case No. 2026-00162
STAFF-DR-01-001 Attachment 1
&amp;A
Page &amp;P of &amp;N
</oddHeader>
  </headerFooter>
  <ignoredErrors>
    <ignoredError sqref="G35:Q35 G41:Q4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8A0E-3B24-45B5-B4AD-07D29DAEA84F}">
  <sheetPr>
    <pageSetUpPr fitToPage="1"/>
  </sheetPr>
  <dimension ref="A1:V58"/>
  <sheetViews>
    <sheetView view="pageLayout" zoomScale="55" zoomScaleNormal="55" zoomScalePageLayoutView="55" workbookViewId="0">
      <selection activeCell="K11" sqref="K11"/>
    </sheetView>
  </sheetViews>
  <sheetFormatPr defaultRowHeight="14.4" x14ac:dyDescent="0.3"/>
  <cols>
    <col min="1" max="1" width="10.33203125" customWidth="1"/>
    <col min="2" max="2" width="11.88671875" customWidth="1"/>
    <col min="3" max="3" width="20.33203125" customWidth="1"/>
    <col min="4" max="4" width="19.44140625" customWidth="1"/>
    <col min="5" max="5" width="18.33203125" customWidth="1"/>
    <col min="6" max="6" width="12.5546875" bestFit="1" customWidth="1"/>
    <col min="7" max="7" width="3.6640625" customWidth="1"/>
    <col min="8" max="8" width="14" customWidth="1"/>
    <col min="9" max="9" width="16.109375" customWidth="1"/>
    <col min="10" max="10" width="13.44140625" customWidth="1"/>
    <col min="11" max="11" width="18.88671875" bestFit="1" customWidth="1"/>
    <col min="12" max="12" width="15.44140625" customWidth="1"/>
    <col min="13" max="13" width="15.33203125" customWidth="1"/>
    <col min="14" max="14" width="12.44140625" customWidth="1"/>
    <col min="15" max="15" width="11.6640625" customWidth="1"/>
    <col min="16" max="16" width="14.88671875" customWidth="1"/>
    <col min="17" max="17" width="13.33203125" customWidth="1"/>
    <col min="18" max="18" width="28" customWidth="1"/>
  </cols>
  <sheetData>
    <row r="1" spans="1:18" x14ac:dyDescent="0.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58"/>
    </row>
    <row r="2" spans="1:18" x14ac:dyDescent="0.3">
      <c r="A2" s="216" t="s">
        <v>121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58"/>
    </row>
    <row r="3" spans="1:18" x14ac:dyDescent="0.3">
      <c r="A3" s="216" t="s">
        <v>27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58"/>
    </row>
    <row r="4" spans="1:18" x14ac:dyDescent="0.3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</row>
    <row r="5" spans="1:18" x14ac:dyDescent="0.3">
      <c r="A5" s="58"/>
      <c r="B5" s="58"/>
      <c r="C5" s="58"/>
      <c r="D5" s="7"/>
      <c r="E5" s="7"/>
      <c r="F5" s="7"/>
      <c r="G5" s="7"/>
      <c r="H5" s="7"/>
      <c r="I5" s="7"/>
      <c r="J5" s="7"/>
      <c r="K5" s="7"/>
    </row>
    <row r="6" spans="1:18" x14ac:dyDescent="0.3">
      <c r="A6" s="58"/>
      <c r="B6" s="58"/>
      <c r="C6" s="58"/>
    </row>
    <row r="7" spans="1:18" s="7" customFormat="1" x14ac:dyDescent="0.3">
      <c r="A7" s="113" t="s">
        <v>242</v>
      </c>
      <c r="B7" s="152"/>
      <c r="C7" s="114" t="s">
        <v>149</v>
      </c>
      <c r="D7" s="114" t="s">
        <v>150</v>
      </c>
      <c r="E7" s="114" t="s">
        <v>162</v>
      </c>
      <c r="F7" s="114" t="s">
        <v>163</v>
      </c>
      <c r="G7" s="113"/>
      <c r="H7" s="114" t="s">
        <v>164</v>
      </c>
      <c r="I7" s="114" t="s">
        <v>165</v>
      </c>
      <c r="J7" s="114" t="s">
        <v>166</v>
      </c>
      <c r="K7" s="114" t="s">
        <v>151</v>
      </c>
      <c r="L7" s="151" t="s">
        <v>167</v>
      </c>
      <c r="M7" s="151" t="s">
        <v>170</v>
      </c>
      <c r="N7" s="151" t="s">
        <v>171</v>
      </c>
      <c r="O7" s="151" t="s">
        <v>172</v>
      </c>
      <c r="P7" s="151" t="s">
        <v>209</v>
      </c>
      <c r="Q7" s="151" t="s">
        <v>175</v>
      </c>
    </row>
    <row r="8" spans="1:18" ht="15" customHeight="1" x14ac:dyDescent="0.3">
      <c r="H8" s="4"/>
      <c r="I8" s="4"/>
      <c r="J8" s="4"/>
      <c r="L8" s="4"/>
      <c r="M8" s="129"/>
      <c r="N8" s="4"/>
      <c r="O8" s="4"/>
      <c r="P8" s="4"/>
      <c r="Q8" s="4"/>
    </row>
    <row r="9" spans="1:18" ht="57.6" x14ac:dyDescent="0.3">
      <c r="B9" s="115" t="s">
        <v>56</v>
      </c>
      <c r="C9" s="126" t="s">
        <v>155</v>
      </c>
      <c r="D9" s="126" t="s">
        <v>161</v>
      </c>
      <c r="E9" s="126" t="s">
        <v>156</v>
      </c>
      <c r="F9" s="126" t="s">
        <v>160</v>
      </c>
      <c r="G9" s="136"/>
      <c r="H9" s="126" t="s">
        <v>201</v>
      </c>
      <c r="I9" s="126" t="s">
        <v>202</v>
      </c>
      <c r="J9" s="126" t="s">
        <v>157</v>
      </c>
      <c r="K9" s="115" t="s">
        <v>67</v>
      </c>
      <c r="L9" s="126" t="s">
        <v>168</v>
      </c>
      <c r="M9" s="126" t="s">
        <v>169</v>
      </c>
      <c r="N9" s="126" t="s">
        <v>158</v>
      </c>
      <c r="O9" s="126" t="s">
        <v>159</v>
      </c>
      <c r="P9" s="126" t="s">
        <v>173</v>
      </c>
      <c r="Q9" s="126" t="s">
        <v>174</v>
      </c>
    </row>
    <row r="10" spans="1:18" x14ac:dyDescent="0.3">
      <c r="B10" s="116">
        <v>45261</v>
      </c>
      <c r="C10" s="162">
        <v>26061210</v>
      </c>
      <c r="D10" s="119">
        <v>0</v>
      </c>
      <c r="E10" s="119">
        <v>5857760</v>
      </c>
      <c r="F10" s="128">
        <f t="shared" ref="F10" si="0">SUM(C10:E10)</f>
        <v>31918970</v>
      </c>
      <c r="G10" s="116"/>
      <c r="H10" s="174">
        <v>1303060.5</v>
      </c>
      <c r="I10" s="174">
        <v>0</v>
      </c>
      <c r="J10" s="174">
        <v>1303060.5</v>
      </c>
      <c r="K10" s="174">
        <v>0</v>
      </c>
      <c r="L10" s="143">
        <f t="shared" ref="L10" si="1">J10-K10</f>
        <v>1303060.5</v>
      </c>
      <c r="M10" s="175">
        <f>L10</f>
        <v>1303060.5</v>
      </c>
      <c r="N10" s="117"/>
      <c r="O10" s="117"/>
      <c r="P10" s="117"/>
      <c r="Q10" s="117">
        <f>+M10</f>
        <v>1303060.5</v>
      </c>
    </row>
    <row r="11" spans="1:18" x14ac:dyDescent="0.3">
      <c r="B11" s="116">
        <v>45628</v>
      </c>
      <c r="C11" s="162">
        <v>46454631.43</v>
      </c>
      <c r="D11" s="119">
        <v>18757283.93</v>
      </c>
      <c r="E11" s="119">
        <v>64070.09000000004</v>
      </c>
      <c r="F11" s="128">
        <v>65275985.450000003</v>
      </c>
      <c r="G11" s="116"/>
      <c r="H11" s="119">
        <f>(C10*$C$57)+(C11*$B$57)</f>
        <v>4798546.5215000007</v>
      </c>
      <c r="I11" s="119">
        <f>(D10*$C$58)+(D11*$B$58)</f>
        <v>703398.14737499994</v>
      </c>
      <c r="J11" s="174">
        <v>5501944.6688750004</v>
      </c>
      <c r="K11" s="174">
        <v>613039</v>
      </c>
      <c r="L11" s="143">
        <v>4888905.6688750004</v>
      </c>
      <c r="M11" s="118">
        <f>M10+L11</f>
        <v>6191966.1688750004</v>
      </c>
      <c r="N11" s="117" t="s">
        <v>194</v>
      </c>
      <c r="O11" s="117" t="s">
        <v>194</v>
      </c>
      <c r="P11" s="117" t="s">
        <v>194</v>
      </c>
      <c r="Q11" s="117">
        <f>M11</f>
        <v>6191966.1688750004</v>
      </c>
    </row>
    <row r="12" spans="1:18" x14ac:dyDescent="0.3">
      <c r="A12" t="s">
        <v>204</v>
      </c>
      <c r="B12" s="116">
        <v>45658</v>
      </c>
      <c r="C12" s="119">
        <f>'Sch 4.3'!F$12-'Sch 4.3'!F$18</f>
        <v>1667081.2799999993</v>
      </c>
      <c r="D12" s="119">
        <f>'Sch 4.3'!F$13-'Sch 4.3'!F$19</f>
        <v>-228200.87</v>
      </c>
      <c r="E12" s="119">
        <f>'Sch 4.3'!F$14-'Sch 4.3'!F$20</f>
        <v>0</v>
      </c>
      <c r="F12" s="128">
        <f t="shared" ref="F12:F22" si="2">SUM(C12:E12)</f>
        <v>1438880.4099999992</v>
      </c>
      <c r="G12" s="116"/>
      <c r="H12" s="119">
        <f>((C10*D57)+(C11*C57))/12</f>
        <v>553451.95340416662</v>
      </c>
      <c r="I12" s="174">
        <f>((D11*C58)+(D12*D58))/12</f>
        <v>111570.94623473335</v>
      </c>
      <c r="J12" s="174">
        <f>H12+I12</f>
        <v>665022.89963889995</v>
      </c>
      <c r="K12" s="174">
        <f>'Sch 4.3'!F$38-'Sch 4.3'!F$44</f>
        <v>122424</v>
      </c>
      <c r="L12" s="143">
        <f t="shared" ref="L12:L19" si="3">J12-K12</f>
        <v>542598.89963889995</v>
      </c>
      <c r="M12" s="118">
        <f>M11+L12</f>
        <v>6734565.0685139</v>
      </c>
      <c r="N12" s="117">
        <v>31</v>
      </c>
      <c r="O12" s="117">
        <f>365-SUM(N$11:N12)+1</f>
        <v>335</v>
      </c>
      <c r="P12" s="117">
        <f>+L12*O12/$N$24</f>
        <v>498001.72980556567</v>
      </c>
      <c r="Q12" s="117">
        <f>+Q11+P12</f>
        <v>6689967.8986805659</v>
      </c>
    </row>
    <row r="13" spans="1:18" x14ac:dyDescent="0.3">
      <c r="A13" t="s">
        <v>204</v>
      </c>
      <c r="B13" s="116">
        <v>45689</v>
      </c>
      <c r="C13" s="119">
        <f>'Sch 4.3'!G$12-'Sch 4.3'!G$18</f>
        <v>-672650.12000000011</v>
      </c>
      <c r="D13" s="119">
        <f>'Sch 4.3'!G$13-'Sch 4.3'!G$19</f>
        <v>78355.219999999972</v>
      </c>
      <c r="E13" s="119">
        <f>'Sch 4.3'!G$14-'Sch 4.3'!G$20</f>
        <v>754.44</v>
      </c>
      <c r="F13" s="128">
        <f t="shared" si="2"/>
        <v>-593540.4600000002</v>
      </c>
      <c r="G13" s="116"/>
      <c r="H13" s="119">
        <f>H12+((C13*$D$57)/11)</f>
        <v>548223.62747143931</v>
      </c>
      <c r="I13" s="174">
        <f>I12+((D13*$D$58)/11)</f>
        <v>112046.56242013334</v>
      </c>
      <c r="J13" s="174">
        <f t="shared" ref="J13:J23" si="4">H13+I13</f>
        <v>660270.18989157269</v>
      </c>
      <c r="K13" s="174">
        <f>'Sch 4.3'!G$38-'Sch 4.3'!G$44</f>
        <v>124110</v>
      </c>
      <c r="L13" s="143">
        <f t="shared" si="3"/>
        <v>536160.18989157269</v>
      </c>
      <c r="M13" s="175">
        <f t="shared" ref="M13:M23" si="5">M12+L13</f>
        <v>7270725.2584054731</v>
      </c>
      <c r="N13" s="117">
        <v>28</v>
      </c>
      <c r="O13" s="117">
        <f>365-SUM(N$11:N13)+1</f>
        <v>307</v>
      </c>
      <c r="P13" s="117">
        <f t="shared" ref="P13:P23" si="6">+L13*O13/$N$24</f>
        <v>450962.13231976115</v>
      </c>
      <c r="Q13" s="117">
        <f t="shared" ref="Q13:Q23" si="7">+Q12+P13</f>
        <v>7140930.0310003273</v>
      </c>
    </row>
    <row r="14" spans="1:18" x14ac:dyDescent="0.3">
      <c r="A14" t="s">
        <v>204</v>
      </c>
      <c r="B14" s="116">
        <v>45717</v>
      </c>
      <c r="C14" s="119">
        <f>'Sch 4.3'!H$12-'Sch 4.3'!H$18</f>
        <v>456964.11000000144</v>
      </c>
      <c r="D14" s="119">
        <f>'Sch 4.3'!H$13-'Sch 4.3'!H$19</f>
        <v>400.72</v>
      </c>
      <c r="E14" s="119">
        <f>'Sch 4.3'!H$14-'Sch 4.3'!H$20</f>
        <v>7009.36</v>
      </c>
      <c r="F14" s="128">
        <f t="shared" si="2"/>
        <v>464374.1900000014</v>
      </c>
      <c r="G14" s="116"/>
      <c r="H14" s="119">
        <f>H13+((C14*$D$57)/10)</f>
        <v>552130.67061193928</v>
      </c>
      <c r="I14" s="174">
        <f>I13+((D14*$D$58)/10)</f>
        <v>112049.23802757334</v>
      </c>
      <c r="J14" s="174">
        <f t="shared" si="4"/>
        <v>664179.90863951261</v>
      </c>
      <c r="K14" s="174">
        <f>'Sch 4.3'!H$38-'Sch 4.3'!H$44</f>
        <v>123409</v>
      </c>
      <c r="L14" s="143">
        <f t="shared" si="3"/>
        <v>540770.90863951261</v>
      </c>
      <c r="M14" s="175">
        <f t="shared" si="5"/>
        <v>7811496.167044986</v>
      </c>
      <c r="N14" s="117">
        <v>31</v>
      </c>
      <c r="O14" s="117">
        <f>365-SUM(N$11:N14)+1</f>
        <v>276</v>
      </c>
      <c r="P14" s="117">
        <f t="shared" si="6"/>
        <v>408911.70077946706</v>
      </c>
      <c r="Q14" s="117">
        <f t="shared" si="7"/>
        <v>7549841.7317797942</v>
      </c>
    </row>
    <row r="15" spans="1:18" x14ac:dyDescent="0.3">
      <c r="A15" t="s">
        <v>204</v>
      </c>
      <c r="B15" s="116">
        <v>45748</v>
      </c>
      <c r="C15" s="119">
        <f>'Sch 4.3'!I$12-'Sch 4.3'!I$18</f>
        <v>-3979327.2500000009</v>
      </c>
      <c r="D15" s="119">
        <f>'Sch 4.3'!I$13-'Sch 4.3'!I$19</f>
        <v>1736.8299999999997</v>
      </c>
      <c r="E15" s="119">
        <f>'Sch 4.3'!I$14-'Sch 4.3'!I$20</f>
        <v>3591107.6499999994</v>
      </c>
      <c r="F15" s="128">
        <f t="shared" si="2"/>
        <v>-386482.77000000142</v>
      </c>
      <c r="G15" s="116"/>
      <c r="H15" s="119">
        <f>H14+((C15*$D$57)/9)</f>
        <v>514327.06173693924</v>
      </c>
      <c r="I15" s="174">
        <f>I14+((D15*$D$58)/9)</f>
        <v>112062.12337636223</v>
      </c>
      <c r="J15" s="174">
        <f t="shared" si="4"/>
        <v>626389.1851133015</v>
      </c>
      <c r="K15" s="174">
        <f>'Sch 4.3'!I$38-'Sch 4.3'!I$44</f>
        <v>123976</v>
      </c>
      <c r="L15" s="143">
        <f t="shared" si="3"/>
        <v>502413.1851133015</v>
      </c>
      <c r="M15" s="175">
        <f t="shared" si="5"/>
        <v>8313909.3521582875</v>
      </c>
      <c r="N15" s="117">
        <v>30</v>
      </c>
      <c r="O15" s="117">
        <f>365-SUM(N$11:N15)+1</f>
        <v>246</v>
      </c>
      <c r="P15" s="117">
        <f t="shared" si="6"/>
        <v>338612.72202156758</v>
      </c>
      <c r="Q15" s="117">
        <f t="shared" si="7"/>
        <v>7888454.4538013618</v>
      </c>
    </row>
    <row r="16" spans="1:18" x14ac:dyDescent="0.3">
      <c r="A16" t="s">
        <v>204</v>
      </c>
      <c r="B16" s="116">
        <v>45778</v>
      </c>
      <c r="C16" s="119">
        <f>'Sch 4.3'!J$12-'Sch 4.3'!J$18</f>
        <v>504265.41000000003</v>
      </c>
      <c r="D16" s="119">
        <f>'Sch 4.3'!J$13-'Sch 4.3'!J$19</f>
        <v>2407</v>
      </c>
      <c r="E16" s="119">
        <f>'Sch 4.3'!J$14-'Sch 4.3'!J$20</f>
        <v>164.96</v>
      </c>
      <c r="F16" s="128">
        <f t="shared" si="2"/>
        <v>506837.37000000005</v>
      </c>
      <c r="G16" s="116"/>
      <c r="H16" s="119">
        <f>H15+((C16*$D$57)/8)</f>
        <v>519716.39830631425</v>
      </c>
      <c r="I16" s="174">
        <f>I15+((D16*$D$58)/8)</f>
        <v>112082.21280011223</v>
      </c>
      <c r="J16" s="174">
        <f t="shared" si="4"/>
        <v>631798.61110642646</v>
      </c>
      <c r="K16" s="174">
        <f>'Sch 4.3'!J$38-'Sch 4.3'!J$44</f>
        <v>119038</v>
      </c>
      <c r="L16" s="143">
        <f t="shared" si="3"/>
        <v>512760.61110642646</v>
      </c>
      <c r="M16" s="175">
        <f t="shared" si="5"/>
        <v>8826669.9632647149</v>
      </c>
      <c r="N16" s="117">
        <v>31</v>
      </c>
      <c r="O16" s="117">
        <f>365-SUM(N$11:N16)+1</f>
        <v>215</v>
      </c>
      <c r="P16" s="117">
        <f t="shared" si="6"/>
        <v>302037.07229556626</v>
      </c>
      <c r="Q16" s="117">
        <f t="shared" si="7"/>
        <v>8190491.5260969279</v>
      </c>
    </row>
    <row r="17" spans="1:18" x14ac:dyDescent="0.3">
      <c r="A17" t="s">
        <v>204</v>
      </c>
      <c r="B17" s="116">
        <v>45809</v>
      </c>
      <c r="C17" s="119">
        <f>'Sch 4.3'!K$12-'Sch 4.3'!K$18</f>
        <v>-205043.57999999996</v>
      </c>
      <c r="D17" s="119">
        <f>'Sch 4.3'!K$13-'Sch 4.3'!K$19</f>
        <v>4959.5</v>
      </c>
      <c r="E17" s="119">
        <f>'Sch 4.3'!K$14-'Sch 4.3'!K$20</f>
        <v>12197.4</v>
      </c>
      <c r="F17" s="128">
        <f t="shared" si="2"/>
        <v>-187886.67999999996</v>
      </c>
      <c r="G17" s="116"/>
      <c r="H17" s="119">
        <f>H16+((C17*$D$57)/7)</f>
        <v>517211.93743631424</v>
      </c>
      <c r="I17" s="174">
        <f>I16+((D17*$D$58)/7)</f>
        <v>112129.51934511223</v>
      </c>
      <c r="J17" s="174">
        <f t="shared" si="4"/>
        <v>629341.45678142644</v>
      </c>
      <c r="K17" s="174">
        <f>'Sch 4.3'!K$38-'Sch 4.3'!K$44</f>
        <v>119664</v>
      </c>
      <c r="L17" s="143">
        <f t="shared" si="3"/>
        <v>509677.45678142644</v>
      </c>
      <c r="M17" s="175">
        <f t="shared" si="5"/>
        <v>9336347.4200461414</v>
      </c>
      <c r="N17" s="117">
        <v>30</v>
      </c>
      <c r="O17" s="117">
        <f>365-SUM(N$11:N17)+1</f>
        <v>185</v>
      </c>
      <c r="P17" s="117">
        <f t="shared" si="6"/>
        <v>258329.66987551752</v>
      </c>
      <c r="Q17" s="117">
        <f t="shared" si="7"/>
        <v>8448821.1959724464</v>
      </c>
    </row>
    <row r="18" spans="1:18" x14ac:dyDescent="0.3">
      <c r="A18" t="s">
        <v>204</v>
      </c>
      <c r="B18" s="116">
        <v>45839</v>
      </c>
      <c r="C18" s="119">
        <f>'Sch 4.3'!L$12-'Sch 4.3'!L$18</f>
        <v>-1606117.98</v>
      </c>
      <c r="D18" s="119">
        <f>'Sch 4.3'!L$13-'Sch 4.3'!L$19</f>
        <v>3916.11</v>
      </c>
      <c r="E18" s="119">
        <f>'Sch 4.3'!L$14-'Sch 4.3'!L$20</f>
        <v>7173.85</v>
      </c>
      <c r="F18" s="128">
        <f t="shared" si="2"/>
        <v>-1595028.0199999998</v>
      </c>
      <c r="G18" s="116"/>
      <c r="H18" s="119">
        <f>H17+((C18*$D$57)/6)</f>
        <v>494324.75622131425</v>
      </c>
      <c r="I18" s="174">
        <f>I17+((D18*$D$58)/6)</f>
        <v>112173.09912256223</v>
      </c>
      <c r="J18" s="174">
        <f t="shared" si="4"/>
        <v>606497.85534387652</v>
      </c>
      <c r="K18" s="174">
        <f>'Sch 4.3'!L$38-'Sch 4.3'!L$44</f>
        <v>119418</v>
      </c>
      <c r="L18" s="143">
        <f t="shared" si="3"/>
        <v>487079.85534387652</v>
      </c>
      <c r="M18" s="175">
        <f t="shared" si="5"/>
        <v>9823427.2753900178</v>
      </c>
      <c r="N18" s="117">
        <v>31</v>
      </c>
      <c r="O18" s="117">
        <f>365-SUM(N$11:N18)+1</f>
        <v>154</v>
      </c>
      <c r="P18" s="117">
        <f t="shared" si="6"/>
        <v>205507.6649944027</v>
      </c>
      <c r="Q18" s="117">
        <f t="shared" si="7"/>
        <v>8654328.8609668482</v>
      </c>
    </row>
    <row r="19" spans="1:18" x14ac:dyDescent="0.3">
      <c r="A19" t="s">
        <v>204</v>
      </c>
      <c r="B19" s="116">
        <v>45870</v>
      </c>
      <c r="C19" s="119">
        <f>'Sch 4.3'!M$12-'Sch 4.3'!M$18</f>
        <v>16808.43</v>
      </c>
      <c r="D19" s="119">
        <f>'Sch 4.3'!M$13-'Sch 4.3'!M$19</f>
        <v>1086.8</v>
      </c>
      <c r="E19" s="119">
        <f>'Sch 4.3'!M$14-'Sch 4.3'!M$20</f>
        <v>4339.3999999999996</v>
      </c>
      <c r="F19" s="128">
        <f t="shared" si="2"/>
        <v>22234.629999999997</v>
      </c>
      <c r="G19" s="116"/>
      <c r="H19" s="119">
        <f>H18+((C19*$D$57)/5)</f>
        <v>494612.18037431425</v>
      </c>
      <c r="I19" s="174">
        <f>I18+((D19*$D$58)/5)</f>
        <v>112187.61224976223</v>
      </c>
      <c r="J19" s="174">
        <f t="shared" si="4"/>
        <v>606799.79262407648</v>
      </c>
      <c r="K19" s="174">
        <f>'Sch 4.3'!M$38-'Sch 4.3'!M$44</f>
        <v>117430</v>
      </c>
      <c r="L19" s="143">
        <f t="shared" si="3"/>
        <v>489369.79262407648</v>
      </c>
      <c r="M19" s="175">
        <f t="shared" si="5"/>
        <v>10312797.068014095</v>
      </c>
      <c r="N19" s="117">
        <v>31</v>
      </c>
      <c r="O19" s="117">
        <f>365-SUM(N$11:N19)+1</f>
        <v>123</v>
      </c>
      <c r="P19" s="117">
        <f t="shared" si="6"/>
        <v>164910.9164185244</v>
      </c>
      <c r="Q19" s="117">
        <f t="shared" si="7"/>
        <v>8819239.7773853727</v>
      </c>
    </row>
    <row r="20" spans="1:18" x14ac:dyDescent="0.3">
      <c r="A20" t="s">
        <v>204</v>
      </c>
      <c r="B20" s="116">
        <v>45901</v>
      </c>
      <c r="C20" s="119">
        <f>'Sch 4.3'!N$12-'Sch 4.3'!N$18</f>
        <v>44618045.899999999</v>
      </c>
      <c r="D20" s="119">
        <f>'Sch 4.3'!N$13-'Sch 4.3'!N$19</f>
        <v>1351918.3299999998</v>
      </c>
      <c r="E20" s="119">
        <f>'Sch 4.3'!N$14-'Sch 4.3'!N$20</f>
        <v>2474148.65</v>
      </c>
      <c r="F20" s="128">
        <f t="shared" si="2"/>
        <v>48444112.879999995</v>
      </c>
      <c r="G20" s="128"/>
      <c r="H20" s="119">
        <f>H19+((C20*$D$57)/4)</f>
        <v>1448322.9114868143</v>
      </c>
      <c r="I20" s="174">
        <f>I19+((D20*$D$58)/4)</f>
        <v>134754.50897328721</v>
      </c>
      <c r="J20" s="174">
        <f t="shared" si="4"/>
        <v>1583077.4204601014</v>
      </c>
      <c r="K20" s="174">
        <f>'Sch 4.3'!N$38-'Sch 4.3'!N$44</f>
        <v>117453</v>
      </c>
      <c r="L20" s="143">
        <f>J20-K20</f>
        <v>1465624.4204601014</v>
      </c>
      <c r="M20" s="175">
        <f t="shared" si="5"/>
        <v>11778421.488474196</v>
      </c>
      <c r="N20" s="117">
        <v>30</v>
      </c>
      <c r="O20" s="117">
        <f>365-SUM(N$11:N20)+1</f>
        <v>93</v>
      </c>
      <c r="P20" s="117">
        <f t="shared" si="6"/>
        <v>373433.07151449157</v>
      </c>
      <c r="Q20" s="117">
        <f t="shared" si="7"/>
        <v>9192672.8488998637</v>
      </c>
    </row>
    <row r="21" spans="1:18" x14ac:dyDescent="0.3">
      <c r="A21" t="s">
        <v>204</v>
      </c>
      <c r="B21" s="116">
        <v>45931</v>
      </c>
      <c r="C21" s="119">
        <f>'Sch 4.3'!O$12-'Sch 4.3'!O$18</f>
        <v>18789.589999999618</v>
      </c>
      <c r="D21" s="119">
        <f>'Sch 4.3'!O$13-'Sch 4.3'!O$19</f>
        <v>69294.58</v>
      </c>
      <c r="E21" s="119">
        <f>'Sch 4.3'!O$14-'Sch 4.3'!O$20</f>
        <v>11371.96</v>
      </c>
      <c r="F21" s="128">
        <f t="shared" si="2"/>
        <v>99456.129999999626</v>
      </c>
      <c r="G21" s="128"/>
      <c r="H21" s="119">
        <f>H20+((C21*$D$57)/3)</f>
        <v>1448858.4148018144</v>
      </c>
      <c r="I21" s="174">
        <f>I20+((D21*$D$58)/3)</f>
        <v>136296.77534215388</v>
      </c>
      <c r="J21" s="174">
        <f t="shared" si="4"/>
        <v>1585155.1901439682</v>
      </c>
      <c r="K21" s="174">
        <f>'Sch 4.3'!O$38-'Sch 4.3'!O$44</f>
        <v>175152</v>
      </c>
      <c r="L21" s="143">
        <f>J21-K21</f>
        <v>1410003.1901439682</v>
      </c>
      <c r="M21" s="175">
        <f t="shared" si="5"/>
        <v>13188424.678618165</v>
      </c>
      <c r="N21" s="117">
        <v>31</v>
      </c>
      <c r="O21" s="117">
        <f>365-SUM(N$11:N21)+1</f>
        <v>62</v>
      </c>
      <c r="P21" s="117">
        <f t="shared" si="6"/>
        <v>239507.39120253708</v>
      </c>
      <c r="Q21" s="117">
        <f t="shared" si="7"/>
        <v>9432180.240102401</v>
      </c>
    </row>
    <row r="22" spans="1:18" x14ac:dyDescent="0.3">
      <c r="A22" t="s">
        <v>204</v>
      </c>
      <c r="B22" s="116">
        <v>45962</v>
      </c>
      <c r="C22" s="119">
        <f>'Sch 4.3'!P$12-'Sch 4.3'!P$18</f>
        <v>3555890.67</v>
      </c>
      <c r="D22" s="119">
        <f>'Sch 4.3'!P$13-'Sch 4.3'!P$19</f>
        <v>-433056.35</v>
      </c>
      <c r="E22" s="119">
        <f>'Sch 4.3'!P$14-'Sch 4.3'!P$20</f>
        <v>4159.67</v>
      </c>
      <c r="F22" s="128">
        <f t="shared" si="2"/>
        <v>3126993.9899999998</v>
      </c>
      <c r="G22" s="128"/>
      <c r="H22" s="119">
        <f>H21+((C22*$D$57)/2)</f>
        <v>1600872.7409443143</v>
      </c>
      <c r="I22" s="174">
        <f>I21+((D22*$D$58)/2)</f>
        <v>121839.18909740388</v>
      </c>
      <c r="J22" s="174">
        <f t="shared" si="4"/>
        <v>1722711.9300417181</v>
      </c>
      <c r="K22" s="174">
        <f>'Sch 4.3'!P$38-'Sch 4.3'!P$44</f>
        <v>175293</v>
      </c>
      <c r="L22" s="143">
        <f>J22-K22</f>
        <v>1547418.9300417181</v>
      </c>
      <c r="M22" s="175">
        <f t="shared" si="5"/>
        <v>14735843.608659882</v>
      </c>
      <c r="N22" s="117">
        <v>30</v>
      </c>
      <c r="O22" s="117">
        <f>365-SUM(N$11:N22)+1</f>
        <v>32</v>
      </c>
      <c r="P22" s="117">
        <f t="shared" si="6"/>
        <v>135664.12537352048</v>
      </c>
      <c r="Q22" s="117">
        <f t="shared" si="7"/>
        <v>9567844.365475921</v>
      </c>
    </row>
    <row r="23" spans="1:18" ht="14.4" customHeight="1" x14ac:dyDescent="0.3">
      <c r="A23" t="s">
        <v>204</v>
      </c>
      <c r="B23" s="116">
        <v>45992</v>
      </c>
      <c r="C23" s="120">
        <f>'Sch 4.3'!Q$12-'Sch 4.3'!Q$18</f>
        <v>329526.46999999997</v>
      </c>
      <c r="D23" s="120">
        <f>'Sch 4.3'!Q$13-'Sch 4.3'!Q$19</f>
        <v>26813</v>
      </c>
      <c r="E23" s="120">
        <f>'Sch 4.3'!Q$14-'Sch 4.3'!Q$20</f>
        <v>115050.20999999999</v>
      </c>
      <c r="F23" s="120">
        <f>SUM(C23:E23)</f>
        <v>471389.67999999993</v>
      </c>
      <c r="G23" s="128"/>
      <c r="H23" s="119">
        <f>H22+((C23*$D$57)/1)</f>
        <v>1629047.2541293143</v>
      </c>
      <c r="I23" s="174">
        <f>I22+((D23*$D$58)/1)</f>
        <v>123629.49310740389</v>
      </c>
      <c r="J23" s="176">
        <f t="shared" si="4"/>
        <v>1752676.7472367182</v>
      </c>
      <c r="K23" s="176">
        <f>'Sch 4.3'!Q$38-'Sch 4.3'!Q$44</f>
        <v>178972</v>
      </c>
      <c r="L23" s="177">
        <f>J23-K23</f>
        <v>1573704.7472367182</v>
      </c>
      <c r="M23" s="178">
        <f t="shared" si="5"/>
        <v>16309548.3558966</v>
      </c>
      <c r="N23" s="117">
        <v>31</v>
      </c>
      <c r="O23" s="117">
        <f>365-SUM(N$11:N23)+1</f>
        <v>1</v>
      </c>
      <c r="P23" s="117">
        <f t="shared" si="6"/>
        <v>4311.5198554430635</v>
      </c>
      <c r="Q23" s="143">
        <f t="shared" si="7"/>
        <v>9572155.8853313643</v>
      </c>
    </row>
    <row r="24" spans="1:18" ht="15" thickBot="1" x14ac:dyDescent="0.35">
      <c r="B24" s="6" t="s">
        <v>20</v>
      </c>
      <c r="C24" s="121">
        <f>SUM(C10:C23)</f>
        <v>117220074.36</v>
      </c>
      <c r="D24" s="121">
        <f>SUM(D11:D23)</f>
        <v>19636914.79999999</v>
      </c>
      <c r="E24" s="121">
        <f>SUM(E11:E23)</f>
        <v>6291547.6399999987</v>
      </c>
      <c r="F24" s="121">
        <f>SUM(F11:F23)</f>
        <v>117087326.8</v>
      </c>
      <c r="G24" s="121"/>
      <c r="H24" s="121">
        <f>SUM(H12:H23)</f>
        <v>10321099.906924998</v>
      </c>
      <c r="I24" s="121">
        <f>SUM(I12:I23)</f>
        <v>1412821.2800965998</v>
      </c>
      <c r="J24" s="121">
        <f>SUM(J12:J23)</f>
        <v>11733921.187021598</v>
      </c>
      <c r="K24" s="121">
        <f>SUM(K12:K23)</f>
        <v>1616339</v>
      </c>
      <c r="L24" s="123">
        <f>SUM(L12:L23)</f>
        <v>10117582.187021596</v>
      </c>
      <c r="M24" s="123"/>
      <c r="N24" s="124">
        <f>SUM(N12:N23)</f>
        <v>365</v>
      </c>
      <c r="O24" s="117"/>
      <c r="P24" s="122">
        <f>SUM(P12:P23)</f>
        <v>3380189.7164563644</v>
      </c>
      <c r="Q24" s="3"/>
    </row>
    <row r="25" spans="1:18" ht="14.4" customHeight="1" thickTop="1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123"/>
      <c r="M25" s="123"/>
      <c r="N25" s="123"/>
      <c r="O25" s="117"/>
      <c r="P25" s="123"/>
      <c r="Q25" s="3"/>
    </row>
    <row r="26" spans="1:18" x14ac:dyDescent="0.3">
      <c r="C26" s="130" t="s">
        <v>141</v>
      </c>
      <c r="D26" s="130" t="s">
        <v>141</v>
      </c>
      <c r="E26" s="130" t="s">
        <v>141</v>
      </c>
      <c r="F26" s="130" t="s">
        <v>141</v>
      </c>
      <c r="K26" s="130" t="s">
        <v>141</v>
      </c>
      <c r="P26" t="s">
        <v>153</v>
      </c>
      <c r="Q26" s="12">
        <v>0.24925</v>
      </c>
    </row>
    <row r="27" spans="1:18" ht="15" thickBot="1" x14ac:dyDescent="0.35"/>
    <row r="28" spans="1:18" ht="15" thickBot="1" x14ac:dyDescent="0.35">
      <c r="L28" s="149"/>
      <c r="M28" s="149"/>
      <c r="P28" s="7" t="s">
        <v>154</v>
      </c>
      <c r="Q28" s="125">
        <f>Q23*Q26</f>
        <v>2385859.8544188426</v>
      </c>
      <c r="R28" t="s">
        <v>208</v>
      </c>
    </row>
    <row r="29" spans="1:18" x14ac:dyDescent="0.3">
      <c r="F29" s="127"/>
      <c r="G29" s="127"/>
      <c r="Q29" s="4"/>
    </row>
    <row r="31" spans="1:18" ht="57.6" x14ac:dyDescent="0.3">
      <c r="K31" s="115" t="s">
        <v>56</v>
      </c>
      <c r="L31" s="126" t="s">
        <v>198</v>
      </c>
      <c r="M31" s="126" t="s">
        <v>169</v>
      </c>
      <c r="N31" s="126" t="s">
        <v>158</v>
      </c>
      <c r="O31" s="126" t="s">
        <v>159</v>
      </c>
      <c r="P31" s="126" t="s">
        <v>199</v>
      </c>
      <c r="Q31" s="126" t="s">
        <v>174</v>
      </c>
    </row>
    <row r="32" spans="1:18" x14ac:dyDescent="0.3">
      <c r="K32" s="116">
        <v>45261</v>
      </c>
      <c r="L32" s="142">
        <v>125221</v>
      </c>
      <c r="M32" s="142">
        <v>125221</v>
      </c>
      <c r="N32" s="117" t="s">
        <v>194</v>
      </c>
      <c r="O32" s="117" t="s">
        <v>194</v>
      </c>
      <c r="P32" s="117" t="s">
        <v>194</v>
      </c>
      <c r="Q32" s="147">
        <v>125221</v>
      </c>
    </row>
    <row r="33" spans="10:17" x14ac:dyDescent="0.3">
      <c r="K33" s="116">
        <v>45627</v>
      </c>
      <c r="L33" s="142">
        <v>10738.699999999997</v>
      </c>
      <c r="M33" s="142">
        <v>1584696.27</v>
      </c>
      <c r="N33" s="117">
        <v>31</v>
      </c>
      <c r="O33" s="117">
        <v>1</v>
      </c>
      <c r="P33" s="117">
        <v>346.40967741935475</v>
      </c>
      <c r="Q33" s="147">
        <v>2854066.3587096776</v>
      </c>
    </row>
    <row r="34" spans="10:17" x14ac:dyDescent="0.3">
      <c r="J34" t="s">
        <v>204</v>
      </c>
      <c r="K34" s="116">
        <v>45658</v>
      </c>
      <c r="L34" s="143">
        <f>'Sch 4.3'!F$27</f>
        <v>243156.9</v>
      </c>
      <c r="M34" s="175">
        <f>M32+L34</f>
        <v>368377.9</v>
      </c>
      <c r="N34" s="117">
        <v>31</v>
      </c>
      <c r="O34" s="117">
        <v>335</v>
      </c>
      <c r="P34" s="117">
        <f t="shared" ref="P34:P44" si="8">+L34*O34/N$45</f>
        <v>2627663.2741935486</v>
      </c>
      <c r="Q34" s="117">
        <f>+Q32+P34</f>
        <v>2752884.2741935486</v>
      </c>
    </row>
    <row r="35" spans="10:17" x14ac:dyDescent="0.3">
      <c r="J35" t="s">
        <v>204</v>
      </c>
      <c r="K35" s="116">
        <v>45689</v>
      </c>
      <c r="L35" s="143">
        <f>'Sch 4.3'!G$27</f>
        <v>61761.799999999996</v>
      </c>
      <c r="M35" s="175">
        <f t="shared" ref="M35:M45" si="9">M34+L35</f>
        <v>430139.7</v>
      </c>
      <c r="N35" s="117">
        <v>28</v>
      </c>
      <c r="O35" s="117">
        <v>307</v>
      </c>
      <c r="P35" s="117">
        <f t="shared" si="8"/>
        <v>611641.05161290313</v>
      </c>
      <c r="Q35" s="117">
        <f t="shared" ref="Q35:Q45" si="10">+Q34+P35</f>
        <v>3364525.325806452</v>
      </c>
    </row>
    <row r="36" spans="10:17" x14ac:dyDescent="0.3">
      <c r="J36" t="s">
        <v>204</v>
      </c>
      <c r="K36" s="116">
        <v>45717</v>
      </c>
      <c r="L36" s="143">
        <f>'Sch 4.3'!H$27</f>
        <v>3968.4800000000014</v>
      </c>
      <c r="M36" s="175">
        <f t="shared" si="9"/>
        <v>434108.18</v>
      </c>
      <c r="N36" s="117">
        <v>31</v>
      </c>
      <c r="O36" s="117">
        <v>276</v>
      </c>
      <c r="P36" s="117">
        <f t="shared" si="8"/>
        <v>35332.273548387115</v>
      </c>
      <c r="Q36" s="117">
        <f t="shared" si="10"/>
        <v>3399857.599354839</v>
      </c>
    </row>
    <row r="37" spans="10:17" x14ac:dyDescent="0.3">
      <c r="J37" t="s">
        <v>204</v>
      </c>
      <c r="K37" s="116">
        <v>45748</v>
      </c>
      <c r="L37" s="143">
        <f>'Sch 4.3'!I$27</f>
        <v>4023.929999999993</v>
      </c>
      <c r="M37" s="175">
        <f t="shared" si="9"/>
        <v>438132.11</v>
      </c>
      <c r="N37" s="117">
        <v>30</v>
      </c>
      <c r="O37" s="117">
        <v>246</v>
      </c>
      <c r="P37" s="117">
        <f t="shared" si="8"/>
        <v>31931.83161290317</v>
      </c>
      <c r="Q37" s="117">
        <f t="shared" si="10"/>
        <v>3431789.4309677421</v>
      </c>
    </row>
    <row r="38" spans="10:17" x14ac:dyDescent="0.3">
      <c r="J38" t="s">
        <v>204</v>
      </c>
      <c r="K38" s="116">
        <v>45778</v>
      </c>
      <c r="L38" s="143">
        <f>'Sch 4.3'!J$27</f>
        <v>5152.6899999999732</v>
      </c>
      <c r="M38" s="175">
        <f t="shared" si="9"/>
        <v>443284.79999999993</v>
      </c>
      <c r="N38" s="117">
        <v>31</v>
      </c>
      <c r="O38" s="117">
        <v>215</v>
      </c>
      <c r="P38" s="117">
        <f t="shared" si="8"/>
        <v>35736.398387096589</v>
      </c>
      <c r="Q38" s="117">
        <f t="shared" si="10"/>
        <v>3467525.8293548385</v>
      </c>
    </row>
    <row r="39" spans="10:17" x14ac:dyDescent="0.3">
      <c r="J39" t="s">
        <v>204</v>
      </c>
      <c r="K39" s="116">
        <v>45809</v>
      </c>
      <c r="L39" s="143">
        <f>'Sch 4.3'!K$27</f>
        <v>6956.3599999999988</v>
      </c>
      <c r="M39" s="175">
        <f t="shared" si="9"/>
        <v>450241.15999999992</v>
      </c>
      <c r="N39" s="117">
        <v>30</v>
      </c>
      <c r="O39" s="117">
        <v>185</v>
      </c>
      <c r="P39" s="117">
        <f t="shared" si="8"/>
        <v>41513.761290322574</v>
      </c>
      <c r="Q39" s="117">
        <f t="shared" si="10"/>
        <v>3509039.590645161</v>
      </c>
    </row>
    <row r="40" spans="10:17" x14ac:dyDescent="0.3">
      <c r="J40" t="s">
        <v>204</v>
      </c>
      <c r="K40" s="116">
        <v>45839</v>
      </c>
      <c r="L40" s="143">
        <f>'Sch 4.3'!L$27</f>
        <v>1175.53</v>
      </c>
      <c r="M40" s="175">
        <f t="shared" si="9"/>
        <v>451416.68999999994</v>
      </c>
      <c r="N40" s="117">
        <v>31</v>
      </c>
      <c r="O40" s="117">
        <v>154</v>
      </c>
      <c r="P40" s="117">
        <f t="shared" si="8"/>
        <v>5839.7296774193546</v>
      </c>
      <c r="Q40" s="117">
        <f t="shared" si="10"/>
        <v>3514879.3203225802</v>
      </c>
    </row>
    <row r="41" spans="10:17" x14ac:dyDescent="0.3">
      <c r="J41" t="s">
        <v>204</v>
      </c>
      <c r="K41" s="116">
        <v>45870</v>
      </c>
      <c r="L41" s="143">
        <f>'Sch 4.3'!M$27</f>
        <v>4980.5700000000006</v>
      </c>
      <c r="M41" s="175">
        <f t="shared" si="9"/>
        <v>456397.25999999995</v>
      </c>
      <c r="N41" s="117">
        <v>31</v>
      </c>
      <c r="O41" s="117">
        <v>123</v>
      </c>
      <c r="P41" s="117">
        <f t="shared" si="8"/>
        <v>19761.616451612907</v>
      </c>
      <c r="Q41" s="117">
        <f t="shared" si="10"/>
        <v>3534640.9367741933</v>
      </c>
    </row>
    <row r="42" spans="10:17" x14ac:dyDescent="0.3">
      <c r="J42" t="s">
        <v>204</v>
      </c>
      <c r="K42" s="116">
        <v>45901</v>
      </c>
      <c r="L42" s="143">
        <f>'Sch 4.3'!N$27</f>
        <v>632898.35</v>
      </c>
      <c r="M42" s="175">
        <f t="shared" si="9"/>
        <v>1089295.6099999999</v>
      </c>
      <c r="N42" s="117">
        <v>30</v>
      </c>
      <c r="O42" s="117">
        <v>93</v>
      </c>
      <c r="P42" s="117">
        <f t="shared" si="8"/>
        <v>1898695.0499999998</v>
      </c>
      <c r="Q42" s="117">
        <f t="shared" si="10"/>
        <v>5433335.9867741931</v>
      </c>
    </row>
    <row r="43" spans="10:17" x14ac:dyDescent="0.3">
      <c r="J43" t="s">
        <v>204</v>
      </c>
      <c r="K43" s="116">
        <v>45931</v>
      </c>
      <c r="L43" s="143">
        <f>'Sch 4.3'!O$27</f>
        <v>252143.80999999997</v>
      </c>
      <c r="M43" s="175">
        <f t="shared" si="9"/>
        <v>1341439.42</v>
      </c>
      <c r="N43" s="117">
        <v>31</v>
      </c>
      <c r="O43" s="117">
        <v>62</v>
      </c>
      <c r="P43" s="117">
        <f t="shared" si="8"/>
        <v>504287.61999999994</v>
      </c>
      <c r="Q43" s="117">
        <f t="shared" si="10"/>
        <v>5937623.6067741932</v>
      </c>
    </row>
    <row r="44" spans="10:17" x14ac:dyDescent="0.3">
      <c r="J44" t="s">
        <v>204</v>
      </c>
      <c r="K44" s="116">
        <v>45962</v>
      </c>
      <c r="L44" s="143">
        <f>'Sch 4.3'!P$27</f>
        <v>122223.59000000001</v>
      </c>
      <c r="M44" s="175">
        <f t="shared" si="9"/>
        <v>1463663.01</v>
      </c>
      <c r="N44" s="117">
        <v>30</v>
      </c>
      <c r="O44" s="117">
        <v>32</v>
      </c>
      <c r="P44" s="117">
        <f t="shared" si="8"/>
        <v>126166.28645161292</v>
      </c>
      <c r="Q44" s="117">
        <f t="shared" si="10"/>
        <v>6063789.8932258058</v>
      </c>
    </row>
    <row r="45" spans="10:17" x14ac:dyDescent="0.3">
      <c r="J45" t="s">
        <v>204</v>
      </c>
      <c r="K45" s="116">
        <v>45992</v>
      </c>
      <c r="L45" s="177">
        <f>'Sch 4.3'!Q$27</f>
        <v>4798.1499999999996</v>
      </c>
      <c r="M45" s="175">
        <f t="shared" si="9"/>
        <v>1468461.16</v>
      </c>
      <c r="N45" s="117">
        <v>31</v>
      </c>
      <c r="O45" s="117">
        <v>1</v>
      </c>
      <c r="P45" s="117">
        <f>+L45*O45/N$45</f>
        <v>154.77903225806452</v>
      </c>
      <c r="Q45" s="179">
        <f t="shared" si="10"/>
        <v>6063944.6722580642</v>
      </c>
    </row>
    <row r="46" spans="10:17" ht="15" thickBot="1" x14ac:dyDescent="0.35">
      <c r="K46" s="6" t="s">
        <v>20</v>
      </c>
      <c r="L46" s="122">
        <f>SUM(L32:L45)</f>
        <v>1479199.8599999999</v>
      </c>
      <c r="M46" s="123"/>
      <c r="N46" s="124">
        <v>365</v>
      </c>
      <c r="O46" s="117"/>
      <c r="P46" s="122">
        <f>SUM(P34:P45)</f>
        <v>5938723.6722580642</v>
      </c>
      <c r="Q46" s="3"/>
    </row>
    <row r="47" spans="10:17" ht="15" thickTop="1" x14ac:dyDescent="0.3"/>
    <row r="48" spans="10:17" x14ac:dyDescent="0.3">
      <c r="P48" t="s">
        <v>153</v>
      </c>
      <c r="Q48" s="12">
        <v>0.24925</v>
      </c>
    </row>
    <row r="49" spans="1:22" ht="15" thickBot="1" x14ac:dyDescent="0.35"/>
    <row r="50" spans="1:22" ht="15" thickBot="1" x14ac:dyDescent="0.35">
      <c r="P50" s="7" t="s">
        <v>154</v>
      </c>
      <c r="Q50" s="125">
        <f>Q45*Q48</f>
        <v>1511438.2095603226</v>
      </c>
      <c r="R50" t="s">
        <v>24</v>
      </c>
    </row>
    <row r="52" spans="1:22" ht="15" thickBot="1" x14ac:dyDescent="0.35"/>
    <row r="53" spans="1:22" ht="15" thickBot="1" x14ac:dyDescent="0.35">
      <c r="P53" s="148" t="s">
        <v>200</v>
      </c>
      <c r="Q53" s="215">
        <f>Q28+Q50</f>
        <v>3897298.0639791652</v>
      </c>
    </row>
    <row r="55" spans="1:22" x14ac:dyDescent="0.3">
      <c r="A55" s="7" t="s">
        <v>195</v>
      </c>
    </row>
    <row r="56" spans="1:22" x14ac:dyDescent="0.3">
      <c r="A56" t="s">
        <v>93</v>
      </c>
      <c r="B56" s="4" t="s">
        <v>205</v>
      </c>
      <c r="C56" s="4" t="s">
        <v>206</v>
      </c>
      <c r="D56" s="4" t="s">
        <v>207</v>
      </c>
      <c r="E56" s="4" t="s">
        <v>211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x14ac:dyDescent="0.3">
      <c r="A57" t="s">
        <v>196</v>
      </c>
      <c r="B57">
        <v>0.05</v>
      </c>
      <c r="C57">
        <v>9.5000000000000001E-2</v>
      </c>
      <c r="D57">
        <v>8.5500000000000007E-2</v>
      </c>
      <c r="E57">
        <v>7.6950000000000005E-2</v>
      </c>
    </row>
    <row r="58" spans="1:22" x14ac:dyDescent="0.3">
      <c r="A58" t="s">
        <v>197</v>
      </c>
      <c r="B58">
        <v>3.7499999999999999E-2</v>
      </c>
      <c r="C58">
        <v>7.2190000000000004E-2</v>
      </c>
      <c r="D58">
        <v>6.6769999999999996E-2</v>
      </c>
      <c r="E58">
        <v>6.1769999999999999E-2</v>
      </c>
    </row>
  </sheetData>
  <mergeCells count="3">
    <mergeCell ref="A1:Q1"/>
    <mergeCell ref="A2:Q2"/>
    <mergeCell ref="A3:Q3"/>
  </mergeCells>
  <printOptions horizontalCentered="1"/>
  <pageMargins left="0.7" right="0.7" top="0.75" bottom="0.75" header="0.3" footer="0.3"/>
  <pageSetup scale="45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3"/>
  <sheetViews>
    <sheetView view="pageLayout" zoomScale="70" zoomScaleNormal="100" zoomScalePageLayoutView="70" workbookViewId="0">
      <selection activeCell="K11" sqref="K11"/>
    </sheetView>
  </sheetViews>
  <sheetFormatPr defaultRowHeight="14.4" x14ac:dyDescent="0.3"/>
  <cols>
    <col min="1" max="1" width="8.33203125" bestFit="1" customWidth="1"/>
    <col min="2" max="2" width="22.109375" customWidth="1"/>
    <col min="3" max="3" width="10.6640625" customWidth="1"/>
    <col min="4" max="4" width="13.5546875" customWidth="1"/>
    <col min="5" max="6" width="17.44140625" customWidth="1"/>
    <col min="7" max="8" width="16.6640625" customWidth="1"/>
    <col min="9" max="9" width="17.6640625" customWidth="1"/>
    <col min="10" max="10" width="4.33203125" customWidth="1"/>
  </cols>
  <sheetData>
    <row r="1" spans="1:10" x14ac:dyDescent="0.3">
      <c r="A1" s="4"/>
      <c r="G1" s="4"/>
      <c r="H1" s="4"/>
      <c r="I1" s="4"/>
    </row>
    <row r="2" spans="1:10" x14ac:dyDescent="0.3">
      <c r="A2" s="58" t="str">
        <f>'Sch 1.0'!A2:J2</f>
        <v>Duke Energy Kentucky</v>
      </c>
      <c r="B2" s="58"/>
      <c r="C2" s="58"/>
      <c r="D2" s="58"/>
      <c r="E2" s="58"/>
      <c r="F2" s="58"/>
      <c r="G2" s="58"/>
      <c r="H2" s="58"/>
      <c r="I2" s="58"/>
    </row>
    <row r="3" spans="1:10" x14ac:dyDescent="0.3">
      <c r="A3" s="58" t="str">
        <f>'Sch 1.0'!A3:J3</f>
        <v>Pipeline Modernization Mechanism ("Rider PMM")</v>
      </c>
      <c r="B3" s="58"/>
      <c r="C3" s="58"/>
      <c r="D3" s="58"/>
      <c r="E3" s="58"/>
      <c r="F3" s="58"/>
      <c r="G3" s="58"/>
      <c r="H3" s="58"/>
      <c r="I3" s="58"/>
    </row>
    <row r="4" spans="1:10" x14ac:dyDescent="0.3">
      <c r="A4" s="58" t="s">
        <v>64</v>
      </c>
      <c r="B4" s="58"/>
      <c r="C4" s="58"/>
      <c r="D4" s="58"/>
      <c r="E4" s="58"/>
      <c r="F4" s="58"/>
      <c r="G4" s="58"/>
      <c r="H4" s="58"/>
      <c r="I4" s="58"/>
    </row>
    <row r="5" spans="1:10" x14ac:dyDescent="0.3">
      <c r="A5" s="4"/>
      <c r="B5" s="4"/>
      <c r="C5" s="4"/>
      <c r="D5" s="4"/>
      <c r="E5" s="4"/>
      <c r="F5" s="4"/>
      <c r="G5" s="4"/>
      <c r="H5" s="4"/>
      <c r="I5" s="4"/>
    </row>
    <row r="6" spans="1:10" x14ac:dyDescent="0.3">
      <c r="A6" s="4"/>
      <c r="G6" s="4"/>
      <c r="H6" s="4"/>
      <c r="I6" s="4"/>
    </row>
    <row r="7" spans="1:10" x14ac:dyDescent="0.3">
      <c r="A7" s="169" t="s">
        <v>241</v>
      </c>
      <c r="B7" s="84"/>
      <c r="C7" s="84"/>
      <c r="G7" s="4"/>
      <c r="H7" s="4"/>
      <c r="I7" s="4"/>
    </row>
    <row r="8" spans="1:10" x14ac:dyDescent="0.3">
      <c r="A8" s="4"/>
      <c r="G8" s="4"/>
      <c r="H8" s="4"/>
      <c r="I8" s="4"/>
    </row>
    <row r="9" spans="1:10" x14ac:dyDescent="0.3">
      <c r="A9" s="3" t="s">
        <v>123</v>
      </c>
      <c r="B9" s="3"/>
      <c r="C9" s="3" t="s">
        <v>57</v>
      </c>
      <c r="D9" s="218" t="s">
        <v>130</v>
      </c>
      <c r="E9" s="218"/>
      <c r="F9" s="218" t="s">
        <v>53</v>
      </c>
      <c r="G9" s="218"/>
      <c r="H9" s="218" t="s">
        <v>24</v>
      </c>
      <c r="I9" s="218"/>
    </row>
    <row r="10" spans="1:10" x14ac:dyDescent="0.3">
      <c r="A10" s="8" t="s">
        <v>124</v>
      </c>
      <c r="B10" s="8" t="s">
        <v>56</v>
      </c>
      <c r="C10" s="8" t="s">
        <v>58</v>
      </c>
      <c r="D10" s="8" t="s">
        <v>73</v>
      </c>
      <c r="E10" s="8" t="s">
        <v>77</v>
      </c>
      <c r="F10" s="8" t="s">
        <v>73</v>
      </c>
      <c r="G10" s="8" t="s">
        <v>77</v>
      </c>
      <c r="H10" s="8" t="s">
        <v>73</v>
      </c>
      <c r="I10" s="8" t="s">
        <v>77</v>
      </c>
    </row>
    <row r="11" spans="1:10" x14ac:dyDescent="0.3">
      <c r="B11" s="16" t="s">
        <v>62</v>
      </c>
      <c r="C11" s="16" t="s">
        <v>63</v>
      </c>
      <c r="D11" s="16" t="s">
        <v>65</v>
      </c>
      <c r="E11" s="16" t="s">
        <v>74</v>
      </c>
      <c r="F11" s="16" t="s">
        <v>99</v>
      </c>
      <c r="G11" s="16" t="s">
        <v>100</v>
      </c>
      <c r="H11" s="16" t="s">
        <v>101</v>
      </c>
      <c r="I11" s="16" t="s">
        <v>102</v>
      </c>
    </row>
    <row r="12" spans="1:10" x14ac:dyDescent="0.3">
      <c r="G12" s="29"/>
      <c r="H12" s="29"/>
    </row>
    <row r="13" spans="1:10" x14ac:dyDescent="0.3">
      <c r="G13" s="29"/>
      <c r="H13" s="29"/>
    </row>
    <row r="14" spans="1:10" x14ac:dyDescent="0.3">
      <c r="A14" s="4">
        <v>1</v>
      </c>
      <c r="B14" s="86" t="s">
        <v>189</v>
      </c>
      <c r="C14" s="78">
        <v>13</v>
      </c>
      <c r="D14" s="89">
        <f>+'Sch 4.3'!E15</f>
        <v>97859622.650000006</v>
      </c>
      <c r="E14" s="54">
        <f>D14</f>
        <v>97859622.650000006</v>
      </c>
      <c r="F14" s="89">
        <f>+'Sch 4.3'!$E$21</f>
        <v>261866.2</v>
      </c>
      <c r="G14" s="72">
        <f t="shared" ref="G14:G26" si="0">G13+F14</f>
        <v>261866.2</v>
      </c>
      <c r="H14" s="89">
        <f>+'Sch 4.3'!E27</f>
        <v>1584696.27</v>
      </c>
      <c r="I14" s="54">
        <f>H14</f>
        <v>1584696.27</v>
      </c>
    </row>
    <row r="15" spans="1:10" x14ac:dyDescent="0.3">
      <c r="A15" s="4">
        <f>A14+1</f>
        <v>2</v>
      </c>
      <c r="B15" s="87">
        <v>45658</v>
      </c>
      <c r="C15" s="78">
        <v>12</v>
      </c>
      <c r="D15" s="168">
        <f>+'Sch 4.3'!F15</f>
        <v>1438880.4099999992</v>
      </c>
      <c r="E15" s="66">
        <f>E14+D15</f>
        <v>99298503.060000002</v>
      </c>
      <c r="F15" s="168">
        <f>+'Sch 4.3'!$F$21</f>
        <v>0</v>
      </c>
      <c r="G15" s="66">
        <f t="shared" si="0"/>
        <v>261866.2</v>
      </c>
      <c r="H15" s="168">
        <f>+'Sch 4.3'!$F$27</f>
        <v>243156.9</v>
      </c>
      <c r="I15" s="66">
        <f>I14+H15</f>
        <v>1827853.17</v>
      </c>
      <c r="J15" s="17"/>
    </row>
    <row r="16" spans="1:10" ht="16.2" x14ac:dyDescent="0.45">
      <c r="A16" s="4">
        <f>A15+1</f>
        <v>3</v>
      </c>
      <c r="B16" s="87">
        <v>45689</v>
      </c>
      <c r="C16" s="78">
        <f>C15-1</f>
        <v>11</v>
      </c>
      <c r="D16" s="168">
        <f>+'Sch 4.3'!G$15</f>
        <v>-593540.4600000002</v>
      </c>
      <c r="E16" s="66">
        <f t="shared" ref="E16:E26" si="1">E15+D16</f>
        <v>98704962.600000009</v>
      </c>
      <c r="F16" s="168">
        <f>+'Sch 4.3'!$G$21</f>
        <v>0</v>
      </c>
      <c r="G16" s="66">
        <f t="shared" si="0"/>
        <v>261866.2</v>
      </c>
      <c r="H16" s="168">
        <f>+'Sch 4.3'!$G$27</f>
        <v>61761.799999999996</v>
      </c>
      <c r="I16" s="66">
        <f t="shared" ref="I16:I26" si="2">I15+H16</f>
        <v>1889614.97</v>
      </c>
      <c r="J16" s="18"/>
    </row>
    <row r="17" spans="1:10" x14ac:dyDescent="0.3">
      <c r="A17" s="4">
        <f t="shared" ref="A17:A26" si="3">A16+1</f>
        <v>4</v>
      </c>
      <c r="B17" s="87">
        <v>45717</v>
      </c>
      <c r="C17" s="78">
        <f t="shared" ref="C17:C26" si="4">C16-1</f>
        <v>10</v>
      </c>
      <c r="D17" s="168">
        <f>+'Sch 4.3'!H$15</f>
        <v>867174.89000000141</v>
      </c>
      <c r="E17" s="66">
        <f t="shared" si="1"/>
        <v>99572137.49000001</v>
      </c>
      <c r="F17" s="168">
        <f>+'Sch 4.3'!$H$21</f>
        <v>402800.7</v>
      </c>
      <c r="G17" s="66">
        <f t="shared" si="0"/>
        <v>664666.9</v>
      </c>
      <c r="H17" s="168">
        <f>+'Sch 4.3'!$H$27</f>
        <v>3968.4800000000014</v>
      </c>
      <c r="I17" s="66">
        <f t="shared" si="2"/>
        <v>1893583.45</v>
      </c>
      <c r="J17" s="17"/>
    </row>
    <row r="18" spans="1:10" x14ac:dyDescent="0.3">
      <c r="A18" s="4">
        <f t="shared" si="3"/>
        <v>5</v>
      </c>
      <c r="B18" s="87">
        <v>45748</v>
      </c>
      <c r="C18" s="78">
        <f t="shared" si="4"/>
        <v>9</v>
      </c>
      <c r="D18" s="168">
        <f>+'Sch 4.3'!I$15</f>
        <v>-386482.77000000142</v>
      </c>
      <c r="E18" s="66">
        <f t="shared" si="1"/>
        <v>99185654.720000014</v>
      </c>
      <c r="F18" s="168">
        <f>+'Sch 4.3'!$I$21</f>
        <v>0</v>
      </c>
      <c r="G18" s="66">
        <f t="shared" si="0"/>
        <v>664666.9</v>
      </c>
      <c r="H18" s="168">
        <f>+'Sch 4.3'!$I$27</f>
        <v>4023.929999999993</v>
      </c>
      <c r="I18" s="66">
        <f t="shared" si="2"/>
        <v>1897607.38</v>
      </c>
      <c r="J18" s="14"/>
    </row>
    <row r="19" spans="1:10" x14ac:dyDescent="0.3">
      <c r="A19" s="4">
        <f t="shared" si="3"/>
        <v>6</v>
      </c>
      <c r="B19" s="87">
        <v>45778</v>
      </c>
      <c r="C19" s="78">
        <f t="shared" si="4"/>
        <v>8</v>
      </c>
      <c r="D19" s="168">
        <f>+'Sch 4.3'!J$15</f>
        <v>244971.16999999998</v>
      </c>
      <c r="E19" s="66">
        <f t="shared" si="1"/>
        <v>99430625.890000015</v>
      </c>
      <c r="F19" s="168">
        <f>+'Sch 4.3'!$J$21</f>
        <v>-261866.2</v>
      </c>
      <c r="G19" s="66">
        <f t="shared" si="0"/>
        <v>402800.7</v>
      </c>
      <c r="H19" s="168">
        <f>+'Sch 4.3'!$J$27</f>
        <v>5152.6899999999732</v>
      </c>
      <c r="I19" s="66">
        <f t="shared" si="2"/>
        <v>1902760.0699999998</v>
      </c>
    </row>
    <row r="20" spans="1:10" x14ac:dyDescent="0.3">
      <c r="A20" s="4">
        <f t="shared" si="3"/>
        <v>7</v>
      </c>
      <c r="B20" s="87">
        <v>45809</v>
      </c>
      <c r="C20" s="78">
        <f t="shared" si="4"/>
        <v>7</v>
      </c>
      <c r="D20" s="168">
        <f>+'Sch 4.3'!K$15</f>
        <v>80267.240000000005</v>
      </c>
      <c r="E20" s="66">
        <f t="shared" si="1"/>
        <v>99510893.13000001</v>
      </c>
      <c r="F20" s="168">
        <f>+'Sch 4.3'!$K$21</f>
        <v>268153.92</v>
      </c>
      <c r="G20" s="66">
        <f t="shared" si="0"/>
        <v>670954.62</v>
      </c>
      <c r="H20" s="168">
        <f>+'Sch 4.3'!$K$27</f>
        <v>6956.3599999999988</v>
      </c>
      <c r="I20" s="66">
        <f t="shared" si="2"/>
        <v>1909716.43</v>
      </c>
      <c r="J20" s="1"/>
    </row>
    <row r="21" spans="1:10" ht="16.2" x14ac:dyDescent="0.45">
      <c r="A21" s="4">
        <f t="shared" si="3"/>
        <v>8</v>
      </c>
      <c r="B21" s="87">
        <v>45839</v>
      </c>
      <c r="C21" s="78">
        <f t="shared" si="4"/>
        <v>6</v>
      </c>
      <c r="D21" s="168">
        <f>+'Sch 4.3'!L$15</f>
        <v>-1595028.0199999998</v>
      </c>
      <c r="E21" s="66">
        <f t="shared" si="1"/>
        <v>97915865.110000014</v>
      </c>
      <c r="F21" s="168">
        <f>+'Sch 4.3'!$L$21</f>
        <v>0</v>
      </c>
      <c r="G21" s="66">
        <f t="shared" si="0"/>
        <v>670954.62</v>
      </c>
      <c r="H21" s="168">
        <f>+'Sch 4.3'!$L$27</f>
        <v>1175.53</v>
      </c>
      <c r="I21" s="66">
        <f t="shared" si="2"/>
        <v>1910891.96</v>
      </c>
      <c r="J21" s="18"/>
    </row>
    <row r="22" spans="1:10" x14ac:dyDescent="0.3">
      <c r="A22" s="4">
        <f t="shared" si="3"/>
        <v>9</v>
      </c>
      <c r="B22" s="87">
        <v>45870</v>
      </c>
      <c r="C22" s="78">
        <f t="shared" si="4"/>
        <v>5</v>
      </c>
      <c r="D22" s="168">
        <f>+'Sch 4.3'!M$15</f>
        <v>22234.629999999997</v>
      </c>
      <c r="E22" s="66">
        <f t="shared" si="1"/>
        <v>97938099.74000001</v>
      </c>
      <c r="F22" s="168">
        <f>+'Sch 4.3'!$M$21</f>
        <v>0</v>
      </c>
      <c r="G22" s="66">
        <f t="shared" si="0"/>
        <v>670954.62</v>
      </c>
      <c r="H22" s="168">
        <f>+'Sch 4.3'!$M$27</f>
        <v>4980.5700000000006</v>
      </c>
      <c r="I22" s="66">
        <f t="shared" si="2"/>
        <v>1915872.53</v>
      </c>
      <c r="J22" s="17"/>
    </row>
    <row r="23" spans="1:10" x14ac:dyDescent="0.3">
      <c r="A23" s="4">
        <f t="shared" si="3"/>
        <v>10</v>
      </c>
      <c r="B23" s="87">
        <v>45901</v>
      </c>
      <c r="C23" s="78">
        <f t="shared" si="4"/>
        <v>4</v>
      </c>
      <c r="D23" s="168">
        <f>+'Sch 4.3'!N$15</f>
        <v>48444112.879999995</v>
      </c>
      <c r="E23" s="66">
        <f t="shared" si="1"/>
        <v>146382212.62</v>
      </c>
      <c r="F23" s="168">
        <f>+'Sch 4.3'!$N$21</f>
        <v>0</v>
      </c>
      <c r="G23" s="66">
        <f t="shared" si="0"/>
        <v>670954.62</v>
      </c>
      <c r="H23" s="168">
        <f>+'Sch 4.3'!$N$27</f>
        <v>632898.35</v>
      </c>
      <c r="I23" s="66">
        <f t="shared" si="2"/>
        <v>2548770.88</v>
      </c>
    </row>
    <row r="24" spans="1:10" x14ac:dyDescent="0.3">
      <c r="A24" s="4">
        <f t="shared" si="3"/>
        <v>11</v>
      </c>
      <c r="B24" s="87">
        <v>45931</v>
      </c>
      <c r="C24" s="78">
        <f t="shared" si="4"/>
        <v>3</v>
      </c>
      <c r="D24" s="168">
        <f>+'Sch 4.3'!O$15</f>
        <v>600275.88999999955</v>
      </c>
      <c r="E24" s="66">
        <f t="shared" si="1"/>
        <v>146982488.50999999</v>
      </c>
      <c r="F24" s="168">
        <f>+'Sch 4.3'!$O$21</f>
        <v>500819.76</v>
      </c>
      <c r="G24" s="66">
        <f t="shared" si="0"/>
        <v>1171774.3799999999</v>
      </c>
      <c r="H24" s="168">
        <f>+'Sch 4.3'!$O$27</f>
        <v>252143.80999999997</v>
      </c>
      <c r="I24" s="66">
        <f t="shared" si="2"/>
        <v>2800914.69</v>
      </c>
      <c r="J24" s="2"/>
    </row>
    <row r="25" spans="1:10" x14ac:dyDescent="0.3">
      <c r="A25" s="4">
        <f t="shared" si="3"/>
        <v>12</v>
      </c>
      <c r="B25" s="87">
        <v>45962</v>
      </c>
      <c r="C25" s="78">
        <f t="shared" si="4"/>
        <v>2</v>
      </c>
      <c r="D25" s="168">
        <f>+'Sch 4.3'!P$15</f>
        <v>3126993.9899999998</v>
      </c>
      <c r="E25" s="66">
        <f t="shared" si="1"/>
        <v>150109482.5</v>
      </c>
      <c r="F25" s="168">
        <f>+'Sch 4.3'!$P$21</f>
        <v>0</v>
      </c>
      <c r="G25" s="66">
        <f t="shared" si="0"/>
        <v>1171774.3799999999</v>
      </c>
      <c r="H25" s="168">
        <f>+'Sch 4.3'!$P$27</f>
        <v>122223.59000000001</v>
      </c>
      <c r="I25" s="66">
        <f t="shared" si="2"/>
        <v>2923138.28</v>
      </c>
    </row>
    <row r="26" spans="1:10" x14ac:dyDescent="0.3">
      <c r="A26" s="4">
        <f t="shared" si="3"/>
        <v>13</v>
      </c>
      <c r="B26" s="87">
        <v>45992</v>
      </c>
      <c r="C26" s="78">
        <f t="shared" si="4"/>
        <v>1</v>
      </c>
      <c r="D26" s="168">
        <f>+'Sch 4.3'!Q$15</f>
        <v>471389.67999999993</v>
      </c>
      <c r="E26" s="67">
        <f t="shared" si="1"/>
        <v>150580872.18000001</v>
      </c>
      <c r="F26" s="168">
        <f>+'Sch 4.3'!$Q$21</f>
        <v>0</v>
      </c>
      <c r="G26" s="67">
        <f t="shared" si="0"/>
        <v>1171774.3799999999</v>
      </c>
      <c r="H26" s="168">
        <f>+'Sch 4.3'!$Q$27</f>
        <v>4798.1499999999996</v>
      </c>
      <c r="I26" s="67">
        <f t="shared" si="2"/>
        <v>2927936.4299999997</v>
      </c>
    </row>
    <row r="27" spans="1:10" x14ac:dyDescent="0.3">
      <c r="A27" s="4"/>
      <c r="E27" s="64">
        <f>SUM(E14:E26)</f>
        <v>1483471420.2</v>
      </c>
      <c r="G27" s="64">
        <f>SUM(G14:G26)</f>
        <v>8716874.7199999988</v>
      </c>
      <c r="H27" s="2"/>
      <c r="I27" s="64">
        <f>SUM(I14:I26)</f>
        <v>27933356.510000002</v>
      </c>
      <c r="J27" s="2"/>
    </row>
    <row r="28" spans="1:10" x14ac:dyDescent="0.3">
      <c r="A28" s="4">
        <f>A26+1</f>
        <v>14</v>
      </c>
      <c r="B28" t="s">
        <v>78</v>
      </c>
      <c r="E28" s="84">
        <v>13</v>
      </c>
      <c r="F28" s="84"/>
      <c r="G28" s="84">
        <v>13</v>
      </c>
      <c r="H28" s="84"/>
      <c r="I28" s="85">
        <v>13</v>
      </c>
    </row>
    <row r="29" spans="1:10" ht="15" thickBot="1" x14ac:dyDescent="0.35">
      <c r="A29" s="4">
        <f>A28+1</f>
        <v>15</v>
      </c>
      <c r="B29" t="s">
        <v>79</v>
      </c>
      <c r="E29" s="50">
        <f>ROUND(E27/E28,0)</f>
        <v>114113186</v>
      </c>
      <c r="F29" s="46"/>
      <c r="G29" s="50">
        <f>ROUND(G27/G28,0)</f>
        <v>670529</v>
      </c>
      <c r="H29" s="46"/>
      <c r="I29" s="50">
        <f>ROUND(I27/I28,0)</f>
        <v>2148720</v>
      </c>
    </row>
    <row r="30" spans="1:10" ht="15" thickTop="1" x14ac:dyDescent="0.3"/>
    <row r="31" spans="1:10" x14ac:dyDescent="0.3">
      <c r="A31" s="4"/>
      <c r="E31" s="29"/>
      <c r="G31" s="29"/>
      <c r="H31" s="29"/>
      <c r="I31" s="29"/>
    </row>
    <row r="32" spans="1:10" x14ac:dyDescent="0.3">
      <c r="F32" s="32"/>
    </row>
    <row r="33" spans="5:5" x14ac:dyDescent="0.3">
      <c r="E33" s="64"/>
    </row>
  </sheetData>
  <mergeCells count="3">
    <mergeCell ref="D9:E9"/>
    <mergeCell ref="F9:G9"/>
    <mergeCell ref="H9:I9"/>
  </mergeCells>
  <printOptions horizontalCentered="1"/>
  <pageMargins left="0.7" right="0.7" top="1.0357142857142858" bottom="0.75" header="0.3" footer="0.3"/>
  <pageSetup scale="80" orientation="landscape" r:id="rId1"/>
  <headerFooter>
    <oddHeader xml:space="preserve">&amp;R&amp;"Times New Roman,Bold"&amp;10KyPSC Case No. 2026-00162
STAFF-DR-01-001 Attachment 1
&amp;A
Page &amp;P of &amp;N
</oddHeader>
  </headerFooter>
  <ignoredErrors>
    <ignoredError sqref="F15:F26 H15:H2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7149-05A9-4BE5-8773-539A45BAB506}">
  <sheetPr>
    <pageSetUpPr fitToPage="1"/>
  </sheetPr>
  <dimension ref="A1:R49"/>
  <sheetViews>
    <sheetView view="pageLayout" zoomScale="85" zoomScaleNormal="100" zoomScalePageLayoutView="85" workbookViewId="0">
      <selection activeCell="K11" sqref="K11"/>
    </sheetView>
  </sheetViews>
  <sheetFormatPr defaultRowHeight="14.4" x14ac:dyDescent="0.3"/>
  <cols>
    <col min="1" max="1" width="29.6640625" bestFit="1" customWidth="1"/>
    <col min="2" max="2" width="4" bestFit="1" customWidth="1"/>
    <col min="4" max="4" width="12.5546875" bestFit="1" customWidth="1"/>
    <col min="5" max="5" width="11.5546875" bestFit="1" customWidth="1"/>
    <col min="6" max="7" width="10.6640625" bestFit="1" customWidth="1"/>
    <col min="8" max="8" width="12.33203125" bestFit="1" customWidth="1"/>
    <col min="9" max="9" width="10.6640625" bestFit="1" customWidth="1"/>
    <col min="10" max="10" width="12.5546875" bestFit="1" customWidth="1"/>
    <col min="11" max="11" width="12.33203125" bestFit="1" customWidth="1"/>
    <col min="12" max="12" width="11.5546875" bestFit="1" customWidth="1"/>
    <col min="13" max="14" width="13.44140625" bestFit="1" customWidth="1"/>
    <col min="15" max="16" width="12.5546875" bestFit="1" customWidth="1"/>
    <col min="17" max="17" width="13.6640625" bestFit="1" customWidth="1"/>
  </cols>
  <sheetData>
    <row r="1" spans="1:18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x14ac:dyDescent="0.3">
      <c r="A2" s="58" t="s">
        <v>121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x14ac:dyDescent="0.3">
      <c r="A3" s="58" t="s">
        <v>236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5" spans="1:18" ht="15" thickBot="1" x14ac:dyDescent="0.35"/>
    <row r="6" spans="1:18" x14ac:dyDescent="0.3">
      <c r="A6" s="187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9"/>
    </row>
    <row r="7" spans="1:18" x14ac:dyDescent="0.3">
      <c r="A7" s="190">
        <v>2024</v>
      </c>
      <c r="E7" s="166" t="s">
        <v>233</v>
      </c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191" t="s">
        <v>92</v>
      </c>
    </row>
    <row r="8" spans="1:18" x14ac:dyDescent="0.3">
      <c r="A8" s="192" t="s">
        <v>231</v>
      </c>
      <c r="D8" s="90">
        <v>2023</v>
      </c>
      <c r="E8" s="8" t="s">
        <v>81</v>
      </c>
      <c r="F8" s="8" t="s">
        <v>82</v>
      </c>
      <c r="G8" s="8" t="s">
        <v>83</v>
      </c>
      <c r="H8" s="8" t="s">
        <v>84</v>
      </c>
      <c r="I8" s="8" t="s">
        <v>85</v>
      </c>
      <c r="J8" s="8" t="s">
        <v>86</v>
      </c>
      <c r="K8" s="8" t="s">
        <v>87</v>
      </c>
      <c r="L8" s="8" t="s">
        <v>88</v>
      </c>
      <c r="M8" s="8" t="s">
        <v>89</v>
      </c>
      <c r="N8" s="8" t="s">
        <v>90</v>
      </c>
      <c r="O8" s="8" t="s">
        <v>91</v>
      </c>
      <c r="P8" s="8" t="s">
        <v>80</v>
      </c>
      <c r="Q8" s="193">
        <v>2024</v>
      </c>
    </row>
    <row r="9" spans="1:18" x14ac:dyDescent="0.3">
      <c r="A9" s="194" t="s">
        <v>144</v>
      </c>
      <c r="B9" s="108">
        <v>376</v>
      </c>
      <c r="C9" s="109"/>
      <c r="D9" s="107">
        <v>19064578</v>
      </c>
      <c r="E9" s="89">
        <v>100800</v>
      </c>
      <c r="F9" s="89">
        <v>61600</v>
      </c>
      <c r="G9" s="89">
        <v>81512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35382200</v>
      </c>
      <c r="N9" s="89">
        <v>4354632</v>
      </c>
      <c r="O9" s="89">
        <v>2744264</v>
      </c>
      <c r="P9" s="89">
        <v>430272</v>
      </c>
      <c r="Q9" s="195">
        <f>SUM(D9:P9)</f>
        <v>62219858</v>
      </c>
    </row>
    <row r="10" spans="1:18" x14ac:dyDescent="0.3">
      <c r="A10" s="194" t="s">
        <v>148</v>
      </c>
      <c r="B10" s="108">
        <v>378</v>
      </c>
      <c r="C10" s="109"/>
      <c r="D10" s="107">
        <v>9107746</v>
      </c>
      <c r="E10" s="89">
        <v>56000</v>
      </c>
      <c r="F10" s="89">
        <v>33600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195">
        <f t="shared" ref="Q10:Q11" si="0">SUM(D10:P10)</f>
        <v>9197346</v>
      </c>
    </row>
    <row r="11" spans="1:18" x14ac:dyDescent="0.3">
      <c r="A11" s="194" t="s">
        <v>147</v>
      </c>
      <c r="B11" s="108">
        <v>374</v>
      </c>
      <c r="C11" s="109"/>
      <c r="D11" s="75">
        <v>1379337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4315829</v>
      </c>
      <c r="N11" s="94">
        <v>0</v>
      </c>
      <c r="O11" s="94">
        <v>0</v>
      </c>
      <c r="P11" s="94">
        <v>0</v>
      </c>
      <c r="Q11" s="196">
        <f t="shared" si="0"/>
        <v>5695166</v>
      </c>
    </row>
    <row r="12" spans="1:18" x14ac:dyDescent="0.3">
      <c r="A12" s="194" t="s">
        <v>52</v>
      </c>
      <c r="B12" s="31"/>
      <c r="C12" s="31"/>
      <c r="D12" s="55">
        <f>SUM(D9:D11)</f>
        <v>29551661</v>
      </c>
      <c r="E12" s="55">
        <f t="shared" ref="E12:Q12" si="1">SUM(E9:E11)</f>
        <v>156800</v>
      </c>
      <c r="F12" s="55">
        <f t="shared" si="1"/>
        <v>95200</v>
      </c>
      <c r="G12" s="55">
        <f t="shared" si="1"/>
        <v>81512</v>
      </c>
      <c r="H12" s="55">
        <f t="shared" si="1"/>
        <v>0</v>
      </c>
      <c r="I12" s="55">
        <f t="shared" si="1"/>
        <v>0</v>
      </c>
      <c r="J12" s="55">
        <f t="shared" si="1"/>
        <v>0</v>
      </c>
      <c r="K12" s="55">
        <f t="shared" si="1"/>
        <v>0</v>
      </c>
      <c r="L12" s="55">
        <f t="shared" si="1"/>
        <v>0</v>
      </c>
      <c r="M12" s="55">
        <f t="shared" si="1"/>
        <v>39698029</v>
      </c>
      <c r="N12" s="55">
        <f t="shared" si="1"/>
        <v>4354632</v>
      </c>
      <c r="O12" s="55">
        <f t="shared" si="1"/>
        <v>2744264</v>
      </c>
      <c r="P12" s="55">
        <f t="shared" si="1"/>
        <v>430272</v>
      </c>
      <c r="Q12" s="197">
        <f t="shared" si="1"/>
        <v>77112370</v>
      </c>
    </row>
    <row r="13" spans="1:18" x14ac:dyDescent="0.3">
      <c r="A13" s="194"/>
      <c r="Q13" s="198"/>
    </row>
    <row r="14" spans="1:18" x14ac:dyDescent="0.3">
      <c r="A14" s="194"/>
      <c r="E14" s="166" t="s">
        <v>234</v>
      </c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191" t="s">
        <v>92</v>
      </c>
    </row>
    <row r="15" spans="1:18" x14ac:dyDescent="0.3">
      <c r="A15" s="192" t="s">
        <v>231</v>
      </c>
      <c r="D15" s="90">
        <f>+D8</f>
        <v>2023</v>
      </c>
      <c r="E15" s="8" t="s">
        <v>81</v>
      </c>
      <c r="F15" s="8" t="s">
        <v>82</v>
      </c>
      <c r="G15" s="8" t="s">
        <v>83</v>
      </c>
      <c r="H15" s="8" t="s">
        <v>84</v>
      </c>
      <c r="I15" s="8" t="s">
        <v>85</v>
      </c>
      <c r="J15" s="8" t="s">
        <v>86</v>
      </c>
      <c r="K15" s="8" t="s">
        <v>87</v>
      </c>
      <c r="L15" s="8" t="s">
        <v>88</v>
      </c>
      <c r="M15" s="8" t="s">
        <v>89</v>
      </c>
      <c r="N15" s="8" t="s">
        <v>90</v>
      </c>
      <c r="O15" s="8" t="s">
        <v>91</v>
      </c>
      <c r="P15" s="8" t="s">
        <v>80</v>
      </c>
      <c r="Q15" s="193">
        <f>+Q8</f>
        <v>2024</v>
      </c>
    </row>
    <row r="16" spans="1:18" x14ac:dyDescent="0.3">
      <c r="A16" s="194" t="s">
        <v>144</v>
      </c>
      <c r="B16" s="108">
        <v>376</v>
      </c>
      <c r="C16" s="160"/>
      <c r="D16" s="47">
        <v>26203210</v>
      </c>
      <c r="E16" s="47">
        <v>908454.40999999968</v>
      </c>
      <c r="F16" s="47">
        <v>-122211.71000000008</v>
      </c>
      <c r="G16" s="47">
        <v>-581594.57999999996</v>
      </c>
      <c r="H16" s="72">
        <v>-878861.44</v>
      </c>
      <c r="I16" s="72">
        <v>-437445.25</v>
      </c>
      <c r="J16" s="72">
        <v>898296.1</v>
      </c>
      <c r="K16" s="72">
        <v>-330531.94000000006</v>
      </c>
      <c r="L16" s="72">
        <v>-14330.260000000009</v>
      </c>
      <c r="M16" s="72">
        <v>-169784.15000000002</v>
      </c>
      <c r="N16" s="72">
        <v>-116319.79999999999</v>
      </c>
      <c r="O16" s="72">
        <v>45046325.939999998</v>
      </c>
      <c r="P16" s="89">
        <v>2772894.3099999996</v>
      </c>
      <c r="Q16" s="195">
        <f>SUM(D16:P16)</f>
        <v>73178101.629999995</v>
      </c>
    </row>
    <row r="17" spans="1:17" x14ac:dyDescent="0.3">
      <c r="A17" s="194" t="s">
        <v>148</v>
      </c>
      <c r="B17" s="108">
        <v>378</v>
      </c>
      <c r="C17" s="160"/>
      <c r="D17" s="47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15747865.119999999</v>
      </c>
      <c r="K17" s="72">
        <v>316626.6399999999</v>
      </c>
      <c r="L17" s="72">
        <v>1045917.13</v>
      </c>
      <c r="M17" s="72">
        <v>280439.99</v>
      </c>
      <c r="N17" s="72">
        <v>269690.64</v>
      </c>
      <c r="O17" s="72">
        <v>485323.3000000001</v>
      </c>
      <c r="P17" s="72">
        <v>611421.1100000001</v>
      </c>
      <c r="Q17" s="195">
        <f>SUM(D17:P17)</f>
        <v>18757283.93</v>
      </c>
    </row>
    <row r="18" spans="1:17" x14ac:dyDescent="0.3">
      <c r="A18" s="194" t="s">
        <v>147</v>
      </c>
      <c r="B18" s="108">
        <v>374</v>
      </c>
      <c r="C18" s="160"/>
      <c r="D18" s="43">
        <v>5857760</v>
      </c>
      <c r="E18" s="94">
        <v>924.27999999999884</v>
      </c>
      <c r="F18" s="94">
        <v>13358.28</v>
      </c>
      <c r="G18" s="94">
        <v>28923.339999999993</v>
      </c>
      <c r="H18" s="112">
        <v>-352921.58999999997</v>
      </c>
      <c r="I18" s="112">
        <v>4255.87</v>
      </c>
      <c r="J18" s="112">
        <v>5919.99</v>
      </c>
      <c r="K18" s="112">
        <v>4625.5200000000004</v>
      </c>
      <c r="L18" s="112">
        <v>0</v>
      </c>
      <c r="M18" s="112">
        <v>1492.68</v>
      </c>
      <c r="N18" s="112">
        <v>1422.4199999999998</v>
      </c>
      <c r="O18" s="112">
        <v>358250.25</v>
      </c>
      <c r="P18" s="94">
        <v>226.05</v>
      </c>
      <c r="Q18" s="196">
        <f>SUM(D18:P18)</f>
        <v>5924237.0899999999</v>
      </c>
    </row>
    <row r="19" spans="1:17" x14ac:dyDescent="0.3">
      <c r="A19" s="194" t="s">
        <v>52</v>
      </c>
      <c r="B19" s="31"/>
      <c r="C19" s="155"/>
      <c r="D19" s="47">
        <f>SUM(D16:D18)</f>
        <v>32060970</v>
      </c>
      <c r="E19" s="47">
        <f t="shared" ref="E19:P19" si="2">SUM(E16:E18)</f>
        <v>909378.68999999971</v>
      </c>
      <c r="F19" s="47">
        <f t="shared" si="2"/>
        <v>-108853.43000000008</v>
      </c>
      <c r="G19" s="47">
        <f t="shared" si="2"/>
        <v>-552671.24</v>
      </c>
      <c r="H19" s="47">
        <f t="shared" si="2"/>
        <v>-1231783.0299999998</v>
      </c>
      <c r="I19" s="47">
        <f t="shared" si="2"/>
        <v>-433189.38</v>
      </c>
      <c r="J19" s="47">
        <f t="shared" si="2"/>
        <v>16652081.209999999</v>
      </c>
      <c r="K19" s="47">
        <f t="shared" si="2"/>
        <v>-9279.7800000001625</v>
      </c>
      <c r="L19" s="47">
        <f t="shared" si="2"/>
        <v>1031586.87</v>
      </c>
      <c r="M19" s="47">
        <f t="shared" si="2"/>
        <v>112148.51999999996</v>
      </c>
      <c r="N19" s="47">
        <f t="shared" si="2"/>
        <v>154793.26000000004</v>
      </c>
      <c r="O19" s="47">
        <f t="shared" si="2"/>
        <v>45889899.489999995</v>
      </c>
      <c r="P19" s="47">
        <f t="shared" si="2"/>
        <v>3384541.4699999997</v>
      </c>
      <c r="Q19" s="204">
        <f>SUM(Q16:Q18)</f>
        <v>97859622.650000006</v>
      </c>
    </row>
    <row r="20" spans="1:17" x14ac:dyDescent="0.3">
      <c r="A20" s="194"/>
      <c r="Q20" s="198"/>
    </row>
    <row r="21" spans="1:17" x14ac:dyDescent="0.3">
      <c r="A21" s="199"/>
      <c r="E21" s="166" t="s">
        <v>232</v>
      </c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191" t="s">
        <v>92</v>
      </c>
    </row>
    <row r="22" spans="1:17" x14ac:dyDescent="0.3">
      <c r="A22" s="192" t="s">
        <v>231</v>
      </c>
      <c r="D22" s="90">
        <f>+D8</f>
        <v>2023</v>
      </c>
      <c r="E22" s="8" t="s">
        <v>81</v>
      </c>
      <c r="F22" s="8" t="s">
        <v>82</v>
      </c>
      <c r="G22" s="8" t="s">
        <v>83</v>
      </c>
      <c r="H22" s="8" t="s">
        <v>84</v>
      </c>
      <c r="I22" s="8" t="s">
        <v>85</v>
      </c>
      <c r="J22" s="8" t="s">
        <v>86</v>
      </c>
      <c r="K22" s="8" t="s">
        <v>87</v>
      </c>
      <c r="L22" s="8" t="s">
        <v>88</v>
      </c>
      <c r="M22" s="8" t="s">
        <v>89</v>
      </c>
      <c r="N22" s="8" t="s">
        <v>90</v>
      </c>
      <c r="O22" s="8" t="s">
        <v>91</v>
      </c>
      <c r="P22" s="8" t="s">
        <v>80</v>
      </c>
      <c r="Q22" s="193">
        <f>+Q8</f>
        <v>2024</v>
      </c>
    </row>
    <row r="23" spans="1:17" x14ac:dyDescent="0.3">
      <c r="A23" s="194" t="s">
        <v>144</v>
      </c>
      <c r="B23" s="108">
        <v>376</v>
      </c>
      <c r="C23" s="200"/>
      <c r="D23" s="89">
        <f>+D16-D9</f>
        <v>7138632</v>
      </c>
      <c r="E23" s="89">
        <f t="shared" ref="E23:P23" si="3">+E16-E9</f>
        <v>807654.40999999968</v>
      </c>
      <c r="F23" s="89">
        <f t="shared" si="3"/>
        <v>-183811.71000000008</v>
      </c>
      <c r="G23" s="89">
        <f t="shared" si="3"/>
        <v>-663106.57999999996</v>
      </c>
      <c r="H23" s="89">
        <f t="shared" si="3"/>
        <v>-878861.44</v>
      </c>
      <c r="I23" s="89">
        <f t="shared" si="3"/>
        <v>-437445.25</v>
      </c>
      <c r="J23" s="89">
        <f t="shared" si="3"/>
        <v>898296.1</v>
      </c>
      <c r="K23" s="89">
        <f t="shared" si="3"/>
        <v>-330531.94000000006</v>
      </c>
      <c r="L23" s="89">
        <f t="shared" si="3"/>
        <v>-14330.260000000009</v>
      </c>
      <c r="M23" s="89">
        <f t="shared" si="3"/>
        <v>-35551984.149999999</v>
      </c>
      <c r="N23" s="89">
        <f t="shared" si="3"/>
        <v>-4470951.8</v>
      </c>
      <c r="O23" s="89">
        <f t="shared" si="3"/>
        <v>42302061.939999998</v>
      </c>
      <c r="P23" s="89">
        <f t="shared" si="3"/>
        <v>2342622.3099999996</v>
      </c>
      <c r="Q23" s="195">
        <f>SUM(D23:P23)</f>
        <v>10958243.629999999</v>
      </c>
    </row>
    <row r="24" spans="1:17" x14ac:dyDescent="0.3">
      <c r="A24" s="194" t="s">
        <v>148</v>
      </c>
      <c r="B24" s="108">
        <v>378</v>
      </c>
      <c r="C24" s="200"/>
      <c r="D24" s="89">
        <f t="shared" ref="D24:P24" si="4">+D17-D10</f>
        <v>-9107746</v>
      </c>
      <c r="E24" s="89">
        <f t="shared" si="4"/>
        <v>-56000</v>
      </c>
      <c r="F24" s="89">
        <f t="shared" si="4"/>
        <v>-33600</v>
      </c>
      <c r="G24" s="89">
        <f t="shared" si="4"/>
        <v>0</v>
      </c>
      <c r="H24" s="89">
        <f t="shared" si="4"/>
        <v>0</v>
      </c>
      <c r="I24" s="89">
        <f t="shared" si="4"/>
        <v>0</v>
      </c>
      <c r="J24" s="89">
        <f t="shared" si="4"/>
        <v>15747865.119999999</v>
      </c>
      <c r="K24" s="89">
        <f t="shared" si="4"/>
        <v>316626.6399999999</v>
      </c>
      <c r="L24" s="89">
        <f t="shared" si="4"/>
        <v>1045917.13</v>
      </c>
      <c r="M24" s="89">
        <f t="shared" si="4"/>
        <v>280439.99</v>
      </c>
      <c r="N24" s="89">
        <f t="shared" si="4"/>
        <v>269690.64</v>
      </c>
      <c r="O24" s="89">
        <f t="shared" si="4"/>
        <v>485323.3000000001</v>
      </c>
      <c r="P24" s="89">
        <f t="shared" si="4"/>
        <v>611421.1100000001</v>
      </c>
      <c r="Q24" s="195">
        <f>SUM(D24:P24)</f>
        <v>9559937.9299999997</v>
      </c>
    </row>
    <row r="25" spans="1:17" x14ac:dyDescent="0.3">
      <c r="A25" s="194" t="s">
        <v>147</v>
      </c>
      <c r="B25" s="108">
        <v>374</v>
      </c>
      <c r="C25" s="200"/>
      <c r="D25" s="94">
        <f t="shared" ref="D25:P25" si="5">+D18-D11</f>
        <v>4478423</v>
      </c>
      <c r="E25" s="94">
        <f t="shared" si="5"/>
        <v>924.27999999999884</v>
      </c>
      <c r="F25" s="94">
        <f t="shared" si="5"/>
        <v>13358.28</v>
      </c>
      <c r="G25" s="94">
        <f t="shared" si="5"/>
        <v>28923.339999999993</v>
      </c>
      <c r="H25" s="94">
        <f t="shared" si="5"/>
        <v>-352921.58999999997</v>
      </c>
      <c r="I25" s="94">
        <f t="shared" si="5"/>
        <v>4255.87</v>
      </c>
      <c r="J25" s="94">
        <f t="shared" si="5"/>
        <v>5919.99</v>
      </c>
      <c r="K25" s="94">
        <f t="shared" si="5"/>
        <v>4625.5200000000004</v>
      </c>
      <c r="L25" s="94">
        <f t="shared" si="5"/>
        <v>0</v>
      </c>
      <c r="M25" s="94">
        <f t="shared" si="5"/>
        <v>-4314336.32</v>
      </c>
      <c r="N25" s="94">
        <f t="shared" si="5"/>
        <v>1422.4199999999998</v>
      </c>
      <c r="O25" s="94">
        <f t="shared" si="5"/>
        <v>358250.25</v>
      </c>
      <c r="P25" s="94">
        <f t="shared" si="5"/>
        <v>226.05</v>
      </c>
      <c r="Q25" s="196">
        <f>SUM(D25:P25)</f>
        <v>229071.09000000055</v>
      </c>
    </row>
    <row r="26" spans="1:17" x14ac:dyDescent="0.3">
      <c r="A26" s="194" t="s">
        <v>52</v>
      </c>
      <c r="B26" s="161"/>
      <c r="C26" s="161"/>
      <c r="D26" s="55">
        <f t="shared" ref="D26:P26" si="6">SUM(D23:D25)</f>
        <v>2509309</v>
      </c>
      <c r="E26" s="55">
        <f t="shared" si="6"/>
        <v>752578.68999999971</v>
      </c>
      <c r="F26" s="55">
        <f t="shared" si="6"/>
        <v>-204053.43000000008</v>
      </c>
      <c r="G26" s="55">
        <f t="shared" si="6"/>
        <v>-634183.24</v>
      </c>
      <c r="H26" s="55">
        <f t="shared" si="6"/>
        <v>-1231783.0299999998</v>
      </c>
      <c r="I26" s="55">
        <f t="shared" si="6"/>
        <v>-433189.38</v>
      </c>
      <c r="J26" s="55">
        <f t="shared" si="6"/>
        <v>16652081.209999999</v>
      </c>
      <c r="K26" s="55">
        <f t="shared" si="6"/>
        <v>-9279.7800000001625</v>
      </c>
      <c r="L26" s="55">
        <f t="shared" si="6"/>
        <v>1031586.87</v>
      </c>
      <c r="M26" s="55">
        <f t="shared" si="6"/>
        <v>-39585880.479999997</v>
      </c>
      <c r="N26" s="55">
        <f t="shared" si="6"/>
        <v>-4199838.74</v>
      </c>
      <c r="O26" s="55">
        <f t="shared" si="6"/>
        <v>43145635.489999995</v>
      </c>
      <c r="P26" s="55">
        <f t="shared" si="6"/>
        <v>2954269.4699999997</v>
      </c>
      <c r="Q26" s="197">
        <f>SUM(Q23:Q25)</f>
        <v>20747252.649999999</v>
      </c>
    </row>
    <row r="27" spans="1:17" ht="15" thickBot="1" x14ac:dyDescent="0.35">
      <c r="A27" s="201"/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3"/>
    </row>
    <row r="28" spans="1:17" x14ac:dyDescent="0.3">
      <c r="A28" s="18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9"/>
    </row>
    <row r="29" spans="1:17" x14ac:dyDescent="0.3">
      <c r="A29" s="190">
        <v>2025</v>
      </c>
      <c r="E29" s="166" t="s">
        <v>235</v>
      </c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191" t="s">
        <v>92</v>
      </c>
    </row>
    <row r="30" spans="1:17" x14ac:dyDescent="0.3">
      <c r="A30" s="192" t="s">
        <v>231</v>
      </c>
      <c r="D30" s="90">
        <v>2024</v>
      </c>
      <c r="E30" s="8" t="s">
        <v>81</v>
      </c>
      <c r="F30" s="8" t="s">
        <v>82</v>
      </c>
      <c r="G30" s="8" t="s">
        <v>83</v>
      </c>
      <c r="H30" s="8" t="s">
        <v>84</v>
      </c>
      <c r="I30" s="8" t="s">
        <v>85</v>
      </c>
      <c r="J30" s="8" t="s">
        <v>86</v>
      </c>
      <c r="K30" s="8" t="s">
        <v>87</v>
      </c>
      <c r="L30" s="8" t="s">
        <v>88</v>
      </c>
      <c r="M30" s="8" t="s">
        <v>89</v>
      </c>
      <c r="N30" s="8" t="s">
        <v>90</v>
      </c>
      <c r="O30" s="8" t="s">
        <v>91</v>
      </c>
      <c r="P30" s="8" t="s">
        <v>80</v>
      </c>
      <c r="Q30" s="193">
        <v>2025</v>
      </c>
    </row>
    <row r="31" spans="1:17" x14ac:dyDescent="0.3">
      <c r="A31" s="194" t="s">
        <v>144</v>
      </c>
      <c r="B31" s="108">
        <v>376</v>
      </c>
      <c r="C31" s="109"/>
      <c r="D31" s="89">
        <v>62219858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33939719</v>
      </c>
      <c r="O31" s="89">
        <v>3019458</v>
      </c>
      <c r="P31" s="89">
        <v>1563645</v>
      </c>
      <c r="Q31" s="195">
        <f>SUM(D31:P31)</f>
        <v>100742680</v>
      </c>
    </row>
    <row r="32" spans="1:17" x14ac:dyDescent="0.3">
      <c r="A32" s="194" t="s">
        <v>148</v>
      </c>
      <c r="B32" s="108">
        <v>378</v>
      </c>
      <c r="C32" s="109"/>
      <c r="D32" s="89">
        <v>9197346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3029597</v>
      </c>
      <c r="O32" s="89">
        <v>260691</v>
      </c>
      <c r="P32" s="89">
        <v>132724</v>
      </c>
      <c r="Q32" s="195">
        <f t="shared" ref="Q32:Q33" si="7">SUM(D32:P32)</f>
        <v>12620358</v>
      </c>
    </row>
    <row r="33" spans="1:17" x14ac:dyDescent="0.3">
      <c r="A33" s="194" t="s">
        <v>147</v>
      </c>
      <c r="B33" s="108">
        <v>374</v>
      </c>
      <c r="C33" s="109"/>
      <c r="D33" s="94">
        <v>5695166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94">
        <v>0</v>
      </c>
      <c r="L33" s="94">
        <v>0</v>
      </c>
      <c r="M33" s="94">
        <v>0</v>
      </c>
      <c r="N33" s="94">
        <v>2719400</v>
      </c>
      <c r="O33" s="94">
        <v>150000</v>
      </c>
      <c r="P33" s="94">
        <v>50000</v>
      </c>
      <c r="Q33" s="196">
        <f t="shared" si="7"/>
        <v>8614566</v>
      </c>
    </row>
    <row r="34" spans="1:17" x14ac:dyDescent="0.3">
      <c r="A34" s="194" t="s">
        <v>52</v>
      </c>
      <c r="B34" s="31"/>
      <c r="C34" s="31"/>
      <c r="D34" s="55">
        <f>SUM(D31:D33)</f>
        <v>77112370</v>
      </c>
      <c r="E34" s="55">
        <f t="shared" ref="E34:Q34" si="8">SUM(E31:E33)</f>
        <v>0</v>
      </c>
      <c r="F34" s="55">
        <f t="shared" si="8"/>
        <v>0</v>
      </c>
      <c r="G34" s="55">
        <f t="shared" si="8"/>
        <v>0</v>
      </c>
      <c r="H34" s="55">
        <f t="shared" si="8"/>
        <v>0</v>
      </c>
      <c r="I34" s="55">
        <f t="shared" si="8"/>
        <v>0</v>
      </c>
      <c r="J34" s="55">
        <f t="shared" si="8"/>
        <v>0</v>
      </c>
      <c r="K34" s="55">
        <f t="shared" si="8"/>
        <v>0</v>
      </c>
      <c r="L34" s="55">
        <f t="shared" si="8"/>
        <v>0</v>
      </c>
      <c r="M34" s="55">
        <f t="shared" si="8"/>
        <v>0</v>
      </c>
      <c r="N34" s="55">
        <f t="shared" si="8"/>
        <v>39688716</v>
      </c>
      <c r="O34" s="55">
        <f t="shared" si="8"/>
        <v>3430149</v>
      </c>
      <c r="P34" s="55">
        <f t="shared" si="8"/>
        <v>1746369</v>
      </c>
      <c r="Q34" s="197">
        <f t="shared" si="8"/>
        <v>121977604</v>
      </c>
    </row>
    <row r="35" spans="1:17" x14ac:dyDescent="0.3">
      <c r="A35" s="194"/>
      <c r="Q35" s="198"/>
    </row>
    <row r="36" spans="1:17" x14ac:dyDescent="0.3">
      <c r="A36" s="194"/>
      <c r="E36" s="166" t="s">
        <v>229</v>
      </c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191" t="s">
        <v>92</v>
      </c>
    </row>
    <row r="37" spans="1:17" x14ac:dyDescent="0.3">
      <c r="A37" s="192" t="s">
        <v>231</v>
      </c>
      <c r="D37" s="90">
        <f>+D30</f>
        <v>2024</v>
      </c>
      <c r="E37" s="8" t="s">
        <v>81</v>
      </c>
      <c r="F37" s="8" t="s">
        <v>82</v>
      </c>
      <c r="G37" s="8" t="s">
        <v>83</v>
      </c>
      <c r="H37" s="8" t="s">
        <v>84</v>
      </c>
      <c r="I37" s="8" t="s">
        <v>85</v>
      </c>
      <c r="J37" s="8" t="s">
        <v>86</v>
      </c>
      <c r="K37" s="8" t="s">
        <v>87</v>
      </c>
      <c r="L37" s="8" t="s">
        <v>88</v>
      </c>
      <c r="M37" s="8" t="s">
        <v>89</v>
      </c>
      <c r="N37" s="8" t="s">
        <v>90</v>
      </c>
      <c r="O37" s="8" t="s">
        <v>91</v>
      </c>
      <c r="P37" s="8" t="s">
        <v>80</v>
      </c>
      <c r="Q37" s="193">
        <f>+Q30</f>
        <v>2025</v>
      </c>
    </row>
    <row r="38" spans="1:17" x14ac:dyDescent="0.3">
      <c r="A38" s="194" t="s">
        <v>144</v>
      </c>
      <c r="B38" s="108">
        <v>376</v>
      </c>
      <c r="C38" s="160"/>
      <c r="D38" s="205">
        <v>73178101.629999995</v>
      </c>
      <c r="E38" s="89">
        <v>1667081.2799999993</v>
      </c>
      <c r="F38" s="89">
        <v>-672650.12000000011</v>
      </c>
      <c r="G38" s="89">
        <v>859764.81000000145</v>
      </c>
      <c r="H38" s="89">
        <v>-3979327.2500000009</v>
      </c>
      <c r="I38" s="89">
        <v>244806.21</v>
      </c>
      <c r="J38" s="89">
        <v>63110.340000000011</v>
      </c>
      <c r="K38" s="89">
        <v>-1606117.98</v>
      </c>
      <c r="L38" s="89">
        <v>16808.43</v>
      </c>
      <c r="M38" s="89">
        <v>44618045.899999999</v>
      </c>
      <c r="N38" s="89">
        <v>519609.34999999963</v>
      </c>
      <c r="O38" s="89">
        <v>3555890.67</v>
      </c>
      <c r="P38" s="89">
        <v>329526.46999999997</v>
      </c>
      <c r="Q38" s="195">
        <f>SUM(D38:P38)</f>
        <v>118794649.73999999</v>
      </c>
    </row>
    <row r="39" spans="1:17" x14ac:dyDescent="0.3">
      <c r="A39" s="194" t="s">
        <v>148</v>
      </c>
      <c r="B39" s="108">
        <v>378</v>
      </c>
      <c r="C39" s="160"/>
      <c r="D39" s="205">
        <v>18757283.93</v>
      </c>
      <c r="E39" s="89">
        <v>-228200.87</v>
      </c>
      <c r="F39" s="89">
        <v>78355.219999999972</v>
      </c>
      <c r="G39" s="89">
        <v>400.72</v>
      </c>
      <c r="H39" s="89">
        <v>1736.8299999999997</v>
      </c>
      <c r="I39" s="89">
        <v>0</v>
      </c>
      <c r="J39" s="89">
        <v>4959.5</v>
      </c>
      <c r="K39" s="89">
        <v>3916.11</v>
      </c>
      <c r="L39" s="89">
        <v>1086.8</v>
      </c>
      <c r="M39" s="89">
        <v>1351918.3299999998</v>
      </c>
      <c r="N39" s="89">
        <v>69294.58</v>
      </c>
      <c r="O39" s="89">
        <v>-433056.35</v>
      </c>
      <c r="P39" s="89">
        <v>26813</v>
      </c>
      <c r="Q39" s="195">
        <f>SUM(D39:P39)</f>
        <v>19634507.79999999</v>
      </c>
    </row>
    <row r="40" spans="1:17" x14ac:dyDescent="0.3">
      <c r="A40" s="194" t="s">
        <v>147</v>
      </c>
      <c r="B40" s="108">
        <v>374</v>
      </c>
      <c r="C40" s="160"/>
      <c r="D40" s="206">
        <v>5924237.0899999999</v>
      </c>
      <c r="E40" s="94">
        <v>0</v>
      </c>
      <c r="F40" s="94">
        <v>754.44</v>
      </c>
      <c r="G40" s="94">
        <v>7009.36</v>
      </c>
      <c r="H40" s="94">
        <v>3591107.6499999994</v>
      </c>
      <c r="I40" s="94">
        <v>164.96</v>
      </c>
      <c r="J40" s="94">
        <v>12197.4</v>
      </c>
      <c r="K40" s="94">
        <v>7173.85</v>
      </c>
      <c r="L40" s="94">
        <v>4339.3999999999996</v>
      </c>
      <c r="M40" s="94">
        <v>2474148.65</v>
      </c>
      <c r="N40" s="94">
        <v>11371.96</v>
      </c>
      <c r="O40" s="94">
        <v>4159.67</v>
      </c>
      <c r="P40" s="94">
        <v>115050.20999999999</v>
      </c>
      <c r="Q40" s="196">
        <f>SUM(D40:P40)</f>
        <v>12151714.640000002</v>
      </c>
    </row>
    <row r="41" spans="1:17" x14ac:dyDescent="0.3">
      <c r="A41" s="194" t="s">
        <v>52</v>
      </c>
      <c r="B41" s="31"/>
      <c r="C41" s="155"/>
      <c r="D41" s="47">
        <f>SUM(D38:D40)</f>
        <v>97859622.650000006</v>
      </c>
      <c r="E41" s="47">
        <f t="shared" ref="E41:P41" si="9">SUM(E38:E40)</f>
        <v>1438880.4099999992</v>
      </c>
      <c r="F41" s="47">
        <f t="shared" si="9"/>
        <v>-593540.4600000002</v>
      </c>
      <c r="G41" s="47">
        <f t="shared" si="9"/>
        <v>867174.89000000141</v>
      </c>
      <c r="H41" s="47">
        <f t="shared" si="9"/>
        <v>-386482.77000000142</v>
      </c>
      <c r="I41" s="47">
        <f t="shared" si="9"/>
        <v>244971.16999999998</v>
      </c>
      <c r="J41" s="47">
        <f t="shared" si="9"/>
        <v>80267.240000000005</v>
      </c>
      <c r="K41" s="47">
        <f t="shared" si="9"/>
        <v>-1595028.0199999998</v>
      </c>
      <c r="L41" s="47">
        <f t="shared" si="9"/>
        <v>22234.629999999997</v>
      </c>
      <c r="M41" s="47">
        <f t="shared" si="9"/>
        <v>48444112.879999995</v>
      </c>
      <c r="N41" s="47">
        <f t="shared" si="9"/>
        <v>600275.88999999955</v>
      </c>
      <c r="O41" s="47">
        <f t="shared" si="9"/>
        <v>3126993.9899999998</v>
      </c>
      <c r="P41" s="47">
        <f t="shared" si="9"/>
        <v>471389.67999999993</v>
      </c>
      <c r="Q41" s="204">
        <f>SUM(Q38:Q40)</f>
        <v>150580872.18000001</v>
      </c>
    </row>
    <row r="42" spans="1:17" x14ac:dyDescent="0.3">
      <c r="A42" s="194"/>
      <c r="Q42" s="198"/>
    </row>
    <row r="43" spans="1:17" x14ac:dyDescent="0.3">
      <c r="A43" s="199"/>
      <c r="E43" s="166" t="s">
        <v>232</v>
      </c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191" t="s">
        <v>92</v>
      </c>
    </row>
    <row r="44" spans="1:17" x14ac:dyDescent="0.3">
      <c r="A44" s="192" t="s">
        <v>231</v>
      </c>
      <c r="D44" s="90">
        <f>+D30</f>
        <v>2024</v>
      </c>
      <c r="E44" s="8" t="s">
        <v>81</v>
      </c>
      <c r="F44" s="8" t="s">
        <v>82</v>
      </c>
      <c r="G44" s="8" t="s">
        <v>83</v>
      </c>
      <c r="H44" s="8" t="s">
        <v>84</v>
      </c>
      <c r="I44" s="8" t="s">
        <v>85</v>
      </c>
      <c r="J44" s="8" t="s">
        <v>86</v>
      </c>
      <c r="K44" s="8" t="s">
        <v>87</v>
      </c>
      <c r="L44" s="8" t="s">
        <v>88</v>
      </c>
      <c r="M44" s="8" t="s">
        <v>89</v>
      </c>
      <c r="N44" s="8" t="s">
        <v>90</v>
      </c>
      <c r="O44" s="8" t="s">
        <v>91</v>
      </c>
      <c r="P44" s="8" t="s">
        <v>80</v>
      </c>
      <c r="Q44" s="193">
        <f>+Q30</f>
        <v>2025</v>
      </c>
    </row>
    <row r="45" spans="1:17" x14ac:dyDescent="0.3">
      <c r="A45" s="194" t="s">
        <v>144</v>
      </c>
      <c r="B45" s="108">
        <v>376</v>
      </c>
      <c r="C45" s="200"/>
      <c r="D45" s="107">
        <f>+D38-D31</f>
        <v>10958243.629999995</v>
      </c>
      <c r="E45" s="107">
        <f t="shared" ref="E45:P45" si="10">+E38-E31</f>
        <v>1667081.2799999993</v>
      </c>
      <c r="F45" s="107">
        <f t="shared" si="10"/>
        <v>-672650.12000000011</v>
      </c>
      <c r="G45" s="107">
        <f t="shared" si="10"/>
        <v>859764.81000000145</v>
      </c>
      <c r="H45" s="107">
        <f t="shared" si="10"/>
        <v>-3979327.2500000009</v>
      </c>
      <c r="I45" s="107">
        <f t="shared" si="10"/>
        <v>244806.21</v>
      </c>
      <c r="J45" s="107">
        <f t="shared" si="10"/>
        <v>63110.340000000011</v>
      </c>
      <c r="K45" s="107">
        <f t="shared" si="10"/>
        <v>-1606117.98</v>
      </c>
      <c r="L45" s="107">
        <f t="shared" si="10"/>
        <v>16808.43</v>
      </c>
      <c r="M45" s="107">
        <f t="shared" si="10"/>
        <v>44618045.899999999</v>
      </c>
      <c r="N45" s="107">
        <f t="shared" si="10"/>
        <v>-33420109.649999999</v>
      </c>
      <c r="O45" s="107">
        <f t="shared" si="10"/>
        <v>536432.66999999993</v>
      </c>
      <c r="P45" s="107">
        <f t="shared" si="10"/>
        <v>-1234118.53</v>
      </c>
      <c r="Q45" s="195">
        <f>SUM(D45:P45)</f>
        <v>18051969.740000002</v>
      </c>
    </row>
    <row r="46" spans="1:17" x14ac:dyDescent="0.3">
      <c r="A46" s="194" t="s">
        <v>148</v>
      </c>
      <c r="B46" s="108">
        <v>378</v>
      </c>
      <c r="C46" s="200"/>
      <c r="D46" s="107">
        <f t="shared" ref="D46:P47" si="11">+D39-D32</f>
        <v>9559937.9299999997</v>
      </c>
      <c r="E46" s="107">
        <f t="shared" si="11"/>
        <v>-228200.87</v>
      </c>
      <c r="F46" s="107">
        <f t="shared" si="11"/>
        <v>78355.219999999972</v>
      </c>
      <c r="G46" s="107">
        <f t="shared" si="11"/>
        <v>400.72</v>
      </c>
      <c r="H46" s="107">
        <f t="shared" si="11"/>
        <v>1736.8299999999997</v>
      </c>
      <c r="I46" s="107">
        <f t="shared" si="11"/>
        <v>0</v>
      </c>
      <c r="J46" s="107">
        <f t="shared" si="11"/>
        <v>4959.5</v>
      </c>
      <c r="K46" s="107">
        <f t="shared" si="11"/>
        <v>3916.11</v>
      </c>
      <c r="L46" s="107">
        <f t="shared" si="11"/>
        <v>1086.8</v>
      </c>
      <c r="M46" s="107">
        <f t="shared" si="11"/>
        <v>1351918.3299999998</v>
      </c>
      <c r="N46" s="107">
        <f t="shared" si="11"/>
        <v>-2960302.42</v>
      </c>
      <c r="O46" s="107">
        <f t="shared" si="11"/>
        <v>-693747.35</v>
      </c>
      <c r="P46" s="107">
        <f t="shared" si="11"/>
        <v>-105911</v>
      </c>
      <c r="Q46" s="195">
        <f>SUM(D46:P46)</f>
        <v>7014149.8000000026</v>
      </c>
    </row>
    <row r="47" spans="1:17" x14ac:dyDescent="0.3">
      <c r="A47" s="194" t="s">
        <v>147</v>
      </c>
      <c r="B47" s="108">
        <v>374</v>
      </c>
      <c r="C47" s="200"/>
      <c r="D47" s="75">
        <f t="shared" si="11"/>
        <v>229071.08999999985</v>
      </c>
      <c r="E47" s="75">
        <f t="shared" si="11"/>
        <v>0</v>
      </c>
      <c r="F47" s="75">
        <f t="shared" si="11"/>
        <v>754.44</v>
      </c>
      <c r="G47" s="75">
        <f t="shared" si="11"/>
        <v>7009.36</v>
      </c>
      <c r="H47" s="75">
        <f t="shared" si="11"/>
        <v>3591107.6499999994</v>
      </c>
      <c r="I47" s="75">
        <f t="shared" si="11"/>
        <v>164.96</v>
      </c>
      <c r="J47" s="75">
        <f t="shared" si="11"/>
        <v>12197.4</v>
      </c>
      <c r="K47" s="75">
        <f t="shared" si="11"/>
        <v>7173.85</v>
      </c>
      <c r="L47" s="75">
        <f t="shared" si="11"/>
        <v>4339.3999999999996</v>
      </c>
      <c r="M47" s="75">
        <f t="shared" si="11"/>
        <v>2474148.65</v>
      </c>
      <c r="N47" s="75">
        <f t="shared" si="11"/>
        <v>-2708028.04</v>
      </c>
      <c r="O47" s="75">
        <f t="shared" si="11"/>
        <v>-145840.32999999999</v>
      </c>
      <c r="P47" s="75">
        <f t="shared" si="11"/>
        <v>65050.209999999992</v>
      </c>
      <c r="Q47" s="196">
        <f>SUM(D47:P47)</f>
        <v>3537148.6399999987</v>
      </c>
    </row>
    <row r="48" spans="1:17" x14ac:dyDescent="0.3">
      <c r="A48" s="194" t="s">
        <v>52</v>
      </c>
      <c r="B48" s="161"/>
      <c r="C48" s="161"/>
      <c r="D48" s="55">
        <f t="shared" ref="D48:P48" si="12">SUM(D45:D47)</f>
        <v>20747252.649999995</v>
      </c>
      <c r="E48" s="55">
        <f t="shared" si="12"/>
        <v>1438880.4099999992</v>
      </c>
      <c r="F48" s="55">
        <f t="shared" si="12"/>
        <v>-593540.4600000002</v>
      </c>
      <c r="G48" s="55">
        <f t="shared" si="12"/>
        <v>867174.89000000141</v>
      </c>
      <c r="H48" s="55">
        <f t="shared" si="12"/>
        <v>-386482.77000000142</v>
      </c>
      <c r="I48" s="55">
        <f t="shared" si="12"/>
        <v>244971.16999999998</v>
      </c>
      <c r="J48" s="55">
        <f t="shared" si="12"/>
        <v>80267.240000000005</v>
      </c>
      <c r="K48" s="55">
        <f t="shared" si="12"/>
        <v>-1595028.0199999998</v>
      </c>
      <c r="L48" s="55">
        <f t="shared" si="12"/>
        <v>22234.629999999997</v>
      </c>
      <c r="M48" s="55">
        <f t="shared" si="12"/>
        <v>48444112.879999995</v>
      </c>
      <c r="N48" s="55">
        <f t="shared" si="12"/>
        <v>-39088440.109999999</v>
      </c>
      <c r="O48" s="55">
        <f t="shared" si="12"/>
        <v>-303155.01</v>
      </c>
      <c r="P48" s="55">
        <f t="shared" si="12"/>
        <v>-1274979.32</v>
      </c>
      <c r="Q48" s="197">
        <f>SUM(Q45:Q47)</f>
        <v>28603268.180000007</v>
      </c>
    </row>
    <row r="49" spans="1:17" ht="15" thickBot="1" x14ac:dyDescent="0.35">
      <c r="A49" s="201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3"/>
    </row>
  </sheetData>
  <pageMargins left="0.7" right="0.7" top="0.75" bottom="0.75" header="0.3" footer="0.3"/>
  <pageSetup scale="55" orientation="landscape" horizontalDpi="1200" verticalDpi="1200" r:id="rId1"/>
  <headerFooter>
    <oddHeader xml:space="preserve">&amp;R&amp;"Times New Roman,Bold"&amp;10KyPSC Case No. 2026-00162
STAFF-DR-01-001 Attachment 1
&amp;A
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50"/>
  <sheetViews>
    <sheetView view="pageLayout" zoomScale="70" zoomScaleNormal="85" zoomScalePageLayoutView="70" workbookViewId="0">
      <selection activeCell="K11" sqref="K11"/>
    </sheetView>
  </sheetViews>
  <sheetFormatPr defaultRowHeight="14.4" x14ac:dyDescent="0.3"/>
  <cols>
    <col min="1" max="1" width="6.6640625" style="4" customWidth="1"/>
    <col min="2" max="2" width="35.44140625" customWidth="1"/>
    <col min="3" max="3" width="3.44140625" customWidth="1"/>
    <col min="4" max="4" width="26.33203125" customWidth="1"/>
    <col min="5" max="5" width="16.88671875" style="4" bestFit="1" customWidth="1"/>
    <col min="6" max="7" width="16.88671875" style="4" customWidth="1"/>
    <col min="8" max="8" width="15.44140625" style="4" customWidth="1"/>
    <col min="9" max="9" width="12.6640625" style="4" customWidth="1"/>
    <col min="10" max="10" width="15.33203125" customWidth="1"/>
  </cols>
  <sheetData>
    <row r="2" spans="1:10" x14ac:dyDescent="0.3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x14ac:dyDescent="0.3">
      <c r="A3" s="58" t="s">
        <v>121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x14ac:dyDescent="0.3">
      <c r="A4" s="58" t="s">
        <v>122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x14ac:dyDescent="0.3">
      <c r="B5" s="4"/>
      <c r="C5" s="4"/>
      <c r="D5" s="4"/>
      <c r="J5" s="4"/>
    </row>
    <row r="6" spans="1:10" x14ac:dyDescent="0.3">
      <c r="D6" s="3" t="s">
        <v>44</v>
      </c>
    </row>
    <row r="7" spans="1:10" x14ac:dyDescent="0.3">
      <c r="A7" s="3"/>
      <c r="B7" s="7"/>
      <c r="C7" s="7"/>
      <c r="D7" s="3" t="s">
        <v>146</v>
      </c>
      <c r="E7" s="3" t="s">
        <v>217</v>
      </c>
      <c r="F7" s="3" t="s">
        <v>218</v>
      </c>
      <c r="G7" s="3"/>
      <c r="H7" s="3" t="s">
        <v>17</v>
      </c>
    </row>
    <row r="8" spans="1:10" x14ac:dyDescent="0.3">
      <c r="A8" s="3" t="s">
        <v>123</v>
      </c>
      <c r="B8" s="7"/>
      <c r="C8" s="7"/>
      <c r="D8" s="3" t="s">
        <v>125</v>
      </c>
      <c r="E8" s="3" t="s">
        <v>15</v>
      </c>
      <c r="F8" s="3" t="s">
        <v>15</v>
      </c>
      <c r="G8" s="3"/>
      <c r="H8" s="3" t="s">
        <v>18</v>
      </c>
      <c r="I8" s="3" t="s">
        <v>19</v>
      </c>
    </row>
    <row r="9" spans="1:10" x14ac:dyDescent="0.3">
      <c r="A9" s="8" t="s">
        <v>124</v>
      </c>
      <c r="B9" s="9" t="s">
        <v>14</v>
      </c>
      <c r="C9" s="9"/>
      <c r="D9" s="8" t="s">
        <v>253</v>
      </c>
      <c r="E9" s="8" t="s">
        <v>16</v>
      </c>
      <c r="F9" s="8" t="s">
        <v>16</v>
      </c>
      <c r="G9" s="8" t="s">
        <v>20</v>
      </c>
      <c r="H9" s="8" t="s">
        <v>188</v>
      </c>
      <c r="I9" s="8" t="s">
        <v>126</v>
      </c>
    </row>
    <row r="10" spans="1:10" x14ac:dyDescent="0.3">
      <c r="B10" s="16" t="s">
        <v>62</v>
      </c>
      <c r="C10" s="3"/>
      <c r="D10" s="3" t="s">
        <v>63</v>
      </c>
      <c r="E10" s="3" t="s">
        <v>65</v>
      </c>
      <c r="F10" s="3" t="s">
        <v>74</v>
      </c>
      <c r="G10" s="3" t="s">
        <v>99</v>
      </c>
      <c r="H10" s="3" t="s">
        <v>100</v>
      </c>
      <c r="I10" s="3" t="s">
        <v>101</v>
      </c>
    </row>
    <row r="11" spans="1:10" x14ac:dyDescent="0.3">
      <c r="B11" s="16"/>
    </row>
    <row r="12" spans="1:10" x14ac:dyDescent="0.3">
      <c r="A12" s="4">
        <v>1</v>
      </c>
      <c r="B12" s="20" t="s">
        <v>59</v>
      </c>
      <c r="D12" s="182">
        <v>0.84199999999999997</v>
      </c>
      <c r="E12" s="41">
        <f>ROUND($E$16*D12,0)</f>
        <v>19366109</v>
      </c>
      <c r="F12" s="98">
        <f>ROUND($F$16*D12,0)</f>
        <v>1699291</v>
      </c>
      <c r="G12" s="41">
        <f>E12+F12</f>
        <v>21065400</v>
      </c>
      <c r="H12" s="11">
        <f>'Sch 3.0'!O13</f>
        <v>60549379.79999999</v>
      </c>
      <c r="I12" s="137">
        <f>G12/H12</f>
        <v>0.34790447184729056</v>
      </c>
      <c r="J12" t="s">
        <v>71</v>
      </c>
    </row>
    <row r="13" spans="1:10" x14ac:dyDescent="0.3">
      <c r="A13" s="4">
        <f>A12+1</f>
        <v>2</v>
      </c>
      <c r="B13" s="20" t="s">
        <v>61</v>
      </c>
      <c r="D13" s="182">
        <v>0.14854000000000001</v>
      </c>
      <c r="E13" s="82">
        <f>ROUND($E$16*D13,0)</f>
        <v>3416439</v>
      </c>
      <c r="F13" s="99">
        <f>ROUND($F$16*D13,0)</f>
        <v>299778</v>
      </c>
      <c r="G13" s="82">
        <f>E13+F13</f>
        <v>3716217</v>
      </c>
      <c r="H13" s="11">
        <f>'Sch 3.0'!O14</f>
        <v>35482080.699999996</v>
      </c>
      <c r="I13" s="137">
        <f>G13/H13</f>
        <v>0.10473503601495389</v>
      </c>
      <c r="J13" t="s">
        <v>71</v>
      </c>
    </row>
    <row r="14" spans="1:10" x14ac:dyDescent="0.3">
      <c r="A14" s="4">
        <f>A13+1</f>
        <v>3</v>
      </c>
      <c r="B14" s="20" t="s">
        <v>66</v>
      </c>
      <c r="D14" s="182">
        <v>7.5300000000000002E-3</v>
      </c>
      <c r="E14" s="82">
        <f>ROUND($E$16*D14,0)</f>
        <v>173191</v>
      </c>
      <c r="F14" s="99">
        <f>ROUND($F$16*D14,0)</f>
        <v>15197</v>
      </c>
      <c r="G14" s="82">
        <f>E14+F14</f>
        <v>188388</v>
      </c>
      <c r="H14" s="11">
        <f>'Sch 3.0'!O15</f>
        <v>29148036.300000004</v>
      </c>
      <c r="I14" s="27">
        <f>G14/H14</f>
        <v>6.4631455121386674E-3</v>
      </c>
      <c r="J14" t="s">
        <v>71</v>
      </c>
    </row>
    <row r="15" spans="1:10" x14ac:dyDescent="0.3">
      <c r="A15" s="4">
        <f>A14+1</f>
        <v>4</v>
      </c>
      <c r="B15" s="20" t="s">
        <v>60</v>
      </c>
      <c r="D15" s="183">
        <v>1.9300000000000001E-3</v>
      </c>
      <c r="E15" s="82">
        <f>ROUND($E$16*D15,0)</f>
        <v>44390</v>
      </c>
      <c r="F15" s="99">
        <f>ROUND($F$16*D15,0)</f>
        <v>3895</v>
      </c>
      <c r="G15" s="82">
        <f>E15+F15</f>
        <v>48285</v>
      </c>
      <c r="H15" s="11">
        <f>'Sch 3.0'!O16</f>
        <v>15851119.799999997</v>
      </c>
      <c r="I15" s="27">
        <f>G15/H15</f>
        <v>3.0461570292339857E-3</v>
      </c>
      <c r="J15" t="s">
        <v>71</v>
      </c>
    </row>
    <row r="16" spans="1:10" ht="15" thickBot="1" x14ac:dyDescent="0.35">
      <c r="A16" s="4">
        <f>A15+1</f>
        <v>5</v>
      </c>
      <c r="B16" t="s">
        <v>20</v>
      </c>
      <c r="D16" s="101">
        <f>SUM(D10:D15)</f>
        <v>1</v>
      </c>
      <c r="E16" s="42">
        <f>+'Sch 1.1'!F29</f>
        <v>23000129</v>
      </c>
      <c r="F16" s="100">
        <f>'Sch 4.1'!F34</f>
        <v>2018160.2000000011</v>
      </c>
      <c r="G16" s="42">
        <f>E16+F16</f>
        <v>25018289.200000003</v>
      </c>
      <c r="H16" s="17"/>
    </row>
    <row r="17" spans="2:10" ht="15" thickTop="1" x14ac:dyDescent="0.3">
      <c r="E17" s="4" t="s">
        <v>134</v>
      </c>
      <c r="F17" s="4" t="s">
        <v>135</v>
      </c>
      <c r="H17" s="4" t="s">
        <v>145</v>
      </c>
    </row>
    <row r="20" spans="2:10" x14ac:dyDescent="0.3">
      <c r="B20" t="s">
        <v>177</v>
      </c>
    </row>
    <row r="21" spans="2:10" x14ac:dyDescent="0.3">
      <c r="B21" t="s">
        <v>176</v>
      </c>
    </row>
    <row r="22" spans="2:10" x14ac:dyDescent="0.3">
      <c r="F22" s="71"/>
      <c r="G22" s="103"/>
    </row>
    <row r="23" spans="2:10" x14ac:dyDescent="0.3">
      <c r="D23" s="70"/>
    </row>
    <row r="24" spans="2:10" x14ac:dyDescent="0.3">
      <c r="E24" s="103"/>
      <c r="F24" s="103"/>
      <c r="G24" s="103"/>
      <c r="I24" s="103"/>
    </row>
    <row r="25" spans="2:10" x14ac:dyDescent="0.3">
      <c r="E25" s="103"/>
      <c r="F25" s="103"/>
      <c r="G25" s="103"/>
    </row>
    <row r="26" spans="2:10" x14ac:dyDescent="0.3">
      <c r="E26" s="103"/>
      <c r="F26" s="103"/>
      <c r="G26" s="103"/>
    </row>
    <row r="27" spans="2:10" x14ac:dyDescent="0.3">
      <c r="E27" s="103"/>
      <c r="F27" s="103"/>
      <c r="G27" s="103"/>
    </row>
    <row r="28" spans="2:10" x14ac:dyDescent="0.3">
      <c r="E28" s="103"/>
      <c r="F28" s="103"/>
      <c r="G28" s="103"/>
      <c r="I28" s="103"/>
      <c r="J28" s="46"/>
    </row>
    <row r="29" spans="2:10" x14ac:dyDescent="0.3">
      <c r="E29" s="103"/>
      <c r="F29" s="103"/>
      <c r="H29" s="105"/>
      <c r="I29" s="104"/>
    </row>
    <row r="30" spans="2:10" x14ac:dyDescent="0.3">
      <c r="E30" s="103"/>
      <c r="G30" s="103"/>
    </row>
    <row r="31" spans="2:10" x14ac:dyDescent="0.3">
      <c r="E31" s="103"/>
      <c r="G31" s="103"/>
    </row>
    <row r="32" spans="2:10" x14ac:dyDescent="0.3">
      <c r="E32" s="103"/>
      <c r="G32" s="103"/>
    </row>
    <row r="33" spans="4:8" x14ac:dyDescent="0.3">
      <c r="E33" s="103"/>
    </row>
    <row r="36" spans="4:8" x14ac:dyDescent="0.3">
      <c r="F36" s="104"/>
      <c r="G36" s="104"/>
      <c r="H36" s="104"/>
    </row>
    <row r="37" spans="4:8" x14ac:dyDescent="0.3">
      <c r="F37" s="104"/>
      <c r="G37" s="104"/>
    </row>
    <row r="38" spans="4:8" x14ac:dyDescent="0.3">
      <c r="F38" s="104"/>
      <c r="G38" s="104"/>
    </row>
    <row r="39" spans="4:8" x14ac:dyDescent="0.3">
      <c r="F39" s="104"/>
      <c r="G39" s="104"/>
      <c r="H39" s="104"/>
    </row>
    <row r="40" spans="4:8" x14ac:dyDescent="0.3">
      <c r="F40" s="104"/>
      <c r="G40" s="104"/>
    </row>
    <row r="41" spans="4:8" x14ac:dyDescent="0.3">
      <c r="F41" s="104"/>
      <c r="G41" s="104"/>
    </row>
    <row r="42" spans="4:8" x14ac:dyDescent="0.3">
      <c r="F42" s="104"/>
      <c r="G42" s="104"/>
    </row>
    <row r="43" spans="4:8" x14ac:dyDescent="0.3">
      <c r="F43" s="104"/>
      <c r="G43" s="104"/>
      <c r="H43" s="104"/>
    </row>
    <row r="44" spans="4:8" x14ac:dyDescent="0.3">
      <c r="F44" s="104"/>
      <c r="G44" s="104"/>
    </row>
    <row r="45" spans="4:8" x14ac:dyDescent="0.3">
      <c r="F45" s="104"/>
      <c r="G45" s="104"/>
    </row>
    <row r="46" spans="4:8" x14ac:dyDescent="0.3">
      <c r="D46" s="24"/>
      <c r="F46" s="104"/>
      <c r="G46" s="104"/>
    </row>
    <row r="47" spans="4:8" x14ac:dyDescent="0.3">
      <c r="D47" s="73"/>
      <c r="E47" s="103"/>
      <c r="F47" s="104"/>
      <c r="G47" s="104"/>
    </row>
    <row r="48" spans="4:8" x14ac:dyDescent="0.3">
      <c r="D48" s="1"/>
      <c r="E48" s="106"/>
      <c r="F48" s="104"/>
      <c r="G48" s="104"/>
    </row>
    <row r="49" spans="4:5" x14ac:dyDescent="0.3">
      <c r="D49" s="41"/>
      <c r="E49" s="41"/>
    </row>
    <row r="50" spans="4:5" x14ac:dyDescent="0.3">
      <c r="D50" s="2"/>
    </row>
  </sheetData>
  <printOptions horizontalCentered="1"/>
  <pageMargins left="0.7" right="0.7" top="0.94508928571428574" bottom="0.75" header="0.3" footer="0.3"/>
  <pageSetup scale="73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view="pageLayout" zoomScale="85" zoomScaleNormal="130" zoomScalePageLayoutView="85" workbookViewId="0">
      <selection activeCell="K11" sqref="K11"/>
    </sheetView>
  </sheetViews>
  <sheetFormatPr defaultRowHeight="14.4" x14ac:dyDescent="0.3"/>
  <cols>
    <col min="1" max="1" width="6.6640625" customWidth="1"/>
    <col min="2" max="2" width="4.5546875" customWidth="1"/>
    <col min="3" max="3" width="6.5546875" customWidth="1"/>
    <col min="4" max="4" width="43" customWidth="1"/>
    <col min="5" max="5" width="2.33203125" customWidth="1"/>
    <col min="6" max="6" width="20.6640625" customWidth="1"/>
    <col min="7" max="7" width="2.44140625" customWidth="1"/>
    <col min="8" max="8" width="9.5546875" customWidth="1"/>
    <col min="9" max="9" width="9.6640625" bestFit="1" customWidth="1"/>
  </cols>
  <sheetData>
    <row r="1" spans="1:12" x14ac:dyDescent="0.3">
      <c r="A1" s="4"/>
      <c r="E1" s="4"/>
      <c r="F1" s="4"/>
      <c r="G1" s="4"/>
      <c r="H1" s="4"/>
      <c r="I1" s="4"/>
    </row>
    <row r="2" spans="1:12" x14ac:dyDescent="0.3">
      <c r="A2" s="58" t="str">
        <f>'Sch 1.0'!A2</f>
        <v>Duke Energy Kentucky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x14ac:dyDescent="0.3">
      <c r="A3" s="58" t="str">
        <f>'Sch 1.0'!A3</f>
        <v>Pipeline Modernization Mechanism ("Rider PMM")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x14ac:dyDescent="0.3">
      <c r="A4" s="58" t="s">
        <v>220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">
      <c r="A6" s="3" t="s">
        <v>123</v>
      </c>
      <c r="B6" s="7"/>
      <c r="C6" s="7"/>
      <c r="F6" s="3" t="s">
        <v>127</v>
      </c>
      <c r="G6" s="3"/>
      <c r="H6" s="3"/>
      <c r="I6" s="4"/>
    </row>
    <row r="7" spans="1:12" x14ac:dyDescent="0.3">
      <c r="A7" s="8" t="s">
        <v>124</v>
      </c>
      <c r="B7" s="9"/>
      <c r="C7" s="9"/>
      <c r="F7" s="97" t="s">
        <v>219</v>
      </c>
      <c r="G7" s="97"/>
      <c r="H7" s="8" t="s">
        <v>21</v>
      </c>
    </row>
    <row r="8" spans="1:12" x14ac:dyDescent="0.3">
      <c r="A8" s="9"/>
      <c r="B8" s="60" t="s">
        <v>62</v>
      </c>
      <c r="C8" s="60"/>
      <c r="D8" s="60"/>
      <c r="F8" s="3" t="s">
        <v>63</v>
      </c>
      <c r="G8" s="3"/>
      <c r="H8" s="3" t="s">
        <v>65</v>
      </c>
    </row>
    <row r="10" spans="1:12" x14ac:dyDescent="0.3">
      <c r="B10" s="7" t="s">
        <v>22</v>
      </c>
    </row>
    <row r="11" spans="1:12" x14ac:dyDescent="0.3">
      <c r="B11" s="9" t="s">
        <v>23</v>
      </c>
    </row>
    <row r="12" spans="1:12" x14ac:dyDescent="0.3">
      <c r="A12" s="4">
        <v>1</v>
      </c>
      <c r="C12" t="s">
        <v>131</v>
      </c>
      <c r="F12" s="163">
        <f>'Sch 2.2'!E29-'Sch 2.2'!G29</f>
        <v>193713545</v>
      </c>
      <c r="G12" s="21"/>
      <c r="H12" t="s">
        <v>136</v>
      </c>
    </row>
    <row r="13" spans="1:12" x14ac:dyDescent="0.3">
      <c r="A13" s="4">
        <f t="shared" ref="A13:A19" si="0">A12+1</f>
        <v>2</v>
      </c>
      <c r="C13" t="s">
        <v>24</v>
      </c>
      <c r="F13" s="164">
        <f>'Sch 2.2'!I29</f>
        <v>4133794</v>
      </c>
      <c r="G13" s="22"/>
      <c r="H13" t="s">
        <v>136</v>
      </c>
    </row>
    <row r="14" spans="1:12" x14ac:dyDescent="0.3">
      <c r="A14" s="4">
        <f t="shared" si="0"/>
        <v>3</v>
      </c>
      <c r="C14" t="s">
        <v>25</v>
      </c>
      <c r="F14" s="63">
        <f>-'Sch 2.0'!R46</f>
        <v>-6799810.461538462</v>
      </c>
      <c r="G14" s="52"/>
      <c r="H14" s="38" t="s">
        <v>137</v>
      </c>
    </row>
    <row r="15" spans="1:12" x14ac:dyDescent="0.3">
      <c r="A15" s="4">
        <f t="shared" si="0"/>
        <v>4</v>
      </c>
      <c r="D15" t="s">
        <v>26</v>
      </c>
      <c r="F15" s="79">
        <f>SUM(F12:F14)</f>
        <v>191047528.53846154</v>
      </c>
      <c r="G15" s="1"/>
    </row>
    <row r="16" spans="1:12" x14ac:dyDescent="0.3">
      <c r="A16" s="4">
        <f t="shared" si="0"/>
        <v>5</v>
      </c>
      <c r="C16" t="s">
        <v>113</v>
      </c>
      <c r="F16" s="63">
        <f>-'Sch 2.1'!Q30-'Sch 2.1'!Q52</f>
        <v>-7530747.4506945042</v>
      </c>
      <c r="G16" s="23"/>
      <c r="H16" t="s">
        <v>138</v>
      </c>
      <c r="J16" s="70"/>
    </row>
    <row r="17" spans="1:13" x14ac:dyDescent="0.3">
      <c r="A17" s="4">
        <f t="shared" si="0"/>
        <v>6</v>
      </c>
      <c r="D17" t="s">
        <v>28</v>
      </c>
      <c r="F17" s="79">
        <f>SUM(F15:F16)</f>
        <v>183516781.08776703</v>
      </c>
      <c r="G17" s="1"/>
      <c r="H17" t="s">
        <v>36</v>
      </c>
    </row>
    <row r="18" spans="1:13" x14ac:dyDescent="0.3">
      <c r="A18" s="4">
        <f t="shared" si="0"/>
        <v>7</v>
      </c>
      <c r="C18" t="s">
        <v>29</v>
      </c>
      <c r="F18" s="51">
        <f>'Sch 1.2'!F13</f>
        <v>9.1539999999999996E-2</v>
      </c>
      <c r="G18" s="51"/>
      <c r="H18" s="38" t="s">
        <v>139</v>
      </c>
    </row>
    <row r="19" spans="1:13" x14ac:dyDescent="0.3">
      <c r="A19" s="4">
        <f t="shared" si="0"/>
        <v>8</v>
      </c>
      <c r="C19" t="s">
        <v>132</v>
      </c>
      <c r="F19" s="43">
        <f>ROUND(F17*F18,0)</f>
        <v>16799126</v>
      </c>
      <c r="G19" s="47"/>
      <c r="H19" t="s">
        <v>37</v>
      </c>
    </row>
    <row r="21" spans="1:13" x14ac:dyDescent="0.3">
      <c r="B21" s="9" t="s">
        <v>30</v>
      </c>
    </row>
    <row r="22" spans="1:13" x14ac:dyDescent="0.3">
      <c r="A22" s="4">
        <f>A19+1</f>
        <v>9</v>
      </c>
      <c r="C22" t="s">
        <v>31</v>
      </c>
      <c r="F22" s="49">
        <f>SUM('Sch 2.0'!F38:Q38)-SUM('Sch 2.0'!F44:Q44)</f>
        <v>3856987</v>
      </c>
      <c r="G22" s="49"/>
      <c r="H22" t="s">
        <v>137</v>
      </c>
    </row>
    <row r="23" spans="1:13" x14ac:dyDescent="0.3">
      <c r="A23" s="4">
        <f>A22+1</f>
        <v>10</v>
      </c>
      <c r="C23" t="s">
        <v>32</v>
      </c>
      <c r="F23" s="165">
        <f>ROUND(F15*I23,0)</f>
        <v>2308274</v>
      </c>
      <c r="G23" s="37"/>
      <c r="H23" t="s">
        <v>72</v>
      </c>
      <c r="I23" s="133">
        <v>1.20822E-2</v>
      </c>
    </row>
    <row r="24" spans="1:13" x14ac:dyDescent="0.3">
      <c r="A24" s="4">
        <f>A23+1</f>
        <v>11</v>
      </c>
      <c r="C24" t="s">
        <v>33</v>
      </c>
      <c r="F24" s="83">
        <f>ROUND(SUM(F19:F23)*(0.001554/(1-0.001554)),0)</f>
        <v>35742</v>
      </c>
      <c r="G24" s="61"/>
      <c r="H24" t="s">
        <v>244</v>
      </c>
      <c r="M24" s="70"/>
    </row>
    <row r="25" spans="1:13" x14ac:dyDescent="0.3">
      <c r="A25" s="4">
        <f>A24+1</f>
        <v>12</v>
      </c>
      <c r="C25" t="s">
        <v>34</v>
      </c>
      <c r="F25" s="64">
        <f>SUM(F22:F24)</f>
        <v>6201003</v>
      </c>
      <c r="G25" s="2"/>
      <c r="H25" t="s">
        <v>38</v>
      </c>
      <c r="J25" s="70"/>
    </row>
    <row r="27" spans="1:13" x14ac:dyDescent="0.3">
      <c r="A27" s="4">
        <f>A25+1</f>
        <v>13</v>
      </c>
      <c r="B27" s="7" t="s">
        <v>212</v>
      </c>
      <c r="F27" s="46">
        <f>F19+F25</f>
        <v>23000129</v>
      </c>
      <c r="G27" s="46"/>
      <c r="H27" t="s">
        <v>39</v>
      </c>
      <c r="J27" s="70"/>
    </row>
    <row r="28" spans="1:13" x14ac:dyDescent="0.3">
      <c r="A28" s="4">
        <f>A27+1</f>
        <v>14</v>
      </c>
      <c r="B28" s="9"/>
      <c r="C28" t="s">
        <v>213</v>
      </c>
      <c r="F28" s="61"/>
      <c r="G28" s="46"/>
      <c r="J28" s="70"/>
    </row>
    <row r="29" spans="1:13" ht="15" thickBot="1" x14ac:dyDescent="0.35">
      <c r="A29" s="4">
        <f>A28+1</f>
        <v>15</v>
      </c>
      <c r="B29" s="9" t="s">
        <v>35</v>
      </c>
      <c r="F29" s="170">
        <f>SUM(F27:F28)</f>
        <v>23000129</v>
      </c>
      <c r="G29" s="46"/>
      <c r="J29" s="70"/>
    </row>
    <row r="32" spans="1:13" x14ac:dyDescent="0.3">
      <c r="A32" s="4" t="s">
        <v>40</v>
      </c>
    </row>
    <row r="33" spans="1:10" x14ac:dyDescent="0.3">
      <c r="A33" s="38" t="str">
        <f>"(1) Property taxes estimated using an effective rate of "&amp;TEXT(I23,"0.00000%")</f>
        <v>(1) Property taxes estimated using an effective rate of 1.20822%</v>
      </c>
    </row>
    <row r="34" spans="1:10" x14ac:dyDescent="0.3">
      <c r="A34" s="38" t="s">
        <v>245</v>
      </c>
      <c r="J34" s="70"/>
    </row>
    <row r="35" spans="1:10" x14ac:dyDescent="0.3">
      <c r="A35" s="38" t="s">
        <v>254</v>
      </c>
    </row>
  </sheetData>
  <printOptions horizontalCentered="1"/>
  <pageMargins left="0.7" right="0.7" top="0.89215686274509809" bottom="0.75" header="0.3" footer="0.3"/>
  <pageSetup scale="80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view="pageLayout" zoomScaleNormal="100" workbookViewId="0">
      <selection activeCell="K11" sqref="K11"/>
    </sheetView>
  </sheetViews>
  <sheetFormatPr defaultRowHeight="14.4" x14ac:dyDescent="0.3"/>
  <cols>
    <col min="1" max="1" width="6.6640625" customWidth="1"/>
    <col min="2" max="2" width="19.6640625" customWidth="1"/>
    <col min="3" max="3" width="13.5546875" customWidth="1"/>
    <col min="4" max="4" width="12.109375" customWidth="1"/>
    <col min="5" max="5" width="13.5546875" customWidth="1"/>
    <col min="6" max="6" width="17.6640625" customWidth="1"/>
    <col min="10" max="10" width="13.109375" bestFit="1" customWidth="1"/>
  </cols>
  <sheetData>
    <row r="1" spans="1:11" x14ac:dyDescent="0.3">
      <c r="A1" s="4"/>
      <c r="E1" s="4"/>
      <c r="F1" s="4"/>
      <c r="H1" s="4"/>
    </row>
    <row r="2" spans="1:11" x14ac:dyDescent="0.3">
      <c r="A2" s="58" t="str">
        <f>'Sch 1.0'!A2</f>
        <v>Duke Energy Kentucky</v>
      </c>
      <c r="B2" s="58"/>
      <c r="C2" s="58"/>
      <c r="D2" s="58"/>
      <c r="E2" s="58"/>
      <c r="F2" s="58"/>
      <c r="H2" s="58"/>
      <c r="I2" s="58"/>
    </row>
    <row r="3" spans="1:11" x14ac:dyDescent="0.3">
      <c r="A3" s="58" t="str">
        <f>'Sch 1.0'!A3</f>
        <v>Pipeline Modernization Mechanism ("Rider PMM")</v>
      </c>
      <c r="B3" s="58"/>
      <c r="C3" s="58"/>
      <c r="D3" s="58"/>
      <c r="E3" s="58"/>
      <c r="F3" s="58"/>
      <c r="H3" s="58"/>
      <c r="I3" s="58"/>
    </row>
    <row r="4" spans="1:11" x14ac:dyDescent="0.3">
      <c r="A4" s="58" t="s">
        <v>11</v>
      </c>
      <c r="B4" s="58"/>
      <c r="C4" s="58"/>
      <c r="D4" s="58"/>
      <c r="E4" s="58"/>
      <c r="F4" s="58"/>
      <c r="H4" s="58"/>
      <c r="I4" s="58"/>
    </row>
    <row r="5" spans="1:11" x14ac:dyDescent="0.3">
      <c r="A5" s="4"/>
      <c r="B5" s="4"/>
      <c r="C5" s="4"/>
      <c r="D5" s="4"/>
      <c r="E5" s="4"/>
      <c r="F5" s="4"/>
      <c r="H5" s="4"/>
      <c r="I5" s="4"/>
      <c r="J5" s="4"/>
      <c r="K5" s="4"/>
    </row>
    <row r="6" spans="1:11" x14ac:dyDescent="0.3">
      <c r="A6" s="3" t="s">
        <v>123</v>
      </c>
      <c r="B6" s="3"/>
      <c r="C6" s="3"/>
      <c r="D6" s="3"/>
      <c r="E6" s="3" t="s">
        <v>44</v>
      </c>
      <c r="F6" s="3" t="s">
        <v>45</v>
      </c>
      <c r="J6" s="180"/>
    </row>
    <row r="7" spans="1:11" x14ac:dyDescent="0.3">
      <c r="A7" s="8" t="s">
        <v>124</v>
      </c>
      <c r="B7" s="8" t="s">
        <v>41</v>
      </c>
      <c r="C7" s="8" t="s">
        <v>42</v>
      </c>
      <c r="D7" s="8" t="s">
        <v>43</v>
      </c>
      <c r="E7" s="8" t="s">
        <v>43</v>
      </c>
      <c r="F7" s="207" t="s">
        <v>120</v>
      </c>
    </row>
    <row r="8" spans="1:11" x14ac:dyDescent="0.3">
      <c r="A8" s="8"/>
      <c r="B8" s="16" t="s">
        <v>62</v>
      </c>
      <c r="C8" s="3" t="s">
        <v>63</v>
      </c>
      <c r="D8" s="3" t="s">
        <v>65</v>
      </c>
      <c r="E8" s="3" t="s">
        <v>74</v>
      </c>
      <c r="F8" s="3" t="s">
        <v>99</v>
      </c>
    </row>
    <row r="10" spans="1:11" x14ac:dyDescent="0.3">
      <c r="A10" s="4">
        <v>1</v>
      </c>
      <c r="B10" t="s">
        <v>46</v>
      </c>
      <c r="C10" s="95">
        <v>3.2649999999999998E-2</v>
      </c>
      <c r="D10" s="95">
        <v>3.7839999999999999E-2</v>
      </c>
      <c r="E10" s="12">
        <f>ROUND(C10*D10,5)</f>
        <v>1.24E-3</v>
      </c>
      <c r="F10" s="28">
        <f>E10</f>
        <v>1.24E-3</v>
      </c>
    </row>
    <row r="11" spans="1:11" x14ac:dyDescent="0.3">
      <c r="A11" s="4">
        <f>A10+1</f>
        <v>2</v>
      </c>
      <c r="B11" t="s">
        <v>47</v>
      </c>
      <c r="C11" s="95">
        <v>0.44085999999999997</v>
      </c>
      <c r="D11" s="95">
        <v>5.0509999999999999E-2</v>
      </c>
      <c r="E11" s="12">
        <f>ROUND(C11*D11,5)</f>
        <v>2.2270000000000002E-2</v>
      </c>
      <c r="F11" s="28">
        <f>E11</f>
        <v>2.2270000000000002E-2</v>
      </c>
    </row>
    <row r="12" spans="1:11" x14ac:dyDescent="0.3">
      <c r="A12" s="4">
        <f>A11+1</f>
        <v>3</v>
      </c>
      <c r="B12" t="s">
        <v>48</v>
      </c>
      <c r="C12" s="96">
        <v>0.52649000000000001</v>
      </c>
      <c r="D12" s="95">
        <v>9.7000000000000003E-2</v>
      </c>
      <c r="E12" s="13">
        <f>ROUND(C12*D12,5)</f>
        <v>5.1069999999999997E-2</v>
      </c>
      <c r="F12" s="173">
        <f>ROUND(E12/(1-0.24925),5)</f>
        <v>6.8029999999999993E-2</v>
      </c>
    </row>
    <row r="13" spans="1:11" x14ac:dyDescent="0.3">
      <c r="A13" s="4">
        <f>A12+1</f>
        <v>4</v>
      </c>
      <c r="B13" t="s">
        <v>20</v>
      </c>
      <c r="C13" s="12">
        <f>SUM(C10:C12)</f>
        <v>1</v>
      </c>
      <c r="E13" s="28">
        <f>SUM(E10:E12)</f>
        <v>7.4580000000000007E-2</v>
      </c>
      <c r="F13" s="28">
        <f>SUM(F10:F12)</f>
        <v>9.1539999999999996E-2</v>
      </c>
    </row>
    <row r="18" spans="2:2" x14ac:dyDescent="0.3">
      <c r="B18" s="38" t="s">
        <v>221</v>
      </c>
    </row>
    <row r="19" spans="2:2" x14ac:dyDescent="0.3">
      <c r="B19" s="38" t="s">
        <v>222</v>
      </c>
    </row>
  </sheetData>
  <printOptions horizontalCentered="1"/>
  <pageMargins left="0.7" right="0.7" top="0.92500000000000004" bottom="0.75" header="0.3" footer="0.3"/>
  <pageSetup scale="80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51"/>
  <sheetViews>
    <sheetView view="pageLayout" zoomScale="70" zoomScaleNormal="85" zoomScaleSheetLayoutView="55" zoomScalePageLayoutView="70" workbookViewId="0">
      <selection activeCell="K11" sqref="K11"/>
    </sheetView>
  </sheetViews>
  <sheetFormatPr defaultRowHeight="14.4" x14ac:dyDescent="0.3"/>
  <cols>
    <col min="1" max="1" width="8.33203125" bestFit="1" customWidth="1"/>
    <col min="2" max="2" width="31.44140625" customWidth="1"/>
    <col min="3" max="3" width="13.5546875" customWidth="1"/>
    <col min="4" max="4" width="15.44140625" bestFit="1" customWidth="1"/>
    <col min="5" max="5" width="15.6640625" bestFit="1" customWidth="1"/>
    <col min="6" max="12" width="11.6640625" customWidth="1"/>
    <col min="13" max="13" width="12.44140625" bestFit="1" customWidth="1"/>
    <col min="14" max="14" width="12.5546875" bestFit="1" customWidth="1"/>
    <col min="15" max="15" width="15.109375" customWidth="1"/>
    <col min="16" max="17" width="13.33203125" customWidth="1"/>
    <col min="18" max="18" width="16" customWidth="1"/>
    <col min="19" max="19" width="12.5546875" bestFit="1" customWidth="1"/>
    <col min="20" max="20" width="15.6640625" customWidth="1"/>
  </cols>
  <sheetData>
    <row r="1" spans="1:20" x14ac:dyDescent="0.3">
      <c r="A1" s="58" t="str">
        <f>'Sch 1.0'!A2</f>
        <v>Duke Energy Kentucky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0" x14ac:dyDescent="0.3">
      <c r="A2" s="58" t="str">
        <f>'Sch 1.0'!A3</f>
        <v>Pipeline Modernization Mechanism ("Rider PMM")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20" x14ac:dyDescent="0.3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0" x14ac:dyDescent="0.3">
      <c r="A4" s="4"/>
      <c r="O4" s="134"/>
    </row>
    <row r="5" spans="1:20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R5" s="3"/>
    </row>
    <row r="6" spans="1:20" x14ac:dyDescent="0.3">
      <c r="A6" s="3" t="s">
        <v>123</v>
      </c>
      <c r="B6" s="3"/>
      <c r="C6" s="3" t="s">
        <v>49</v>
      </c>
      <c r="D6" s="3"/>
      <c r="E6" s="3" t="s">
        <v>92</v>
      </c>
      <c r="F6" s="91" t="s">
        <v>224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3" t="s">
        <v>92</v>
      </c>
    </row>
    <row r="7" spans="1:20" x14ac:dyDescent="0.3">
      <c r="A7" s="8" t="s">
        <v>124</v>
      </c>
      <c r="B7" s="8" t="s">
        <v>9</v>
      </c>
      <c r="C7" s="8" t="s">
        <v>50</v>
      </c>
      <c r="D7" s="8"/>
      <c r="E7" s="90">
        <v>2026</v>
      </c>
      <c r="F7" s="8" t="s">
        <v>81</v>
      </c>
      <c r="G7" s="8" t="s">
        <v>82</v>
      </c>
      <c r="H7" s="8" t="s">
        <v>83</v>
      </c>
      <c r="I7" s="8" t="s">
        <v>84</v>
      </c>
      <c r="J7" s="8" t="s">
        <v>85</v>
      </c>
      <c r="K7" s="8" t="s">
        <v>86</v>
      </c>
      <c r="L7" s="8" t="s">
        <v>87</v>
      </c>
      <c r="M7" s="8" t="s">
        <v>88</v>
      </c>
      <c r="N7" s="8" t="s">
        <v>89</v>
      </c>
      <c r="O7" s="8" t="s">
        <v>90</v>
      </c>
      <c r="P7" s="8" t="s">
        <v>91</v>
      </c>
      <c r="Q7" s="8" t="s">
        <v>80</v>
      </c>
      <c r="R7" s="90">
        <v>2027</v>
      </c>
    </row>
    <row r="8" spans="1:20" x14ac:dyDescent="0.3">
      <c r="B8" s="16" t="s">
        <v>62</v>
      </c>
      <c r="C8" s="16" t="s">
        <v>63</v>
      </c>
      <c r="D8" s="16" t="s">
        <v>65</v>
      </c>
      <c r="E8" s="16" t="s">
        <v>74</v>
      </c>
      <c r="F8" s="16" t="s">
        <v>99</v>
      </c>
      <c r="G8" s="16" t="s">
        <v>100</v>
      </c>
      <c r="H8" s="16" t="s">
        <v>101</v>
      </c>
      <c r="I8" s="16" t="s">
        <v>102</v>
      </c>
      <c r="J8" s="16" t="s">
        <v>103</v>
      </c>
      <c r="K8" s="16" t="s">
        <v>104</v>
      </c>
      <c r="L8" s="16" t="s">
        <v>105</v>
      </c>
      <c r="M8" s="16" t="s">
        <v>106</v>
      </c>
      <c r="N8" s="16" t="s">
        <v>107</v>
      </c>
      <c r="O8" s="16" t="s">
        <v>108</v>
      </c>
      <c r="P8" s="16" t="s">
        <v>109</v>
      </c>
      <c r="Q8" s="16" t="s">
        <v>110</v>
      </c>
      <c r="R8" s="16" t="s">
        <v>112</v>
      </c>
    </row>
    <row r="10" spans="1:20" ht="16.2" x14ac:dyDescent="0.3">
      <c r="B10" s="9" t="s">
        <v>114</v>
      </c>
    </row>
    <row r="11" spans="1:20" x14ac:dyDescent="0.3">
      <c r="B11" s="9" t="s">
        <v>51</v>
      </c>
    </row>
    <row r="12" spans="1:20" x14ac:dyDescent="0.3">
      <c r="A12" s="4">
        <v>1</v>
      </c>
      <c r="B12" t="s">
        <v>144</v>
      </c>
      <c r="C12" s="92">
        <v>376</v>
      </c>
      <c r="D12" s="30"/>
      <c r="E12" s="89">
        <v>153947027.19990438</v>
      </c>
      <c r="F12" s="89">
        <v>110722.36494352001</v>
      </c>
      <c r="G12" s="89">
        <v>17850</v>
      </c>
      <c r="H12" s="89">
        <v>11900</v>
      </c>
      <c r="I12" s="89">
        <v>11900</v>
      </c>
      <c r="J12" s="89">
        <v>11900</v>
      </c>
      <c r="K12" s="89">
        <v>11900</v>
      </c>
      <c r="L12" s="89">
        <v>0</v>
      </c>
      <c r="M12" s="89">
        <v>0</v>
      </c>
      <c r="N12" s="89">
        <v>0</v>
      </c>
      <c r="O12" s="89">
        <v>24403206.461362988</v>
      </c>
      <c r="P12" s="89">
        <v>938903.46100605</v>
      </c>
      <c r="Q12" s="89">
        <v>578340.66336930997</v>
      </c>
      <c r="R12" s="46">
        <f>SUM(E12:Q12)</f>
        <v>180043650.15058625</v>
      </c>
      <c r="T12" s="70"/>
    </row>
    <row r="13" spans="1:20" x14ac:dyDescent="0.3">
      <c r="A13" s="4">
        <v>2</v>
      </c>
      <c r="B13" t="s">
        <v>148</v>
      </c>
      <c r="C13" s="92">
        <v>378</v>
      </c>
      <c r="D13" s="30"/>
      <c r="E13" s="89">
        <v>18634829.069999989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46">
        <f>SUM(E13:Q13)</f>
        <v>18634829.069999989</v>
      </c>
      <c r="T13" s="70"/>
    </row>
    <row r="14" spans="1:20" x14ac:dyDescent="0.3">
      <c r="A14" s="4">
        <v>3</v>
      </c>
      <c r="B14" t="s">
        <v>147</v>
      </c>
      <c r="C14" s="92">
        <v>374</v>
      </c>
      <c r="D14" s="30"/>
      <c r="E14" s="94">
        <v>15729087.140000001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3488697</v>
      </c>
      <c r="P14" s="94">
        <v>0</v>
      </c>
      <c r="Q14" s="94">
        <v>0</v>
      </c>
      <c r="R14" s="48">
        <f>SUM(E14:Q14)</f>
        <v>19217784.140000001</v>
      </c>
    </row>
    <row r="15" spans="1:20" x14ac:dyDescent="0.3">
      <c r="A15" s="4">
        <v>4</v>
      </c>
      <c r="B15" t="s">
        <v>52</v>
      </c>
      <c r="C15" s="31"/>
      <c r="D15" s="31"/>
      <c r="E15" s="49">
        <f>SUM(E12:E14)</f>
        <v>188310943.40990436</v>
      </c>
      <c r="F15" s="49">
        <f t="shared" ref="F15:R15" si="0">SUM(F12:F14)</f>
        <v>110722.36494352001</v>
      </c>
      <c r="G15" s="49">
        <f t="shared" si="0"/>
        <v>17850</v>
      </c>
      <c r="H15" s="49">
        <f t="shared" si="0"/>
        <v>11900</v>
      </c>
      <c r="I15" s="49">
        <f t="shared" si="0"/>
        <v>11900</v>
      </c>
      <c r="J15" s="49">
        <f t="shared" si="0"/>
        <v>11900</v>
      </c>
      <c r="K15" s="49">
        <f t="shared" si="0"/>
        <v>11900</v>
      </c>
      <c r="L15" s="49">
        <f t="shared" si="0"/>
        <v>0</v>
      </c>
      <c r="M15" s="49">
        <f t="shared" si="0"/>
        <v>0</v>
      </c>
      <c r="N15" s="49">
        <f t="shared" si="0"/>
        <v>0</v>
      </c>
      <c r="O15" s="49">
        <f t="shared" si="0"/>
        <v>27891903.461362988</v>
      </c>
      <c r="P15" s="49">
        <f t="shared" si="0"/>
        <v>938903.46100605</v>
      </c>
      <c r="Q15" s="49">
        <f t="shared" si="0"/>
        <v>578340.66336930997</v>
      </c>
      <c r="R15" s="49">
        <f t="shared" si="0"/>
        <v>217896263.36058623</v>
      </c>
      <c r="S15" s="46"/>
    </row>
    <row r="16" spans="1:20" x14ac:dyDescent="0.3">
      <c r="A16" s="4"/>
      <c r="C16" s="31"/>
      <c r="D16" s="31"/>
      <c r="E16" s="3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7"/>
    </row>
    <row r="17" spans="1:20" x14ac:dyDescent="0.3">
      <c r="B17" s="9" t="s">
        <v>53</v>
      </c>
      <c r="C17" s="4"/>
      <c r="D17" s="4"/>
      <c r="E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20" x14ac:dyDescent="0.3">
      <c r="A18" s="4">
        <v>5</v>
      </c>
      <c r="B18" t="s">
        <v>144</v>
      </c>
      <c r="C18" s="92">
        <v>376</v>
      </c>
      <c r="D18" s="30"/>
      <c r="E18" s="89">
        <v>1371358.38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0</v>
      </c>
      <c r="O18" s="89">
        <v>0</v>
      </c>
      <c r="P18" s="89">
        <v>0</v>
      </c>
      <c r="Q18" s="89">
        <v>0</v>
      </c>
      <c r="R18" s="46">
        <f>SUM(E18:Q18)</f>
        <v>1371358.38</v>
      </c>
      <c r="T18" s="46"/>
    </row>
    <row r="19" spans="1:20" x14ac:dyDescent="0.3">
      <c r="A19" s="4">
        <v>6</v>
      </c>
      <c r="B19" t="s">
        <v>148</v>
      </c>
      <c r="C19" s="108">
        <v>378</v>
      </c>
      <c r="D19" s="109"/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46">
        <f>SUM(E19:Q19)</f>
        <v>0</v>
      </c>
    </row>
    <row r="20" spans="1:20" x14ac:dyDescent="0.3">
      <c r="A20" s="4">
        <v>7</v>
      </c>
      <c r="B20" t="s">
        <v>147</v>
      </c>
      <c r="C20" s="108">
        <v>374</v>
      </c>
      <c r="D20" s="109"/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48">
        <f>SUM(E20:Q20)</f>
        <v>0</v>
      </c>
    </row>
    <row r="21" spans="1:20" x14ac:dyDescent="0.3">
      <c r="A21" s="4">
        <v>8</v>
      </c>
      <c r="B21" t="s">
        <v>54</v>
      </c>
      <c r="C21" s="4"/>
      <c r="D21" s="4"/>
      <c r="E21" s="49">
        <f>SUM(E18:E20)</f>
        <v>1371358.38</v>
      </c>
      <c r="F21" s="49">
        <f t="shared" ref="F21:Q21" si="1">SUM(F18:F20)</f>
        <v>0</v>
      </c>
      <c r="G21" s="49">
        <f t="shared" si="1"/>
        <v>0</v>
      </c>
      <c r="H21" s="49">
        <f t="shared" si="1"/>
        <v>0</v>
      </c>
      <c r="I21" s="49">
        <f t="shared" si="1"/>
        <v>0</v>
      </c>
      <c r="J21" s="49">
        <f t="shared" si="1"/>
        <v>0</v>
      </c>
      <c r="K21" s="49">
        <f t="shared" si="1"/>
        <v>0</v>
      </c>
      <c r="L21" s="49">
        <f t="shared" si="1"/>
        <v>0</v>
      </c>
      <c r="M21" s="49">
        <f t="shared" si="1"/>
        <v>0</v>
      </c>
      <c r="N21" s="49">
        <f t="shared" si="1"/>
        <v>0</v>
      </c>
      <c r="O21" s="49">
        <f t="shared" si="1"/>
        <v>0</v>
      </c>
      <c r="P21" s="49">
        <f t="shared" si="1"/>
        <v>0</v>
      </c>
      <c r="Q21" s="49">
        <f t="shared" si="1"/>
        <v>0</v>
      </c>
      <c r="R21" s="46">
        <f>SUM(E21:Q21)</f>
        <v>1371358.38</v>
      </c>
      <c r="S21" s="46"/>
    </row>
    <row r="22" spans="1:20" x14ac:dyDescent="0.3">
      <c r="C22" s="4"/>
      <c r="D22" s="4"/>
      <c r="E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20" x14ac:dyDescent="0.3">
      <c r="B23" s="9" t="s">
        <v>24</v>
      </c>
      <c r="C23" s="4"/>
      <c r="D23" s="4"/>
      <c r="E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20" x14ac:dyDescent="0.3">
      <c r="A24" s="4">
        <v>9</v>
      </c>
      <c r="B24" t="s">
        <v>144</v>
      </c>
      <c r="C24" s="92">
        <v>376</v>
      </c>
      <c r="D24" s="30"/>
      <c r="E24" s="89">
        <v>4054223.12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344805.1</v>
      </c>
      <c r="P24" s="89">
        <v>0</v>
      </c>
      <c r="Q24" s="89">
        <v>0</v>
      </c>
      <c r="R24" s="107">
        <f>SUM(E24:Q24)</f>
        <v>4399028.22</v>
      </c>
    </row>
    <row r="25" spans="1:20" x14ac:dyDescent="0.3">
      <c r="A25" s="4">
        <v>10</v>
      </c>
      <c r="B25" t="s">
        <v>148</v>
      </c>
      <c r="C25" s="108">
        <v>378</v>
      </c>
      <c r="D25" s="109"/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107">
        <f>SUM(E25:Q25)</f>
        <v>0</v>
      </c>
    </row>
    <row r="26" spans="1:20" x14ac:dyDescent="0.3">
      <c r="A26" s="4">
        <v>11</v>
      </c>
      <c r="B26" t="s">
        <v>147</v>
      </c>
      <c r="C26" s="108">
        <v>374</v>
      </c>
      <c r="D26" s="109"/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75">
        <f>SUM(E26:Q26)</f>
        <v>0</v>
      </c>
    </row>
    <row r="27" spans="1:20" x14ac:dyDescent="0.3">
      <c r="A27" s="4">
        <v>12</v>
      </c>
      <c r="B27" t="s">
        <v>55</v>
      </c>
      <c r="E27" s="56">
        <f>SUM(E24:E26)</f>
        <v>4054223.12</v>
      </c>
      <c r="F27" s="56">
        <f t="shared" ref="F27:R27" si="2">SUM(F24:F26)</f>
        <v>0</v>
      </c>
      <c r="G27" s="56">
        <f t="shared" si="2"/>
        <v>0</v>
      </c>
      <c r="H27" s="56">
        <f t="shared" si="2"/>
        <v>0</v>
      </c>
      <c r="I27" s="56">
        <f t="shared" si="2"/>
        <v>0</v>
      </c>
      <c r="J27" s="56">
        <f t="shared" si="2"/>
        <v>0</v>
      </c>
      <c r="K27" s="56">
        <f t="shared" si="2"/>
        <v>0</v>
      </c>
      <c r="L27" s="56">
        <f t="shared" si="2"/>
        <v>0</v>
      </c>
      <c r="M27" s="56">
        <f t="shared" si="2"/>
        <v>0</v>
      </c>
      <c r="N27" s="56">
        <f t="shared" si="2"/>
        <v>0</v>
      </c>
      <c r="O27" s="56">
        <f t="shared" si="2"/>
        <v>344805.1</v>
      </c>
      <c r="P27" s="56">
        <f t="shared" si="2"/>
        <v>0</v>
      </c>
      <c r="Q27" s="56">
        <f t="shared" si="2"/>
        <v>0</v>
      </c>
      <c r="R27" s="56">
        <f t="shared" si="2"/>
        <v>4399028.22</v>
      </c>
    </row>
    <row r="29" spans="1:20" x14ac:dyDescent="0.3">
      <c r="B29" s="211"/>
      <c r="C29" s="34"/>
      <c r="D29" s="34"/>
      <c r="E29" s="103"/>
      <c r="F29" s="212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103"/>
    </row>
    <row r="30" spans="1:20" x14ac:dyDescent="0.3">
      <c r="A30" s="4"/>
      <c r="B30" s="33"/>
      <c r="C30" s="34"/>
      <c r="E30" s="5"/>
      <c r="H30" s="35"/>
      <c r="I30" s="16"/>
      <c r="J30" s="16"/>
      <c r="K30" s="16"/>
      <c r="L30" s="16"/>
      <c r="M30" s="16"/>
      <c r="N30" s="16"/>
      <c r="O30" s="16"/>
      <c r="P30" s="16"/>
      <c r="Q30" s="16"/>
      <c r="R30" s="1"/>
    </row>
    <row r="31" spans="1:20" x14ac:dyDescent="0.3">
      <c r="A31" s="4"/>
      <c r="B31" s="33"/>
      <c r="D31" s="34" t="s">
        <v>215</v>
      </c>
      <c r="E31" s="3" t="s">
        <v>93</v>
      </c>
      <c r="G31" s="46"/>
      <c r="R31" s="3" t="s">
        <v>96</v>
      </c>
    </row>
    <row r="32" spans="1:20" x14ac:dyDescent="0.3">
      <c r="A32" s="4"/>
      <c r="D32" s="3" t="s">
        <v>31</v>
      </c>
      <c r="E32" s="3" t="s">
        <v>92</v>
      </c>
      <c r="F32" s="93" t="s">
        <v>223</v>
      </c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36" t="s">
        <v>97</v>
      </c>
    </row>
    <row r="33" spans="1:19" ht="16.2" x14ac:dyDescent="0.3">
      <c r="A33" s="4"/>
      <c r="B33" s="9" t="s">
        <v>111</v>
      </c>
      <c r="D33" s="3" t="s">
        <v>216</v>
      </c>
      <c r="E33" s="57">
        <f>E7</f>
        <v>2026</v>
      </c>
      <c r="F33" s="8" t="s">
        <v>81</v>
      </c>
      <c r="G33" s="8" t="s">
        <v>82</v>
      </c>
      <c r="H33" s="8" t="s">
        <v>83</v>
      </c>
      <c r="I33" s="8" t="s">
        <v>84</v>
      </c>
      <c r="J33" s="8" t="s">
        <v>85</v>
      </c>
      <c r="K33" s="8" t="s">
        <v>86</v>
      </c>
      <c r="L33" s="8" t="s">
        <v>87</v>
      </c>
      <c r="M33" s="8" t="s">
        <v>88</v>
      </c>
      <c r="N33" s="8" t="s">
        <v>89</v>
      </c>
      <c r="O33" s="8" t="s">
        <v>90</v>
      </c>
      <c r="P33" s="8" t="s">
        <v>91</v>
      </c>
      <c r="Q33" s="8" t="s">
        <v>80</v>
      </c>
    </row>
    <row r="34" spans="1:19" x14ac:dyDescent="0.3">
      <c r="A34" s="4"/>
      <c r="B34" s="9" t="s">
        <v>51</v>
      </c>
      <c r="D34" s="3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9" x14ac:dyDescent="0.3">
      <c r="A35" s="4">
        <v>13</v>
      </c>
      <c r="B35" t="s">
        <v>144</v>
      </c>
      <c r="C35" s="92">
        <v>376</v>
      </c>
      <c r="D35" s="138">
        <v>2.1000000000000001E-2</v>
      </c>
      <c r="E35" s="89">
        <v>3988945</v>
      </c>
      <c r="F35" s="55">
        <f>ROUND(SUM($E$12:E12)*D35/12,0)</f>
        <v>269407</v>
      </c>
      <c r="G35" s="55">
        <f>ROUND(SUM($E$12:F12)*$D$35/12,0)</f>
        <v>269601</v>
      </c>
      <c r="H35" s="55">
        <f>ROUND(SUM($E$12:G12)*$D$35/12,0)</f>
        <v>269632</v>
      </c>
      <c r="I35" s="55">
        <f>ROUND(SUM($E$12:H12)*$D$35/12,0)</f>
        <v>269653</v>
      </c>
      <c r="J35" s="55">
        <f>ROUND(SUM($E$12:I12)*$D$35/12,0)</f>
        <v>269674</v>
      </c>
      <c r="K35" s="55">
        <f>ROUND(SUM($E$12:J12)*$D$35/12,0)</f>
        <v>269695</v>
      </c>
      <c r="L35" s="55">
        <f>ROUND(SUM($E$12:K12)*$D$35/12,0)</f>
        <v>269716</v>
      </c>
      <c r="M35" s="55">
        <f>ROUND(SUM($E$12:L12)*$D$35/12,0)</f>
        <v>269716</v>
      </c>
      <c r="N35" s="55">
        <f>ROUND(SUM($E$12:M12)*$D$35/12,0)</f>
        <v>269716</v>
      </c>
      <c r="O35" s="55">
        <f>ROUND(SUM($E$12:N12)*$D$35/12,0)</f>
        <v>269716</v>
      </c>
      <c r="P35" s="55">
        <f>ROUND(SUM($E$12:O12)*$D$35/12,0)</f>
        <v>312421</v>
      </c>
      <c r="Q35" s="55">
        <f>ROUND(SUM($E$12:P12)*$D$35/12,0)</f>
        <v>314064</v>
      </c>
      <c r="R35" s="17"/>
    </row>
    <row r="36" spans="1:19" x14ac:dyDescent="0.3">
      <c r="A36" s="4">
        <v>14</v>
      </c>
      <c r="B36" t="s">
        <v>148</v>
      </c>
      <c r="C36" s="92">
        <v>378</v>
      </c>
      <c r="D36" s="138">
        <v>3.0200000000000001E-2</v>
      </c>
      <c r="E36" s="89">
        <v>951488</v>
      </c>
      <c r="F36" s="55">
        <f>ROUND(SUM($E$13:E13)*D36/12,0)</f>
        <v>46898</v>
      </c>
      <c r="G36" s="55">
        <f>ROUND(SUM($E$13:F13)*$D$36/12,0)</f>
        <v>46898</v>
      </c>
      <c r="H36" s="55">
        <f>ROUND(SUM($E$13:G13)*$D$36/12,0)</f>
        <v>46898</v>
      </c>
      <c r="I36" s="55">
        <f>ROUND(SUM($E$13:H13)*$D$36/12,0)</f>
        <v>46898</v>
      </c>
      <c r="J36" s="55">
        <f>ROUND(SUM($E$13:I13)*$D$36/12,0)</f>
        <v>46898</v>
      </c>
      <c r="K36" s="55">
        <f>ROUND(SUM($E$13:J13)*$D$36/12,0)</f>
        <v>46898</v>
      </c>
      <c r="L36" s="55">
        <f>ROUND(SUM($E$13:K13)*$D$36/12,0)</f>
        <v>46898</v>
      </c>
      <c r="M36" s="55">
        <f>ROUND(SUM($E$13:L13)*$D$36/12,0)</f>
        <v>46898</v>
      </c>
      <c r="N36" s="55">
        <f>ROUND(SUM($E$13:M13)*$D$36/12,0)</f>
        <v>46898</v>
      </c>
      <c r="O36" s="55">
        <f>ROUND(SUM($E$13:N13)*$D$36/12,0)</f>
        <v>46898</v>
      </c>
      <c r="P36" s="55">
        <f>ROUND(SUM($E$13:O13)*$D$36/12,0)</f>
        <v>46898</v>
      </c>
      <c r="Q36" s="55">
        <f>ROUND(SUM($E$13:P13)*$D$36/12,0)</f>
        <v>46898</v>
      </c>
      <c r="R36" s="17"/>
    </row>
    <row r="37" spans="1:19" x14ac:dyDescent="0.3">
      <c r="A37" s="4">
        <v>15</v>
      </c>
      <c r="B37" t="s">
        <v>147</v>
      </c>
      <c r="C37" s="92">
        <v>374</v>
      </c>
      <c r="D37" s="138">
        <v>0</v>
      </c>
      <c r="E37" s="94">
        <v>0</v>
      </c>
      <c r="F37" s="76">
        <f>ROUND(SUM($E$14:E14)*$D$37/12,0)</f>
        <v>0</v>
      </c>
      <c r="G37" s="76">
        <f>ROUND(SUM($E$14:F14)*$D$37/12,0)</f>
        <v>0</v>
      </c>
      <c r="H37" s="76">
        <f>ROUND(SUM($E$14:G14)*$D$37/12,0)</f>
        <v>0</v>
      </c>
      <c r="I37" s="76">
        <f>ROUND(SUM($E$14:H14)*$D$37/12,0)</f>
        <v>0</v>
      </c>
      <c r="J37" s="76">
        <f>ROUND(SUM($E$14:I14)*$D$37/12,0)</f>
        <v>0</v>
      </c>
      <c r="K37" s="76">
        <f>ROUND(SUM($E$14:J14)*$D$37/12,0)</f>
        <v>0</v>
      </c>
      <c r="L37" s="76">
        <f>ROUND(SUM($E$14:K14)*$D$37/12,0)</f>
        <v>0</v>
      </c>
      <c r="M37" s="76">
        <f>ROUND(SUM($E$14:L14)*$D$37/12,0)</f>
        <v>0</v>
      </c>
      <c r="N37" s="76">
        <f>ROUND(SUM($E$14:M14)*$D$37/12,0)</f>
        <v>0</v>
      </c>
      <c r="O37" s="76">
        <f>ROUND(SUM($E$14:N14)*$D$37/12,0)</f>
        <v>0</v>
      </c>
      <c r="P37" s="76">
        <f>ROUND(SUM($E$14:O14)*$D$37/12,0)</f>
        <v>0</v>
      </c>
      <c r="Q37" s="76">
        <f>ROUND(SUM($E$14:P14)*$D$37/12,0)</f>
        <v>0</v>
      </c>
      <c r="R37" s="17"/>
    </row>
    <row r="38" spans="1:19" x14ac:dyDescent="0.3">
      <c r="A38" s="4">
        <v>16</v>
      </c>
      <c r="B38" t="s">
        <v>52</v>
      </c>
      <c r="C38" s="31"/>
      <c r="D38" s="184"/>
      <c r="E38" s="49">
        <f>SUM(E35:E37)</f>
        <v>4940433</v>
      </c>
      <c r="F38" s="49">
        <f t="shared" ref="F38:Q38" si="3">SUM(F35:F37)</f>
        <v>316305</v>
      </c>
      <c r="G38" s="49">
        <f t="shared" si="3"/>
        <v>316499</v>
      </c>
      <c r="H38" s="49">
        <f t="shared" si="3"/>
        <v>316530</v>
      </c>
      <c r="I38" s="49">
        <f t="shared" si="3"/>
        <v>316551</v>
      </c>
      <c r="J38" s="49">
        <f t="shared" si="3"/>
        <v>316572</v>
      </c>
      <c r="K38" s="49">
        <f t="shared" si="3"/>
        <v>316593</v>
      </c>
      <c r="L38" s="49">
        <f t="shared" si="3"/>
        <v>316614</v>
      </c>
      <c r="M38" s="49">
        <f t="shared" si="3"/>
        <v>316614</v>
      </c>
      <c r="N38" s="49">
        <f t="shared" si="3"/>
        <v>316614</v>
      </c>
      <c r="O38" s="49">
        <f t="shared" si="3"/>
        <v>316614</v>
      </c>
      <c r="P38" s="49">
        <f t="shared" si="3"/>
        <v>359319</v>
      </c>
      <c r="Q38" s="49">
        <f t="shared" si="3"/>
        <v>360962</v>
      </c>
      <c r="R38" s="17"/>
      <c r="S38" s="46"/>
    </row>
    <row r="39" spans="1:19" x14ac:dyDescent="0.3">
      <c r="A39" s="4"/>
      <c r="C39" s="31"/>
      <c r="D39" s="184"/>
      <c r="F39" s="1"/>
    </row>
    <row r="40" spans="1:19" x14ac:dyDescent="0.3">
      <c r="A40" s="4"/>
      <c r="B40" s="9" t="s">
        <v>53</v>
      </c>
      <c r="D40" s="185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9" x14ac:dyDescent="0.3">
      <c r="A41" s="4">
        <v>17</v>
      </c>
      <c r="B41" t="s">
        <v>144</v>
      </c>
      <c r="C41" s="77">
        <v>376</v>
      </c>
      <c r="D41" s="138">
        <v>2.1000000000000001E-2</v>
      </c>
      <c r="E41" s="89">
        <v>35360</v>
      </c>
      <c r="F41" s="55">
        <f>ROUND(SUM($E$18:E18)*D41/12,0)</f>
        <v>2400</v>
      </c>
      <c r="G41" s="55">
        <f>ROUND(SUM($E$18:F18)*D41/12,0)</f>
        <v>2400</v>
      </c>
      <c r="H41" s="55">
        <f>ROUND(SUM($E$18:G18)*D41/12,0)</f>
        <v>2400</v>
      </c>
      <c r="I41" s="55">
        <f>ROUND(SUM($E$18:H18)*D41/12,0)</f>
        <v>2400</v>
      </c>
      <c r="J41" s="55">
        <f>ROUND(SUM($E$18:I18)*D41/12,0)</f>
        <v>2400</v>
      </c>
      <c r="K41" s="55">
        <f>ROUND(SUM($E$18:J18)*D41/12,0)</f>
        <v>2400</v>
      </c>
      <c r="L41" s="55">
        <f>ROUND(SUM($E$18:K18)*D41/12,0)</f>
        <v>2400</v>
      </c>
      <c r="M41" s="55">
        <f>ROUND(SUM($E$18:L18)*D41/12,0)</f>
        <v>2400</v>
      </c>
      <c r="N41" s="55">
        <f>ROUND(SUM($E$18:M18)*D41/12,0)</f>
        <v>2400</v>
      </c>
      <c r="O41" s="55">
        <f>ROUND(SUM($E$18:N18)*D41/12,0)</f>
        <v>2400</v>
      </c>
      <c r="P41" s="55">
        <f>ROUND(SUM($E$18:O18)*D41/12,0)</f>
        <v>2400</v>
      </c>
      <c r="Q41" s="55">
        <f>ROUND(SUM($E$18:P18)*D41/12,0)</f>
        <v>2400</v>
      </c>
      <c r="R41" s="17"/>
    </row>
    <row r="42" spans="1:19" x14ac:dyDescent="0.3">
      <c r="A42" s="4">
        <v>18</v>
      </c>
      <c r="B42" t="s">
        <v>148</v>
      </c>
      <c r="C42" s="77">
        <v>378</v>
      </c>
      <c r="D42" s="138">
        <v>3.0200000000000001E-2</v>
      </c>
      <c r="E42" s="89">
        <v>20</v>
      </c>
      <c r="F42" s="55">
        <f>ROUND(SUM($E$19:E19)*D42/12,0)</f>
        <v>0</v>
      </c>
      <c r="G42" s="55">
        <f>ROUND(SUM($E$19:F19)*D42/12,0)</f>
        <v>0</v>
      </c>
      <c r="H42" s="55">
        <f>ROUND(SUM($E$19:G19)*D42/12,0)</f>
        <v>0</v>
      </c>
      <c r="I42" s="55">
        <f>ROUND(SUM($E$19:H19)*D42/12,0)</f>
        <v>0</v>
      </c>
      <c r="J42" s="55">
        <f>ROUND(SUM($E$19:I19)*D42/12,0)</f>
        <v>0</v>
      </c>
      <c r="K42" s="55">
        <f>ROUND(SUM($E$19:J19)*D42/12,0)</f>
        <v>0</v>
      </c>
      <c r="L42" s="55">
        <f>ROUND(SUM($E$19:K19)*D42/12,0)</f>
        <v>0</v>
      </c>
      <c r="M42" s="55">
        <f>ROUND(SUM($E$19:L19)*D42/12,0)</f>
        <v>0</v>
      </c>
      <c r="N42" s="55">
        <f>ROUND(SUM($E$19:M19)*D42/12,0)</f>
        <v>0</v>
      </c>
      <c r="O42" s="55">
        <f>ROUND(SUM($E$19:N19)*D42/12,0)</f>
        <v>0</v>
      </c>
      <c r="P42" s="55">
        <f>ROUND(SUM($E$19:O19)*D42/12,0)</f>
        <v>0</v>
      </c>
      <c r="Q42" s="55">
        <f>ROUND(SUM($E$19:P19)*D42/12,0)</f>
        <v>0</v>
      </c>
      <c r="R42" s="17"/>
    </row>
    <row r="43" spans="1:19" x14ac:dyDescent="0.3">
      <c r="A43" s="4">
        <v>19</v>
      </c>
      <c r="B43" t="s">
        <v>147</v>
      </c>
      <c r="C43" s="77">
        <v>374</v>
      </c>
      <c r="D43" s="138">
        <v>0</v>
      </c>
      <c r="E43" s="94">
        <v>0</v>
      </c>
      <c r="F43" s="76">
        <f>ROUND(SUM($E$20:E20)*$D$43/12,0)</f>
        <v>0</v>
      </c>
      <c r="G43" s="76">
        <f>ROUND(SUM($E$20:F20)*$D$43/12,0)</f>
        <v>0</v>
      </c>
      <c r="H43" s="76">
        <f>ROUND(SUM($E$20:G20)*$D$43/12,0)</f>
        <v>0</v>
      </c>
      <c r="I43" s="76">
        <f>ROUND(SUM($E$20:H20)*$D$43/12,0)</f>
        <v>0</v>
      </c>
      <c r="J43" s="76">
        <f>ROUND(SUM($E$20:I20)*$D$43/12,0)</f>
        <v>0</v>
      </c>
      <c r="K43" s="76">
        <f>ROUND(SUM($E$20:J20)*$D$43/12,0)</f>
        <v>0</v>
      </c>
      <c r="L43" s="76">
        <f>ROUND(SUM($E$20:K20)*$D$43/12,0)</f>
        <v>0</v>
      </c>
      <c r="M43" s="76">
        <f>ROUND(SUM($E$20:L20)*$D$43/12,0)</f>
        <v>0</v>
      </c>
      <c r="N43" s="76">
        <f>ROUND(SUM($E$20:M20)*$D$43/12,0)</f>
        <v>0</v>
      </c>
      <c r="O43" s="76">
        <f>ROUND(SUM($E$20:N20)*$D$43/12,0)</f>
        <v>0</v>
      </c>
      <c r="P43" s="76">
        <f>ROUND(SUM($E$20:O20)*$D$43/12,0)</f>
        <v>0</v>
      </c>
      <c r="Q43" s="76">
        <f>ROUND(SUM($E$20:P20)*$D$43/12,0)</f>
        <v>0</v>
      </c>
      <c r="R43" s="17"/>
    </row>
    <row r="44" spans="1:19" x14ac:dyDescent="0.3">
      <c r="A44" s="4">
        <v>20</v>
      </c>
      <c r="B44" t="s">
        <v>52</v>
      </c>
      <c r="C44" s="31"/>
      <c r="D44" s="31"/>
      <c r="E44" s="49">
        <f>SUM(E41:E41)</f>
        <v>35360</v>
      </c>
      <c r="F44" s="49">
        <f t="shared" ref="F44:Q44" si="4">SUM(F41:F41)</f>
        <v>2400</v>
      </c>
      <c r="G44" s="44">
        <f t="shared" si="4"/>
        <v>2400</v>
      </c>
      <c r="H44" s="44">
        <f t="shared" si="4"/>
        <v>2400</v>
      </c>
      <c r="I44" s="44">
        <f t="shared" si="4"/>
        <v>2400</v>
      </c>
      <c r="J44" s="44">
        <f t="shared" si="4"/>
        <v>2400</v>
      </c>
      <c r="K44" s="44">
        <f t="shared" si="4"/>
        <v>2400</v>
      </c>
      <c r="L44" s="44">
        <f t="shared" si="4"/>
        <v>2400</v>
      </c>
      <c r="M44" s="44">
        <f t="shared" si="4"/>
        <v>2400</v>
      </c>
      <c r="N44" s="44">
        <f t="shared" si="4"/>
        <v>2400</v>
      </c>
      <c r="O44" s="44">
        <f t="shared" si="4"/>
        <v>2400</v>
      </c>
      <c r="P44" s="44">
        <f t="shared" si="4"/>
        <v>2400</v>
      </c>
      <c r="Q44" s="44">
        <f t="shared" si="4"/>
        <v>2400</v>
      </c>
      <c r="R44" s="17"/>
      <c r="S44" s="46"/>
    </row>
    <row r="45" spans="1:19" x14ac:dyDescent="0.3">
      <c r="A45" s="4"/>
      <c r="C45" s="31"/>
      <c r="D45" s="31"/>
      <c r="F45" s="1"/>
      <c r="S45" s="46"/>
    </row>
    <row r="46" spans="1:19" ht="15" thickBot="1" x14ac:dyDescent="0.35">
      <c r="A46" s="4">
        <v>21</v>
      </c>
      <c r="B46" s="9" t="s">
        <v>98</v>
      </c>
      <c r="C46" s="4"/>
      <c r="D46" s="4"/>
      <c r="E46" s="50">
        <f>+E38-E44</f>
        <v>4905073</v>
      </c>
      <c r="F46" s="50">
        <f>E46+F38-F44</f>
        <v>5218978</v>
      </c>
      <c r="G46" s="50">
        <f t="shared" ref="G46:P46" si="5">F46+G38-G44</f>
        <v>5533077</v>
      </c>
      <c r="H46" s="50">
        <f t="shared" si="5"/>
        <v>5847207</v>
      </c>
      <c r="I46" s="50">
        <f t="shared" si="5"/>
        <v>6161358</v>
      </c>
      <c r="J46" s="50">
        <f t="shared" si="5"/>
        <v>6475530</v>
      </c>
      <c r="K46" s="50">
        <f t="shared" si="5"/>
        <v>6789723</v>
      </c>
      <c r="L46" s="50">
        <f t="shared" si="5"/>
        <v>7103937</v>
      </c>
      <c r="M46" s="50">
        <f t="shared" si="5"/>
        <v>7418151</v>
      </c>
      <c r="N46" s="50">
        <f t="shared" si="5"/>
        <v>7732365</v>
      </c>
      <c r="O46" s="50">
        <f t="shared" si="5"/>
        <v>8046579</v>
      </c>
      <c r="P46" s="50">
        <f t="shared" si="5"/>
        <v>8403498</v>
      </c>
      <c r="Q46" s="50">
        <f>P46+Q38-Q44</f>
        <v>8762060</v>
      </c>
      <c r="R46" s="50">
        <f>AVERAGE(E46:Q46)</f>
        <v>6799810.461538462</v>
      </c>
    </row>
    <row r="47" spans="1:19" ht="15" thickTop="1" x14ac:dyDescent="0.3">
      <c r="A47" s="4"/>
      <c r="C47" s="4"/>
      <c r="D47" s="4"/>
      <c r="E47" s="37"/>
      <c r="F47" s="3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9" spans="1:1" x14ac:dyDescent="0.3">
      <c r="A49" t="s">
        <v>40</v>
      </c>
    </row>
    <row r="50" spans="1:1" x14ac:dyDescent="0.3">
      <c r="A50" s="186" t="s">
        <v>248</v>
      </c>
    </row>
    <row r="51" spans="1:1" x14ac:dyDescent="0.3">
      <c r="A51" s="38" t="s">
        <v>247</v>
      </c>
    </row>
  </sheetData>
  <printOptions horizontalCentered="1"/>
  <pageMargins left="0.7" right="0.7" top="0.75" bottom="0.75" header="0.3" footer="0.3"/>
  <pageSetup scale="49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63"/>
  <sheetViews>
    <sheetView view="pageLayout" zoomScale="55" zoomScaleNormal="70" zoomScalePageLayoutView="55" workbookViewId="0">
      <selection activeCell="K11" sqref="K11"/>
    </sheetView>
  </sheetViews>
  <sheetFormatPr defaultRowHeight="14.4" x14ac:dyDescent="0.3"/>
  <cols>
    <col min="1" max="1" width="10.33203125" customWidth="1"/>
    <col min="2" max="2" width="11.88671875" customWidth="1"/>
    <col min="3" max="3" width="27.109375" customWidth="1"/>
    <col min="4" max="4" width="19.44140625" customWidth="1"/>
    <col min="5" max="5" width="18.33203125" customWidth="1"/>
    <col min="6" max="6" width="14.6640625" bestFit="1" customWidth="1"/>
    <col min="7" max="7" width="3.6640625" customWidth="1"/>
    <col min="8" max="8" width="14" customWidth="1"/>
    <col min="9" max="9" width="16.109375" customWidth="1"/>
    <col min="10" max="10" width="13.44140625" customWidth="1"/>
    <col min="11" max="11" width="18.88671875" bestFit="1" customWidth="1"/>
    <col min="12" max="12" width="15.44140625" customWidth="1"/>
    <col min="13" max="13" width="15.33203125" customWidth="1"/>
    <col min="14" max="14" width="12.44140625" customWidth="1"/>
    <col min="15" max="16" width="14.88671875" customWidth="1"/>
    <col min="17" max="17" width="16.88671875" customWidth="1"/>
    <col min="18" max="18" width="27.6640625" customWidth="1"/>
  </cols>
  <sheetData>
    <row r="1" spans="1:18" x14ac:dyDescent="0.3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58"/>
    </row>
    <row r="2" spans="1:18" x14ac:dyDescent="0.3">
      <c r="A2" s="216" t="s">
        <v>121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58"/>
    </row>
    <row r="3" spans="1:18" x14ac:dyDescent="0.3">
      <c r="A3" s="216" t="s">
        <v>27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58"/>
    </row>
    <row r="4" spans="1:18" x14ac:dyDescent="0.3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19"/>
      <c r="M4" s="58"/>
      <c r="N4" s="58"/>
      <c r="O4" s="58"/>
      <c r="P4" s="58"/>
      <c r="Q4" s="58"/>
      <c r="R4" s="58"/>
    </row>
    <row r="5" spans="1:18" ht="15.6" x14ac:dyDescent="0.3">
      <c r="A5" s="213"/>
      <c r="B5" s="7"/>
      <c r="C5" s="7"/>
      <c r="D5" s="214"/>
      <c r="E5" s="7"/>
      <c r="F5" s="7"/>
      <c r="G5" s="7"/>
      <c r="H5" s="7"/>
      <c r="I5" s="7"/>
      <c r="J5" s="7"/>
      <c r="K5" s="7"/>
      <c r="L5" s="7"/>
      <c r="M5" s="7"/>
      <c r="N5" s="7"/>
      <c r="P5" s="19"/>
      <c r="Q5" s="58"/>
    </row>
    <row r="7" spans="1:18" ht="28.8" x14ac:dyDescent="0.3">
      <c r="A7" s="113" t="s">
        <v>210</v>
      </c>
      <c r="B7" s="131"/>
      <c r="C7" s="114" t="s">
        <v>149</v>
      </c>
      <c r="D7" s="114" t="s">
        <v>150</v>
      </c>
      <c r="E7" s="114" t="s">
        <v>162</v>
      </c>
      <c r="F7" s="114" t="s">
        <v>163</v>
      </c>
      <c r="G7" s="113"/>
      <c r="H7" s="139" t="s">
        <v>190</v>
      </c>
      <c r="I7" s="139" t="s">
        <v>191</v>
      </c>
      <c r="J7" s="114" t="s">
        <v>166</v>
      </c>
      <c r="K7" s="114" t="s">
        <v>151</v>
      </c>
      <c r="L7" s="151" t="s">
        <v>167</v>
      </c>
      <c r="M7" s="151" t="s">
        <v>170</v>
      </c>
      <c r="N7" s="151" t="s">
        <v>171</v>
      </c>
      <c r="O7" s="151" t="s">
        <v>172</v>
      </c>
      <c r="P7" s="151" t="s">
        <v>209</v>
      </c>
      <c r="Q7" s="151" t="s">
        <v>175</v>
      </c>
    </row>
    <row r="8" spans="1:18" ht="15" customHeight="1" x14ac:dyDescent="0.3">
      <c r="H8" s="4"/>
      <c r="I8" s="4"/>
      <c r="J8" s="4"/>
      <c r="L8" s="4"/>
      <c r="M8" s="129"/>
      <c r="N8" s="4"/>
      <c r="O8" s="4"/>
      <c r="P8" s="4"/>
      <c r="Q8" s="4"/>
    </row>
    <row r="9" spans="1:18" ht="57.6" x14ac:dyDescent="0.3">
      <c r="B9" s="115" t="s">
        <v>56</v>
      </c>
      <c r="C9" s="126" t="s">
        <v>155</v>
      </c>
      <c r="D9" s="126" t="s">
        <v>161</v>
      </c>
      <c r="E9" s="126" t="s">
        <v>156</v>
      </c>
      <c r="F9" s="126" t="s">
        <v>160</v>
      </c>
      <c r="G9" s="136"/>
      <c r="H9" s="126" t="s">
        <v>192</v>
      </c>
      <c r="I9" s="126" t="s">
        <v>193</v>
      </c>
      <c r="J9" s="126" t="s">
        <v>157</v>
      </c>
      <c r="K9" s="115" t="s">
        <v>67</v>
      </c>
      <c r="L9" s="126" t="s">
        <v>168</v>
      </c>
      <c r="M9" s="126" t="s">
        <v>169</v>
      </c>
      <c r="N9" s="126" t="s">
        <v>158</v>
      </c>
      <c r="O9" s="126" t="s">
        <v>159</v>
      </c>
      <c r="P9" s="126" t="s">
        <v>173</v>
      </c>
      <c r="Q9" s="126" t="s">
        <v>174</v>
      </c>
    </row>
    <row r="10" spans="1:18" x14ac:dyDescent="0.3">
      <c r="B10" s="116">
        <v>45261</v>
      </c>
      <c r="C10" s="1">
        <v>26061210</v>
      </c>
      <c r="D10" s="119">
        <v>0</v>
      </c>
      <c r="E10" s="140">
        <v>5857760</v>
      </c>
      <c r="F10" s="119">
        <f t="shared" ref="F10:F22" si="0">SUM(C10:E10)</f>
        <v>31918970</v>
      </c>
      <c r="G10" s="141"/>
      <c r="H10" s="142">
        <f>C10*B62</f>
        <v>1303060.5</v>
      </c>
      <c r="I10" s="142">
        <v>0</v>
      </c>
      <c r="J10" s="142">
        <f>SUM(H10:I10)</f>
        <v>1303060.5</v>
      </c>
      <c r="K10" s="141">
        <v>0</v>
      </c>
      <c r="L10" s="117">
        <f t="shared" ref="L10:L22" si="1">J10-K10</f>
        <v>1303060.5</v>
      </c>
      <c r="M10" s="118">
        <f>L10</f>
        <v>1303060.5</v>
      </c>
      <c r="N10" s="117" t="s">
        <v>194</v>
      </c>
      <c r="O10" s="117" t="s">
        <v>194</v>
      </c>
      <c r="P10" s="117" t="s">
        <v>194</v>
      </c>
      <c r="Q10" s="117">
        <f>+M10</f>
        <v>1303060.5</v>
      </c>
    </row>
    <row r="11" spans="1:18" x14ac:dyDescent="0.3">
      <c r="B11" s="116">
        <v>45627</v>
      </c>
      <c r="C11" s="119">
        <f>46454631.43+402801</f>
        <v>46857432.43</v>
      </c>
      <c r="D11" s="119">
        <f>18757283.93-2407</f>
        <v>18754876.93</v>
      </c>
      <c r="E11" s="119">
        <f>64070.09+2407</f>
        <v>66477.09</v>
      </c>
      <c r="F11" s="119">
        <f t="shared" si="0"/>
        <v>65678786.450000003</v>
      </c>
      <c r="G11" s="128"/>
      <c r="H11" s="119">
        <f>(C10*C62)+(C11*B62)</f>
        <v>4818686.5714999996</v>
      </c>
      <c r="I11" s="119">
        <f>D11*B63</f>
        <v>703307.88487499999</v>
      </c>
      <c r="J11" s="142">
        <f>SUM(H11:I11)</f>
        <v>5521994.4563749991</v>
      </c>
      <c r="K11" s="119">
        <v>0</v>
      </c>
      <c r="L11" s="117">
        <f t="shared" si="1"/>
        <v>5521994.4563749991</v>
      </c>
      <c r="M11" s="118">
        <f>M10+L11</f>
        <v>6825054.9563749991</v>
      </c>
      <c r="N11" s="117" t="s">
        <v>194</v>
      </c>
      <c r="O11" s="117" t="s">
        <v>194</v>
      </c>
      <c r="P11" s="117" t="s">
        <v>194</v>
      </c>
      <c r="Q11" s="117">
        <f>+M11</f>
        <v>6825054.9563749991</v>
      </c>
    </row>
    <row r="12" spans="1:18" x14ac:dyDescent="0.3">
      <c r="B12" s="116">
        <v>45992</v>
      </c>
      <c r="C12" s="119">
        <f>SUM('Sch 4.3'!F12:Q12)-SUM('Sch 4.3'!F18:Q18)</f>
        <v>44704232.93</v>
      </c>
      <c r="D12" s="119">
        <f>SUM('Sch 4.3'!F13:Q13)-SUM('Sch 4.3'!F19:Q19)</f>
        <v>879630.86999999976</v>
      </c>
      <c r="E12" s="119">
        <f>SUM('Sch 4.3'!F14:Q14)-SUM('Sch 4.3'!F20:Q20)</f>
        <v>6227477.5499999989</v>
      </c>
      <c r="F12" s="119">
        <f t="shared" si="0"/>
        <v>51811341.349999994</v>
      </c>
      <c r="G12" s="128"/>
      <c r="H12" s="119">
        <f>(C10*D62)+(C11*C62)+(C12*B62)</f>
        <v>8914901.1823500004</v>
      </c>
      <c r="I12" s="119">
        <f>(D11*C63)+(D12*B63)</f>
        <v>1386900.7232017</v>
      </c>
      <c r="J12" s="142">
        <f>SUM(H12:I12)</f>
        <v>10301801.9055517</v>
      </c>
      <c r="K12" s="119">
        <f>SUM('Sch 4.3'!F38:Q38)-SUM('Sch 4.3'!F44:Q44)</f>
        <v>1616339</v>
      </c>
      <c r="L12" s="117">
        <f t="shared" si="1"/>
        <v>8685462.9055516999</v>
      </c>
      <c r="M12" s="118">
        <f>M11+L12</f>
        <v>15510517.861926699</v>
      </c>
      <c r="N12" s="117" t="s">
        <v>194</v>
      </c>
      <c r="O12" s="117" t="s">
        <v>194</v>
      </c>
      <c r="P12" s="117" t="s">
        <v>194</v>
      </c>
      <c r="Q12" s="117">
        <f>+M12</f>
        <v>15510517.861926699</v>
      </c>
    </row>
    <row r="13" spans="1:18" x14ac:dyDescent="0.3">
      <c r="B13" s="116">
        <v>46357</v>
      </c>
      <c r="C13" s="119">
        <f>('Sch 2.0'!E12-'Sch 4.3'!R12)-('Sch 2.0'!E18-'Sch 4.3'!R18)</f>
        <v>34952793.459904388</v>
      </c>
      <c r="D13" s="119">
        <f>('Sch 2.0'!E13-'Sch 4.3'!R13)-('Sch 2.0'!E19-'Sch 4.3'!R19)</f>
        <v>-999678.73000000045</v>
      </c>
      <c r="E13" s="119">
        <f>('Sch 2.0'!E14-'Sch 4.3'!R14)-('Sch 2.0'!E20-'Sch 4.3'!R20)</f>
        <v>3577372.4999999981</v>
      </c>
      <c r="F13" s="119">
        <f t="shared" si="0"/>
        <v>37530487.229904383</v>
      </c>
      <c r="G13" s="128"/>
      <c r="H13" s="119">
        <f>(C10*E62)+(C11*D62)+(C12*C62)+(C13*B62)</f>
        <v>12006262.383610219</v>
      </c>
      <c r="I13" s="119">
        <f>(D11*D63)+(D12*C63)+(D13*B63)</f>
        <v>1278275.7327463997</v>
      </c>
      <c r="J13" s="142">
        <f>SUM(H13:I13)</f>
        <v>13284538.116356619</v>
      </c>
      <c r="K13" s="119">
        <f>'Sch 2.0'!E46-'Sch 4.3'!Q46</f>
        <v>3288734</v>
      </c>
      <c r="L13" s="117">
        <f t="shared" si="1"/>
        <v>9995804.1163566187</v>
      </c>
      <c r="M13" s="118">
        <f>M12+L13</f>
        <v>25506321.978283316</v>
      </c>
      <c r="N13" s="117" t="s">
        <v>194</v>
      </c>
      <c r="O13" s="117" t="s">
        <v>194</v>
      </c>
      <c r="P13" s="117" t="s">
        <v>194</v>
      </c>
      <c r="Q13" s="117">
        <f>+M13</f>
        <v>25506321.978283316</v>
      </c>
    </row>
    <row r="14" spans="1:18" x14ac:dyDescent="0.3">
      <c r="A14" t="s">
        <v>152</v>
      </c>
      <c r="B14" s="116">
        <v>46388</v>
      </c>
      <c r="C14" s="119">
        <f>'Sch 2.0'!F$12-'Sch 2.0'!F$18</f>
        <v>110722.36494352001</v>
      </c>
      <c r="D14" s="119">
        <f>'Sch 2.0'!F$13-'Sch 2.0'!F$19</f>
        <v>0</v>
      </c>
      <c r="E14" s="119">
        <f>'Sch 2.0'!F$14-'Sch 2.0'!F$20</f>
        <v>0</v>
      </c>
      <c r="F14" s="119">
        <f t="shared" si="0"/>
        <v>110722.36494352001</v>
      </c>
      <c r="G14" s="128"/>
      <c r="H14" s="119">
        <f>((C10*F62)+(C11*E62)+(C12*D62)+(C13*C62)+(C14*B62))/12</f>
        <v>1046556.8025367995</v>
      </c>
      <c r="I14" s="119">
        <f>((D11*E63)+(D12*D63)+(D13*C63)+(D14*B63))/12</f>
        <v>95421.241136441648</v>
      </c>
      <c r="J14" s="142">
        <f t="shared" ref="J14:J22" si="2">SUM(H14:I14)</f>
        <v>1141978.043673241</v>
      </c>
      <c r="K14" s="119">
        <f>'Sch 2.0'!F38-'Sch 2.0'!F44</f>
        <v>313905</v>
      </c>
      <c r="L14" s="117">
        <f t="shared" si="1"/>
        <v>828073.04367324105</v>
      </c>
      <c r="M14" s="118">
        <f>M13+L14</f>
        <v>26334395.021956556</v>
      </c>
      <c r="N14" s="117">
        <v>31</v>
      </c>
      <c r="O14" s="117">
        <f>365-SUM(N$14:N14)+1</f>
        <v>335</v>
      </c>
      <c r="P14" s="117">
        <f>+L14*O14/N$26</f>
        <v>760012.24556311162</v>
      </c>
      <c r="Q14" s="117">
        <f>+Q13+P14</f>
        <v>26266334.223846428</v>
      </c>
    </row>
    <row r="15" spans="1:18" x14ac:dyDescent="0.3">
      <c r="A15" t="s">
        <v>152</v>
      </c>
      <c r="B15" s="116">
        <v>46419</v>
      </c>
      <c r="C15" s="119">
        <f>'Sch 2.0'!G$12-'Sch 2.0'!G$18</f>
        <v>17850</v>
      </c>
      <c r="D15" s="119">
        <f>'Sch 2.0'!G$13-'Sch 2.0'!G$19</f>
        <v>0</v>
      </c>
      <c r="E15" s="119">
        <f>'Sch 2.0'!G$14-'Sch 2.0'!G$20</f>
        <v>0</v>
      </c>
      <c r="F15" s="119">
        <f t="shared" si="0"/>
        <v>17850</v>
      </c>
      <c r="G15" s="128"/>
      <c r="H15" s="119">
        <f>H14+(C15*B62)/11</f>
        <v>1046637.9389004358</v>
      </c>
      <c r="I15" s="119">
        <f>I14</f>
        <v>95421.241136441648</v>
      </c>
      <c r="J15" s="142">
        <f t="shared" si="2"/>
        <v>1142059.1800368775</v>
      </c>
      <c r="K15" s="119">
        <f>'Sch 2.0'!G38-'Sch 2.0'!G44</f>
        <v>314099</v>
      </c>
      <c r="L15" s="117">
        <f t="shared" si="1"/>
        <v>827960.18003687751</v>
      </c>
      <c r="M15" s="118">
        <f t="shared" ref="M15:M25" si="3">M14+L15</f>
        <v>27162355.201993432</v>
      </c>
      <c r="N15" s="143">
        <v>28</v>
      </c>
      <c r="O15" s="117">
        <f>365-SUM(N$14:N15)+1</f>
        <v>307</v>
      </c>
      <c r="P15" s="117">
        <f t="shared" ref="P15:P25" si="4">+L15*O15/N$26</f>
        <v>696393.90485293535</v>
      </c>
      <c r="Q15" s="117">
        <f>+Q14+P15</f>
        <v>26962728.128699362</v>
      </c>
    </row>
    <row r="16" spans="1:18" x14ac:dyDescent="0.3">
      <c r="A16" t="s">
        <v>152</v>
      </c>
      <c r="B16" s="116">
        <v>46447</v>
      </c>
      <c r="C16" s="119">
        <f>'Sch 2.0'!H$12-'Sch 2.0'!H$18</f>
        <v>11900</v>
      </c>
      <c r="D16" s="119">
        <f>'Sch 2.0'!H$13-'Sch 2.0'!H$19</f>
        <v>0</v>
      </c>
      <c r="E16" s="119">
        <f>'Sch 2.0'!H$14-'Sch 2.0'!H$20</f>
        <v>0</v>
      </c>
      <c r="F16" s="119">
        <f t="shared" si="0"/>
        <v>11900</v>
      </c>
      <c r="G16" s="128"/>
      <c r="H16" s="119">
        <f>H15+(C16*B62)/10</f>
        <v>1046697.4389004358</v>
      </c>
      <c r="I16" s="119">
        <f t="shared" ref="I16:I22" si="5">I15</f>
        <v>95421.241136441648</v>
      </c>
      <c r="J16" s="142">
        <f t="shared" si="2"/>
        <v>1142118.6800368775</v>
      </c>
      <c r="K16" s="119">
        <f>'Sch 2.0'!H38-'Sch 2.0'!H44</f>
        <v>314130</v>
      </c>
      <c r="L16" s="117">
        <f t="shared" si="1"/>
        <v>827988.68003687751</v>
      </c>
      <c r="M16" s="118">
        <f t="shared" si="3"/>
        <v>27990343.882030308</v>
      </c>
      <c r="N16" s="117">
        <v>31</v>
      </c>
      <c r="O16" s="117">
        <f>365-SUM(N$14:N16)+1</f>
        <v>276</v>
      </c>
      <c r="P16" s="117">
        <f t="shared" si="4"/>
        <v>626095.54983610462</v>
      </c>
      <c r="Q16" s="117">
        <f t="shared" ref="Q16:Q24" si="6">+Q15+P16</f>
        <v>27588823.678535465</v>
      </c>
    </row>
    <row r="17" spans="1:18" x14ac:dyDescent="0.3">
      <c r="A17" t="s">
        <v>152</v>
      </c>
      <c r="B17" s="116">
        <v>46478</v>
      </c>
      <c r="C17" s="119">
        <f>'Sch 2.0'!I$12-'Sch 2.0'!I$18</f>
        <v>11900</v>
      </c>
      <c r="D17" s="119">
        <f>'Sch 2.0'!I$13-'Sch 2.0'!I$19</f>
        <v>0</v>
      </c>
      <c r="E17" s="119">
        <f>'Sch 2.0'!I$14-'Sch 2.0'!I$20</f>
        <v>0</v>
      </c>
      <c r="F17" s="119">
        <f t="shared" si="0"/>
        <v>11900</v>
      </c>
      <c r="G17" s="128"/>
      <c r="H17" s="119">
        <f>H16+(C17*B62)/9</f>
        <v>1046763.5500115469</v>
      </c>
      <c r="I17" s="119">
        <f t="shared" si="5"/>
        <v>95421.241136441648</v>
      </c>
      <c r="J17" s="142">
        <f t="shared" si="2"/>
        <v>1142184.7911479885</v>
      </c>
      <c r="K17" s="119">
        <f>'Sch 2.0'!I38-'Sch 2.0'!I44</f>
        <v>314151</v>
      </c>
      <c r="L17" s="117">
        <f t="shared" si="1"/>
        <v>828033.79114798852</v>
      </c>
      <c r="M17" s="118">
        <f t="shared" si="3"/>
        <v>28818377.673178297</v>
      </c>
      <c r="N17" s="117">
        <v>30</v>
      </c>
      <c r="O17" s="117">
        <f>365-SUM(N$14:N17)+1</f>
        <v>246</v>
      </c>
      <c r="P17" s="117">
        <f t="shared" si="4"/>
        <v>558072.0893764525</v>
      </c>
      <c r="Q17" s="117">
        <f t="shared" si="6"/>
        <v>28146895.767911918</v>
      </c>
    </row>
    <row r="18" spans="1:18" x14ac:dyDescent="0.3">
      <c r="A18" t="s">
        <v>152</v>
      </c>
      <c r="B18" s="116">
        <v>46508</v>
      </c>
      <c r="C18" s="119">
        <f>'Sch 2.0'!J$12-'Sch 2.0'!J$18</f>
        <v>11900</v>
      </c>
      <c r="D18" s="119">
        <f>'Sch 2.0'!J$13-'Sch 2.0'!J$19</f>
        <v>0</v>
      </c>
      <c r="E18" s="119">
        <f>'Sch 2.0'!J$14-'Sch 2.0'!J$20</f>
        <v>0</v>
      </c>
      <c r="F18" s="119">
        <f t="shared" si="0"/>
        <v>11900</v>
      </c>
      <c r="G18" s="128"/>
      <c r="H18" s="119">
        <f>H17+(C18*B62)/8</f>
        <v>1046837.9250115469</v>
      </c>
      <c r="I18" s="119">
        <f t="shared" si="5"/>
        <v>95421.241136441648</v>
      </c>
      <c r="J18" s="142">
        <f t="shared" si="2"/>
        <v>1142259.1661479885</v>
      </c>
      <c r="K18" s="119">
        <f>'Sch 2.0'!J38-'Sch 2.0'!J44</f>
        <v>314172</v>
      </c>
      <c r="L18" s="117">
        <f t="shared" si="1"/>
        <v>828087.16614798852</v>
      </c>
      <c r="M18" s="118">
        <f t="shared" si="3"/>
        <v>29646464.839326285</v>
      </c>
      <c r="N18" s="117">
        <v>31</v>
      </c>
      <c r="O18" s="117">
        <f>365-SUM(N$14:N18)+1</f>
        <v>215</v>
      </c>
      <c r="P18" s="117">
        <f t="shared" si="4"/>
        <v>487777.37184059597</v>
      </c>
      <c r="Q18" s="117">
        <f t="shared" si="6"/>
        <v>28634673.139752515</v>
      </c>
    </row>
    <row r="19" spans="1:18" x14ac:dyDescent="0.3">
      <c r="A19" t="s">
        <v>152</v>
      </c>
      <c r="B19" s="116">
        <v>46539</v>
      </c>
      <c r="C19" s="119">
        <f>'Sch 2.0'!K$12-'Sch 2.0'!K$18</f>
        <v>11900</v>
      </c>
      <c r="D19" s="119">
        <f>'Sch 2.0'!K$13-'Sch 2.0'!K$19</f>
        <v>0</v>
      </c>
      <c r="E19" s="119">
        <f>'Sch 2.0'!K$14-'Sch 2.0'!K$20</f>
        <v>0</v>
      </c>
      <c r="F19" s="119">
        <f t="shared" si="0"/>
        <v>11900</v>
      </c>
      <c r="G19" s="128"/>
      <c r="H19" s="119">
        <f>H18+(C19*B62)/7</f>
        <v>1046922.9250115469</v>
      </c>
      <c r="I19" s="119">
        <f t="shared" si="5"/>
        <v>95421.241136441648</v>
      </c>
      <c r="J19" s="142">
        <f t="shared" si="2"/>
        <v>1142344.1661479885</v>
      </c>
      <c r="K19" s="119">
        <f>'Sch 2.0'!K38-'Sch 2.0'!K44</f>
        <v>314193</v>
      </c>
      <c r="L19" s="117">
        <f t="shared" si="1"/>
        <v>828151.16614798852</v>
      </c>
      <c r="M19" s="118">
        <f t="shared" si="3"/>
        <v>30474616.005474273</v>
      </c>
      <c r="N19" s="117">
        <v>30</v>
      </c>
      <c r="O19" s="117">
        <f>365-SUM(N$14:N19)+1</f>
        <v>185</v>
      </c>
      <c r="P19" s="117">
        <f t="shared" si="4"/>
        <v>419747.85133528186</v>
      </c>
      <c r="Q19" s="117">
        <f t="shared" si="6"/>
        <v>29054420.991087798</v>
      </c>
    </row>
    <row r="20" spans="1:18" x14ac:dyDescent="0.3">
      <c r="A20" t="s">
        <v>152</v>
      </c>
      <c r="B20" s="116">
        <v>46569</v>
      </c>
      <c r="C20" s="119">
        <f>'Sch 2.0'!L$12-'Sch 2.0'!L$18</f>
        <v>0</v>
      </c>
      <c r="D20" s="119">
        <f>'Sch 2.0'!L$13-'Sch 2.0'!L$19</f>
        <v>0</v>
      </c>
      <c r="E20" s="119">
        <f>'Sch 2.0'!L$14-'Sch 2.0'!L$20</f>
        <v>0</v>
      </c>
      <c r="F20" s="119">
        <f t="shared" si="0"/>
        <v>0</v>
      </c>
      <c r="G20" s="128"/>
      <c r="H20" s="119">
        <f>H19+(C20*B62)/6</f>
        <v>1046922.9250115469</v>
      </c>
      <c r="I20" s="119">
        <f t="shared" si="5"/>
        <v>95421.241136441648</v>
      </c>
      <c r="J20" s="142">
        <f t="shared" si="2"/>
        <v>1142344.1661479885</v>
      </c>
      <c r="K20" s="119">
        <f>'Sch 2.0'!L38-'Sch 2.0'!L44</f>
        <v>314214</v>
      </c>
      <c r="L20" s="117">
        <f t="shared" si="1"/>
        <v>828130.16614798852</v>
      </c>
      <c r="M20" s="118">
        <f t="shared" si="3"/>
        <v>31302746.171622261</v>
      </c>
      <c r="N20" s="117">
        <v>31</v>
      </c>
      <c r="O20" s="117">
        <f>365-SUM(N$14:N20)+1</f>
        <v>154</v>
      </c>
      <c r="P20" s="117">
        <f t="shared" si="4"/>
        <v>349402.86462134309</v>
      </c>
      <c r="Q20" s="117">
        <f t="shared" si="6"/>
        <v>29403823.855709143</v>
      </c>
    </row>
    <row r="21" spans="1:18" x14ac:dyDescent="0.3">
      <c r="A21" t="s">
        <v>152</v>
      </c>
      <c r="B21" s="116">
        <v>46600</v>
      </c>
      <c r="C21" s="119">
        <f>'Sch 2.0'!M$12-'Sch 2.0'!M$18</f>
        <v>0</v>
      </c>
      <c r="D21" s="119">
        <f>'Sch 2.0'!M$13-'Sch 2.0'!M$19</f>
        <v>0</v>
      </c>
      <c r="E21" s="119">
        <f>'Sch 2.0'!M$14-'Sch 2.0'!M$20</f>
        <v>0</v>
      </c>
      <c r="F21" s="119">
        <f t="shared" si="0"/>
        <v>0</v>
      </c>
      <c r="G21" s="128"/>
      <c r="H21" s="119">
        <f>H20+(C21*B62)/5</f>
        <v>1046922.9250115469</v>
      </c>
      <c r="I21" s="119">
        <f t="shared" si="5"/>
        <v>95421.241136441648</v>
      </c>
      <c r="J21" s="142">
        <f t="shared" si="2"/>
        <v>1142344.1661479885</v>
      </c>
      <c r="K21" s="119">
        <f>'Sch 2.0'!M38-'Sch 2.0'!M44</f>
        <v>314214</v>
      </c>
      <c r="L21" s="117">
        <f t="shared" si="1"/>
        <v>828130.16614798852</v>
      </c>
      <c r="M21" s="118">
        <f t="shared" si="3"/>
        <v>32130876.33777025</v>
      </c>
      <c r="N21" s="117">
        <v>31</v>
      </c>
      <c r="O21" s="117">
        <f>365-SUM(N$14:N21)+1</f>
        <v>123</v>
      </c>
      <c r="P21" s="117">
        <f t="shared" si="4"/>
        <v>279068.5217430208</v>
      </c>
      <c r="Q21" s="117">
        <f t="shared" si="6"/>
        <v>29682892.377452165</v>
      </c>
    </row>
    <row r="22" spans="1:18" x14ac:dyDescent="0.3">
      <c r="A22" t="s">
        <v>152</v>
      </c>
      <c r="B22" s="116">
        <v>46631</v>
      </c>
      <c r="C22" s="119">
        <f>'Sch 2.0'!N$12-'Sch 2.0'!N$18</f>
        <v>0</v>
      </c>
      <c r="D22" s="119">
        <f>'Sch 2.0'!N$13-'Sch 2.0'!N$19</f>
        <v>0</v>
      </c>
      <c r="E22" s="119">
        <f>'Sch 2.0'!N$14-'Sch 2.0'!N$20</f>
        <v>0</v>
      </c>
      <c r="F22" s="119">
        <f t="shared" si="0"/>
        <v>0</v>
      </c>
      <c r="G22" s="128"/>
      <c r="H22" s="119">
        <f>H21+(C22*B62)/4</f>
        <v>1046922.9250115469</v>
      </c>
      <c r="I22" s="119">
        <f t="shared" si="5"/>
        <v>95421.241136441648</v>
      </c>
      <c r="J22" s="142">
        <f t="shared" si="2"/>
        <v>1142344.1661479885</v>
      </c>
      <c r="K22" s="119">
        <f>'Sch 2.0'!N38-'Sch 2.0'!N44</f>
        <v>314214</v>
      </c>
      <c r="L22" s="117">
        <f t="shared" si="1"/>
        <v>828130.16614798852</v>
      </c>
      <c r="M22" s="118">
        <f t="shared" si="3"/>
        <v>32959006.503918238</v>
      </c>
      <c r="N22" s="117">
        <v>30</v>
      </c>
      <c r="O22" s="117">
        <f>365-SUM(N$14:N22)+1</f>
        <v>93</v>
      </c>
      <c r="P22" s="117">
        <f>+L22*O22/N$26</f>
        <v>211003.02863496693</v>
      </c>
      <c r="Q22" s="117">
        <f t="shared" si="6"/>
        <v>29893895.40608713</v>
      </c>
    </row>
    <row r="23" spans="1:18" x14ac:dyDescent="0.3">
      <c r="A23" t="s">
        <v>152</v>
      </c>
      <c r="B23" s="116">
        <v>46661</v>
      </c>
      <c r="C23" s="119">
        <f>'Sch 2.0'!O$12-'Sch 2.0'!O$18</f>
        <v>24403206.461362988</v>
      </c>
      <c r="D23" s="119">
        <f>'Sch 2.0'!O$13-'Sch 2.0'!O$19</f>
        <v>0</v>
      </c>
      <c r="E23" s="119">
        <f>'Sch 2.0'!O$14-'Sch 2.0'!O$20</f>
        <v>3488697</v>
      </c>
      <c r="F23" s="119">
        <f>SUM(C23:E23)</f>
        <v>27891903.461362988</v>
      </c>
      <c r="G23" s="128"/>
      <c r="H23" s="119">
        <f>H22+((C23*B62)/3)</f>
        <v>1453643.03270093</v>
      </c>
      <c r="I23" s="119">
        <f>I22+((D23*B63)/3)</f>
        <v>95421.241136441648</v>
      </c>
      <c r="J23" s="119">
        <f>H23+I23</f>
        <v>1549064.2738373717</v>
      </c>
      <c r="K23" s="119">
        <f>'Sch 2.0'!O38-'Sch 2.0'!O44</f>
        <v>314214</v>
      </c>
      <c r="L23" s="117">
        <f>J23-K23</f>
        <v>1234850.2738373717</v>
      </c>
      <c r="M23" s="118">
        <f t="shared" si="3"/>
        <v>34193856.777755611</v>
      </c>
      <c r="N23" s="117">
        <v>31</v>
      </c>
      <c r="O23" s="117">
        <f>365-SUM(N$14:N23)+1</f>
        <v>62</v>
      </c>
      <c r="P23" s="117">
        <f t="shared" si="4"/>
        <v>209755.38898059464</v>
      </c>
      <c r="Q23" s="117">
        <f t="shared" si="6"/>
        <v>30103650.795067724</v>
      </c>
    </row>
    <row r="24" spans="1:18" x14ac:dyDescent="0.3">
      <c r="A24" t="s">
        <v>152</v>
      </c>
      <c r="B24" s="116">
        <v>46692</v>
      </c>
      <c r="C24" s="119">
        <f>'Sch 2.0'!P$12-'Sch 2.0'!P$18</f>
        <v>938903.46100605</v>
      </c>
      <c r="D24" s="119">
        <f>'Sch 2.0'!P$13-'Sch 2.0'!P$19</f>
        <v>0</v>
      </c>
      <c r="E24" s="119">
        <f>'Sch 2.0'!P$14-'Sch 2.0'!P$20</f>
        <v>0</v>
      </c>
      <c r="F24" s="119">
        <f>SUM(C24:E24)</f>
        <v>938903.46100605</v>
      </c>
      <c r="G24" s="128"/>
      <c r="H24" s="119">
        <f>H23+((C24*B62)/2)</f>
        <v>1477115.6192260813</v>
      </c>
      <c r="I24" s="119">
        <f>I23+((D24*B63)/2)</f>
        <v>95421.241136441648</v>
      </c>
      <c r="J24" s="119">
        <f>H24+I24</f>
        <v>1572536.860362523</v>
      </c>
      <c r="K24" s="119">
        <f>'Sch 2.0'!P38-'Sch 2.0'!P44</f>
        <v>356919</v>
      </c>
      <c r="L24" s="117">
        <f>J24-K24</f>
        <v>1215617.860362523</v>
      </c>
      <c r="M24" s="118">
        <f t="shared" si="3"/>
        <v>35409474.638118133</v>
      </c>
      <c r="N24" s="117">
        <v>30</v>
      </c>
      <c r="O24" s="117">
        <f>365-SUM(N$14:N24)+1</f>
        <v>32</v>
      </c>
      <c r="P24" s="117">
        <f t="shared" si="4"/>
        <v>106574.71652493352</v>
      </c>
      <c r="Q24" s="117">
        <f t="shared" si="6"/>
        <v>30210225.511592656</v>
      </c>
    </row>
    <row r="25" spans="1:18" x14ac:dyDescent="0.3">
      <c r="A25" t="s">
        <v>152</v>
      </c>
      <c r="B25" s="116">
        <v>46722</v>
      </c>
      <c r="C25" s="120">
        <f>'Sch 2.0'!Q$12-'Sch 2.0'!Q$18</f>
        <v>578340.66336930997</v>
      </c>
      <c r="D25" s="120">
        <f>'Sch 2.0'!Q$13-'Sch 2.0'!Q$19</f>
        <v>0</v>
      </c>
      <c r="E25" s="120">
        <f>'Sch 2.0'!Q$14-'Sch 2.0'!Q$20</f>
        <v>0</v>
      </c>
      <c r="F25" s="120">
        <f>SUM(C25:E25)</f>
        <v>578340.66336930997</v>
      </c>
      <c r="G25" s="128"/>
      <c r="H25" s="120">
        <f>H24+((C25*B62))</f>
        <v>1506032.6523945469</v>
      </c>
      <c r="I25" s="120">
        <f>I24+((D25*B63))</f>
        <v>95421.241136441648</v>
      </c>
      <c r="J25" s="120">
        <f>H25+I25</f>
        <v>1601453.8935309886</v>
      </c>
      <c r="K25" s="120">
        <f>'Sch 2.0'!Q38-'Sch 2.0'!Q44</f>
        <v>358562</v>
      </c>
      <c r="L25" s="144">
        <f>J25-K25</f>
        <v>1242891.8935309886</v>
      </c>
      <c r="M25" s="118">
        <f t="shared" si="3"/>
        <v>36652366.53164912</v>
      </c>
      <c r="N25" s="117">
        <v>31</v>
      </c>
      <c r="O25" s="117">
        <f>365-SUM(N$14:N25)+1</f>
        <v>1</v>
      </c>
      <c r="P25" s="117">
        <f t="shared" si="4"/>
        <v>3405.1832699479141</v>
      </c>
      <c r="Q25" s="132">
        <f>+Q24+P25</f>
        <v>30213630.694862604</v>
      </c>
    </row>
    <row r="26" spans="1:18" ht="15" thickBot="1" x14ac:dyDescent="0.35">
      <c r="B26" s="6" t="s">
        <v>20</v>
      </c>
      <c r="C26" s="145">
        <f>SUM(C10:C25)</f>
        <v>178672291.77058625</v>
      </c>
      <c r="D26" s="145">
        <f>SUM(D10:D25)</f>
        <v>18634829.07</v>
      </c>
      <c r="E26" s="145">
        <f>SUM(E10:E25)</f>
        <v>19217784.139999997</v>
      </c>
      <c r="F26" s="145">
        <f>SUM(F10:F25)</f>
        <v>216524904.98058626</v>
      </c>
      <c r="G26" s="146"/>
      <c r="H26" s="145">
        <f>SUM(H10:H25)</f>
        <v>40900887.297188729</v>
      </c>
      <c r="I26" s="145">
        <f>SUM(I10:I25)</f>
        <v>4513539.2344603995</v>
      </c>
      <c r="J26" s="145">
        <f>SUM(J10:J25)</f>
        <v>45414426.531649143</v>
      </c>
      <c r="K26" s="145">
        <f>SUM(K10:K25)</f>
        <v>8762060</v>
      </c>
      <c r="L26" s="145">
        <f>SUM(L10:L25)</f>
        <v>36652366.53164912</v>
      </c>
      <c r="M26" s="123"/>
      <c r="N26" s="124">
        <f>SUM(N14:N25)</f>
        <v>365</v>
      </c>
      <c r="O26" s="117"/>
      <c r="P26" s="122">
        <f>SUM(P14:P25)</f>
        <v>4707308.7165792882</v>
      </c>
      <c r="Q26" s="3"/>
    </row>
    <row r="27" spans="1:18" ht="15" thickTop="1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123"/>
      <c r="M27" s="123"/>
      <c r="N27" s="123"/>
      <c r="O27" s="117"/>
      <c r="P27" s="123"/>
      <c r="Q27" s="3"/>
    </row>
    <row r="28" spans="1:18" x14ac:dyDescent="0.3">
      <c r="C28" s="130" t="s">
        <v>137</v>
      </c>
      <c r="D28" s="130" t="s">
        <v>137</v>
      </c>
      <c r="E28" s="130" t="s">
        <v>137</v>
      </c>
      <c r="F28" s="130" t="s">
        <v>137</v>
      </c>
      <c r="K28" s="130" t="s">
        <v>137</v>
      </c>
      <c r="P28" t="s">
        <v>153</v>
      </c>
      <c r="Q28" s="12">
        <v>0.24925</v>
      </c>
    </row>
    <row r="29" spans="1:18" ht="15" thickBot="1" x14ac:dyDescent="0.35"/>
    <row r="30" spans="1:18" ht="15" thickBot="1" x14ac:dyDescent="0.35">
      <c r="P30" s="7" t="s">
        <v>154</v>
      </c>
      <c r="Q30" s="125">
        <f>Q25*Q28</f>
        <v>7530747.4506945042</v>
      </c>
      <c r="R30" t="s">
        <v>208</v>
      </c>
    </row>
    <row r="31" spans="1:18" x14ac:dyDescent="0.3">
      <c r="F31" s="150"/>
      <c r="H31" s="2"/>
      <c r="I31" s="2"/>
      <c r="J31" s="2"/>
      <c r="Q31" s="4"/>
    </row>
    <row r="32" spans="1:18" ht="57.6" x14ac:dyDescent="0.3">
      <c r="K32" s="115" t="s">
        <v>56</v>
      </c>
      <c r="L32" s="126" t="s">
        <v>198</v>
      </c>
      <c r="M32" s="126" t="s">
        <v>169</v>
      </c>
      <c r="N32" s="126" t="s">
        <v>158</v>
      </c>
      <c r="O32" s="126" t="s">
        <v>159</v>
      </c>
      <c r="P32" s="126" t="s">
        <v>173</v>
      </c>
      <c r="Q32" s="126" t="s">
        <v>174</v>
      </c>
    </row>
    <row r="33" spans="10:17" x14ac:dyDescent="0.3">
      <c r="K33" s="116">
        <v>45261</v>
      </c>
      <c r="L33" s="117">
        <v>125221</v>
      </c>
      <c r="M33" s="118">
        <f>L33</f>
        <v>125221</v>
      </c>
      <c r="N33" s="117" t="s">
        <v>194</v>
      </c>
      <c r="O33" s="117" t="s">
        <v>194</v>
      </c>
      <c r="P33" s="117" t="s">
        <v>194</v>
      </c>
      <c r="Q33" s="117">
        <f>M33</f>
        <v>125221</v>
      </c>
    </row>
    <row r="34" spans="10:17" x14ac:dyDescent="0.3">
      <c r="K34" s="116">
        <v>45627</v>
      </c>
      <c r="L34" s="142">
        <v>1459475.27</v>
      </c>
      <c r="M34" s="118">
        <f>M33+L34</f>
        <v>1584696.27</v>
      </c>
      <c r="N34" s="117" t="s">
        <v>194</v>
      </c>
      <c r="O34" s="117" t="s">
        <v>194</v>
      </c>
      <c r="P34" s="117" t="s">
        <v>194</v>
      </c>
      <c r="Q34" s="147">
        <f>M34</f>
        <v>1584696.27</v>
      </c>
    </row>
    <row r="35" spans="10:17" x14ac:dyDescent="0.3">
      <c r="K35" s="116">
        <v>45992</v>
      </c>
      <c r="L35" s="142">
        <f>SUM('Sch 4.3'!F27:Q27)</f>
        <v>1343240.16</v>
      </c>
      <c r="M35" s="118">
        <f>M34+L35</f>
        <v>2927936.4299999997</v>
      </c>
      <c r="N35" s="117" t="s">
        <v>194</v>
      </c>
      <c r="O35" s="117" t="s">
        <v>194</v>
      </c>
      <c r="P35" s="117" t="s">
        <v>194</v>
      </c>
      <c r="Q35" s="147">
        <f>M35</f>
        <v>2927936.4299999997</v>
      </c>
    </row>
    <row r="36" spans="10:17" x14ac:dyDescent="0.3">
      <c r="K36" s="116">
        <v>46357</v>
      </c>
      <c r="L36" s="142">
        <f>'Sch 2.0'!E27-'Sch 4.3'!R27</f>
        <v>1126286.6900000004</v>
      </c>
      <c r="M36" s="118">
        <f>M35+L36</f>
        <v>4054223.12</v>
      </c>
      <c r="N36" s="117" t="s">
        <v>194</v>
      </c>
      <c r="O36" s="117" t="s">
        <v>194</v>
      </c>
      <c r="P36" s="117" t="s">
        <v>194</v>
      </c>
      <c r="Q36" s="147">
        <f>M36</f>
        <v>4054223.12</v>
      </c>
    </row>
    <row r="37" spans="10:17" x14ac:dyDescent="0.3">
      <c r="J37" t="s">
        <v>152</v>
      </c>
      <c r="K37" s="116">
        <v>46388</v>
      </c>
      <c r="L37" s="117">
        <f>'Sch 2.0'!F$27</f>
        <v>0</v>
      </c>
      <c r="M37" s="118">
        <f>M35+L37</f>
        <v>2927936.4299999997</v>
      </c>
      <c r="N37" s="117">
        <v>31</v>
      </c>
      <c r="O37" s="117">
        <f>365-SUM(N$37:N37)+1</f>
        <v>335</v>
      </c>
      <c r="P37" s="117">
        <f>+L37*O37/N$26</f>
        <v>0</v>
      </c>
      <c r="Q37" s="147">
        <f>Q36+P37</f>
        <v>4054223.12</v>
      </c>
    </row>
    <row r="38" spans="10:17" x14ac:dyDescent="0.3">
      <c r="J38" t="s">
        <v>152</v>
      </c>
      <c r="K38" s="116">
        <v>46419</v>
      </c>
      <c r="L38" s="117">
        <f>'Sch 2.0'!G$27</f>
        <v>0</v>
      </c>
      <c r="M38" s="118">
        <f t="shared" ref="M38:M48" si="7">M37+L38</f>
        <v>2927936.4299999997</v>
      </c>
      <c r="N38" s="143">
        <v>28</v>
      </c>
      <c r="O38" s="117">
        <f>365-SUM(N$37:N38)+1</f>
        <v>307</v>
      </c>
      <c r="P38" s="117">
        <f t="shared" ref="P38:P48" si="8">+L38*O38/N$26</f>
        <v>0</v>
      </c>
      <c r="Q38" s="147">
        <f t="shared" ref="Q38:Q48" si="9">Q37+P38</f>
        <v>4054223.12</v>
      </c>
    </row>
    <row r="39" spans="10:17" x14ac:dyDescent="0.3">
      <c r="J39" t="s">
        <v>152</v>
      </c>
      <c r="K39" s="116">
        <v>46447</v>
      </c>
      <c r="L39" s="117">
        <f>'Sch 2.0'!H$27</f>
        <v>0</v>
      </c>
      <c r="M39" s="118">
        <f t="shared" si="7"/>
        <v>2927936.4299999997</v>
      </c>
      <c r="N39" s="117">
        <v>31</v>
      </c>
      <c r="O39" s="117">
        <f>365-SUM(N$37:N39)+1</f>
        <v>276</v>
      </c>
      <c r="P39" s="117">
        <f t="shared" si="8"/>
        <v>0</v>
      </c>
      <c r="Q39" s="147">
        <f t="shared" si="9"/>
        <v>4054223.12</v>
      </c>
    </row>
    <row r="40" spans="10:17" x14ac:dyDescent="0.3">
      <c r="J40" t="s">
        <v>152</v>
      </c>
      <c r="K40" s="116">
        <v>46478</v>
      </c>
      <c r="L40" s="117">
        <f>'Sch 2.0'!I$27</f>
        <v>0</v>
      </c>
      <c r="M40" s="118">
        <f t="shared" si="7"/>
        <v>2927936.4299999997</v>
      </c>
      <c r="N40" s="117">
        <v>30</v>
      </c>
      <c r="O40" s="117">
        <f>365-SUM(N$37:N40)+1</f>
        <v>246</v>
      </c>
      <c r="P40" s="117">
        <f t="shared" si="8"/>
        <v>0</v>
      </c>
      <c r="Q40" s="147">
        <f t="shared" si="9"/>
        <v>4054223.12</v>
      </c>
    </row>
    <row r="41" spans="10:17" x14ac:dyDescent="0.3">
      <c r="J41" t="s">
        <v>152</v>
      </c>
      <c r="K41" s="116">
        <v>46508</v>
      </c>
      <c r="L41" s="117">
        <f>'Sch 2.0'!J$27</f>
        <v>0</v>
      </c>
      <c r="M41" s="118">
        <f t="shared" si="7"/>
        <v>2927936.4299999997</v>
      </c>
      <c r="N41" s="117">
        <v>31</v>
      </c>
      <c r="O41" s="117">
        <f>365-SUM(N$37:N41)+1</f>
        <v>215</v>
      </c>
      <c r="P41" s="117">
        <f t="shared" si="8"/>
        <v>0</v>
      </c>
      <c r="Q41" s="147">
        <f t="shared" si="9"/>
        <v>4054223.12</v>
      </c>
    </row>
    <row r="42" spans="10:17" x14ac:dyDescent="0.3">
      <c r="J42" t="s">
        <v>152</v>
      </c>
      <c r="K42" s="116">
        <v>46539</v>
      </c>
      <c r="L42" s="117">
        <f>'Sch 2.0'!K$27</f>
        <v>0</v>
      </c>
      <c r="M42" s="118">
        <f t="shared" si="7"/>
        <v>2927936.4299999997</v>
      </c>
      <c r="N42" s="117">
        <v>30</v>
      </c>
      <c r="O42" s="117">
        <f>365-SUM(N$37:N42)+1</f>
        <v>185</v>
      </c>
      <c r="P42" s="117">
        <f t="shared" si="8"/>
        <v>0</v>
      </c>
      <c r="Q42" s="147">
        <f t="shared" si="9"/>
        <v>4054223.12</v>
      </c>
    </row>
    <row r="43" spans="10:17" x14ac:dyDescent="0.3">
      <c r="J43" t="s">
        <v>152</v>
      </c>
      <c r="K43" s="116">
        <v>46569</v>
      </c>
      <c r="L43" s="117">
        <f>'Sch 2.0'!L$27</f>
        <v>0</v>
      </c>
      <c r="M43" s="118">
        <f t="shared" si="7"/>
        <v>2927936.4299999997</v>
      </c>
      <c r="N43" s="117">
        <v>31</v>
      </c>
      <c r="O43" s="117">
        <f>365-SUM(N$37:N43)+1</f>
        <v>154</v>
      </c>
      <c r="P43" s="117">
        <f t="shared" si="8"/>
        <v>0</v>
      </c>
      <c r="Q43" s="147">
        <f t="shared" si="9"/>
        <v>4054223.12</v>
      </c>
    </row>
    <row r="44" spans="10:17" x14ac:dyDescent="0.3">
      <c r="J44" t="s">
        <v>152</v>
      </c>
      <c r="K44" s="116">
        <v>46600</v>
      </c>
      <c r="L44" s="117">
        <f>'Sch 2.0'!M$27</f>
        <v>0</v>
      </c>
      <c r="M44" s="118">
        <f t="shared" si="7"/>
        <v>2927936.4299999997</v>
      </c>
      <c r="N44" s="117">
        <v>31</v>
      </c>
      <c r="O44" s="117">
        <f>365-SUM(N$37:N44)+1</f>
        <v>123</v>
      </c>
      <c r="P44" s="117">
        <f t="shared" si="8"/>
        <v>0</v>
      </c>
      <c r="Q44" s="147">
        <f t="shared" si="9"/>
        <v>4054223.12</v>
      </c>
    </row>
    <row r="45" spans="10:17" x14ac:dyDescent="0.3">
      <c r="J45" t="s">
        <v>152</v>
      </c>
      <c r="K45" s="116">
        <v>46631</v>
      </c>
      <c r="L45" s="117">
        <f>'Sch 2.0'!N$27</f>
        <v>0</v>
      </c>
      <c r="M45" s="118">
        <f t="shared" si="7"/>
        <v>2927936.4299999997</v>
      </c>
      <c r="N45" s="117">
        <v>30</v>
      </c>
      <c r="O45" s="117">
        <f>365-SUM(N$37:N45)+1</f>
        <v>93</v>
      </c>
      <c r="P45" s="117">
        <f t="shared" si="8"/>
        <v>0</v>
      </c>
      <c r="Q45" s="147">
        <f t="shared" si="9"/>
        <v>4054223.12</v>
      </c>
    </row>
    <row r="46" spans="10:17" x14ac:dyDescent="0.3">
      <c r="J46" t="s">
        <v>152</v>
      </c>
      <c r="K46" s="116">
        <v>46661</v>
      </c>
      <c r="L46" s="117">
        <f>'Sch 2.0'!O$27</f>
        <v>344805.1</v>
      </c>
      <c r="M46" s="118">
        <f t="shared" si="7"/>
        <v>3272741.53</v>
      </c>
      <c r="N46" s="117">
        <v>31</v>
      </c>
      <c r="O46" s="117">
        <f>365-SUM(N$37:N46)+1</f>
        <v>62</v>
      </c>
      <c r="P46" s="117">
        <f t="shared" si="8"/>
        <v>58569.633424657535</v>
      </c>
      <c r="Q46" s="147">
        <f t="shared" si="9"/>
        <v>4112792.7534246575</v>
      </c>
    </row>
    <row r="47" spans="10:17" x14ac:dyDescent="0.3">
      <c r="J47" t="s">
        <v>152</v>
      </c>
      <c r="K47" s="116">
        <v>46692</v>
      </c>
      <c r="L47" s="117">
        <f>'Sch 2.0'!P$27</f>
        <v>0</v>
      </c>
      <c r="M47" s="118">
        <f t="shared" si="7"/>
        <v>3272741.53</v>
      </c>
      <c r="N47" s="117">
        <v>30</v>
      </c>
      <c r="O47" s="117">
        <f>365-SUM(N$37:N47)+1</f>
        <v>32</v>
      </c>
      <c r="P47" s="117">
        <f t="shared" si="8"/>
        <v>0</v>
      </c>
      <c r="Q47" s="147">
        <f t="shared" si="9"/>
        <v>4112792.7534246575</v>
      </c>
    </row>
    <row r="48" spans="10:17" x14ac:dyDescent="0.3">
      <c r="J48" t="s">
        <v>152</v>
      </c>
      <c r="K48" s="116">
        <v>46722</v>
      </c>
      <c r="L48" s="117">
        <f>'Sch 2.0'!Q$27</f>
        <v>0</v>
      </c>
      <c r="M48" s="118">
        <f t="shared" si="7"/>
        <v>3272741.53</v>
      </c>
      <c r="N48" s="117">
        <v>31</v>
      </c>
      <c r="O48" s="117">
        <f>365-SUM(N$37:N48)+1</f>
        <v>1</v>
      </c>
      <c r="P48" s="117">
        <f t="shared" si="8"/>
        <v>0</v>
      </c>
      <c r="Q48" s="132">
        <f t="shared" si="9"/>
        <v>4112792.7534246575</v>
      </c>
    </row>
    <row r="49" spans="1:22" ht="15" thickBot="1" x14ac:dyDescent="0.35">
      <c r="K49" s="6" t="s">
        <v>20</v>
      </c>
      <c r="L49" s="122">
        <f>SUM(L33:L48)</f>
        <v>4399028.22</v>
      </c>
      <c r="M49" s="123"/>
      <c r="N49" s="124">
        <v>365</v>
      </c>
      <c r="O49" s="117"/>
      <c r="P49" s="122">
        <v>350117.89863013697</v>
      </c>
      <c r="Q49" s="3"/>
    </row>
    <row r="50" spans="1:22" ht="15" thickTop="1" x14ac:dyDescent="0.3">
      <c r="J50" s="6"/>
      <c r="K50" s="6"/>
      <c r="L50" s="123"/>
      <c r="M50" s="123"/>
      <c r="N50" s="123"/>
      <c r="O50" s="117"/>
      <c r="P50" s="123"/>
      <c r="Q50" s="3"/>
    </row>
    <row r="51" spans="1:22" x14ac:dyDescent="0.3">
      <c r="K51" s="130"/>
      <c r="L51" s="130" t="s">
        <v>137</v>
      </c>
      <c r="P51" t="s">
        <v>153</v>
      </c>
      <c r="Q51" s="12">
        <v>0.24925</v>
      </c>
    </row>
    <row r="52" spans="1:22" ht="15" thickBot="1" x14ac:dyDescent="0.35">
      <c r="R52" t="s">
        <v>24</v>
      </c>
    </row>
    <row r="53" spans="1:22" ht="15" thickBot="1" x14ac:dyDescent="0.35">
      <c r="P53" s="7" t="s">
        <v>154</v>
      </c>
      <c r="Q53" s="125">
        <f>Q48*Q51</f>
        <v>1025113.5937910959</v>
      </c>
    </row>
    <row r="55" spans="1:22" ht="15" thickBot="1" x14ac:dyDescent="0.35">
      <c r="R55" s="70"/>
    </row>
    <row r="56" spans="1:22" ht="15" thickBot="1" x14ac:dyDescent="0.35">
      <c r="P56" s="148" t="s">
        <v>200</v>
      </c>
      <c r="Q56" s="181">
        <f>Q30+Q53</f>
        <v>8555861.0444856007</v>
      </c>
    </row>
    <row r="57" spans="1:22" ht="14.4" customHeight="1" x14ac:dyDescent="0.3"/>
    <row r="60" spans="1:22" x14ac:dyDescent="0.3">
      <c r="A60" s="7" t="s">
        <v>195</v>
      </c>
      <c r="G60" s="4"/>
      <c r="H60" s="4"/>
      <c r="I60" s="4"/>
      <c r="R60" s="4"/>
      <c r="S60" s="4"/>
      <c r="T60" s="4"/>
      <c r="U60" s="4"/>
      <c r="V60" s="4"/>
    </row>
    <row r="61" spans="1:22" x14ac:dyDescent="0.3">
      <c r="A61" t="s">
        <v>93</v>
      </c>
      <c r="B61" s="4" t="s">
        <v>205</v>
      </c>
      <c r="C61" s="4" t="s">
        <v>206</v>
      </c>
      <c r="D61" s="4" t="s">
        <v>207</v>
      </c>
      <c r="E61" s="4" t="s">
        <v>211</v>
      </c>
      <c r="F61" s="4" t="s">
        <v>246</v>
      </c>
      <c r="J61" s="4"/>
      <c r="K61" s="4"/>
      <c r="L61" s="4"/>
      <c r="M61" s="4"/>
      <c r="N61" s="4"/>
      <c r="O61" s="4"/>
      <c r="P61" s="4"/>
      <c r="Q61" s="4"/>
    </row>
    <row r="62" spans="1:22" x14ac:dyDescent="0.3">
      <c r="A62" t="s">
        <v>196</v>
      </c>
      <c r="B62">
        <v>0.05</v>
      </c>
      <c r="C62">
        <v>9.5000000000000001E-2</v>
      </c>
      <c r="D62">
        <v>8.5500000000000007E-2</v>
      </c>
      <c r="E62">
        <v>7.6950000000000005E-2</v>
      </c>
      <c r="F62">
        <v>6.9250000000000006E-2</v>
      </c>
    </row>
    <row r="63" spans="1:22" x14ac:dyDescent="0.3">
      <c r="A63" t="s">
        <v>197</v>
      </c>
      <c r="B63">
        <v>3.7499999999999999E-2</v>
      </c>
      <c r="C63">
        <v>7.2190000000000004E-2</v>
      </c>
      <c r="D63">
        <v>6.6769999999999996E-2</v>
      </c>
      <c r="E63">
        <v>6.1769999999999999E-2</v>
      </c>
      <c r="F63">
        <v>5.713E-2</v>
      </c>
    </row>
  </sheetData>
  <mergeCells count="3">
    <mergeCell ref="A1:Q1"/>
    <mergeCell ref="A2:Q2"/>
    <mergeCell ref="A3:Q3"/>
  </mergeCells>
  <printOptions horizontalCentered="1"/>
  <pageMargins left="0.7" right="0.7" top="0.75" bottom="0.75" header="0.3" footer="0.3"/>
  <pageSetup scale="42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view="pageLayout" zoomScale="55" zoomScaleNormal="100" zoomScalePageLayoutView="55" workbookViewId="0">
      <selection activeCell="K11" sqref="K11"/>
    </sheetView>
  </sheetViews>
  <sheetFormatPr defaultRowHeight="14.4" x14ac:dyDescent="0.3"/>
  <cols>
    <col min="1" max="1" width="8.33203125" bestFit="1" customWidth="1"/>
    <col min="2" max="2" width="22.109375" customWidth="1"/>
    <col min="3" max="3" width="10.33203125" customWidth="1"/>
    <col min="4" max="4" width="13.5546875" customWidth="1"/>
    <col min="5" max="6" width="17.44140625" customWidth="1"/>
    <col min="7" max="8" width="16.6640625" customWidth="1"/>
    <col min="9" max="9" width="17.6640625" customWidth="1"/>
    <col min="10" max="10" width="4.33203125" customWidth="1"/>
  </cols>
  <sheetData>
    <row r="1" spans="1:10" x14ac:dyDescent="0.3">
      <c r="A1" s="4"/>
      <c r="G1" s="4"/>
      <c r="H1" s="4"/>
      <c r="I1" s="4"/>
      <c r="J1" s="4"/>
    </row>
    <row r="2" spans="1:10" x14ac:dyDescent="0.3">
      <c r="A2" s="58" t="str">
        <f>'Sch 1.0'!A2</f>
        <v>Duke Energy Kentucky</v>
      </c>
      <c r="B2" s="58"/>
      <c r="C2" s="58"/>
      <c r="D2" s="58"/>
      <c r="E2" s="58"/>
      <c r="F2" s="58"/>
      <c r="G2" s="58"/>
      <c r="H2" s="58"/>
      <c r="I2" s="58"/>
      <c r="J2" s="4"/>
    </row>
    <row r="3" spans="1:10" x14ac:dyDescent="0.3">
      <c r="A3" s="58" t="str">
        <f>'Sch 1.0'!A3</f>
        <v>Pipeline Modernization Mechanism ("Rider PMM")</v>
      </c>
      <c r="B3" s="58"/>
      <c r="C3" s="58"/>
      <c r="D3" s="58"/>
      <c r="E3" s="58"/>
      <c r="F3" s="58"/>
      <c r="G3" s="58"/>
      <c r="H3" s="58"/>
      <c r="I3" s="58"/>
      <c r="J3" s="4"/>
    </row>
    <row r="4" spans="1:10" x14ac:dyDescent="0.3">
      <c r="A4" s="58" t="s">
        <v>64</v>
      </c>
      <c r="B4" s="58"/>
      <c r="C4" s="58"/>
      <c r="D4" s="58"/>
      <c r="E4" s="58"/>
      <c r="F4" s="58"/>
      <c r="G4" s="58"/>
      <c r="H4" s="58"/>
      <c r="I4" s="58"/>
      <c r="J4" s="4"/>
    </row>
    <row r="5" spans="1:10" x14ac:dyDescent="0.3">
      <c r="A5" s="59"/>
      <c r="B5" s="59"/>
      <c r="C5" s="59"/>
      <c r="D5" s="59"/>
      <c r="E5" s="59"/>
      <c r="F5" s="59"/>
      <c r="G5" s="59"/>
      <c r="H5" s="59"/>
      <c r="I5" s="59"/>
      <c r="J5" s="4"/>
    </row>
    <row r="6" spans="1:10" x14ac:dyDescent="0.3">
      <c r="A6" s="4"/>
      <c r="G6" s="4"/>
      <c r="H6" s="134"/>
      <c r="I6" s="4"/>
      <c r="J6" s="4"/>
    </row>
    <row r="7" spans="1:10" x14ac:dyDescent="0.3">
      <c r="A7" s="19" t="s">
        <v>225</v>
      </c>
      <c r="G7" s="4"/>
      <c r="H7" s="4"/>
      <c r="I7" s="4"/>
      <c r="J7" s="4"/>
    </row>
    <row r="8" spans="1:10" x14ac:dyDescent="0.3">
      <c r="A8" s="4"/>
      <c r="G8" s="4"/>
      <c r="H8" s="4"/>
      <c r="I8" s="4"/>
      <c r="J8" s="4"/>
    </row>
    <row r="9" spans="1:10" x14ac:dyDescent="0.3">
      <c r="A9" s="3" t="s">
        <v>123</v>
      </c>
      <c r="B9" s="3"/>
      <c r="C9" s="3" t="s">
        <v>57</v>
      </c>
      <c r="D9" s="218" t="s">
        <v>130</v>
      </c>
      <c r="E9" s="218"/>
      <c r="F9" s="218" t="s">
        <v>53</v>
      </c>
      <c r="G9" s="218"/>
      <c r="H9" s="218" t="s">
        <v>24</v>
      </c>
      <c r="I9" s="218"/>
      <c r="J9" s="3"/>
    </row>
    <row r="10" spans="1:10" x14ac:dyDescent="0.3">
      <c r="A10" s="8" t="s">
        <v>124</v>
      </c>
      <c r="B10" s="8" t="s">
        <v>56</v>
      </c>
      <c r="C10" s="8" t="s">
        <v>58</v>
      </c>
      <c r="D10" s="8" t="s">
        <v>73</v>
      </c>
      <c r="E10" s="8" t="s">
        <v>77</v>
      </c>
      <c r="F10" s="8" t="s">
        <v>73</v>
      </c>
      <c r="G10" s="8" t="s">
        <v>77</v>
      </c>
      <c r="H10" s="8" t="s">
        <v>73</v>
      </c>
      <c r="I10" s="8" t="s">
        <v>77</v>
      </c>
      <c r="J10" s="8"/>
    </row>
    <row r="11" spans="1:10" x14ac:dyDescent="0.3">
      <c r="B11" s="16" t="s">
        <v>62</v>
      </c>
      <c r="C11" s="16" t="s">
        <v>63</v>
      </c>
      <c r="D11" s="16" t="s">
        <v>65</v>
      </c>
      <c r="E11" s="16" t="s">
        <v>74</v>
      </c>
      <c r="F11" s="16" t="s">
        <v>115</v>
      </c>
      <c r="G11" s="16" t="s">
        <v>75</v>
      </c>
      <c r="H11" s="16" t="s">
        <v>76</v>
      </c>
      <c r="I11" s="16" t="s">
        <v>116</v>
      </c>
      <c r="J11" s="16"/>
    </row>
    <row r="12" spans="1:10" x14ac:dyDescent="0.3">
      <c r="G12" s="29"/>
      <c r="H12" s="29"/>
    </row>
    <row r="13" spans="1:10" x14ac:dyDescent="0.3">
      <c r="G13" s="29"/>
      <c r="H13" s="29"/>
    </row>
    <row r="14" spans="1:10" x14ac:dyDescent="0.3">
      <c r="A14" s="4">
        <v>1</v>
      </c>
      <c r="B14" s="88" t="s">
        <v>249</v>
      </c>
      <c r="C14" s="4">
        <v>13</v>
      </c>
      <c r="D14" s="65"/>
      <c r="E14" s="89">
        <f>+'Sch 2.0'!E15</f>
        <v>188310943.40990436</v>
      </c>
      <c r="F14" s="53"/>
      <c r="G14" s="89">
        <f>+'Sch 2.0'!E21</f>
        <v>1371358.38</v>
      </c>
      <c r="H14" s="53"/>
      <c r="I14" s="89">
        <f>+'Sch 2.0'!E27</f>
        <v>4054223.12</v>
      </c>
    </row>
    <row r="15" spans="1:10" x14ac:dyDescent="0.3">
      <c r="A15" s="4">
        <f>A14+1</f>
        <v>2</v>
      </c>
      <c r="B15" s="20">
        <v>46388</v>
      </c>
      <c r="C15" s="4">
        <f>C14-1</f>
        <v>12</v>
      </c>
      <c r="D15" s="110">
        <f>+'Sch 2.0'!F$15</f>
        <v>110722.36494352001</v>
      </c>
      <c r="E15" s="66">
        <f>E14+D15</f>
        <v>188421665.77484789</v>
      </c>
      <c r="F15" s="107">
        <f>+'Sch 2.0'!F21</f>
        <v>0</v>
      </c>
      <c r="G15" s="62">
        <f>G14+F15</f>
        <v>1371358.38</v>
      </c>
      <c r="H15" s="107">
        <f>+'Sch 2.0'!F27</f>
        <v>0</v>
      </c>
      <c r="I15" s="62">
        <f>I14+H15</f>
        <v>4054223.12</v>
      </c>
      <c r="J15" s="17"/>
    </row>
    <row r="16" spans="1:10" ht="16.2" x14ac:dyDescent="0.45">
      <c r="A16" s="4">
        <f>A15+1</f>
        <v>3</v>
      </c>
      <c r="B16" s="20">
        <v>46419</v>
      </c>
      <c r="C16" s="4">
        <f t="shared" ref="C16:C26" si="0">C15-1</f>
        <v>11</v>
      </c>
      <c r="D16" s="62">
        <f>+'Sch 2.0'!G$15</f>
        <v>17850</v>
      </c>
      <c r="E16" s="66">
        <f t="shared" ref="E16:E26" si="1">E15+D16</f>
        <v>188439515.77484789</v>
      </c>
      <c r="F16" s="111">
        <f>+'Sch 2.0'!G$21</f>
        <v>0</v>
      </c>
      <c r="G16" s="62">
        <f t="shared" ref="G16:G26" si="2">G15+F16</f>
        <v>1371358.38</v>
      </c>
      <c r="H16" s="111">
        <f>+'Sch 2.0'!G$27</f>
        <v>0</v>
      </c>
      <c r="I16" s="62">
        <f t="shared" ref="I16:I26" si="3">I15+H16</f>
        <v>4054223.12</v>
      </c>
      <c r="J16" s="18"/>
    </row>
    <row r="17" spans="1:10" x14ac:dyDescent="0.3">
      <c r="A17" s="4">
        <f t="shared" ref="A17:A26" si="4">A16+1</f>
        <v>4</v>
      </c>
      <c r="B17" s="20">
        <v>46447</v>
      </c>
      <c r="C17" s="4">
        <f t="shared" si="0"/>
        <v>10</v>
      </c>
      <c r="D17" s="62">
        <f>+'Sch 2.0'!H$15</f>
        <v>11900</v>
      </c>
      <c r="E17" s="66">
        <f t="shared" si="1"/>
        <v>188451415.77484789</v>
      </c>
      <c r="F17" s="111">
        <f>+'Sch 2.0'!H$21</f>
        <v>0</v>
      </c>
      <c r="G17" s="62">
        <f t="shared" si="2"/>
        <v>1371358.38</v>
      </c>
      <c r="H17" s="111">
        <f>+'Sch 2.0'!H$27</f>
        <v>0</v>
      </c>
      <c r="I17" s="62">
        <f t="shared" si="3"/>
        <v>4054223.12</v>
      </c>
      <c r="J17" s="17"/>
    </row>
    <row r="18" spans="1:10" x14ac:dyDescent="0.3">
      <c r="A18" s="4">
        <f t="shared" si="4"/>
        <v>5</v>
      </c>
      <c r="B18" s="20">
        <v>46478</v>
      </c>
      <c r="C18" s="4">
        <f t="shared" si="0"/>
        <v>9</v>
      </c>
      <c r="D18" s="62">
        <f>+'Sch 2.0'!I$15</f>
        <v>11900</v>
      </c>
      <c r="E18" s="66">
        <f t="shared" si="1"/>
        <v>188463315.77484789</v>
      </c>
      <c r="F18" s="111">
        <f>+'Sch 2.0'!I$21</f>
        <v>0</v>
      </c>
      <c r="G18" s="62">
        <f t="shared" si="2"/>
        <v>1371358.38</v>
      </c>
      <c r="H18" s="111">
        <f>+'Sch 2.0'!I$27</f>
        <v>0</v>
      </c>
      <c r="I18" s="62">
        <f>I17+H18</f>
        <v>4054223.12</v>
      </c>
      <c r="J18" s="14"/>
    </row>
    <row r="19" spans="1:10" x14ac:dyDescent="0.3">
      <c r="A19" s="4">
        <f t="shared" si="4"/>
        <v>6</v>
      </c>
      <c r="B19" s="20">
        <v>46508</v>
      </c>
      <c r="C19" s="4">
        <f t="shared" si="0"/>
        <v>8</v>
      </c>
      <c r="D19" s="62">
        <f>+'Sch 2.0'!J$15</f>
        <v>11900</v>
      </c>
      <c r="E19" s="66">
        <f t="shared" si="1"/>
        <v>188475215.77484789</v>
      </c>
      <c r="F19" s="111">
        <f>+'Sch 2.0'!J$21</f>
        <v>0</v>
      </c>
      <c r="G19" s="62">
        <f t="shared" si="2"/>
        <v>1371358.38</v>
      </c>
      <c r="H19" s="111">
        <f>+'Sch 2.0'!J$27</f>
        <v>0</v>
      </c>
      <c r="I19" s="62">
        <f t="shared" si="3"/>
        <v>4054223.12</v>
      </c>
    </row>
    <row r="20" spans="1:10" x14ac:dyDescent="0.3">
      <c r="A20" s="4">
        <f t="shared" si="4"/>
        <v>7</v>
      </c>
      <c r="B20" s="20">
        <v>46539</v>
      </c>
      <c r="C20" s="4">
        <f t="shared" si="0"/>
        <v>7</v>
      </c>
      <c r="D20" s="62">
        <f>+'Sch 2.0'!K$15</f>
        <v>11900</v>
      </c>
      <c r="E20" s="66">
        <f t="shared" si="1"/>
        <v>188487115.77484789</v>
      </c>
      <c r="F20" s="111">
        <f>+'Sch 2.0'!K$21</f>
        <v>0</v>
      </c>
      <c r="G20" s="62">
        <f t="shared" si="2"/>
        <v>1371358.38</v>
      </c>
      <c r="H20" s="111">
        <f>+'Sch 2.0'!K$27</f>
        <v>0</v>
      </c>
      <c r="I20" s="62">
        <f t="shared" si="3"/>
        <v>4054223.12</v>
      </c>
      <c r="J20" s="1"/>
    </row>
    <row r="21" spans="1:10" ht="16.2" x14ac:dyDescent="0.45">
      <c r="A21" s="4">
        <f t="shared" si="4"/>
        <v>8</v>
      </c>
      <c r="B21" s="20">
        <v>46569</v>
      </c>
      <c r="C21" s="4">
        <f t="shared" si="0"/>
        <v>6</v>
      </c>
      <c r="D21" s="62">
        <f>+'Sch 2.0'!L$15</f>
        <v>0</v>
      </c>
      <c r="E21" s="66">
        <f t="shared" si="1"/>
        <v>188487115.77484789</v>
      </c>
      <c r="F21" s="111">
        <f>+'Sch 2.0'!L$21</f>
        <v>0</v>
      </c>
      <c r="G21" s="62">
        <f t="shared" si="2"/>
        <v>1371358.38</v>
      </c>
      <c r="H21" s="111">
        <f>+'Sch 2.0'!L$27</f>
        <v>0</v>
      </c>
      <c r="I21" s="62">
        <f t="shared" si="3"/>
        <v>4054223.12</v>
      </c>
      <c r="J21" s="18"/>
    </row>
    <row r="22" spans="1:10" x14ac:dyDescent="0.3">
      <c r="A22" s="4">
        <f t="shared" si="4"/>
        <v>9</v>
      </c>
      <c r="B22" s="20">
        <v>46600</v>
      </c>
      <c r="C22" s="4">
        <f t="shared" si="0"/>
        <v>5</v>
      </c>
      <c r="D22" s="62">
        <f>+'Sch 2.0'!M$15</f>
        <v>0</v>
      </c>
      <c r="E22" s="66">
        <f t="shared" si="1"/>
        <v>188487115.77484789</v>
      </c>
      <c r="F22" s="111">
        <f>+'Sch 2.0'!M$21</f>
        <v>0</v>
      </c>
      <c r="G22" s="62">
        <f t="shared" si="2"/>
        <v>1371358.38</v>
      </c>
      <c r="H22" s="111">
        <f>+'Sch 2.0'!M$27</f>
        <v>0</v>
      </c>
      <c r="I22" s="62">
        <f t="shared" si="3"/>
        <v>4054223.12</v>
      </c>
      <c r="J22" s="17"/>
    </row>
    <row r="23" spans="1:10" x14ac:dyDescent="0.3">
      <c r="A23" s="4">
        <f t="shared" si="4"/>
        <v>10</v>
      </c>
      <c r="B23" s="20">
        <v>46631</v>
      </c>
      <c r="C23" s="4">
        <f t="shared" si="0"/>
        <v>4</v>
      </c>
      <c r="D23" s="62">
        <f>+'Sch 2.0'!N$15</f>
        <v>0</v>
      </c>
      <c r="E23" s="66">
        <f t="shared" si="1"/>
        <v>188487115.77484789</v>
      </c>
      <c r="F23" s="111">
        <f>+'Sch 2.0'!N$21</f>
        <v>0</v>
      </c>
      <c r="G23" s="62">
        <f t="shared" si="2"/>
        <v>1371358.38</v>
      </c>
      <c r="H23" s="111">
        <f>+'Sch 2.0'!N$27</f>
        <v>0</v>
      </c>
      <c r="I23" s="62">
        <f t="shared" si="3"/>
        <v>4054223.12</v>
      </c>
    </row>
    <row r="24" spans="1:10" x14ac:dyDescent="0.3">
      <c r="A24" s="4">
        <f t="shared" si="4"/>
        <v>11</v>
      </c>
      <c r="B24" s="20">
        <v>46661</v>
      </c>
      <c r="C24" s="4">
        <f t="shared" si="0"/>
        <v>3</v>
      </c>
      <c r="D24" s="62">
        <f>+'Sch 2.0'!O$15</f>
        <v>27891903.461362988</v>
      </c>
      <c r="E24" s="66">
        <f t="shared" si="1"/>
        <v>216379019.23621088</v>
      </c>
      <c r="F24" s="111">
        <f>+'Sch 2.0'!O$21</f>
        <v>0</v>
      </c>
      <c r="G24" s="62">
        <f t="shared" si="2"/>
        <v>1371358.38</v>
      </c>
      <c r="H24" s="111">
        <f>+'Sch 2.0'!O$27</f>
        <v>344805.1</v>
      </c>
      <c r="I24" s="62">
        <f t="shared" si="3"/>
        <v>4399028.22</v>
      </c>
      <c r="J24" s="2"/>
    </row>
    <row r="25" spans="1:10" x14ac:dyDescent="0.3">
      <c r="A25" s="4">
        <f t="shared" si="4"/>
        <v>12</v>
      </c>
      <c r="B25" s="20">
        <v>46692</v>
      </c>
      <c r="C25" s="4">
        <f t="shared" si="0"/>
        <v>2</v>
      </c>
      <c r="D25" s="62">
        <f>+'Sch 2.0'!P$15</f>
        <v>938903.46100605</v>
      </c>
      <c r="E25" s="66">
        <f t="shared" si="1"/>
        <v>217317922.69721693</v>
      </c>
      <c r="F25" s="111">
        <f>+'Sch 2.0'!P$21</f>
        <v>0</v>
      </c>
      <c r="G25" s="62">
        <f t="shared" si="2"/>
        <v>1371358.38</v>
      </c>
      <c r="H25" s="111">
        <f>+'Sch 2.0'!P$27</f>
        <v>0</v>
      </c>
      <c r="I25" s="62">
        <f t="shared" si="3"/>
        <v>4399028.22</v>
      </c>
    </row>
    <row r="26" spans="1:10" x14ac:dyDescent="0.3">
      <c r="A26" s="4">
        <f t="shared" si="4"/>
        <v>13</v>
      </c>
      <c r="B26" s="20">
        <v>46722</v>
      </c>
      <c r="C26" s="4">
        <f t="shared" si="0"/>
        <v>1</v>
      </c>
      <c r="D26" s="62">
        <f>+'Sch 2.0'!Q$15</f>
        <v>578340.66336930997</v>
      </c>
      <c r="E26" s="67">
        <f t="shared" si="1"/>
        <v>217896263.36058623</v>
      </c>
      <c r="F26" s="111">
        <f>+'Sch 2.0'!Q$21</f>
        <v>0</v>
      </c>
      <c r="G26" s="63">
        <f t="shared" si="2"/>
        <v>1371358.38</v>
      </c>
      <c r="H26" s="111">
        <f>+'Sch 2.0'!Q$27</f>
        <v>0</v>
      </c>
      <c r="I26" s="63">
        <f t="shared" si="3"/>
        <v>4399028.22</v>
      </c>
    </row>
    <row r="27" spans="1:10" x14ac:dyDescent="0.3">
      <c r="A27" s="4"/>
      <c r="D27" s="64"/>
      <c r="E27" s="46">
        <f>SUM(E14:E26)</f>
        <v>2536103740.6775494</v>
      </c>
      <c r="F27" s="64"/>
      <c r="G27" s="46">
        <f>SUM(G14:G26)</f>
        <v>17827658.939999994</v>
      </c>
      <c r="H27" s="64"/>
      <c r="I27" s="46">
        <f>SUM(I14:I26)</f>
        <v>53739315.859999999</v>
      </c>
      <c r="J27" s="2"/>
    </row>
    <row r="28" spans="1:10" x14ac:dyDescent="0.3">
      <c r="A28" s="4">
        <f>A26+1</f>
        <v>14</v>
      </c>
      <c r="B28" t="s">
        <v>78</v>
      </c>
      <c r="D28" s="64"/>
      <c r="E28" s="68">
        <v>13</v>
      </c>
      <c r="F28" s="68"/>
      <c r="G28" s="68">
        <v>13</v>
      </c>
      <c r="H28" s="68"/>
      <c r="I28" s="69">
        <v>13</v>
      </c>
    </row>
    <row r="29" spans="1:10" ht="15" thickBot="1" x14ac:dyDescent="0.35">
      <c r="A29" s="4">
        <f>A28+1</f>
        <v>15</v>
      </c>
      <c r="B29" t="s">
        <v>79</v>
      </c>
      <c r="E29" s="50">
        <f>ROUND(E27/E28,0)</f>
        <v>195084903</v>
      </c>
      <c r="F29" s="46"/>
      <c r="G29" s="50">
        <f>ROUND(G27/G28,0)</f>
        <v>1371358</v>
      </c>
      <c r="H29" s="46"/>
      <c r="I29" s="50">
        <f>ROUND(I27/I28,0)</f>
        <v>4133794</v>
      </c>
    </row>
    <row r="30" spans="1:10" ht="15" thickTop="1" x14ac:dyDescent="0.3"/>
    <row r="31" spans="1:10" x14ac:dyDescent="0.3">
      <c r="A31" s="4"/>
      <c r="E31" s="29"/>
      <c r="G31" s="29"/>
      <c r="H31" s="29"/>
      <c r="I31" s="29"/>
    </row>
    <row r="32" spans="1:10" x14ac:dyDescent="0.3">
      <c r="F32" s="32"/>
    </row>
  </sheetData>
  <mergeCells count="3">
    <mergeCell ref="D9:E9"/>
    <mergeCell ref="F9:G9"/>
    <mergeCell ref="H9:I9"/>
  </mergeCells>
  <printOptions horizontalCentered="1"/>
  <pageMargins left="0.7" right="0.7" top="0.95454545454545459" bottom="0.75" header="0.3" footer="0.3"/>
  <pageSetup scale="80" orientation="landscape" r:id="rId1"/>
  <headerFooter>
    <oddHeader xml:space="preserve">&amp;R&amp;"Times New Roman,Bold"&amp;10KyPSC Case No. 2026-00162
STAFF-DR-01-001 Attachment 1
&amp;A
Page &amp;P of &amp;N
</oddHeader>
  </headerFooter>
  <ignoredErrors>
    <ignoredError sqref="F15:F26 H15:H2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2"/>
  <sheetViews>
    <sheetView view="pageLayout" zoomScale="70" zoomScaleNormal="92" zoomScalePageLayoutView="70" workbookViewId="0">
      <selection activeCell="K11" sqref="K11"/>
    </sheetView>
  </sheetViews>
  <sheetFormatPr defaultRowHeight="14.4" x14ac:dyDescent="0.3"/>
  <cols>
    <col min="1" max="1" width="6.5546875" customWidth="1"/>
    <col min="2" max="2" width="38.88671875" customWidth="1"/>
    <col min="3" max="14" width="12.6640625" customWidth="1"/>
    <col min="15" max="15" width="13.6640625" bestFit="1" customWidth="1"/>
    <col min="16" max="19" width="15.5546875" customWidth="1"/>
    <col min="20" max="20" width="14" customWidth="1"/>
  </cols>
  <sheetData>
    <row r="1" spans="1:16" x14ac:dyDescent="0.3">
      <c r="A1" s="4"/>
      <c r="E1" s="4"/>
      <c r="F1" s="4"/>
      <c r="G1" s="4"/>
    </row>
    <row r="2" spans="1:16" x14ac:dyDescent="0.3">
      <c r="A2" s="58" t="str">
        <f>'Sch 1.0'!A2</f>
        <v>Duke Energy Kentucky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x14ac:dyDescent="0.3">
      <c r="A3" s="58" t="str">
        <f>'Sch 1.0'!A3</f>
        <v>Pipeline Modernization Mechanism ("Rider PMM")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6" x14ac:dyDescent="0.3">
      <c r="A4" s="58" t="s">
        <v>133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6" x14ac:dyDescent="0.3">
      <c r="A5" s="58" t="s">
        <v>226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6" x14ac:dyDescent="0.3">
      <c r="A6" s="4"/>
      <c r="D6" s="134"/>
      <c r="E6" s="4"/>
      <c r="F6" s="4"/>
      <c r="G6" s="4"/>
    </row>
    <row r="7" spans="1:16" x14ac:dyDescent="0.3">
      <c r="A7" s="19"/>
      <c r="E7" s="4"/>
      <c r="F7" s="4"/>
      <c r="G7" s="4"/>
    </row>
    <row r="8" spans="1:16" x14ac:dyDescent="0.3">
      <c r="A8" s="4"/>
      <c r="E8" s="4"/>
      <c r="F8" s="4"/>
      <c r="G8" s="4"/>
    </row>
    <row r="9" spans="1:16" x14ac:dyDescent="0.3">
      <c r="A9" s="3" t="s">
        <v>123</v>
      </c>
      <c r="B9" s="3"/>
      <c r="C9" s="3"/>
      <c r="D9" s="3"/>
      <c r="E9" s="3"/>
      <c r="F9" s="3"/>
      <c r="G9" s="3"/>
    </row>
    <row r="10" spans="1:16" x14ac:dyDescent="0.3">
      <c r="A10" s="8" t="s">
        <v>124</v>
      </c>
      <c r="B10" s="8" t="s">
        <v>14</v>
      </c>
      <c r="C10" s="74">
        <v>46388</v>
      </c>
      <c r="D10" s="74">
        <v>46419</v>
      </c>
      <c r="E10" s="74">
        <v>46447</v>
      </c>
      <c r="F10" s="74">
        <v>46478</v>
      </c>
      <c r="G10" s="74">
        <v>46508</v>
      </c>
      <c r="H10" s="74">
        <v>46539</v>
      </c>
      <c r="I10" s="74">
        <v>46569</v>
      </c>
      <c r="J10" s="74">
        <v>46600</v>
      </c>
      <c r="K10" s="74">
        <v>46631</v>
      </c>
      <c r="L10" s="74">
        <v>46661</v>
      </c>
      <c r="M10" s="74">
        <v>46692</v>
      </c>
      <c r="N10" s="74">
        <v>46722</v>
      </c>
      <c r="O10" s="8" t="s">
        <v>20</v>
      </c>
    </row>
    <row r="11" spans="1:16" x14ac:dyDescent="0.3">
      <c r="B11" s="16" t="s">
        <v>62</v>
      </c>
      <c r="C11" s="16" t="s">
        <v>63</v>
      </c>
      <c r="D11" s="16" t="s">
        <v>65</v>
      </c>
      <c r="E11" s="16" t="s">
        <v>74</v>
      </c>
      <c r="F11" s="16" t="s">
        <v>99</v>
      </c>
      <c r="G11" s="16" t="s">
        <v>100</v>
      </c>
      <c r="H11" s="16" t="s">
        <v>101</v>
      </c>
      <c r="I11" s="16" t="s">
        <v>102</v>
      </c>
      <c r="J11" s="16" t="s">
        <v>103</v>
      </c>
      <c r="K11" s="16" t="s">
        <v>104</v>
      </c>
      <c r="L11" s="16" t="s">
        <v>105</v>
      </c>
      <c r="M11" s="16" t="s">
        <v>106</v>
      </c>
      <c r="N11" s="16" t="s">
        <v>107</v>
      </c>
      <c r="O11" s="16" t="s">
        <v>108</v>
      </c>
      <c r="P11" s="16"/>
    </row>
    <row r="13" spans="1:16" ht="15" customHeight="1" x14ac:dyDescent="0.3">
      <c r="A13" s="40">
        <v>1</v>
      </c>
      <c r="B13" s="26" t="s">
        <v>185</v>
      </c>
      <c r="C13" s="210">
        <v>11674619.399999999</v>
      </c>
      <c r="D13" s="210">
        <v>12278818.100000001</v>
      </c>
      <c r="E13" s="210">
        <v>11447115</v>
      </c>
      <c r="F13" s="210">
        <v>8030931.5</v>
      </c>
      <c r="G13" s="210">
        <v>4296097.8000000007</v>
      </c>
      <c r="H13" s="210">
        <v>1387979.5</v>
      </c>
      <c r="I13" s="210">
        <v>1190278.3</v>
      </c>
      <c r="J13" s="210">
        <v>1001911.7999999999</v>
      </c>
      <c r="K13" s="210">
        <v>983832.4</v>
      </c>
      <c r="L13" s="210">
        <v>981710.1</v>
      </c>
      <c r="M13" s="210">
        <v>2134353</v>
      </c>
      <c r="N13" s="210">
        <v>5141732.8999999994</v>
      </c>
      <c r="O13" s="2">
        <f>SUM(C13:N13)</f>
        <v>60549379.79999999</v>
      </c>
    </row>
    <row r="14" spans="1:16" ht="15" customHeight="1" x14ac:dyDescent="0.3">
      <c r="A14" s="40">
        <f>A13+1</f>
        <v>2</v>
      </c>
      <c r="B14" s="26" t="s">
        <v>186</v>
      </c>
      <c r="C14" s="210">
        <v>5803779.5999999996</v>
      </c>
      <c r="D14" s="210">
        <v>6504943.5</v>
      </c>
      <c r="E14" s="210">
        <v>6122196.5</v>
      </c>
      <c r="F14" s="210">
        <v>4574555.1999999993</v>
      </c>
      <c r="G14" s="210">
        <v>2208509.5</v>
      </c>
      <c r="H14" s="210">
        <v>1294266.5</v>
      </c>
      <c r="I14" s="210">
        <v>939237.39999999991</v>
      </c>
      <c r="J14" s="210">
        <v>955799.9</v>
      </c>
      <c r="K14" s="210">
        <v>979461.1</v>
      </c>
      <c r="L14" s="210">
        <v>978904.99999999988</v>
      </c>
      <c r="M14" s="210">
        <v>1592293.2000000002</v>
      </c>
      <c r="N14" s="210">
        <v>3528133.3000000003</v>
      </c>
      <c r="O14" s="2">
        <f>SUM(C14:N14)</f>
        <v>35482080.699999996</v>
      </c>
    </row>
    <row r="15" spans="1:16" ht="15" customHeight="1" x14ac:dyDescent="0.3">
      <c r="A15" s="40">
        <f>A14+1</f>
        <v>3</v>
      </c>
      <c r="B15" s="20" t="s">
        <v>69</v>
      </c>
      <c r="C15" s="210">
        <v>3634388.6</v>
      </c>
      <c r="D15" s="210">
        <v>4100371.0999999996</v>
      </c>
      <c r="E15" s="210">
        <v>3537303.0000000005</v>
      </c>
      <c r="F15" s="210">
        <v>3039376</v>
      </c>
      <c r="G15" s="210">
        <v>1880260.4000000001</v>
      </c>
      <c r="H15" s="210">
        <v>1588936.5</v>
      </c>
      <c r="I15" s="210">
        <v>1446249.6</v>
      </c>
      <c r="J15" s="210">
        <v>1480884.5</v>
      </c>
      <c r="K15" s="210">
        <v>1552001.2</v>
      </c>
      <c r="L15" s="210">
        <v>1501266.2999999998</v>
      </c>
      <c r="M15" s="210">
        <v>2221267.2000000002</v>
      </c>
      <c r="N15" s="210">
        <v>3165731.9000000004</v>
      </c>
      <c r="O15" s="2">
        <f>SUM(C15:N15)</f>
        <v>29148036.300000004</v>
      </c>
    </row>
    <row r="16" spans="1:16" ht="15" customHeight="1" x14ac:dyDescent="0.3">
      <c r="A16" s="40">
        <f>A15+1</f>
        <v>4</v>
      </c>
      <c r="B16" s="20" t="s">
        <v>70</v>
      </c>
      <c r="C16" s="210">
        <v>1411679.7999999998</v>
      </c>
      <c r="D16" s="210">
        <v>1421827.1999999997</v>
      </c>
      <c r="E16" s="210">
        <v>1373402.7</v>
      </c>
      <c r="F16" s="210">
        <v>1285526.8999999999</v>
      </c>
      <c r="G16" s="210">
        <v>1369813.1</v>
      </c>
      <c r="H16" s="210">
        <v>1221154.1000000001</v>
      </c>
      <c r="I16" s="210">
        <v>1237174.7</v>
      </c>
      <c r="J16" s="210">
        <v>1237174.7</v>
      </c>
      <c r="K16" s="210">
        <v>1237174.7</v>
      </c>
      <c r="L16" s="210">
        <v>1229980.0999999999</v>
      </c>
      <c r="M16" s="210">
        <v>1363695.5000000002</v>
      </c>
      <c r="N16" s="210">
        <v>1462516.3</v>
      </c>
      <c r="O16" s="2">
        <f>SUM(C16:N16)</f>
        <v>15851119.799999997</v>
      </c>
    </row>
    <row r="18" spans="1:20" x14ac:dyDescent="0.3">
      <c r="A18" s="15"/>
      <c r="B18" s="15" t="s">
        <v>187</v>
      </c>
    </row>
    <row r="19" spans="1:20" x14ac:dyDescent="0.3">
      <c r="B19" s="15" t="s">
        <v>250</v>
      </c>
      <c r="C19" s="25"/>
      <c r="D19" s="25"/>
      <c r="E19" s="25"/>
      <c r="F19" s="25"/>
      <c r="G19" s="25"/>
      <c r="H19" s="153"/>
      <c r="I19" s="25"/>
      <c r="J19" s="25"/>
      <c r="K19" s="25"/>
      <c r="L19" s="25"/>
      <c r="M19" s="25"/>
      <c r="N19" s="25"/>
      <c r="T19" s="25"/>
    </row>
    <row r="20" spans="1:20" x14ac:dyDescent="0.3"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T20" s="25"/>
    </row>
    <row r="21" spans="1:20" x14ac:dyDescent="0.3">
      <c r="C21" s="25"/>
      <c r="D21" s="25"/>
      <c r="E21" s="25"/>
      <c r="F21" s="153"/>
      <c r="G21" s="25"/>
      <c r="H21" s="25"/>
      <c r="I21" s="25"/>
      <c r="J21" s="25"/>
      <c r="K21" s="25"/>
      <c r="L21" s="25"/>
      <c r="M21" s="25"/>
      <c r="N21" s="25"/>
      <c r="T21" s="25"/>
    </row>
    <row r="22" spans="1:20" x14ac:dyDescent="0.3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T22" s="25"/>
    </row>
  </sheetData>
  <printOptions horizontalCentered="1"/>
  <pageMargins left="0.7" right="0.7" top="0.75" bottom="0.75" header="0.3" footer="0.3"/>
  <pageSetup scale="57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9"/>
  <sheetViews>
    <sheetView view="pageLayout" zoomScale="85" zoomScaleNormal="100" zoomScalePageLayoutView="85" workbookViewId="0">
      <selection activeCell="K11" sqref="K11"/>
    </sheetView>
  </sheetViews>
  <sheetFormatPr defaultRowHeight="14.4" x14ac:dyDescent="0.3"/>
  <cols>
    <col min="1" max="1" width="8.33203125" bestFit="1" customWidth="1"/>
    <col min="2" max="2" width="4.5546875" customWidth="1"/>
    <col min="3" max="3" width="6.5546875" customWidth="1"/>
    <col min="4" max="4" width="43" customWidth="1"/>
    <col min="5" max="5" width="7.5546875" customWidth="1"/>
    <col min="6" max="6" width="24.109375" customWidth="1"/>
    <col min="7" max="7" width="1.33203125" customWidth="1"/>
    <col min="8" max="8" width="10.6640625" customWidth="1"/>
    <col min="10" max="10" width="13.6640625" bestFit="1" customWidth="1"/>
    <col min="11" max="11" width="11.5546875" bestFit="1" customWidth="1"/>
  </cols>
  <sheetData>
    <row r="1" spans="1:12" x14ac:dyDescent="0.3">
      <c r="A1" s="4"/>
      <c r="E1" s="4"/>
      <c r="F1" s="4"/>
      <c r="G1" s="4"/>
      <c r="H1" s="4"/>
      <c r="I1" s="4"/>
    </row>
    <row r="2" spans="1:12" x14ac:dyDescent="0.3">
      <c r="A2" s="58" t="str">
        <f>'Sch 1.0'!A2:J2</f>
        <v>Duke Energy Kentucky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2" x14ac:dyDescent="0.3">
      <c r="A3" s="58" t="str">
        <f>'Sch 1.0'!A3:J3</f>
        <v>Pipeline Modernization Mechanism ("Rider PMM")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2" x14ac:dyDescent="0.3">
      <c r="A4" s="58" t="s">
        <v>227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2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">
      <c r="A6" s="3" t="s">
        <v>123</v>
      </c>
      <c r="B6" s="7"/>
      <c r="C6" s="7"/>
      <c r="F6" s="3" t="s">
        <v>127</v>
      </c>
      <c r="G6" s="3"/>
      <c r="H6" s="3"/>
      <c r="I6" s="4"/>
    </row>
    <row r="7" spans="1:12" x14ac:dyDescent="0.3">
      <c r="A7" s="8" t="s">
        <v>124</v>
      </c>
      <c r="B7" s="9"/>
      <c r="C7" s="9"/>
      <c r="F7" s="167" t="s">
        <v>228</v>
      </c>
      <c r="G7" s="167"/>
      <c r="H7" s="8" t="s">
        <v>21</v>
      </c>
    </row>
    <row r="8" spans="1:12" x14ac:dyDescent="0.3">
      <c r="A8" s="9"/>
      <c r="B8" s="219" t="s">
        <v>62</v>
      </c>
      <c r="C8" s="219"/>
      <c r="D8" s="219"/>
      <c r="F8" s="3" t="s">
        <v>63</v>
      </c>
      <c r="G8" s="3"/>
      <c r="H8" s="3" t="s">
        <v>65</v>
      </c>
    </row>
    <row r="10" spans="1:12" x14ac:dyDescent="0.3">
      <c r="B10" s="7" t="s">
        <v>22</v>
      </c>
    </row>
    <row r="11" spans="1:12" x14ac:dyDescent="0.3">
      <c r="B11" s="9" t="s">
        <v>23</v>
      </c>
    </row>
    <row r="12" spans="1:12" x14ac:dyDescent="0.3">
      <c r="A12" s="4">
        <v>1</v>
      </c>
      <c r="C12" t="s">
        <v>131</v>
      </c>
      <c r="F12" s="81">
        <f>'Sch 4.5'!E29-'Sch 4.5'!G29</f>
        <v>113442657</v>
      </c>
      <c r="G12" s="21"/>
      <c r="H12" t="s">
        <v>140</v>
      </c>
    </row>
    <row r="13" spans="1:12" x14ac:dyDescent="0.3">
      <c r="A13" s="4"/>
      <c r="F13" s="21"/>
      <c r="G13" s="21"/>
    </row>
    <row r="14" spans="1:12" x14ac:dyDescent="0.3">
      <c r="A14" s="4">
        <f>A12+1</f>
        <v>2</v>
      </c>
      <c r="C14" t="s">
        <v>24</v>
      </c>
      <c r="F14" s="80">
        <f>'Sch 4.5'!I29</f>
        <v>2148720</v>
      </c>
      <c r="G14" s="22"/>
      <c r="H14" t="s">
        <v>140</v>
      </c>
    </row>
    <row r="15" spans="1:12" x14ac:dyDescent="0.3">
      <c r="A15" s="4">
        <f t="shared" ref="A15:A20" si="0">A14+1</f>
        <v>3</v>
      </c>
      <c r="C15" t="s">
        <v>25</v>
      </c>
      <c r="F15" s="63">
        <f>-'Sch 4.3'!R46</f>
        <v>-754046.76923076925</v>
      </c>
      <c r="G15" s="52"/>
      <c r="H15" s="38" t="s">
        <v>141</v>
      </c>
    </row>
    <row r="16" spans="1:12" x14ac:dyDescent="0.3">
      <c r="A16" s="4">
        <f t="shared" si="0"/>
        <v>4</v>
      </c>
      <c r="D16" t="s">
        <v>26</v>
      </c>
      <c r="F16" s="79">
        <f>SUM(F12:F15)</f>
        <v>114837330.23076923</v>
      </c>
      <c r="G16" s="1"/>
    </row>
    <row r="17" spans="1:13" x14ac:dyDescent="0.3">
      <c r="A17" s="4">
        <f t="shared" si="0"/>
        <v>5</v>
      </c>
      <c r="C17" t="s">
        <v>113</v>
      </c>
      <c r="F17" s="63">
        <f>-'Sch 4.4'!Q53</f>
        <v>-3897298.0639791652</v>
      </c>
      <c r="G17" s="52"/>
      <c r="H17" t="s">
        <v>142</v>
      </c>
    </row>
    <row r="18" spans="1:13" x14ac:dyDescent="0.3">
      <c r="A18" s="4">
        <f t="shared" si="0"/>
        <v>6</v>
      </c>
      <c r="D18" t="s">
        <v>28</v>
      </c>
      <c r="F18" s="79">
        <f>SUM(F16:F17)</f>
        <v>110940032.16679007</v>
      </c>
      <c r="G18" s="1"/>
      <c r="H18" t="s">
        <v>36</v>
      </c>
    </row>
    <row r="19" spans="1:13" x14ac:dyDescent="0.3">
      <c r="A19" s="4">
        <f t="shared" si="0"/>
        <v>7</v>
      </c>
      <c r="C19" t="s">
        <v>29</v>
      </c>
      <c r="F19" s="51">
        <f>'Sch 4.2'!F13</f>
        <v>8.0869999999999997E-2</v>
      </c>
      <c r="G19" s="51"/>
      <c r="H19" t="s">
        <v>143</v>
      </c>
    </row>
    <row r="20" spans="1:13" x14ac:dyDescent="0.3">
      <c r="A20" s="4">
        <f t="shared" si="0"/>
        <v>8</v>
      </c>
      <c r="C20" t="s">
        <v>132</v>
      </c>
      <c r="F20" s="43">
        <f>ROUND(F18*F19,0)</f>
        <v>8971720</v>
      </c>
      <c r="G20" s="47"/>
      <c r="H20" t="s">
        <v>37</v>
      </c>
    </row>
    <row r="22" spans="1:13" x14ac:dyDescent="0.3">
      <c r="B22" s="9" t="s">
        <v>30</v>
      </c>
    </row>
    <row r="23" spans="1:13" x14ac:dyDescent="0.3">
      <c r="A23" s="4">
        <f>A20+1</f>
        <v>9</v>
      </c>
      <c r="C23" t="s">
        <v>31</v>
      </c>
      <c r="F23" s="163">
        <f>SUM('Sch 4.3'!F38:Q38)-SUM('Sch 4.3'!F44:Q44)</f>
        <v>1616339</v>
      </c>
      <c r="G23" s="44"/>
      <c r="H23" t="s">
        <v>141</v>
      </c>
    </row>
    <row r="24" spans="1:13" x14ac:dyDescent="0.3">
      <c r="A24" s="4">
        <f>A23+1</f>
        <v>10</v>
      </c>
      <c r="C24" t="s">
        <v>32</v>
      </c>
      <c r="F24" s="79">
        <f>ROUND(F16*I24,0)</f>
        <v>1456114</v>
      </c>
      <c r="G24" s="1"/>
      <c r="H24" t="s">
        <v>72</v>
      </c>
      <c r="I24" s="133">
        <v>1.26798E-2</v>
      </c>
    </row>
    <row r="25" spans="1:13" x14ac:dyDescent="0.3">
      <c r="A25" s="4">
        <f>A24+1</f>
        <v>11</v>
      </c>
      <c r="C25" t="s">
        <v>33</v>
      </c>
      <c r="F25" s="83">
        <f>ROUND(SUM(F20:F24)*(0.001302/(1-0.001302)),0)</f>
        <v>15702</v>
      </c>
      <c r="G25" s="61"/>
      <c r="H25" t="s">
        <v>251</v>
      </c>
      <c r="M25" s="135"/>
    </row>
    <row r="26" spans="1:13" x14ac:dyDescent="0.3">
      <c r="A26" s="4">
        <f>A25+1</f>
        <v>12</v>
      </c>
      <c r="C26" t="s">
        <v>34</v>
      </c>
      <c r="F26" s="46">
        <f>SUM(F23:F25)</f>
        <v>3088155</v>
      </c>
      <c r="G26" s="46"/>
      <c r="H26" t="s">
        <v>38</v>
      </c>
    </row>
    <row r="28" spans="1:13" ht="15" thickBot="1" x14ac:dyDescent="0.35">
      <c r="A28" s="4">
        <f>A26+1</f>
        <v>13</v>
      </c>
      <c r="B28" s="9" t="s">
        <v>35</v>
      </c>
      <c r="F28" s="45">
        <f>F20+F26</f>
        <v>12059875</v>
      </c>
      <c r="G28" s="46"/>
      <c r="H28" t="s">
        <v>39</v>
      </c>
    </row>
    <row r="30" spans="1:13" x14ac:dyDescent="0.3">
      <c r="A30" s="4">
        <f>+A28+1</f>
        <v>14</v>
      </c>
      <c r="D30" t="s">
        <v>117</v>
      </c>
      <c r="F30" s="209">
        <v>-565998.79</v>
      </c>
      <c r="G30" s="39"/>
    </row>
    <row r="31" spans="1:13" x14ac:dyDescent="0.3">
      <c r="A31" s="4">
        <f>+A30+1</f>
        <v>15</v>
      </c>
      <c r="D31" t="s">
        <v>118</v>
      </c>
      <c r="F31" s="46">
        <f>F28+F30</f>
        <v>11493876.210000001</v>
      </c>
      <c r="G31" s="46"/>
    </row>
    <row r="33" spans="1:8" x14ac:dyDescent="0.3">
      <c r="A33" s="4">
        <f>+A31+1</f>
        <v>16</v>
      </c>
      <c r="D33" t="s">
        <v>240</v>
      </c>
      <c r="F33" s="208">
        <v>9475716.0099999998</v>
      </c>
      <c r="G33" s="29"/>
      <c r="H33" s="135"/>
    </row>
    <row r="34" spans="1:8" ht="15" thickBot="1" x14ac:dyDescent="0.35">
      <c r="A34" s="4">
        <f>+A33+1</f>
        <v>17</v>
      </c>
      <c r="D34" t="s">
        <v>119</v>
      </c>
      <c r="F34" s="50">
        <f>F31-F33</f>
        <v>2018160.2000000011</v>
      </c>
      <c r="G34" s="46"/>
    </row>
    <row r="35" spans="1:8" ht="15" thickTop="1" x14ac:dyDescent="0.3"/>
    <row r="36" spans="1:8" x14ac:dyDescent="0.3">
      <c r="A36" s="4" t="s">
        <v>40</v>
      </c>
    </row>
    <row r="37" spans="1:8" x14ac:dyDescent="0.3">
      <c r="A37" t="str">
        <f>"(1) In Case No. 2024-00191, Property taxes using an effective rate of "&amp;TEXT(I24,"0.00000%")</f>
        <v>(1) In Case No. 2024-00191, Property taxes using an effective rate of 1.26798%</v>
      </c>
    </row>
    <row r="38" spans="1:8" x14ac:dyDescent="0.3">
      <c r="A38" t="s">
        <v>252</v>
      </c>
    </row>
    <row r="39" spans="1:8" x14ac:dyDescent="0.3">
      <c r="A39" s="38" t="s">
        <v>214</v>
      </c>
    </row>
  </sheetData>
  <mergeCells count="1">
    <mergeCell ref="B8:D8"/>
  </mergeCells>
  <printOptions horizontalCentered="1"/>
  <pageMargins left="0.7" right="0.7" top="0.94117647058823528" bottom="0.75" header="0.3" footer="0.3"/>
  <pageSetup scale="80" orientation="landscape" r:id="rId1"/>
  <headerFooter>
    <oddHeader xml:space="preserve">&amp;R&amp;"Times New Roman,Bold"&amp;10KyPSC Case No. 2026-00162
STAFF-DR-01-001 Attachment 1
&amp;A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230FD20809D74E8F47318A06C32C34" ma:contentTypeVersion="4" ma:contentTypeDescription="Create a new document." ma:contentTypeScope="" ma:versionID="3f4e3d7d665e4068717df4a733d106d1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>Jay Brown</Witness>
  </documentManagement>
</p:properties>
</file>

<file path=customXml/itemProps1.xml><?xml version="1.0" encoding="utf-8"?>
<ds:datastoreItem xmlns:ds="http://schemas.openxmlformats.org/officeDocument/2006/customXml" ds:itemID="{E39F3C06-5B04-44A4-9E4F-1A5D94682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3057B4-69D3-4069-B30D-5F17219052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748DDD-DC92-4F63-B872-3AA677AFB883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2612a682-5ffb-4b9c-9555-017618935178"/>
    <ds:schemaRef ds:uri="http://schemas.openxmlformats.org/package/2006/metadata/core-properties"/>
    <ds:schemaRef ds:uri="http://schemas.microsoft.com/office/infopath/2007/PartnerControls"/>
    <ds:schemaRef ds:uri="3c9d8c27-8a6d-4d9e-a15e-ef5d28c114a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 Summary</vt:lpstr>
      <vt:lpstr>Sch 1.0</vt:lpstr>
      <vt:lpstr>Sch 1.1</vt:lpstr>
      <vt:lpstr>Sch 1.2</vt:lpstr>
      <vt:lpstr>Sch 2.0</vt:lpstr>
      <vt:lpstr>Sch 2.1</vt:lpstr>
      <vt:lpstr>Sch 2.2</vt:lpstr>
      <vt:lpstr>Sch 3.0</vt:lpstr>
      <vt:lpstr>Sch 4.1</vt:lpstr>
      <vt:lpstr>Sch 4.2</vt:lpstr>
      <vt:lpstr>Sch 4.3</vt:lpstr>
      <vt:lpstr>Sch 4.4</vt:lpstr>
      <vt:lpstr>Sch 4.5</vt:lpstr>
      <vt:lpstr>Sch 4.6</vt:lpstr>
      <vt:lpstr>'Sch 2.0'!Print_Area</vt:lpstr>
      <vt:lpstr>'Sch 2.1'!Print_Area</vt:lpstr>
      <vt:lpstr>'Sch 2.2'!Print_Area</vt:lpstr>
      <vt:lpstr>'Sch 3.0'!Print_Area</vt:lpstr>
      <vt:lpstr>'Sch 4.3'!Print_Area</vt:lpstr>
      <vt:lpstr>'Sch 4.4'!Print_Area</vt:lpstr>
      <vt:lpstr>'Sch 4.5'!Print_Area</vt:lpstr>
      <vt:lpstr>'Sch 4.6'!Print_Area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2026 PMM Filing</dc:subject>
  <dc:creator>Shoemaker, Joe</dc:creator>
  <cp:lastModifiedBy>Vaysman, Larisa</cp:lastModifiedBy>
  <cp:lastPrinted>2026-08-19T16:32:03Z</cp:lastPrinted>
  <dcterms:created xsi:type="dcterms:W3CDTF">2015-04-22T13:48:09Z</dcterms:created>
  <dcterms:modified xsi:type="dcterms:W3CDTF">2026-08-25T17:31:50Z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0x01010041230FD20809D74E8F47318A06C32C34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a89be057-b751-42b3-9c6c-4039cb60262e_Enabled">
    <vt:lpwstr>true</vt:lpwstr>
  </property>
  <property fmtid="{D5CDD505-2E9C-101B-9397-08002B2CF9AE}" pid="6" name="MSIP_Label_a89be057-b751-42b3-9c6c-4039cb60262e_SetDate">
    <vt:lpwstr>2025-10-29T17:56:23Z</vt:lpwstr>
  </property>
  <property fmtid="{D5CDD505-2E9C-101B-9397-08002B2CF9AE}" pid="7" name="MSIP_Label_a89be057-b751-42b3-9c6c-4039cb60262e_Method">
    <vt:lpwstr>Standard</vt:lpwstr>
  </property>
  <property fmtid="{D5CDD505-2E9C-101B-9397-08002B2CF9AE}" pid="8" name="MSIP_Label_a89be057-b751-42b3-9c6c-4039cb60262e_Name">
    <vt:lpwstr>Internal</vt:lpwstr>
  </property>
  <property fmtid="{D5CDD505-2E9C-101B-9397-08002B2CF9AE}" pid="9" name="MSIP_Label_a89be057-b751-42b3-9c6c-4039cb60262e_SiteId">
    <vt:lpwstr>2ede383a-7e1f-4357-a846-85886b2c0c4d</vt:lpwstr>
  </property>
  <property fmtid="{D5CDD505-2E9C-101B-9397-08002B2CF9AE}" pid="10" name="MSIP_Label_a89be057-b751-42b3-9c6c-4039cb60262e_ActionId">
    <vt:lpwstr>c4c0e4bf-6715-4aeb-8638-b61f7e1d8c5a</vt:lpwstr>
  </property>
  <property fmtid="{D5CDD505-2E9C-101B-9397-08002B2CF9AE}" pid="11" name="MSIP_Label_a89be057-b751-42b3-9c6c-4039cb60262e_ContentBits">
    <vt:lpwstr>1</vt:lpwstr>
  </property>
  <property fmtid="{D5CDD505-2E9C-101B-9397-08002B2CF9AE}" pid="12" name="MSIP_Label_a89be057-b751-42b3-9c6c-4039cb60262e_Tag">
    <vt:lpwstr>10, 3, 0, 1</vt:lpwstr>
  </property>
</Properties>
</file>