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Kapoor\Desktop\Ohio Valley Gas\valley gas acquisition\PSC DR1\final\"/>
    </mc:Choice>
  </mc:AlternateContent>
  <xr:revisionPtr revIDLastSave="0" documentId="13_ncr:1_{F70AEBE9-0399-463D-A638-C4E821EACE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" sheetId="1" r:id="rId1"/>
    <sheet name="Inputs" sheetId="2" r:id="rId2"/>
    <sheet name="Calculation" sheetId="3" r:id="rId3"/>
    <sheet name="Source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3" l="1"/>
  <c r="E24" i="3"/>
  <c r="E23" i="3"/>
  <c r="E22" i="3"/>
  <c r="E21" i="3"/>
  <c r="E20" i="3"/>
  <c r="C20" i="3"/>
  <c r="D20" i="3" s="1"/>
  <c r="E19" i="3"/>
  <c r="C19" i="3"/>
  <c r="E18" i="3"/>
  <c r="D17" i="3"/>
  <c r="C17" i="3"/>
  <c r="D16" i="3"/>
  <c r="B29" i="3" s="1"/>
  <c r="C16" i="3"/>
  <c r="F16" i="3" s="1"/>
  <c r="E11" i="3"/>
  <c r="C10" i="3"/>
  <c r="B32" i="3" s="1"/>
  <c r="E9" i="3"/>
  <c r="C9" i="3"/>
  <c r="B13" i="1" l="1"/>
  <c r="F17" i="3"/>
  <c r="D10" i="3"/>
  <c r="F10" i="3" s="1"/>
  <c r="E16" i="3"/>
  <c r="E10" i="3"/>
  <c r="B9" i="1"/>
  <c r="F20" i="3"/>
  <c r="B10" i="1"/>
  <c r="C11" i="3"/>
  <c r="F11" i="3" s="1"/>
  <c r="E17" i="3"/>
  <c r="D12" i="3"/>
  <c r="C18" i="3"/>
  <c r="C12" i="3"/>
  <c r="E12" i="3"/>
  <c r="D9" i="3"/>
  <c r="F9" i="3" s="1"/>
  <c r="D19" i="3"/>
  <c r="F19" i="3" s="1"/>
  <c r="B31" i="3"/>
  <c r="B30" i="3" l="1"/>
  <c r="B11" i="1"/>
  <c r="B12" i="1"/>
  <c r="D11" i="3"/>
  <c r="C22" i="3"/>
  <c r="C21" i="3"/>
  <c r="F12" i="3"/>
  <c r="D22" i="3" l="1"/>
  <c r="F22" i="3" s="1"/>
  <c r="B33" i="3"/>
  <c r="B14" i="1"/>
  <c r="D18" i="3"/>
  <c r="F18" i="3" s="1"/>
  <c r="C24" i="3"/>
  <c r="C23" i="3"/>
  <c r="D24" i="3" l="1"/>
  <c r="F24" i="3" s="1"/>
  <c r="B34" i="3"/>
  <c r="B15" i="1"/>
  <c r="D23" i="3"/>
  <c r="F23" i="3" s="1"/>
  <c r="C25" i="3"/>
  <c r="D21" i="3"/>
  <c r="F21" i="3" s="1"/>
  <c r="D25" i="3" l="1"/>
  <c r="F25" i="3" s="1"/>
</calcChain>
</file>

<file path=xl/sharedStrings.xml><?xml version="1.0" encoding="utf-8"?>
<sst xmlns="http://schemas.openxmlformats.org/spreadsheetml/2006/main" count="210" uniqueCount="147">
  <si>
    <t>OVG DR 17 - Response Summary and Workpaper</t>
  </si>
  <si>
    <t>Key Calculated Amounts</t>
  </si>
  <si>
    <t>Metric</t>
  </si>
  <si>
    <t>Amount</t>
  </si>
  <si>
    <t>Basis</t>
  </si>
  <si>
    <t>Response Use</t>
  </si>
  <si>
    <t>Valley territory annual operating revenue</t>
  </si>
  <si>
    <t>2025 Annual Report</t>
  </si>
  <si>
    <t>Shows revenue generated by Valley system</t>
  </si>
  <si>
    <t>Valley annual operating expenses</t>
  </si>
  <si>
    <t>Shows cost to operate the system in 2025</t>
  </si>
  <si>
    <t>Operating costs funded by Valley territory revenue</t>
  </si>
  <si>
    <t>Lesser of annual revenue or annual operating expenses</t>
  </si>
  <si>
    <t>Supports statement that 2025 operating costs were fully funded by Valley revenues</t>
  </si>
  <si>
    <t>Net operating income</t>
  </si>
  <si>
    <t>Revenue less operating expenses</t>
  </si>
  <si>
    <t>Demonstrates reported revenue exceeded reported operating expenses</t>
  </si>
  <si>
    <t>Purchase price funded at closing by Valley territory revenue</t>
  </si>
  <si>
    <t>OVG funds closing from corporate cash/LOC; not customer revenue at closing</t>
  </si>
  <si>
    <t>Clarifies funding source</t>
  </si>
  <si>
    <t>Acquisition premium annual amortization</t>
  </si>
  <si>
    <t>Purchase price less NBV, amortized over 10 years</t>
  </si>
  <si>
    <t>Illustrative recovery from Valley customers if approved</t>
  </si>
  <si>
    <t>Total GPAA annual amortization before return</t>
  </si>
  <si>
    <t>Acquisition premium + transaction/regulatory costs, amortized over 10 years</t>
  </si>
  <si>
    <t>Draft Narrative Points for DR 17</t>
  </si>
  <si>
    <t>Point</t>
  </si>
  <si>
    <t>Suggested Text</t>
  </si>
  <si>
    <t>Funding at closing</t>
  </si>
  <si>
    <t>The purchase price will be funded at closing by OVG through corporate funds, including existing cash from operations and/or its operating line of credit, and not through pre-closing Valley Gas service territory revenues.</t>
  </si>
  <si>
    <t>Operating cost support</t>
  </si>
  <si>
    <t>Based on Valley Gas's 2025 Annual Report, the Valley Gas service territory generated $381,274.39 in annual operating revenues and incurred $336,348.14 in annual operating expenses. On that historical basis, revenues from the Valley Gas service territory funded 100% of reported annual operating expenses, with $44,926.25 of net operating income.</t>
  </si>
  <si>
    <t>Post-close recovery</t>
  </si>
  <si>
    <t>Subject to Commission approval, OVG seeks to recover the acquisition premium and related GPAA components from Valley Gas customers through Valley Gas rates over a 10-year period, with a return as approved by the Commission.</t>
  </si>
  <si>
    <t>Tracking</t>
  </si>
  <si>
    <t>After closing, OVG will maintain separate Kentucky system records and will track Valley Gas revenues, operating costs, capital additions, and any approved acquisition adjustment recovery separately.</t>
  </si>
  <si>
    <t>OVG DR 17 - Valley Gas Revenue Support Inputs</t>
  </si>
  <si>
    <t>Hardcoded input cells are shown in blue. Formula-linked cells are shown in green/black. Update blue cells only if final source data changes.</t>
  </si>
  <si>
    <t>Input Category</t>
  </si>
  <si>
    <t>Description</t>
  </si>
  <si>
    <t>Value</t>
  </si>
  <si>
    <t>Units</t>
  </si>
  <si>
    <t>Source / Note</t>
  </si>
  <si>
    <t>Used In</t>
  </si>
  <si>
    <t>Transaction</t>
  </si>
  <si>
    <t>Base purchase price</t>
  </si>
  <si>
    <t>$</t>
  </si>
  <si>
    <t>Joint Application / APA base purchase price</t>
  </si>
  <si>
    <t>Purchase price funding</t>
  </si>
  <si>
    <t>Utility plant-in-service</t>
  </si>
  <si>
    <t>Valley Gas 2025 Annual Report</t>
  </si>
  <si>
    <t>NBV calculation</t>
  </si>
  <si>
    <t>Accumulated depreciation</t>
  </si>
  <si>
    <t>Transaction costs</t>
  </si>
  <si>
    <t>GPAA total</t>
  </si>
  <si>
    <t>Regulatory process costs</t>
  </si>
  <si>
    <t>Revenue / Ops</t>
  </si>
  <si>
    <t>Total gas operating revenue</t>
  </si>
  <si>
    <t>$/year</t>
  </si>
  <si>
    <t>Operating support</t>
  </si>
  <si>
    <t>Total operating expenses</t>
  </si>
  <si>
    <t>Tie-out check</t>
  </si>
  <si>
    <t>Customers</t>
  </si>
  <si>
    <t>Total customers</t>
  </si>
  <si>
    <t>customers</t>
  </si>
  <si>
    <t>Per-customer calculations</t>
  </si>
  <si>
    <t>Residential customers</t>
  </si>
  <si>
    <t>Reference only</t>
  </si>
  <si>
    <t>Commercial / industrial customers</t>
  </si>
  <si>
    <t>Recovery</t>
  </si>
  <si>
    <t>Illustrative amortization period</t>
  </si>
  <si>
    <t>years</t>
  </si>
  <si>
    <t>Joint Application requests 10-year GPAA recovery period</t>
  </si>
  <si>
    <t>Rate impact</t>
  </si>
  <si>
    <t>Return component included?</t>
  </si>
  <si>
    <t>No</t>
  </si>
  <si>
    <t>Yes/No</t>
  </si>
  <si>
    <t>Illustrative annual amortization only; return addressed separately</t>
  </si>
  <si>
    <t>OVG DR 17 - Calculation of Valley Territory Revenue Support</t>
  </si>
  <si>
    <t>This workpaper calculates the amounts of purchase price / acquisition-related recovery and system operating cost supported by revenues generated from the Valley Gas service territory.</t>
  </si>
  <si>
    <t>A. Operating Cost Support Based on 2025 Annual Report</t>
  </si>
  <si>
    <t>Formula / Basis</t>
  </si>
  <si>
    <t>Annual Revenue Support</t>
  </si>
  <si>
    <t>Unfunded by Territory Revenue</t>
  </si>
  <si>
    <t>Percent Funded by Territory Revenue</t>
  </si>
  <si>
    <t>Notes</t>
  </si>
  <si>
    <t>Input</t>
  </si>
  <si>
    <t>Revenue generated from Valley Gas service territory</t>
  </si>
  <si>
    <t>Annual operating expense base in 2025 Annual Report</t>
  </si>
  <si>
    <t>Check to Annual Report NOI</t>
  </si>
  <si>
    <t>Portion of operating expenses funded by Valley revenues</t>
  </si>
  <si>
    <t>Lesser of revenue or expenses</t>
  </si>
  <si>
    <t>If revenue exceeds expenses, 100% funded by territory revenue</t>
  </si>
  <si>
    <t>B. Purchase Price and GPAA Recovery Support</t>
  </si>
  <si>
    <t>Paid at closing from OVG funds/cash/LOC; not from pre-closing Valley customer revenues</t>
  </si>
  <si>
    <t>Net book value of utility plant</t>
  </si>
  <si>
    <t>Utility plant less accumulated depreciation</t>
  </si>
  <si>
    <t>Reported original utility plant net of accumulated depreciation</t>
  </si>
  <si>
    <t>Acquisition premium</t>
  </si>
  <si>
    <t>Purchase price less net book value</t>
  </si>
  <si>
    <t>Primary purchase-price component proposed for GPAA recovery</t>
  </si>
  <si>
    <t>Included in requested GPAA components; verify final schedule</t>
  </si>
  <si>
    <t>Total GPAA components</t>
  </si>
  <si>
    <t>Acquisition premium + transaction costs + regulatory costs</t>
  </si>
  <si>
    <t>Before return component</t>
  </si>
  <si>
    <t>Annual GPAA amortization - acquisition premium only</t>
  </si>
  <si>
    <t>Acquisition premium / 10 years</t>
  </si>
  <si>
    <t>Matches approximately $12.90/month/customer using ~470-471 customers</t>
  </si>
  <si>
    <t>Annual GPAA amortization - all components</t>
  </si>
  <si>
    <t>Total GPAA / 10 years</t>
  </si>
  <si>
    <t>Illustrative only; return not included</t>
  </si>
  <si>
    <t>Monthly per customer - acquisition premium only</t>
  </si>
  <si>
    <t>Annual premium amortization / customers / 12</t>
  </si>
  <si>
    <t>Illustrative average per customer before return</t>
  </si>
  <si>
    <t>Monthly per customer - all components</t>
  </si>
  <si>
    <t>Annual all-component amortization / customers / 12</t>
  </si>
  <si>
    <t>C. Summary for DR 17 Response</t>
  </si>
  <si>
    <t>Question</t>
  </si>
  <si>
    <t>Calculated Response</t>
  </si>
  <si>
    <t>Amount of purchase price funded at closing by Valley territory revenue</t>
  </si>
  <si>
    <t>Amount of annual operating costs funded by Valley territory revenue, based on 2025 Annual Report</t>
  </si>
  <si>
    <t>Annual revenue generated by Valley territory, based on 2025 Annual Report</t>
  </si>
  <si>
    <t>Annual reported operating expenses, based on 2025 Annual Report</t>
  </si>
  <si>
    <t>Annual GPAA amortization supported by Valley territory revenue if approved - acquisition premium only</t>
  </si>
  <si>
    <t>Annual GPAA amortization supported by Valley territory revenue if approved - all GPAA components before return</t>
  </si>
  <si>
    <t>Sources and Filing References</t>
  </si>
  <si>
    <t>Source</t>
  </si>
  <si>
    <t>Data / Reference Used</t>
  </si>
  <si>
    <t>Document Location</t>
  </si>
  <si>
    <t>Verified Joint Application</t>
  </si>
  <si>
    <t>Purchase price $800,000; GPAA components; 10-year recovery request; OVG funding description</t>
  </si>
  <si>
    <t>Application pages 4, 11, 14-15</t>
  </si>
  <si>
    <t>Use application and APA for purchase price and recovery request support.</t>
  </si>
  <si>
    <t>Operating revenue, operating expenses, net operating income, customer count, utility plant and depreciation support</t>
  </si>
  <si>
    <t>Annual Report pages / schedules supporting income statement and balance sheet</t>
  </si>
  <si>
    <t>Scanned PDF; verify numbers against final official report before filing.</t>
  </si>
  <si>
    <t>Asset Purchase Agreement</t>
  </si>
  <si>
    <t>Base purchase price and closing purchase price mechanics</t>
  </si>
  <si>
    <t>Joint Application Exhibit 2</t>
  </si>
  <si>
    <t>Purchase price subject to closing and post-closing adjustments.</t>
  </si>
  <si>
    <t>OVG DR 17 Request</t>
  </si>
  <si>
    <t>Explain amounts of purchase price and cost of operating Valley Gas system funded by Valley service territory revenue; provide Excel workpaper</t>
  </si>
  <si>
    <t>Commission Staff First Request for Information to OVG, DR 17</t>
  </si>
  <si>
    <t>Response should be consistent with DR 18-20 on GPAA components and WACC.</t>
  </si>
  <si>
    <t>Joint Application GPAA components</t>
  </si>
  <si>
    <t>Ohio Valley Gas Corporation</t>
  </si>
  <si>
    <t>PSC Case No. 2026-00120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</si>
</sst>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\$#,##0.00;[Red]\(\$#,##0.00\);\-"/>
  </numFmts>
  <fonts count="7">
    <font>
      <sz val="11"/>
      <name val="Carlito"/>
    </font>
    <font>
      <b/>
      <sz val="14"/>
      <color rgb="FFFFFFFF"/>
      <name val="Carlito"/>
    </font>
    <font>
      <b/>
      <sz val="11"/>
      <color rgb="FFFFFFFF"/>
      <name val="Carlito"/>
    </font>
    <font>
      <sz val="11"/>
      <color rgb="FF0000FF"/>
      <name val="Carlito"/>
    </font>
    <font>
      <b/>
      <sz val="11"/>
      <color rgb="FF000000"/>
      <name val="Carlito"/>
    </font>
    <font>
      <sz val="11"/>
      <color rgb="FF000000"/>
      <name val="Carlito"/>
    </font>
    <font>
      <b/>
      <sz val="11"/>
      <name val="Carlito"/>
    </font>
  </fonts>
  <fills count="5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5B9BD5"/>
      </patternFill>
    </fill>
    <fill>
      <patternFill patternType="solid">
        <fgColor rgb="FFD9EAF7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164" fontId="3" fillId="0" borderId="5" xfId="0" applyNumberFormat="1" applyFont="1" applyBorder="1" applyAlignment="1">
      <alignment wrapText="1"/>
    </xf>
    <xf numFmtId="0" fontId="0" fillId="0" borderId="6" xfId="0" applyBorder="1" applyAlignment="1">
      <alignment wrapText="1"/>
    </xf>
    <xf numFmtId="1" fontId="3" fillId="0" borderId="5" xfId="0" applyNumberFormat="1" applyFont="1" applyBorder="1" applyAlignment="1">
      <alignment wrapText="1"/>
    </xf>
    <xf numFmtId="49" fontId="3" fillId="0" borderId="5" xfId="0" applyNumberFormat="1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49" fontId="3" fillId="0" borderId="8" xfId="0" applyNumberFormat="1" applyFont="1" applyBorder="1" applyAlignment="1">
      <alignment wrapText="1"/>
    </xf>
    <xf numFmtId="0" fontId="0" fillId="0" borderId="9" xfId="0" applyBorder="1" applyAlignment="1">
      <alignment wrapText="1"/>
    </xf>
    <xf numFmtId="165" fontId="0" fillId="0" borderId="5" xfId="0" applyNumberFormat="1" applyBorder="1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165" fontId="0" fillId="0" borderId="8" xfId="0" applyNumberFormat="1" applyBorder="1" applyAlignment="1">
      <alignment wrapText="1"/>
    </xf>
    <xf numFmtId="165" fontId="5" fillId="0" borderId="5" xfId="0" applyNumberFormat="1" applyFont="1" applyBorder="1" applyAlignment="1">
      <alignment wrapText="1"/>
    </xf>
    <xf numFmtId="10" fontId="5" fillId="0" borderId="5" xfId="0" applyNumberFormat="1" applyFont="1" applyBorder="1" applyAlignment="1">
      <alignment wrapText="1"/>
    </xf>
    <xf numFmtId="165" fontId="4" fillId="3" borderId="5" xfId="0" applyNumberFormat="1" applyFont="1" applyFill="1" applyBorder="1" applyAlignment="1">
      <alignment horizontal="center" vertical="center" wrapText="1"/>
    </xf>
    <xf numFmtId="10" fontId="4" fillId="3" borderId="5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165" fontId="5" fillId="0" borderId="8" xfId="0" applyNumberFormat="1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0" xfId="0"/>
    <xf numFmtId="0" fontId="6" fillId="0" borderId="0" xfId="0" applyFont="1" applyAlignment="1">
      <alignment horizontal="center" vertical="top"/>
    </xf>
    <xf numFmtId="0" fontId="1" fillId="2" borderId="0" xfId="0" applyFont="1" applyFill="1" applyAlignment="1">
      <alignment horizontal="left" vertical="center"/>
    </xf>
    <xf numFmtId="0" fontId="0" fillId="0" borderId="0" xfId="0"/>
    <xf numFmtId="0" fontId="0" fillId="0" borderId="0" xfId="0" applyAlignment="1">
      <alignment wrapText="1"/>
    </xf>
    <xf numFmtId="0" fontId="4" fillId="4" borderId="0" xfId="0" applyFont="1" applyFill="1" applyAlignment="1">
      <alignment horizontal="left" vertical="center"/>
    </xf>
    <xf numFmtId="0" fontId="4" fillId="4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wrapText="1"/>
    </xf>
    <xf numFmtId="165" fontId="5" fillId="0" borderId="5" xfId="0" applyNumberFormat="1" applyFont="1" applyBorder="1" applyAlignment="1">
      <alignment wrapText="1"/>
    </xf>
    <xf numFmtId="10" fontId="5" fillId="0" borderId="5" xfId="0" applyNumberFormat="1" applyFont="1" applyBorder="1" applyAlignment="1">
      <alignment wrapText="1"/>
    </xf>
    <xf numFmtId="0" fontId="0" fillId="0" borderId="6" xfId="0" applyBorder="1" applyAlignment="1">
      <alignment wrapText="1"/>
    </xf>
    <xf numFmtId="0" fontId="5" fillId="0" borderId="5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ummaryTable" displayName="SummaryTable" ref="A8:D15">
  <tableColumns count="4">
    <tableColumn id="1" xr3:uid="{00000000-0010-0000-0000-000001000000}" name="Metric"/>
    <tableColumn id="2" xr3:uid="{00000000-0010-0000-0000-000002000000}" name="Amount"/>
    <tableColumn id="3" xr3:uid="{00000000-0010-0000-0000-000003000000}" name="Basis"/>
    <tableColumn id="4" xr3:uid="{00000000-0010-0000-0000-000004000000}" name="Response Us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InputsTable" displayName="InputsTable" ref="A7:F21">
  <tableColumns count="6">
    <tableColumn id="1" xr3:uid="{00000000-0010-0000-0100-000001000000}" name="Input Category"/>
    <tableColumn id="2" xr3:uid="{00000000-0010-0000-0100-000002000000}" name="Description"/>
    <tableColumn id="3" xr3:uid="{00000000-0010-0000-0100-000003000000}" name="Value"/>
    <tableColumn id="4" xr3:uid="{00000000-0010-0000-0100-000004000000}" name="Units"/>
    <tableColumn id="5" xr3:uid="{00000000-0010-0000-0100-000005000000}" name="Source / Note"/>
    <tableColumn id="6" xr3:uid="{00000000-0010-0000-0100-000006000000}" name="Used In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OperatingSupportTable" displayName="OperatingSupportTable" ref="A8:G12">
  <tableColumns count="7">
    <tableColumn id="1" xr3:uid="{00000000-0010-0000-0200-000001000000}" name="Description"/>
    <tableColumn id="2" xr3:uid="{00000000-0010-0000-0200-000002000000}" name="Formula / Basis"/>
    <tableColumn id="3" xr3:uid="{00000000-0010-0000-0200-000003000000}" name="Amount"/>
    <tableColumn id="4" xr3:uid="{00000000-0010-0000-0200-000004000000}" name="Annual Revenue Support"/>
    <tableColumn id="5" xr3:uid="{00000000-0010-0000-0200-000005000000}" name="Unfunded by Territory Revenue"/>
    <tableColumn id="6" xr3:uid="{00000000-0010-0000-0200-000006000000}" name="Percent Funded by Territory Revenue"/>
    <tableColumn id="7" xr3:uid="{00000000-0010-0000-0200-000007000000}" name="Note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GPAARecoveryTable" displayName="GPAARecoveryTable" ref="A15:G25">
  <tableColumns count="7">
    <tableColumn id="1" xr3:uid="{00000000-0010-0000-0300-000001000000}" name="Description"/>
    <tableColumn id="2" xr3:uid="{00000000-0010-0000-0300-000002000000}" name="Formula / Basis"/>
    <tableColumn id="3" xr3:uid="{00000000-0010-0000-0300-000003000000}" name="Amount"/>
    <tableColumn id="4" xr3:uid="{00000000-0010-0000-0300-000004000000}" name="Annual Revenue Support"/>
    <tableColumn id="5" xr3:uid="{00000000-0010-0000-0300-000005000000}" name="Unfunded by Territory Revenue"/>
    <tableColumn id="6" xr3:uid="{00000000-0010-0000-0300-000006000000}" name="Percent Funded by Territory Revenue"/>
    <tableColumn id="7" xr3:uid="{00000000-0010-0000-0300-000007000000}" name="Note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SourcesTable" displayName="SourcesTable" ref="A6:D10">
  <tableColumns count="4">
    <tableColumn id="1" xr3:uid="{00000000-0010-0000-0400-000001000000}" name="Source"/>
    <tableColumn id="2" xr3:uid="{00000000-0010-0000-0400-000002000000}" name="Data / Reference Used"/>
    <tableColumn id="3" xr3:uid="{00000000-0010-0000-0400-000003000000}" name="Document Location"/>
    <tableColumn id="4" xr3:uid="{00000000-0010-0000-0400-000004000000}" name="Not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workbookViewId="0"/>
  </sheetViews>
  <sheetFormatPr defaultRowHeight="14.25"/>
  <cols>
    <col min="1" max="1" width="24" customWidth="1"/>
    <col min="2" max="2" width="92" customWidth="1"/>
    <col min="3" max="4" width="48" customWidth="1"/>
  </cols>
  <sheetData>
    <row r="1" spans="1:6" s="29" customFormat="1" ht="15">
      <c r="B1" s="30" t="s">
        <v>145</v>
      </c>
    </row>
    <row r="2" spans="1:6" s="29" customFormat="1" ht="15">
      <c r="B2" s="30" t="s">
        <v>146</v>
      </c>
    </row>
    <row r="3" spans="1:6" s="29" customFormat="1"/>
    <row r="4" spans="1:6" ht="24" customHeight="1">
      <c r="A4" s="31" t="s">
        <v>0</v>
      </c>
      <c r="B4" s="32"/>
      <c r="C4" s="32"/>
      <c r="D4" s="32"/>
      <c r="E4" s="32"/>
      <c r="F4" s="32"/>
    </row>
    <row r="5" spans="1:6" ht="36" customHeight="1">
      <c r="A5" s="33"/>
      <c r="B5" s="32"/>
      <c r="C5" s="32"/>
      <c r="D5" s="32"/>
      <c r="E5" s="32"/>
      <c r="F5" s="32"/>
    </row>
    <row r="7" spans="1:6" ht="15">
      <c r="A7" s="34" t="s">
        <v>1</v>
      </c>
      <c r="B7" s="32"/>
      <c r="C7" s="32"/>
      <c r="D7" s="32"/>
      <c r="E7" s="32"/>
      <c r="F7" s="32"/>
    </row>
    <row r="8" spans="1:6" ht="15">
      <c r="A8" s="1" t="s">
        <v>2</v>
      </c>
      <c r="B8" s="2" t="s">
        <v>3</v>
      </c>
      <c r="C8" s="2" t="s">
        <v>4</v>
      </c>
      <c r="D8" s="3" t="s">
        <v>5</v>
      </c>
    </row>
    <row r="9" spans="1:6" ht="28.5">
      <c r="A9" s="4" t="s">
        <v>6</v>
      </c>
      <c r="B9" s="14">
        <f>Calculation!C9</f>
        <v>381274.39</v>
      </c>
      <c r="C9" s="5" t="s">
        <v>7</v>
      </c>
      <c r="D9" s="7" t="s">
        <v>8</v>
      </c>
    </row>
    <row r="10" spans="1:6" ht="28.5">
      <c r="A10" s="4" t="s">
        <v>9</v>
      </c>
      <c r="B10" s="14">
        <f>Calculation!C10</f>
        <v>336348.14</v>
      </c>
      <c r="C10" s="5" t="s">
        <v>7</v>
      </c>
      <c r="D10" s="7" t="s">
        <v>10</v>
      </c>
    </row>
    <row r="11" spans="1:6" ht="28.5">
      <c r="A11" s="4" t="s">
        <v>11</v>
      </c>
      <c r="B11" s="14">
        <f>Calculation!D12</f>
        <v>336348.14</v>
      </c>
      <c r="C11" s="5" t="s">
        <v>12</v>
      </c>
      <c r="D11" s="7" t="s">
        <v>13</v>
      </c>
    </row>
    <row r="12" spans="1:6" ht="28.5">
      <c r="A12" s="4" t="s">
        <v>14</v>
      </c>
      <c r="B12" s="14">
        <f>Calculation!C11</f>
        <v>44926.25</v>
      </c>
      <c r="C12" s="5" t="s">
        <v>15</v>
      </c>
      <c r="D12" s="7" t="s">
        <v>16</v>
      </c>
    </row>
    <row r="13" spans="1:6" ht="42.75">
      <c r="A13" s="4" t="s">
        <v>17</v>
      </c>
      <c r="B13" s="14">
        <f>Calculation!D16</f>
        <v>0</v>
      </c>
      <c r="C13" s="5" t="s">
        <v>18</v>
      </c>
      <c r="D13" s="7" t="s">
        <v>19</v>
      </c>
    </row>
    <row r="14" spans="1:6" ht="28.5">
      <c r="A14" s="4" t="s">
        <v>20</v>
      </c>
      <c r="B14" s="14">
        <f>Calculation!C22</f>
        <v>72767.686000000002</v>
      </c>
      <c r="C14" s="5" t="s">
        <v>21</v>
      </c>
      <c r="D14" s="7" t="s">
        <v>22</v>
      </c>
    </row>
    <row r="15" spans="1:6" ht="28.5">
      <c r="A15" s="10" t="s">
        <v>23</v>
      </c>
      <c r="B15" s="18">
        <f>Calculation!C23</f>
        <v>87095.236000000004</v>
      </c>
      <c r="C15" s="11" t="s">
        <v>24</v>
      </c>
      <c r="D15" s="13" t="s">
        <v>22</v>
      </c>
    </row>
    <row r="18" spans="1:6" ht="15">
      <c r="A18" s="34" t="s">
        <v>25</v>
      </c>
      <c r="B18" s="32"/>
      <c r="C18" s="32"/>
      <c r="D18" s="32"/>
      <c r="E18" s="32"/>
      <c r="F18" s="32"/>
    </row>
    <row r="19" spans="1:6" ht="15">
      <c r="A19" s="1" t="s">
        <v>26</v>
      </c>
      <c r="B19" s="3" t="s">
        <v>27</v>
      </c>
    </row>
    <row r="20" spans="1:6" ht="28.5">
      <c r="A20" s="4" t="s">
        <v>28</v>
      </c>
      <c r="B20" s="7" t="s">
        <v>29</v>
      </c>
    </row>
    <row r="21" spans="1:6" ht="57">
      <c r="A21" s="4" t="s">
        <v>30</v>
      </c>
      <c r="B21" s="7" t="s">
        <v>31</v>
      </c>
    </row>
    <row r="22" spans="1:6" ht="42.75">
      <c r="A22" s="4" t="s">
        <v>32</v>
      </c>
      <c r="B22" s="7" t="s">
        <v>33</v>
      </c>
    </row>
    <row r="23" spans="1:6" ht="28.5">
      <c r="A23" s="26" t="s">
        <v>34</v>
      </c>
      <c r="B23" s="27" t="s">
        <v>35</v>
      </c>
    </row>
  </sheetData>
  <mergeCells count="4">
    <mergeCell ref="A4:F4"/>
    <mergeCell ref="A5:F5"/>
    <mergeCell ref="A7:F7"/>
    <mergeCell ref="A18:F18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"/>
  <sheetViews>
    <sheetView workbookViewId="0">
      <selection activeCell="H10" sqref="H10"/>
    </sheetView>
  </sheetViews>
  <sheetFormatPr defaultRowHeight="14.25"/>
  <cols>
    <col min="1" max="1" width="18" customWidth="1"/>
    <col min="2" max="2" width="34" customWidth="1"/>
    <col min="3" max="4" width="16" customWidth="1"/>
    <col min="5" max="5" width="46" customWidth="1"/>
    <col min="6" max="6" width="24" customWidth="1"/>
  </cols>
  <sheetData>
    <row r="1" spans="1:6" s="29" customFormat="1" ht="15">
      <c r="B1" s="30" t="s">
        <v>145</v>
      </c>
    </row>
    <row r="2" spans="1:6" s="29" customFormat="1" ht="15">
      <c r="B2" s="30" t="s">
        <v>146</v>
      </c>
    </row>
    <row r="3" spans="1:6" s="29" customFormat="1"/>
    <row r="4" spans="1:6" ht="24" customHeight="1">
      <c r="A4" s="31" t="s">
        <v>36</v>
      </c>
      <c r="B4" s="32"/>
      <c r="C4" s="32"/>
      <c r="D4" s="32"/>
      <c r="E4" s="32"/>
      <c r="F4" s="32"/>
    </row>
    <row r="5" spans="1:6" ht="36" customHeight="1">
      <c r="A5" s="33" t="s">
        <v>37</v>
      </c>
      <c r="B5" s="32"/>
      <c r="C5" s="32"/>
      <c r="D5" s="32"/>
      <c r="E5" s="32"/>
      <c r="F5" s="32"/>
    </row>
    <row r="7" spans="1:6" ht="15">
      <c r="A7" s="1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3" t="s">
        <v>43</v>
      </c>
    </row>
    <row r="8" spans="1:6">
      <c r="A8" s="4" t="s">
        <v>44</v>
      </c>
      <c r="B8" s="5" t="s">
        <v>45</v>
      </c>
      <c r="C8" s="6">
        <v>800000</v>
      </c>
      <c r="D8" s="5" t="s">
        <v>46</v>
      </c>
      <c r="E8" s="5" t="s">
        <v>47</v>
      </c>
      <c r="F8" s="7" t="s">
        <v>48</v>
      </c>
    </row>
    <row r="9" spans="1:6">
      <c r="A9" s="4" t="s">
        <v>44</v>
      </c>
      <c r="B9" s="5" t="s">
        <v>49</v>
      </c>
      <c r="C9" s="6">
        <v>454389.65</v>
      </c>
      <c r="D9" s="5" t="s">
        <v>46</v>
      </c>
      <c r="E9" s="5" t="s">
        <v>50</v>
      </c>
      <c r="F9" s="7" t="s">
        <v>51</v>
      </c>
    </row>
    <row r="10" spans="1:6">
      <c r="A10" s="4" t="s">
        <v>44</v>
      </c>
      <c r="B10" s="5" t="s">
        <v>52</v>
      </c>
      <c r="C10" s="6">
        <v>382066.51</v>
      </c>
      <c r="D10" s="5" t="s">
        <v>46</v>
      </c>
      <c r="E10" s="5" t="s">
        <v>50</v>
      </c>
      <c r="F10" s="7" t="s">
        <v>51</v>
      </c>
    </row>
    <row r="11" spans="1:6">
      <c r="A11" s="4" t="s">
        <v>44</v>
      </c>
      <c r="B11" s="5" t="s">
        <v>53</v>
      </c>
      <c r="C11" s="6">
        <v>93275.5</v>
      </c>
      <c r="D11" s="5" t="s">
        <v>46</v>
      </c>
      <c r="E11" s="5" t="s">
        <v>144</v>
      </c>
      <c r="F11" s="7" t="s">
        <v>54</v>
      </c>
    </row>
    <row r="12" spans="1:6">
      <c r="A12" s="4" t="s">
        <v>44</v>
      </c>
      <c r="B12" s="5" t="s">
        <v>55</v>
      </c>
      <c r="C12" s="6">
        <v>50000</v>
      </c>
      <c r="D12" s="5" t="s">
        <v>46</v>
      </c>
      <c r="E12" s="5" t="s">
        <v>144</v>
      </c>
      <c r="F12" s="7" t="s">
        <v>54</v>
      </c>
    </row>
    <row r="13" spans="1:6">
      <c r="A13" s="4" t="s">
        <v>56</v>
      </c>
      <c r="B13" s="5" t="s">
        <v>57</v>
      </c>
      <c r="C13" s="6">
        <v>381274.39</v>
      </c>
      <c r="D13" s="5" t="s">
        <v>58</v>
      </c>
      <c r="E13" s="5" t="s">
        <v>50</v>
      </c>
      <c r="F13" s="7" t="s">
        <v>59</v>
      </c>
    </row>
    <row r="14" spans="1:6">
      <c r="A14" s="4" t="s">
        <v>56</v>
      </c>
      <c r="B14" s="5" t="s">
        <v>60</v>
      </c>
      <c r="C14" s="6">
        <v>336348.14</v>
      </c>
      <c r="D14" s="5" t="s">
        <v>58</v>
      </c>
      <c r="E14" s="5" t="s">
        <v>50</v>
      </c>
      <c r="F14" s="7" t="s">
        <v>59</v>
      </c>
    </row>
    <row r="15" spans="1:6">
      <c r="A15" s="4" t="s">
        <v>56</v>
      </c>
      <c r="B15" s="5" t="s">
        <v>14</v>
      </c>
      <c r="C15" s="6">
        <v>44926.25</v>
      </c>
      <c r="D15" s="5" t="s">
        <v>58</v>
      </c>
      <c r="E15" s="5" t="s">
        <v>50</v>
      </c>
      <c r="F15" s="7" t="s">
        <v>61</v>
      </c>
    </row>
    <row r="16" spans="1:6">
      <c r="A16" s="4" t="s">
        <v>62</v>
      </c>
      <c r="B16" s="5" t="s">
        <v>63</v>
      </c>
      <c r="C16" s="8">
        <v>471</v>
      </c>
      <c r="D16" s="5" t="s">
        <v>64</v>
      </c>
      <c r="E16" s="5" t="s">
        <v>50</v>
      </c>
      <c r="F16" s="7" t="s">
        <v>65</v>
      </c>
    </row>
    <row r="17" spans="1:6">
      <c r="A17" s="4" t="s">
        <v>62</v>
      </c>
      <c r="B17" s="5" t="s">
        <v>66</v>
      </c>
      <c r="C17" s="8">
        <v>421</v>
      </c>
      <c r="D17" s="5" t="s">
        <v>64</v>
      </c>
      <c r="E17" s="5" t="s">
        <v>50</v>
      </c>
      <c r="F17" s="7" t="s">
        <v>67</v>
      </c>
    </row>
    <row r="18" spans="1:6">
      <c r="A18" s="4" t="s">
        <v>62</v>
      </c>
      <c r="B18" s="5" t="s">
        <v>68</v>
      </c>
      <c r="C18" s="8">
        <v>50</v>
      </c>
      <c r="D18" s="5" t="s">
        <v>64</v>
      </c>
      <c r="E18" s="5" t="s">
        <v>50</v>
      </c>
      <c r="F18" s="7" t="s">
        <v>67</v>
      </c>
    </row>
    <row r="19" spans="1:6" ht="28.5">
      <c r="A19" s="4" t="s">
        <v>69</v>
      </c>
      <c r="B19" s="5" t="s">
        <v>70</v>
      </c>
      <c r="C19" s="8">
        <v>10</v>
      </c>
      <c r="D19" s="5" t="s">
        <v>71</v>
      </c>
      <c r="E19" s="5" t="s">
        <v>72</v>
      </c>
      <c r="F19" s="7" t="s">
        <v>73</v>
      </c>
    </row>
    <row r="20" spans="1:6" ht="28.5">
      <c r="A20" s="4" t="s">
        <v>69</v>
      </c>
      <c r="B20" s="5" t="s">
        <v>74</v>
      </c>
      <c r="C20" s="9" t="s">
        <v>75</v>
      </c>
      <c r="D20" s="5" t="s">
        <v>76</v>
      </c>
      <c r="E20" s="5" t="s">
        <v>77</v>
      </c>
      <c r="F20" s="7" t="s">
        <v>73</v>
      </c>
    </row>
    <row r="21" spans="1:6">
      <c r="A21" s="10"/>
      <c r="B21" s="11"/>
      <c r="C21" s="12"/>
      <c r="D21" s="11"/>
      <c r="E21" s="11"/>
      <c r="F21" s="13"/>
    </row>
  </sheetData>
  <mergeCells count="2">
    <mergeCell ref="A4:F4"/>
    <mergeCell ref="A5:F5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4"/>
  <sheetViews>
    <sheetView topLeftCell="A17" workbookViewId="0">
      <selection activeCell="B1" sqref="B1:B2"/>
    </sheetView>
  </sheetViews>
  <sheetFormatPr defaultRowHeight="14.25"/>
  <cols>
    <col min="1" max="2" width="34" customWidth="1"/>
    <col min="3" max="3" width="18" customWidth="1"/>
    <col min="4" max="5" width="22" customWidth="1"/>
    <col min="6" max="6" width="18" customWidth="1"/>
    <col min="7" max="7" width="54" customWidth="1"/>
  </cols>
  <sheetData>
    <row r="1" spans="1:7" s="29" customFormat="1" ht="15">
      <c r="B1" s="30" t="s">
        <v>145</v>
      </c>
    </row>
    <row r="2" spans="1:7" s="29" customFormat="1" ht="15">
      <c r="B2" s="30" t="s">
        <v>146</v>
      </c>
    </row>
    <row r="3" spans="1:7" s="29" customFormat="1"/>
    <row r="4" spans="1:7" ht="24" customHeight="1">
      <c r="A4" s="31" t="s">
        <v>78</v>
      </c>
      <c r="B4" s="32"/>
      <c r="C4" s="32"/>
      <c r="D4" s="32"/>
      <c r="E4" s="32"/>
      <c r="F4" s="32"/>
      <c r="G4" s="32"/>
    </row>
    <row r="5" spans="1:7" ht="36" customHeight="1">
      <c r="A5" s="33" t="s">
        <v>79</v>
      </c>
      <c r="B5" s="32"/>
      <c r="C5" s="32"/>
      <c r="D5" s="32"/>
      <c r="E5" s="32"/>
      <c r="F5" s="32"/>
      <c r="G5" s="32"/>
    </row>
    <row r="7" spans="1:7" ht="15">
      <c r="A7" s="34" t="s">
        <v>80</v>
      </c>
      <c r="B7" s="32"/>
      <c r="C7" s="32"/>
      <c r="D7" s="32"/>
      <c r="E7" s="32"/>
      <c r="F7" s="32"/>
      <c r="G7" s="32"/>
    </row>
    <row r="8" spans="1:7" ht="30">
      <c r="A8" s="1" t="s">
        <v>39</v>
      </c>
      <c r="B8" s="2" t="s">
        <v>81</v>
      </c>
      <c r="C8" s="2" t="s">
        <v>3</v>
      </c>
      <c r="D8" s="2" t="s">
        <v>82</v>
      </c>
      <c r="E8" s="2" t="s">
        <v>83</v>
      </c>
      <c r="F8" s="2" t="s">
        <v>84</v>
      </c>
      <c r="G8" s="3" t="s">
        <v>85</v>
      </c>
    </row>
    <row r="9" spans="1:7">
      <c r="A9" s="4" t="s">
        <v>57</v>
      </c>
      <c r="B9" s="5" t="s">
        <v>86</v>
      </c>
      <c r="C9" s="19">
        <f>Inputs!C13</f>
        <v>381274.39</v>
      </c>
      <c r="D9" s="19">
        <f>C9</f>
        <v>381274.39</v>
      </c>
      <c r="E9" s="19">
        <f>0</f>
        <v>0</v>
      </c>
      <c r="F9" s="20">
        <f>IF(C9=0,0,D9/C9)</f>
        <v>1</v>
      </c>
      <c r="G9" s="7" t="s">
        <v>87</v>
      </c>
    </row>
    <row r="10" spans="1:7">
      <c r="A10" s="4" t="s">
        <v>60</v>
      </c>
      <c r="B10" s="5" t="s">
        <v>86</v>
      </c>
      <c r="C10" s="19">
        <f>Inputs!C14</f>
        <v>336348.14</v>
      </c>
      <c r="D10" s="19">
        <f>MIN(C9,C10)</f>
        <v>336348.14</v>
      </c>
      <c r="E10" s="19">
        <f>MAX(C10-C9,0)</f>
        <v>0</v>
      </c>
      <c r="F10" s="20">
        <f>IF(C10=0,0,D10/C10)</f>
        <v>1</v>
      </c>
      <c r="G10" s="7" t="s">
        <v>88</v>
      </c>
    </row>
    <row r="11" spans="1:7">
      <c r="A11" s="4" t="s">
        <v>14</v>
      </c>
      <c r="B11" s="5" t="s">
        <v>15</v>
      </c>
      <c r="C11" s="19">
        <f>C9-C10</f>
        <v>44926.25</v>
      </c>
      <c r="D11" s="19">
        <f>C11</f>
        <v>44926.25</v>
      </c>
      <c r="E11" s="19">
        <f>0</f>
        <v>0</v>
      </c>
      <c r="F11" s="20">
        <f>IF(C10=0,0,C11/C10)</f>
        <v>0.1335706806643854</v>
      </c>
      <c r="G11" s="7" t="s">
        <v>89</v>
      </c>
    </row>
    <row r="12" spans="1:7" ht="28.5">
      <c r="A12" s="4" t="s">
        <v>90</v>
      </c>
      <c r="B12" s="5" t="s">
        <v>91</v>
      </c>
      <c r="C12" s="19">
        <f>MIN(C9,C10)</f>
        <v>336348.14</v>
      </c>
      <c r="D12" s="19">
        <f>MIN(C9,C10)</f>
        <v>336348.14</v>
      </c>
      <c r="E12" s="19">
        <f>MAX(C10-C9,0)</f>
        <v>0</v>
      </c>
      <c r="F12" s="20">
        <f>IF(C10=0,0,D12/C10)</f>
        <v>1</v>
      </c>
      <c r="G12" s="7" t="s">
        <v>92</v>
      </c>
    </row>
    <row r="13" spans="1:7">
      <c r="A13" s="4"/>
      <c r="B13" s="5"/>
      <c r="C13" s="19"/>
      <c r="D13" s="19"/>
      <c r="E13" s="19"/>
      <c r="F13" s="20"/>
      <c r="G13" s="7"/>
    </row>
    <row r="14" spans="1:7">
      <c r="A14" s="35" t="s">
        <v>93</v>
      </c>
      <c r="B14" s="36"/>
      <c r="C14" s="37"/>
      <c r="D14" s="37"/>
      <c r="E14" s="37"/>
      <c r="F14" s="38"/>
      <c r="G14" s="39"/>
    </row>
    <row r="15" spans="1:7" ht="30">
      <c r="A15" s="15" t="s">
        <v>39</v>
      </c>
      <c r="B15" s="16" t="s">
        <v>81</v>
      </c>
      <c r="C15" s="21" t="s">
        <v>3</v>
      </c>
      <c r="D15" s="21" t="s">
        <v>82</v>
      </c>
      <c r="E15" s="21" t="s">
        <v>83</v>
      </c>
      <c r="F15" s="22" t="s">
        <v>84</v>
      </c>
      <c r="G15" s="17" t="s">
        <v>85</v>
      </c>
    </row>
    <row r="16" spans="1:7" ht="28.5">
      <c r="A16" s="4" t="s">
        <v>45</v>
      </c>
      <c r="B16" s="5" t="s">
        <v>86</v>
      </c>
      <c r="C16" s="19">
        <f>Inputs!C8</f>
        <v>800000</v>
      </c>
      <c r="D16" s="19">
        <f>0</f>
        <v>0</v>
      </c>
      <c r="E16" s="19">
        <f>C16-D16</f>
        <v>800000</v>
      </c>
      <c r="F16" s="20">
        <f t="shared" ref="F16:F25" si="0">IF(C16=0,0,D16/C16)</f>
        <v>0</v>
      </c>
      <c r="G16" s="7" t="s">
        <v>94</v>
      </c>
    </row>
    <row r="17" spans="1:7" ht="28.5">
      <c r="A17" s="4" t="s">
        <v>95</v>
      </c>
      <c r="B17" s="5" t="s">
        <v>96</v>
      </c>
      <c r="C17" s="19">
        <f>Inputs!C9-Inputs!C10</f>
        <v>72323.140000000014</v>
      </c>
      <c r="D17" s="19">
        <f>0</f>
        <v>0</v>
      </c>
      <c r="E17" s="19">
        <f>C17-D17</f>
        <v>72323.140000000014</v>
      </c>
      <c r="F17" s="20">
        <f t="shared" si="0"/>
        <v>0</v>
      </c>
      <c r="G17" s="7" t="s">
        <v>97</v>
      </c>
    </row>
    <row r="18" spans="1:7" ht="28.5">
      <c r="A18" s="4" t="s">
        <v>98</v>
      </c>
      <c r="B18" s="5" t="s">
        <v>99</v>
      </c>
      <c r="C18" s="19">
        <f>C16-C17</f>
        <v>727676.86</v>
      </c>
      <c r="D18" s="19">
        <f>C22</f>
        <v>72767.686000000002</v>
      </c>
      <c r="E18" s="19">
        <f>0</f>
        <v>0</v>
      </c>
      <c r="F18" s="20">
        <f t="shared" si="0"/>
        <v>0.1</v>
      </c>
      <c r="G18" s="7" t="s">
        <v>100</v>
      </c>
    </row>
    <row r="19" spans="1:7">
      <c r="A19" s="4" t="s">
        <v>53</v>
      </c>
      <c r="B19" s="5" t="s">
        <v>86</v>
      </c>
      <c r="C19" s="19">
        <f>Inputs!C11</f>
        <v>93275.5</v>
      </c>
      <c r="D19" s="19">
        <f>C19/Inputs!C19</f>
        <v>9327.5499999999993</v>
      </c>
      <c r="E19" s="19">
        <f>0</f>
        <v>0</v>
      </c>
      <c r="F19" s="20">
        <f t="shared" si="0"/>
        <v>9.9999999999999992E-2</v>
      </c>
      <c r="G19" s="7" t="s">
        <v>101</v>
      </c>
    </row>
    <row r="20" spans="1:7">
      <c r="A20" s="4" t="s">
        <v>55</v>
      </c>
      <c r="B20" s="5" t="s">
        <v>86</v>
      </c>
      <c r="C20" s="19">
        <f>Inputs!C12</f>
        <v>50000</v>
      </c>
      <c r="D20" s="19">
        <f>C20/Inputs!C19</f>
        <v>5000</v>
      </c>
      <c r="E20" s="19">
        <f>0</f>
        <v>0</v>
      </c>
      <c r="F20" s="20">
        <f t="shared" si="0"/>
        <v>0.1</v>
      </c>
      <c r="G20" s="7" t="s">
        <v>101</v>
      </c>
    </row>
    <row r="21" spans="1:7" ht="28.5">
      <c r="A21" s="4" t="s">
        <v>102</v>
      </c>
      <c r="B21" s="5" t="s">
        <v>103</v>
      </c>
      <c r="C21" s="19">
        <f>SUM(C18:C20)</f>
        <v>870952.36</v>
      </c>
      <c r="D21" s="19">
        <f>C23</f>
        <v>87095.236000000004</v>
      </c>
      <c r="E21" s="19">
        <f>0</f>
        <v>0</v>
      </c>
      <c r="F21" s="20">
        <f t="shared" si="0"/>
        <v>0.1</v>
      </c>
      <c r="G21" s="7" t="s">
        <v>104</v>
      </c>
    </row>
    <row r="22" spans="1:7" ht="28.5">
      <c r="A22" s="4" t="s">
        <v>105</v>
      </c>
      <c r="B22" s="5" t="s">
        <v>106</v>
      </c>
      <c r="C22" s="19">
        <f>C18/Inputs!C19</f>
        <v>72767.686000000002</v>
      </c>
      <c r="D22" s="19">
        <f>C22</f>
        <v>72767.686000000002</v>
      </c>
      <c r="E22" s="19">
        <f>0</f>
        <v>0</v>
      </c>
      <c r="F22" s="20">
        <f t="shared" si="0"/>
        <v>1</v>
      </c>
      <c r="G22" s="7" t="s">
        <v>107</v>
      </c>
    </row>
    <row r="23" spans="1:7" ht="28.5">
      <c r="A23" s="4" t="s">
        <v>108</v>
      </c>
      <c r="B23" s="5" t="s">
        <v>109</v>
      </c>
      <c r="C23" s="19">
        <f>C21/Inputs!C19</f>
        <v>87095.236000000004</v>
      </c>
      <c r="D23" s="19">
        <f>C23</f>
        <v>87095.236000000004</v>
      </c>
      <c r="E23" s="19">
        <f>0</f>
        <v>0</v>
      </c>
      <c r="F23" s="20">
        <f t="shared" si="0"/>
        <v>1</v>
      </c>
      <c r="G23" s="7" t="s">
        <v>110</v>
      </c>
    </row>
    <row r="24" spans="1:7" ht="28.5">
      <c r="A24" s="4" t="s">
        <v>111</v>
      </c>
      <c r="B24" s="5" t="s">
        <v>112</v>
      </c>
      <c r="C24" s="19">
        <f>C22/Inputs!C16/12</f>
        <v>12.874679051663129</v>
      </c>
      <c r="D24" s="19">
        <f>C24</f>
        <v>12.874679051663129</v>
      </c>
      <c r="E24" s="19">
        <f>0</f>
        <v>0</v>
      </c>
      <c r="F24" s="20">
        <f t="shared" si="0"/>
        <v>1</v>
      </c>
      <c r="G24" s="7" t="s">
        <v>113</v>
      </c>
    </row>
    <row r="25" spans="1:7" ht="28.5">
      <c r="A25" s="4" t="s">
        <v>114</v>
      </c>
      <c r="B25" s="5" t="s">
        <v>115</v>
      </c>
      <c r="C25" s="19">
        <f>C23/Inputs!C16/12</f>
        <v>15.409631280962492</v>
      </c>
      <c r="D25" s="19">
        <f>C25</f>
        <v>15.409631280962492</v>
      </c>
      <c r="E25" s="19">
        <f>0</f>
        <v>0</v>
      </c>
      <c r="F25" s="20">
        <f t="shared" si="0"/>
        <v>1</v>
      </c>
      <c r="G25" s="7" t="s">
        <v>113</v>
      </c>
    </row>
    <row r="26" spans="1:7">
      <c r="A26" s="4"/>
      <c r="B26" s="5"/>
      <c r="C26" s="19"/>
      <c r="D26" s="19"/>
      <c r="E26" s="19"/>
      <c r="F26" s="23"/>
      <c r="G26" s="7"/>
    </row>
    <row r="27" spans="1:7">
      <c r="A27" s="35" t="s">
        <v>116</v>
      </c>
      <c r="B27" s="36"/>
      <c r="C27" s="37"/>
      <c r="D27" s="37"/>
      <c r="E27" s="37"/>
      <c r="F27" s="40"/>
      <c r="G27" s="39"/>
    </row>
    <row r="28" spans="1:7" ht="15">
      <c r="A28" s="15" t="s">
        <v>117</v>
      </c>
      <c r="B28" s="16" t="s">
        <v>118</v>
      </c>
      <c r="C28" s="19"/>
      <c r="D28" s="19"/>
      <c r="E28" s="19"/>
      <c r="F28" s="23"/>
      <c r="G28" s="7"/>
    </row>
    <row r="29" spans="1:7" ht="28.5">
      <c r="A29" s="4" t="s">
        <v>119</v>
      </c>
      <c r="B29" s="14">
        <f>D16</f>
        <v>0</v>
      </c>
      <c r="C29" s="19"/>
      <c r="D29" s="19"/>
      <c r="E29" s="19"/>
      <c r="F29" s="23"/>
      <c r="G29" s="7"/>
    </row>
    <row r="30" spans="1:7" ht="42.75">
      <c r="A30" s="4" t="s">
        <v>120</v>
      </c>
      <c r="B30" s="14">
        <f>D12</f>
        <v>336348.14</v>
      </c>
      <c r="C30" s="19"/>
      <c r="D30" s="19"/>
      <c r="E30" s="19"/>
      <c r="F30" s="23"/>
      <c r="G30" s="7"/>
    </row>
    <row r="31" spans="1:7" ht="28.5">
      <c r="A31" s="4" t="s">
        <v>121</v>
      </c>
      <c r="B31" s="14">
        <f>C9</f>
        <v>381274.39</v>
      </c>
      <c r="C31" s="19"/>
      <c r="D31" s="19"/>
      <c r="E31" s="19"/>
      <c r="F31" s="23"/>
      <c r="G31" s="7"/>
    </row>
    <row r="32" spans="1:7" ht="28.5">
      <c r="A32" s="4" t="s">
        <v>122</v>
      </c>
      <c r="B32" s="14">
        <f>C10</f>
        <v>336348.14</v>
      </c>
      <c r="C32" s="19"/>
      <c r="D32" s="19"/>
      <c r="E32" s="19"/>
      <c r="F32" s="23"/>
      <c r="G32" s="7"/>
    </row>
    <row r="33" spans="1:7" ht="42.75">
      <c r="A33" s="4" t="s">
        <v>123</v>
      </c>
      <c r="B33" s="14">
        <f>C22</f>
        <v>72767.686000000002</v>
      </c>
      <c r="C33" s="19"/>
      <c r="D33" s="19"/>
      <c r="E33" s="19"/>
      <c r="F33" s="23"/>
      <c r="G33" s="7"/>
    </row>
    <row r="34" spans="1:7" ht="42.75">
      <c r="A34" s="10" t="s">
        <v>124</v>
      </c>
      <c r="B34" s="18">
        <f>C23</f>
        <v>87095.236000000004</v>
      </c>
      <c r="C34" s="24"/>
      <c r="D34" s="24"/>
      <c r="E34" s="24"/>
      <c r="F34" s="25"/>
      <c r="G34" s="13"/>
    </row>
  </sheetData>
  <mergeCells count="5">
    <mergeCell ref="A4:G4"/>
    <mergeCell ref="A5:G5"/>
    <mergeCell ref="A7:G7"/>
    <mergeCell ref="A14:G14"/>
    <mergeCell ref="A27:G27"/>
  </mergeCells>
  <pageMargins left="0.7" right="0.7" top="0.75" bottom="0.75" header="0.3" footer="0.3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0"/>
  <sheetViews>
    <sheetView workbookViewId="0">
      <selection activeCell="B1" sqref="B1:B2"/>
    </sheetView>
  </sheetViews>
  <sheetFormatPr defaultRowHeight="14.25"/>
  <cols>
    <col min="1" max="1" width="28" customWidth="1"/>
    <col min="2" max="2" width="60" customWidth="1"/>
    <col min="3" max="3" width="42" customWidth="1"/>
    <col min="4" max="4" width="60" customWidth="1"/>
  </cols>
  <sheetData>
    <row r="1" spans="1:4" s="29" customFormat="1" ht="15">
      <c r="B1" s="30" t="s">
        <v>145</v>
      </c>
    </row>
    <row r="2" spans="1:4" s="29" customFormat="1" ht="15">
      <c r="B2" s="30" t="s">
        <v>146</v>
      </c>
    </row>
    <row r="3" spans="1:4" s="29" customFormat="1"/>
    <row r="4" spans="1:4" ht="24" customHeight="1">
      <c r="A4" s="31" t="s">
        <v>125</v>
      </c>
      <c r="B4" s="32"/>
      <c r="C4" s="32"/>
      <c r="D4" s="32"/>
    </row>
    <row r="5" spans="1:4" ht="36" customHeight="1"/>
    <row r="6" spans="1:4" ht="15">
      <c r="A6" s="1" t="s">
        <v>126</v>
      </c>
      <c r="B6" s="2" t="s">
        <v>127</v>
      </c>
      <c r="C6" s="2" t="s">
        <v>128</v>
      </c>
      <c r="D6" s="3" t="s">
        <v>85</v>
      </c>
    </row>
    <row r="7" spans="1:4" ht="28.5">
      <c r="A7" s="4" t="s">
        <v>129</v>
      </c>
      <c r="B7" s="5" t="s">
        <v>130</v>
      </c>
      <c r="C7" s="5" t="s">
        <v>131</v>
      </c>
      <c r="D7" s="7" t="s">
        <v>132</v>
      </c>
    </row>
    <row r="8" spans="1:4" ht="28.5">
      <c r="A8" s="4" t="s">
        <v>50</v>
      </c>
      <c r="B8" s="5" t="s">
        <v>133</v>
      </c>
      <c r="C8" s="5" t="s">
        <v>134</v>
      </c>
      <c r="D8" s="7" t="s">
        <v>135</v>
      </c>
    </row>
    <row r="9" spans="1:4">
      <c r="A9" s="4" t="s">
        <v>136</v>
      </c>
      <c r="B9" s="5" t="s">
        <v>137</v>
      </c>
      <c r="C9" s="5" t="s">
        <v>138</v>
      </c>
      <c r="D9" s="7" t="s">
        <v>139</v>
      </c>
    </row>
    <row r="10" spans="1:4" ht="42.75">
      <c r="A10" s="26" t="s">
        <v>140</v>
      </c>
      <c r="B10" s="28" t="s">
        <v>141</v>
      </c>
      <c r="C10" s="28" t="s">
        <v>142</v>
      </c>
      <c r="D10" s="27" t="s">
        <v>143</v>
      </c>
    </row>
  </sheetData>
  <mergeCells count="1">
    <mergeCell ref="A4:D4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Inputs</vt:lpstr>
      <vt:lpstr>Calculation</vt:lpstr>
      <vt:lpstr>Sources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James</dc:creator>
  <cp:lastModifiedBy>Kapoor, Rajan</cp:lastModifiedBy>
  <dcterms:created xsi:type="dcterms:W3CDTF">2026-06-22T19:53:05Z</dcterms:created>
  <dcterms:modified xsi:type="dcterms:W3CDTF">2026-07-01T19:56:58Z</dcterms:modified>
</cp:coreProperties>
</file>