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keenergy.sharepoint.com/sites/KyPSCCaseNo2026-00xxxFarmTapCPCN/KyPSC Case No 202600xxx Farm Tap CPCN/Discovery/STAFF's 3rd Set of Data Requests/"/>
    </mc:Choice>
  </mc:AlternateContent>
  <xr:revisionPtr revIDLastSave="0" documentId="13_ncr:1_{2BBA4B24-59C5-4835-812A-0EE495F46180}" xr6:coauthVersionLast="47" xr6:coauthVersionMax="47" xr10:uidLastSave="{00000000-0000-0000-0000-000000000000}"/>
  <bookViews>
    <workbookView xWindow="-120" yWindow="-120" windowWidth="29040" windowHeight="17520" xr2:uid="{2FF60549-73D1-455D-AC96-386F38F0539F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4" i="1" l="1"/>
  <c r="O34" i="1"/>
  <c r="K34" i="1"/>
  <c r="L34" i="1"/>
  <c r="M34" i="1"/>
  <c r="N34" i="1"/>
  <c r="J34" i="1"/>
  <c r="P18" i="1"/>
  <c r="O18" i="1"/>
  <c r="N18" i="1"/>
  <c r="M18" i="1"/>
  <c r="L18" i="1"/>
  <c r="K18" i="1"/>
  <c r="J18" i="1"/>
  <c r="W15" i="1"/>
  <c r="P25" i="1" s="1"/>
  <c r="W9" i="1"/>
  <c r="J25" i="1" s="1"/>
  <c r="Q21" i="1"/>
  <c r="Q22" i="1"/>
  <c r="Q23" i="1"/>
  <c r="Q20" i="1"/>
  <c r="Q15" i="1"/>
  <c r="Q16" i="1"/>
  <c r="Q17" i="1"/>
  <c r="Q13" i="1"/>
  <c r="Q14" i="1"/>
  <c r="Q12" i="1"/>
  <c r="P12" i="1"/>
  <c r="O12" i="1"/>
  <c r="N12" i="1"/>
  <c r="M12" i="1"/>
  <c r="L12" i="1"/>
  <c r="K12" i="1"/>
  <c r="J12" i="1"/>
  <c r="P13" i="1"/>
  <c r="P14" i="1"/>
  <c r="P15" i="1"/>
  <c r="P16" i="1"/>
  <c r="P17" i="1"/>
  <c r="P20" i="1"/>
  <c r="P21" i="1"/>
  <c r="P22" i="1"/>
  <c r="P23" i="1"/>
  <c r="O13" i="1"/>
  <c r="O14" i="1"/>
  <c r="O15" i="1"/>
  <c r="O16" i="1"/>
  <c r="O17" i="1"/>
  <c r="O20" i="1"/>
  <c r="O21" i="1"/>
  <c r="O22" i="1"/>
  <c r="O23" i="1"/>
  <c r="N13" i="1"/>
  <c r="N14" i="1"/>
  <c r="N15" i="1"/>
  <c r="N16" i="1"/>
  <c r="N17" i="1"/>
  <c r="N20" i="1"/>
  <c r="N21" i="1"/>
  <c r="N22" i="1"/>
  <c r="N23" i="1"/>
  <c r="M13" i="1"/>
  <c r="M14" i="1"/>
  <c r="M15" i="1"/>
  <c r="M16" i="1"/>
  <c r="M17" i="1"/>
  <c r="M20" i="1"/>
  <c r="M21" i="1"/>
  <c r="M22" i="1"/>
  <c r="M23" i="1"/>
  <c r="L13" i="1"/>
  <c r="L14" i="1"/>
  <c r="L15" i="1"/>
  <c r="L16" i="1"/>
  <c r="L17" i="1"/>
  <c r="L20" i="1"/>
  <c r="L21" i="1"/>
  <c r="L22" i="1"/>
  <c r="L23" i="1"/>
  <c r="K13" i="1"/>
  <c r="K14" i="1"/>
  <c r="K15" i="1"/>
  <c r="K16" i="1"/>
  <c r="K17" i="1"/>
  <c r="K20" i="1"/>
  <c r="K21" i="1"/>
  <c r="K22" i="1"/>
  <c r="K23" i="1"/>
  <c r="J13" i="1"/>
  <c r="J14" i="1"/>
  <c r="J15" i="1"/>
  <c r="J16" i="1"/>
  <c r="J17" i="1"/>
  <c r="J20" i="1"/>
  <c r="J21" i="1"/>
  <c r="J22" i="1"/>
  <c r="J23" i="1"/>
  <c r="P37" i="1"/>
  <c r="W10" i="1" s="1"/>
  <c r="V15" i="1"/>
  <c r="V14" i="1"/>
  <c r="V13" i="1"/>
  <c r="V12" i="1"/>
  <c r="V11" i="1"/>
  <c r="V10" i="1"/>
  <c r="V9" i="1"/>
  <c r="U11" i="1"/>
  <c r="D27" i="1"/>
  <c r="D24" i="1"/>
  <c r="T18" i="1"/>
  <c r="T16" i="1"/>
  <c r="T10" i="1"/>
  <c r="T9" i="1"/>
  <c r="T15" i="1"/>
  <c r="T14" i="1"/>
  <c r="T12" i="1"/>
  <c r="T19" i="1" s="1"/>
  <c r="S19" i="1"/>
  <c r="K30" i="1" l="1"/>
  <c r="K31" i="1"/>
  <c r="K26" i="1"/>
  <c r="K25" i="1"/>
  <c r="P30" i="1"/>
  <c r="W14" i="1"/>
  <c r="J26" i="1"/>
  <c r="J31" i="1"/>
  <c r="W13" i="1"/>
  <c r="W12" i="1"/>
  <c r="W11" i="1"/>
  <c r="P38" i="1"/>
  <c r="J30" i="1"/>
  <c r="P26" i="1"/>
  <c r="P31" i="1"/>
  <c r="U10" i="1"/>
  <c r="U9" i="1"/>
  <c r="U17" i="1"/>
  <c r="U16" i="1"/>
  <c r="U15" i="1"/>
  <c r="U13" i="1"/>
  <c r="M30" i="1" l="1"/>
  <c r="M25" i="1"/>
  <c r="M31" i="1"/>
  <c r="M26" i="1"/>
  <c r="N30" i="1"/>
  <c r="Q30" i="1" s="1"/>
  <c r="N25" i="1"/>
  <c r="N31" i="1"/>
  <c r="N26" i="1"/>
  <c r="J27" i="1"/>
  <c r="L25" i="1"/>
  <c r="L30" i="1"/>
  <c r="L31" i="1"/>
  <c r="Q31" i="1" s="1"/>
  <c r="L26" i="1"/>
  <c r="Q26" i="1" s="1"/>
  <c r="O30" i="1"/>
  <c r="O25" i="1"/>
  <c r="O31" i="1"/>
  <c r="O26" i="1"/>
  <c r="U19" i="1"/>
  <c r="Q25" i="1" l="1"/>
  <c r="Q32" i="1" l="1"/>
  <c r="Q27" i="1"/>
  <c r="P27" i="1"/>
  <c r="H12" i="1"/>
  <c r="H14" i="1"/>
  <c r="H15" i="1"/>
  <c r="H17" i="1"/>
  <c r="H18" i="1"/>
  <c r="H20" i="1"/>
  <c r="H21" i="1"/>
  <c r="H22" i="1"/>
  <c r="H23" i="1"/>
  <c r="H25" i="1"/>
  <c r="H26" i="1"/>
  <c r="F12" i="1"/>
  <c r="F13" i="1"/>
  <c r="F14" i="1"/>
  <c r="F15" i="1"/>
  <c r="F16" i="1"/>
  <c r="F17" i="1"/>
  <c r="F18" i="1"/>
  <c r="F20" i="1"/>
  <c r="F21" i="1"/>
  <c r="F22" i="1"/>
  <c r="F23" i="1"/>
  <c r="F25" i="1"/>
  <c r="F26" i="1"/>
  <c r="F32" i="1"/>
  <c r="E32" i="1"/>
  <c r="E26" i="1"/>
  <c r="E25" i="1"/>
  <c r="E23" i="1"/>
  <c r="E22" i="1"/>
  <c r="E21" i="1"/>
  <c r="E20" i="1"/>
  <c r="E18" i="1"/>
  <c r="E17" i="1"/>
  <c r="E16" i="1"/>
  <c r="E15" i="1"/>
  <c r="E14" i="1"/>
  <c r="E13" i="1"/>
  <c r="E12" i="1"/>
  <c r="B5" i="1"/>
  <c r="B3" i="1"/>
  <c r="D32" i="1" l="1"/>
  <c r="H27" i="1"/>
  <c r="P24" i="1"/>
  <c r="P29" i="1" s="1"/>
  <c r="M32" i="1"/>
  <c r="O32" i="1"/>
  <c r="P32" i="1"/>
  <c r="Q24" i="1"/>
  <c r="Q29" i="1" s="1"/>
  <c r="Q33" i="1" s="1"/>
  <c r="N32" i="1"/>
  <c r="F27" i="1"/>
  <c r="H31" i="1"/>
  <c r="H32" i="1" s="1"/>
  <c r="F24" i="1"/>
  <c r="H24" i="1"/>
  <c r="E24" i="1"/>
  <c r="E27" i="1"/>
  <c r="F29" i="1" l="1"/>
  <c r="F33" i="1" s="1"/>
  <c r="N27" i="1"/>
  <c r="O27" i="1"/>
  <c r="H29" i="1"/>
  <c r="H33" i="1" s="1"/>
  <c r="M27" i="1"/>
  <c r="O24" i="1"/>
  <c r="L27" i="1"/>
  <c r="P33" i="1"/>
  <c r="L32" i="1"/>
  <c r="D29" i="1"/>
  <c r="D33" i="1" s="1"/>
  <c r="E29" i="1"/>
  <c r="E33" i="1" s="1"/>
  <c r="O29" i="1" l="1"/>
  <c r="O33" i="1" s="1"/>
  <c r="K32" i="1"/>
  <c r="J32" i="1"/>
  <c r="K27" i="1"/>
  <c r="N24" i="1"/>
  <c r="N29" i="1" s="1"/>
  <c r="N33" i="1" s="1"/>
  <c r="M24" i="1" l="1"/>
  <c r="M29" i="1" s="1"/>
  <c r="M33" i="1" s="1"/>
  <c r="L24" i="1" l="1"/>
  <c r="L29" i="1" s="1"/>
  <c r="L33" i="1" s="1"/>
  <c r="J24" i="1" l="1"/>
  <c r="J29" i="1" s="1"/>
  <c r="J33" i="1" s="1"/>
  <c r="K24" i="1"/>
  <c r="K29" i="1" s="1"/>
  <c r="K33" i="1" s="1"/>
</calcChain>
</file>

<file path=xl/sharedStrings.xml><?xml version="1.0" encoding="utf-8"?>
<sst xmlns="http://schemas.openxmlformats.org/spreadsheetml/2006/main" count="92" uniqueCount="69">
  <si>
    <t>Project Cost Breakdown</t>
  </si>
  <si>
    <t>Capital Improvement</t>
  </si>
  <si>
    <t xml:space="preserve"> </t>
  </si>
  <si>
    <t>Retirement</t>
  </si>
  <si>
    <t>Size / Name</t>
  </si>
  <si>
    <t>8"/6" Steel, 1 HDD</t>
  </si>
  <si>
    <t>Actuals Spent</t>
  </si>
  <si>
    <t>4" Steel</t>
  </si>
  <si>
    <t>9,839 LF</t>
  </si>
  <si>
    <t>Sunk Cost from Scope Change</t>
  </si>
  <si>
    <t>1,500 LF</t>
  </si>
  <si>
    <t>WBS 1</t>
  </si>
  <si>
    <t>Description</t>
  </si>
  <si>
    <t>Total</t>
  </si>
  <si>
    <t>Pipelay 1</t>
  </si>
  <si>
    <t>Pipe Abandon 1</t>
  </si>
  <si>
    <t>NGENGNC</t>
  </si>
  <si>
    <t>Engineering</t>
  </si>
  <si>
    <t>NGLANDC</t>
  </si>
  <si>
    <t>Land - Permanent</t>
  </si>
  <si>
    <t>Land - Temporary</t>
  </si>
  <si>
    <t>Land - Support</t>
  </si>
  <si>
    <t>Land Legal</t>
  </si>
  <si>
    <t>NGMATEC</t>
  </si>
  <si>
    <t>Materials/Equipment</t>
  </si>
  <si>
    <t>NGCONPC</t>
  </si>
  <si>
    <t>Construction Serv - Pipeline</t>
  </si>
  <si>
    <t>NGCONFC</t>
  </si>
  <si>
    <t>Construction Serv - Facility</t>
  </si>
  <si>
    <t>NGFITSC</t>
  </si>
  <si>
    <t>Field Inspections</t>
  </si>
  <si>
    <t>Field Testing</t>
  </si>
  <si>
    <t>NGMPGL</t>
  </si>
  <si>
    <t>NGMOTH</t>
  </si>
  <si>
    <t>Other Direct Costs</t>
  </si>
  <si>
    <t>Subtotal Direct Cost</t>
  </si>
  <si>
    <t>Project Contingency</t>
  </si>
  <si>
    <t>Project Escalation</t>
  </si>
  <si>
    <t>Total Contingency &amp; Escalation</t>
  </si>
  <si>
    <t>Total Direct Cost</t>
  </si>
  <si>
    <t>NGMAFD</t>
  </si>
  <si>
    <t>AFUDC Debt</t>
  </si>
  <si>
    <t>NGMOVH</t>
  </si>
  <si>
    <t>Overhead and Allocations</t>
  </si>
  <si>
    <t>Project Total</t>
  </si>
  <si>
    <t>Farm Tap Main Extension</t>
  </si>
  <si>
    <t>Cabin Creek</t>
  </si>
  <si>
    <t>Upper Tug Fork</t>
  </si>
  <si>
    <t>Poplar Ridge</t>
  </si>
  <si>
    <t>Carthage</t>
  </si>
  <si>
    <t>Gubser Mill Daniels</t>
  </si>
  <si>
    <t>Pendleton</t>
  </si>
  <si>
    <t>Pendleton HP Station</t>
  </si>
  <si>
    <t>Duke Energy Labor</t>
  </si>
  <si>
    <t>Total Duke Energy Overhead Cost</t>
  </si>
  <si>
    <t>2 INCH PL</t>
  </si>
  <si>
    <t>Services</t>
  </si>
  <si>
    <t>4 INCH PL</t>
  </si>
  <si>
    <t>Length (LF)</t>
  </si>
  <si>
    <t>4 &amp; 6 INCH PL</t>
  </si>
  <si>
    <t>1,100 &amp; 3,100</t>
  </si>
  <si>
    <t>4,100 &amp; 12,350</t>
  </si>
  <si>
    <t>2 &amp; 4 INCH PL</t>
  </si>
  <si>
    <t>N/A</t>
  </si>
  <si>
    <t>14,100 &amp; 14,500</t>
  </si>
  <si>
    <t>Pipe length</t>
  </si>
  <si>
    <t>-</t>
  </si>
  <si>
    <t>Cost per Customer</t>
  </si>
  <si>
    <t>Gubser Mill Wagoner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</si>
</sst>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164" formatCode="0.0000"/>
  </numFmts>
  <fonts count="11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darkGray">
        <bgColor theme="9" tint="0.59999389629810485"/>
      </patternFill>
    </fill>
    <fill>
      <patternFill patternType="darkGray">
        <bgColor theme="5" tint="0.59999389629810485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14" fontId="1" fillId="2" borderId="3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vertical="center"/>
    </xf>
    <xf numFmtId="0" fontId="2" fillId="3" borderId="6" xfId="0" applyFont="1" applyFill="1" applyBorder="1"/>
    <xf numFmtId="0" fontId="6" fillId="5" borderId="7" xfId="0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2" xfId="0" applyFont="1" applyFill="1" applyBorder="1"/>
    <xf numFmtId="0" fontId="2" fillId="4" borderId="8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center"/>
    </xf>
    <xf numFmtId="0" fontId="2" fillId="3" borderId="0" xfId="0" applyFont="1" applyFill="1"/>
    <xf numFmtId="0" fontId="2" fillId="5" borderId="8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 wrapText="1"/>
    </xf>
    <xf numFmtId="0" fontId="0" fillId="0" borderId="11" xfId="0" applyBorder="1" applyAlignment="1">
      <alignment horizontal="left" vertical="center"/>
    </xf>
    <xf numFmtId="42" fontId="0" fillId="4" borderId="12" xfId="0" applyNumberFormat="1" applyFill="1" applyBorder="1" applyAlignment="1">
      <alignment horizontal="center" vertical="center"/>
    </xf>
    <xf numFmtId="42" fontId="0" fillId="3" borderId="0" xfId="0" applyNumberFormat="1" applyFill="1" applyAlignment="1">
      <alignment vertical="center"/>
    </xf>
    <xf numFmtId="42" fontId="0" fillId="5" borderId="12" xfId="0" applyNumberFormat="1" applyFill="1" applyBorder="1" applyAlignment="1">
      <alignment horizontal="center" vertical="center"/>
    </xf>
    <xf numFmtId="42" fontId="0" fillId="0" borderId="0" xfId="0" applyNumberFormat="1"/>
    <xf numFmtId="0" fontId="0" fillId="0" borderId="13" xfId="0" applyBorder="1" applyAlignment="1">
      <alignment horizontal="left" vertical="center"/>
    </xf>
    <xf numFmtId="42" fontId="0" fillId="4" borderId="14" xfId="0" applyNumberFormat="1" applyFill="1" applyBorder="1" applyAlignment="1">
      <alignment horizontal="center" vertical="center"/>
    </xf>
    <xf numFmtId="42" fontId="0" fillId="5" borderId="14" xfId="0" applyNumberFormat="1" applyFill="1" applyBorder="1" applyAlignment="1">
      <alignment horizontal="center" vertical="center"/>
    </xf>
    <xf numFmtId="42" fontId="0" fillId="6" borderId="14" xfId="0" applyNumberFormat="1" applyFill="1" applyBorder="1" applyAlignment="1">
      <alignment horizontal="center" vertical="center"/>
    </xf>
    <xf numFmtId="42" fontId="0" fillId="7" borderId="14" xfId="0" applyNumberFormat="1" applyFill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42" fontId="0" fillId="4" borderId="16" xfId="0" applyNumberFormat="1" applyFill="1" applyBorder="1" applyAlignment="1">
      <alignment horizontal="center" vertical="center"/>
    </xf>
    <xf numFmtId="42" fontId="0" fillId="5" borderId="16" xfId="0" applyNumberFormat="1" applyFill="1" applyBorder="1" applyAlignment="1">
      <alignment horizontal="center" vertical="center"/>
    </xf>
    <xf numFmtId="0" fontId="2" fillId="0" borderId="2" xfId="0" applyFont="1" applyBorder="1"/>
    <xf numFmtId="42" fontId="2" fillId="8" borderId="8" xfId="0" applyNumberFormat="1" applyFont="1" applyFill="1" applyBorder="1" applyAlignment="1">
      <alignment horizontal="center" vertical="center"/>
    </xf>
    <xf numFmtId="42" fontId="2" fillId="3" borderId="0" xfId="0" applyNumberFormat="1" applyFont="1" applyFill="1" applyAlignment="1">
      <alignment vertical="center"/>
    </xf>
    <xf numFmtId="0" fontId="2" fillId="0" borderId="3" xfId="0" applyFont="1" applyBorder="1"/>
    <xf numFmtId="0" fontId="2" fillId="0" borderId="0" xfId="0" applyFont="1"/>
    <xf numFmtId="0" fontId="0" fillId="0" borderId="18" xfId="0" applyBorder="1" applyAlignment="1">
      <alignment horizontal="left" vertical="center"/>
    </xf>
    <xf numFmtId="42" fontId="2" fillId="8" borderId="4" xfId="0" applyNumberFormat="1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42" fontId="0" fillId="3" borderId="8" xfId="0" applyNumberFormat="1" applyFill="1" applyBorder="1" applyAlignment="1">
      <alignment horizontal="center" vertical="center"/>
    </xf>
    <xf numFmtId="42" fontId="2" fillId="8" borderId="10" xfId="0" applyNumberFormat="1" applyFont="1" applyFill="1" applyBorder="1" applyAlignment="1">
      <alignment horizontal="center" vertical="center"/>
    </xf>
    <xf numFmtId="42" fontId="2" fillId="4" borderId="8" xfId="0" applyNumberFormat="1" applyFont="1" applyFill="1" applyBorder="1" applyAlignment="1">
      <alignment horizontal="center" vertical="center"/>
    </xf>
    <xf numFmtId="42" fontId="2" fillId="3" borderId="10" xfId="0" applyNumberFormat="1" applyFont="1" applyFill="1" applyBorder="1" applyAlignment="1">
      <alignment vertical="center"/>
    </xf>
    <xf numFmtId="42" fontId="2" fillId="5" borderId="8" xfId="0" applyNumberFormat="1" applyFont="1" applyFill="1" applyBorder="1" applyAlignment="1">
      <alignment horizontal="center" vertical="center"/>
    </xf>
    <xf numFmtId="0" fontId="0" fillId="0" borderId="21" xfId="0" applyBorder="1"/>
    <xf numFmtId="0" fontId="0" fillId="0" borderId="0" xfId="0" applyAlignment="1">
      <alignment horizontal="center"/>
    </xf>
    <xf numFmtId="164" fontId="8" fillId="9" borderId="0" xfId="0" applyNumberFormat="1" applyFont="1" applyFill="1" applyAlignment="1">
      <alignment horizontal="center" vertical="center" wrapText="1"/>
    </xf>
    <xf numFmtId="0" fontId="9" fillId="0" borderId="0" xfId="0" applyFont="1"/>
    <xf numFmtId="3" fontId="2" fillId="4" borderId="8" xfId="0" applyNumberFormat="1" applyFont="1" applyFill="1" applyBorder="1" applyAlignment="1">
      <alignment horizontal="center"/>
    </xf>
    <xf numFmtId="3" fontId="0" fillId="0" borderId="8" xfId="0" applyNumberFormat="1" applyBorder="1"/>
    <xf numFmtId="3" fontId="0" fillId="0" borderId="4" xfId="0" applyNumberFormat="1" applyBorder="1"/>
    <xf numFmtId="3" fontId="0" fillId="0" borderId="10" xfId="0" applyNumberFormat="1" applyBorder="1"/>
    <xf numFmtId="3" fontId="0" fillId="0" borderId="7" xfId="0" applyNumberFormat="1" applyBorder="1"/>
    <xf numFmtId="0" fontId="0" fillId="0" borderId="17" xfId="0" applyBorder="1"/>
    <xf numFmtId="3" fontId="0" fillId="0" borderId="1" xfId="0" applyNumberFormat="1" applyBorder="1"/>
    <xf numFmtId="3" fontId="0" fillId="0" borderId="5" xfId="0" applyNumberFormat="1" applyBorder="1"/>
    <xf numFmtId="3" fontId="0" fillId="0" borderId="17" xfId="0" applyNumberFormat="1" applyBorder="1"/>
    <xf numFmtId="0" fontId="2" fillId="4" borderId="0" xfId="0" applyFont="1" applyFill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42" fontId="2" fillId="4" borderId="22" xfId="0" applyNumberFormat="1" applyFont="1" applyFill="1" applyBorder="1" applyAlignment="1">
      <alignment horizontal="center" vertical="center"/>
    </xf>
    <xf numFmtId="42" fontId="2" fillId="4" borderId="14" xfId="0" applyNumberFormat="1" applyFont="1" applyFill="1" applyBorder="1" applyAlignment="1">
      <alignment horizontal="center" vertical="center"/>
    </xf>
    <xf numFmtId="42" fontId="2" fillId="4" borderId="23" xfId="0" applyNumberFormat="1" applyFont="1" applyFill="1" applyBorder="1" applyAlignment="1">
      <alignment horizontal="center" vertical="center"/>
    </xf>
    <xf numFmtId="42" fontId="10" fillId="0" borderId="8" xfId="0" applyNumberFormat="1" applyFont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42" fontId="2" fillId="4" borderId="7" xfId="0" applyNumberFormat="1" applyFont="1" applyFill="1" applyBorder="1" applyAlignment="1">
      <alignment horizontal="center" vertical="center" wrapText="1"/>
    </xf>
    <xf numFmtId="42" fontId="2" fillId="4" borderId="17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right" vertical="center"/>
    </xf>
    <xf numFmtId="0" fontId="7" fillId="2" borderId="17" xfId="0" applyFont="1" applyFill="1" applyBorder="1" applyAlignment="1">
      <alignment horizontal="right" vertical="center"/>
    </xf>
    <xf numFmtId="0" fontId="0" fillId="0" borderId="9" xfId="0" applyBorder="1" applyAlignment="1">
      <alignment horizontal="center"/>
    </xf>
    <xf numFmtId="0" fontId="0" fillId="0" borderId="20" xfId="0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4" fontId="1" fillId="2" borderId="3" xfId="0" applyNumberFormat="1" applyFont="1" applyFill="1" applyBorder="1" applyAlignment="1">
      <alignment horizontal="center"/>
    </xf>
    <xf numFmtId="14" fontId="1" fillId="2" borderId="0" xfId="0" applyNumberFormat="1" applyFont="1" applyFill="1" applyAlignment="1">
      <alignment horizontal="center"/>
    </xf>
    <xf numFmtId="0" fontId="2" fillId="8" borderId="7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9" xfId="0" applyFont="1" applyFill="1" applyBorder="1" applyAlignment="1">
      <alignment horizontal="center" vertical="center"/>
    </xf>
    <xf numFmtId="0" fontId="2" fillId="8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MajorProjects/G7HARRPK/WorkingFiles/Controls/Project%20Manager/Estimate_Harris%20Pike-UL45%20Ext-Pressure%20Impr_RevH-Initiate%20Scope.xlsx" TargetMode="External"/><Relationship Id="rId2" Type="http://schemas.openxmlformats.org/officeDocument/2006/relationships/externalLinkPath" Target="https://projects.piedmontng.com/sites/MajorProjects/G7HARRPK/WorkingFiles/Controls/Project%20Manager/Estimate_Harris%20Pike-UL45%20Ext-Pressure%20Impr_RevH-Initiate%20Scope.xlsx" TargetMode="External"/><Relationship Id="rId1" Type="http://schemas.openxmlformats.org/officeDocument/2006/relationships/externalLinkPath" Target="/sites/MajorProjects/G7HARRPK/WorkingFiles/Controls/Project%20Manager/Estimate_Harris%20Pike-UL45%20Ext-Pressure%20Impr_RevH-Initiate%20Scop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irst Sheet"/>
      <sheetName val="Master Tab"/>
      <sheetName val="Estimate Uncertainty Tool"/>
      <sheetName val="Finance Breakdown"/>
      <sheetName val="Assumptions"/>
      <sheetName val="Cost Change Log"/>
      <sheetName val="Cost Report"/>
      <sheetName val="Pipeline 1"/>
      <sheetName val="Actuals Spent"/>
      <sheetName val="Demo 1"/>
      <sheetName val="Dropdown Values"/>
      <sheetName val="EJ Questionaire"/>
      <sheetName val="PE Level of Risk Template"/>
      <sheetName val="R&amp;D Credit Potential"/>
      <sheetName val="AFUDC"/>
    </sheetNames>
    <sheetDataSet>
      <sheetData sheetId="0"/>
      <sheetData sheetId="1">
        <row r="12">
          <cell r="C12" t="str">
            <v>Erlanger, KY</v>
          </cell>
        </row>
        <row r="24">
          <cell r="C24" t="str">
            <v>Erlanger</v>
          </cell>
        </row>
      </sheetData>
      <sheetData sheetId="2"/>
      <sheetData sheetId="3"/>
      <sheetData sheetId="4"/>
      <sheetData sheetId="5"/>
      <sheetData sheetId="6"/>
      <sheetData sheetId="7">
        <row r="5">
          <cell r="H5">
            <v>597000</v>
          </cell>
        </row>
        <row r="6">
          <cell r="H6">
            <v>60200</v>
          </cell>
        </row>
        <row r="28">
          <cell r="I28">
            <v>792900</v>
          </cell>
        </row>
        <row r="31">
          <cell r="H31">
            <v>0</v>
          </cell>
        </row>
        <row r="32">
          <cell r="H32">
            <v>0</v>
          </cell>
        </row>
        <row r="33">
          <cell r="H33">
            <v>985800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0</v>
          </cell>
        </row>
        <row r="37">
          <cell r="H37">
            <v>32200</v>
          </cell>
        </row>
        <row r="38">
          <cell r="H38">
            <v>0</v>
          </cell>
        </row>
        <row r="39">
          <cell r="H39">
            <v>20000</v>
          </cell>
        </row>
        <row r="40">
          <cell r="H40">
            <v>25200</v>
          </cell>
        </row>
        <row r="41">
          <cell r="H41">
            <v>6500</v>
          </cell>
        </row>
        <row r="42">
          <cell r="H42">
            <v>0</v>
          </cell>
        </row>
        <row r="43">
          <cell r="H43">
            <v>60500</v>
          </cell>
        </row>
        <row r="44">
          <cell r="H44">
            <v>60000</v>
          </cell>
        </row>
        <row r="171">
          <cell r="I171">
            <v>7067000</v>
          </cell>
        </row>
        <row r="174">
          <cell r="H174">
            <v>961887</v>
          </cell>
        </row>
        <row r="175">
          <cell r="H175">
            <v>106005</v>
          </cell>
        </row>
        <row r="202">
          <cell r="I202">
            <v>564200</v>
          </cell>
        </row>
        <row r="204">
          <cell r="I204">
            <v>492100</v>
          </cell>
        </row>
        <row r="205">
          <cell r="I205">
            <v>1723600</v>
          </cell>
        </row>
      </sheetData>
      <sheetData sheetId="8">
        <row r="5">
          <cell r="H5">
            <v>81000</v>
          </cell>
        </row>
        <row r="6">
          <cell r="H6">
            <v>4500</v>
          </cell>
        </row>
        <row r="22">
          <cell r="I22">
            <v>380100</v>
          </cell>
        </row>
        <row r="30">
          <cell r="H30">
            <v>0</v>
          </cell>
        </row>
        <row r="31">
          <cell r="H31">
            <v>0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0</v>
          </cell>
        </row>
        <row r="37">
          <cell r="H37">
            <v>221500</v>
          </cell>
        </row>
        <row r="38">
          <cell r="H38">
            <v>0</v>
          </cell>
        </row>
        <row r="39">
          <cell r="H39"/>
        </row>
        <row r="40">
          <cell r="H40"/>
        </row>
        <row r="41">
          <cell r="H41"/>
        </row>
        <row r="42">
          <cell r="H42">
            <v>0</v>
          </cell>
        </row>
        <row r="43">
          <cell r="H43">
            <v>0</v>
          </cell>
        </row>
        <row r="168">
          <cell r="H168">
            <v>0</v>
          </cell>
        </row>
        <row r="169">
          <cell r="I169">
            <v>0</v>
          </cell>
        </row>
        <row r="172">
          <cell r="H172"/>
        </row>
        <row r="191">
          <cell r="I191">
            <v>57500</v>
          </cell>
        </row>
        <row r="193">
          <cell r="I193">
            <v>18700</v>
          </cell>
        </row>
      </sheetData>
      <sheetData sheetId="9">
        <row r="5">
          <cell r="H5">
            <v>87500</v>
          </cell>
        </row>
        <row r="6">
          <cell r="H6">
            <v>8800</v>
          </cell>
        </row>
        <row r="13">
          <cell r="I13">
            <v>7500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41">
          <cell r="I41">
            <v>86500</v>
          </cell>
        </row>
        <row r="44">
          <cell r="H44">
            <v>10380</v>
          </cell>
        </row>
        <row r="45">
          <cell r="H45">
            <v>0</v>
          </cell>
        </row>
        <row r="54">
          <cell r="I54">
            <v>6200</v>
          </cell>
        </row>
        <row r="56">
          <cell r="I56">
            <v>7800</v>
          </cell>
        </row>
        <row r="57">
          <cell r="I57">
            <v>31500</v>
          </cell>
        </row>
      </sheetData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053D8-2CD2-44FA-A668-AE94914BE1C2}">
  <sheetPr>
    <pageSetUpPr fitToPage="1"/>
  </sheetPr>
  <dimension ref="A1:W74"/>
  <sheetViews>
    <sheetView tabSelected="1" view="pageLayout" topLeftCell="C1" zoomScaleNormal="100" workbookViewId="0">
      <selection activeCell="B7" sqref="B7"/>
    </sheetView>
  </sheetViews>
  <sheetFormatPr defaultRowHeight="15" x14ac:dyDescent="0.25"/>
  <cols>
    <col min="1" max="1" width="0.7109375" customWidth="1"/>
    <col min="2" max="2" width="10.85546875" customWidth="1"/>
    <col min="3" max="3" width="26.28515625" customWidth="1"/>
    <col min="4" max="4" width="26.140625" customWidth="1"/>
    <col min="5" max="5" width="20.42578125" hidden="1" customWidth="1"/>
    <col min="6" max="6" width="21.7109375" hidden="1" customWidth="1"/>
    <col min="7" max="7" width="1" style="47" hidden="1" customWidth="1"/>
    <col min="8" max="8" width="21.7109375" style="47" hidden="1" customWidth="1"/>
    <col min="9" max="9" width="1" customWidth="1"/>
    <col min="10" max="10" width="15.85546875" customWidth="1"/>
    <col min="11" max="11" width="14.42578125" bestFit="1" customWidth="1"/>
    <col min="12" max="12" width="13.140625" bestFit="1" customWidth="1"/>
    <col min="13" max="13" width="13.42578125" bestFit="1" customWidth="1"/>
    <col min="14" max="14" width="21.140625" bestFit="1" customWidth="1"/>
    <col min="15" max="15" width="18.85546875" bestFit="1" customWidth="1"/>
    <col min="16" max="16" width="14.42578125" bestFit="1" customWidth="1"/>
    <col min="17" max="17" width="29.7109375" bestFit="1" customWidth="1"/>
    <col min="19" max="19" width="11.5703125" hidden="1" customWidth="1"/>
    <col min="20" max="20" width="0" hidden="1" customWidth="1"/>
    <col min="21" max="21" width="17.7109375" hidden="1" customWidth="1"/>
    <col min="22" max="23" width="0" hidden="1" customWidth="1"/>
  </cols>
  <sheetData>
    <row r="1" spans="1:23" ht="3.75" customHeight="1" thickBot="1" x14ac:dyDescent="0.3">
      <c r="B1" s="1"/>
      <c r="C1" s="1"/>
      <c r="D1" s="1"/>
      <c r="E1" s="1"/>
      <c r="F1" s="1"/>
      <c r="G1" s="2"/>
      <c r="H1" s="2"/>
      <c r="I1" s="1"/>
    </row>
    <row r="2" spans="1:23" ht="31.5" x14ac:dyDescent="0.25">
      <c r="A2" s="3"/>
      <c r="B2" s="78" t="s">
        <v>45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</row>
    <row r="3" spans="1:23" ht="21" x14ac:dyDescent="0.25">
      <c r="A3" s="3"/>
      <c r="B3" s="80" t="str">
        <f>'[1]Master Tab'!C12</f>
        <v>Erlanger, KY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</row>
    <row r="4" spans="1:23" ht="18.75" x14ac:dyDescent="0.25">
      <c r="A4" s="3"/>
      <c r="B4" s="82" t="s">
        <v>0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</row>
    <row r="5" spans="1:23" ht="18.75" x14ac:dyDescent="0.25">
      <c r="A5" s="3"/>
      <c r="B5" s="82" t="str">
        <f>'[1]Master Tab'!C24</f>
        <v>Erlanger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</row>
    <row r="6" spans="1:23" ht="15.75" thickBot="1" x14ac:dyDescent="0.3">
      <c r="A6" s="3"/>
      <c r="B6" s="84">
        <v>46311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</row>
    <row r="7" spans="1:23" ht="30" customHeight="1" thickBot="1" x14ac:dyDescent="0.3">
      <c r="A7" s="3"/>
      <c r="B7" s="5"/>
      <c r="C7" s="6"/>
      <c r="D7" s="88" t="s">
        <v>1</v>
      </c>
      <c r="E7" s="88"/>
      <c r="F7" s="88"/>
      <c r="G7" s="7" t="s">
        <v>2</v>
      </c>
      <c r="H7" s="8" t="s">
        <v>3</v>
      </c>
      <c r="I7" s="4"/>
      <c r="J7" s="11" t="s">
        <v>46</v>
      </c>
      <c r="K7" s="11" t="s">
        <v>47</v>
      </c>
      <c r="L7" s="11" t="s">
        <v>48</v>
      </c>
      <c r="M7" s="12" t="s">
        <v>49</v>
      </c>
      <c r="N7" s="11" t="s">
        <v>68</v>
      </c>
      <c r="O7" s="11" t="s">
        <v>50</v>
      </c>
      <c r="P7" s="12" t="s">
        <v>51</v>
      </c>
      <c r="Q7" s="12" t="s">
        <v>52</v>
      </c>
    </row>
    <row r="8" spans="1:23" ht="15.75" thickBot="1" x14ac:dyDescent="0.3">
      <c r="A8" s="3"/>
      <c r="B8" s="9"/>
      <c r="C8" s="10"/>
      <c r="D8" s="12" t="s">
        <v>4</v>
      </c>
      <c r="E8" s="12" t="s">
        <v>5</v>
      </c>
      <c r="F8" s="12" t="s">
        <v>6</v>
      </c>
      <c r="G8" s="13"/>
      <c r="H8" s="14" t="s">
        <v>7</v>
      </c>
      <c r="I8" s="4"/>
      <c r="J8" s="12" t="s">
        <v>55</v>
      </c>
      <c r="K8" s="12" t="s">
        <v>57</v>
      </c>
      <c r="L8" s="12" t="s">
        <v>59</v>
      </c>
      <c r="M8" s="12" t="s">
        <v>59</v>
      </c>
      <c r="N8" s="12" t="s">
        <v>57</v>
      </c>
      <c r="O8" s="12" t="s">
        <v>57</v>
      </c>
      <c r="P8" s="12" t="s">
        <v>62</v>
      </c>
      <c r="Q8" s="12" t="s">
        <v>63</v>
      </c>
      <c r="T8" s="59" t="s">
        <v>65</v>
      </c>
    </row>
    <row r="9" spans="1:23" ht="30.75" thickBot="1" x14ac:dyDescent="0.3">
      <c r="A9" s="3"/>
      <c r="B9" s="9"/>
      <c r="C9" s="10"/>
      <c r="D9" s="12" t="s">
        <v>58</v>
      </c>
      <c r="E9" s="12" t="s">
        <v>8</v>
      </c>
      <c r="F9" s="15" t="s">
        <v>9</v>
      </c>
      <c r="G9" s="13"/>
      <c r="H9" s="14" t="s">
        <v>10</v>
      </c>
      <c r="I9" s="4"/>
      <c r="J9" s="50">
        <v>2350</v>
      </c>
      <c r="K9" s="50">
        <v>1575</v>
      </c>
      <c r="L9" s="50" t="s">
        <v>60</v>
      </c>
      <c r="M9" s="12" t="s">
        <v>61</v>
      </c>
      <c r="N9" s="50">
        <v>11250</v>
      </c>
      <c r="O9" s="50">
        <v>14400</v>
      </c>
      <c r="P9" s="12" t="s">
        <v>64</v>
      </c>
      <c r="Q9" s="12" t="s">
        <v>63</v>
      </c>
      <c r="S9" s="51">
        <v>2350</v>
      </c>
      <c r="T9" s="54">
        <f>S9</f>
        <v>2350</v>
      </c>
      <c r="U9" s="55">
        <f>T9/$T$19</f>
        <v>2.980909494513858E-2</v>
      </c>
      <c r="V9">
        <f>U9</f>
        <v>2.980909494513858E-2</v>
      </c>
      <c r="W9">
        <f>V9*$P$37</f>
        <v>2.8057594388048068E-2</v>
      </c>
    </row>
    <row r="10" spans="1:23" ht="15.75" thickBot="1" x14ac:dyDescent="0.3">
      <c r="A10" s="3"/>
      <c r="B10" s="9"/>
      <c r="C10" s="10"/>
      <c r="D10" s="18" t="s">
        <v>56</v>
      </c>
      <c r="E10" s="12"/>
      <c r="F10" s="15"/>
      <c r="G10" s="13"/>
      <c r="H10" s="14"/>
      <c r="I10" s="4"/>
      <c r="J10" s="18">
        <v>1</v>
      </c>
      <c r="K10" s="18">
        <v>1</v>
      </c>
      <c r="L10" s="18">
        <v>1</v>
      </c>
      <c r="M10" s="18">
        <v>4</v>
      </c>
      <c r="N10" s="18">
        <v>6</v>
      </c>
      <c r="O10" s="18">
        <v>3</v>
      </c>
      <c r="P10" s="70">
        <v>11</v>
      </c>
      <c r="Q10" s="71"/>
      <c r="S10" s="51">
        <v>1575</v>
      </c>
      <c r="T10" s="54">
        <f>S10</f>
        <v>1575</v>
      </c>
      <c r="U10" s="55">
        <f t="shared" ref="U10:U16" si="0">T10/$T$19</f>
        <v>1.9978435973869474E-2</v>
      </c>
      <c r="V10">
        <f>U10</f>
        <v>1.9978435973869474E-2</v>
      </c>
      <c r="W10">
        <f t="shared" ref="W10:W15" si="1">V10*$P$37</f>
        <v>1.8804557940925833E-2</v>
      </c>
    </row>
    <row r="11" spans="1:23" ht="21.75" thickBot="1" x14ac:dyDescent="0.3">
      <c r="A11" s="3"/>
      <c r="B11" s="16" t="s">
        <v>11</v>
      </c>
      <c r="C11" s="17" t="s">
        <v>12</v>
      </c>
      <c r="D11" s="18" t="s">
        <v>13</v>
      </c>
      <c r="E11" s="15" t="s">
        <v>14</v>
      </c>
      <c r="F11" s="15" t="s">
        <v>6</v>
      </c>
      <c r="G11" s="13"/>
      <c r="H11" s="19" t="s">
        <v>15</v>
      </c>
      <c r="I11" s="4"/>
      <c r="J11" s="18"/>
      <c r="K11" s="18"/>
      <c r="L11" s="18"/>
      <c r="M11" s="18"/>
      <c r="N11" s="18"/>
      <c r="O11" s="18"/>
      <c r="P11" s="18"/>
      <c r="Q11" s="18"/>
      <c r="S11" s="52">
        <v>1100</v>
      </c>
      <c r="T11" s="46"/>
      <c r="U11" s="76">
        <f>T12/T19</f>
        <v>5.327582926365193E-2</v>
      </c>
      <c r="V11">
        <f>U11</f>
        <v>5.327582926365193E-2</v>
      </c>
      <c r="W11">
        <f t="shared" si="1"/>
        <v>5.0145487842468889E-2</v>
      </c>
    </row>
    <row r="12" spans="1:23" ht="15.75" thickBot="1" x14ac:dyDescent="0.3">
      <c r="A12" s="3"/>
      <c r="B12" s="60" t="s">
        <v>16</v>
      </c>
      <c r="C12" s="20" t="s">
        <v>17</v>
      </c>
      <c r="D12" s="65">
        <v>1380900</v>
      </c>
      <c r="E12" s="21">
        <f>CEILING('[1]Pipeline 1'!$I$28,100)</f>
        <v>792900</v>
      </c>
      <c r="F12" s="21">
        <f>CEILING('[1]Actuals Spent'!$I$22,100)</f>
        <v>380100</v>
      </c>
      <c r="G12" s="22"/>
      <c r="H12" s="23">
        <f>CEILING('[1]Demo 1'!$I$13,100)</f>
        <v>7500</v>
      </c>
      <c r="I12" s="4"/>
      <c r="J12" s="21">
        <f>$D12*$V$9*0.94124</f>
        <v>38744.619047377426</v>
      </c>
      <c r="K12" s="21">
        <f>$D12*$V$10*0.94124</f>
        <v>25967.138297710408</v>
      </c>
      <c r="L12" s="21">
        <f>$D12*$V$11*0.94124</f>
        <v>69245.702127227749</v>
      </c>
      <c r="M12" s="21">
        <f>$D12*$V$12*0.94124</f>
        <v>271377.20405099256</v>
      </c>
      <c r="N12" s="21">
        <f>$D12*$V$13*0.94124</f>
        <v>185479.55926936003</v>
      </c>
      <c r="O12" s="21">
        <f>$D12*$V$14*0.94124</f>
        <v>237413.83586478085</v>
      </c>
      <c r="P12" s="21">
        <f>$D12*$V$15*0.94124</f>
        <v>471530.25734255085</v>
      </c>
      <c r="Q12" s="21">
        <f>D12-SUM(J12:P12)</f>
        <v>81141.684000000125</v>
      </c>
      <c r="S12" s="53">
        <v>3100</v>
      </c>
      <c r="T12" s="56">
        <f>S11+S12</f>
        <v>4200</v>
      </c>
      <c r="U12" s="77"/>
      <c r="V12">
        <f>U13</f>
        <v>0.20879051182850256</v>
      </c>
      <c r="W12">
        <f t="shared" si="1"/>
        <v>0.19652255473500901</v>
      </c>
    </row>
    <row r="13" spans="1:23" x14ac:dyDescent="0.25">
      <c r="A13" s="3"/>
      <c r="B13" s="61" t="s">
        <v>18</v>
      </c>
      <c r="C13" s="25" t="s">
        <v>19</v>
      </c>
      <c r="D13" s="66">
        <v>250000</v>
      </c>
      <c r="E13" s="26">
        <f>SUM('[1]Pipeline 1'!$H$31:$H$36)</f>
        <v>985800</v>
      </c>
      <c r="F13" s="26">
        <f>SUM('[1]Actuals Spent'!$H$30:$H$35)</f>
        <v>0</v>
      </c>
      <c r="G13" s="22"/>
      <c r="H13" s="27">
        <v>0</v>
      </c>
      <c r="I13" s="4" t="s">
        <v>2</v>
      </c>
      <c r="J13" s="21">
        <f t="shared" ref="J13:J23" si="2">D13*$V$9*0.94</f>
        <v>7005.1373121075658</v>
      </c>
      <c r="K13" s="21">
        <f t="shared" ref="K13:K23" si="3">$D13*$V$10*0.94</f>
        <v>4694.9324538593255</v>
      </c>
      <c r="L13" s="21">
        <f t="shared" ref="L13:L23" si="4">$D13*$V$11*0.94</f>
        <v>12519.819876958203</v>
      </c>
      <c r="M13" s="21">
        <f t="shared" ref="M13:M23" si="5">$D13*$V$12*0.94</f>
        <v>49065.770279698096</v>
      </c>
      <c r="N13" s="21">
        <f t="shared" ref="N13:N23" si="6">$D13*$V$13*0.94</f>
        <v>33535.231813280901</v>
      </c>
      <c r="O13" s="21">
        <f t="shared" ref="O13:O23" si="7">$D13*$V$14*0.94</f>
        <v>42925.096720999551</v>
      </c>
      <c r="P13" s="21">
        <f t="shared" ref="P13:P23" si="8">$D13*$V$15*0.94</f>
        <v>85254.011543096334</v>
      </c>
      <c r="Q13" s="21">
        <f t="shared" ref="Q13:Q17" si="9">D13-SUM(J13:P13)</f>
        <v>15000.000000000029</v>
      </c>
      <c r="S13" s="52">
        <v>4100</v>
      </c>
      <c r="T13" s="46"/>
      <c r="U13" s="76">
        <f>T14/$T$19</f>
        <v>0.20879051182850256</v>
      </c>
      <c r="V13">
        <f>U15</f>
        <v>0.14270311409906766</v>
      </c>
      <c r="W13">
        <f t="shared" si="1"/>
        <v>0.13431827100661309</v>
      </c>
    </row>
    <row r="14" spans="1:23" ht="15.75" thickBot="1" x14ac:dyDescent="0.3">
      <c r="A14" s="3"/>
      <c r="B14" s="61" t="s">
        <v>18</v>
      </c>
      <c r="C14" s="25" t="s">
        <v>20</v>
      </c>
      <c r="D14" s="66">
        <v>293675</v>
      </c>
      <c r="E14" s="26">
        <f>SUM('[1]Pipeline 1'!$H$37:$H$42)</f>
        <v>83900</v>
      </c>
      <c r="F14" s="26">
        <f>SUM('[1]Actuals Spent'!$H$36:$H$41)</f>
        <v>221500</v>
      </c>
      <c r="G14" s="22"/>
      <c r="H14" s="27">
        <f>SUM('[1]Demo 1'!$H$16:$H$18)</f>
        <v>0</v>
      </c>
      <c r="I14" s="4"/>
      <c r="J14" s="21">
        <f t="shared" si="2"/>
        <v>8228.9348005327574</v>
      </c>
      <c r="K14" s="21">
        <f t="shared" si="3"/>
        <v>5515.1371535485505</v>
      </c>
      <c r="L14" s="21">
        <f t="shared" si="4"/>
        <v>14707.032409462801</v>
      </c>
      <c r="M14" s="21">
        <f t="shared" si="5"/>
        <v>57637.560347561353</v>
      </c>
      <c r="N14" s="21">
        <f t="shared" si="6"/>
        <v>39393.836811061068</v>
      </c>
      <c r="O14" s="21">
        <f t="shared" si="7"/>
        <v>50424.111118158173</v>
      </c>
      <c r="P14" s="21">
        <f t="shared" si="8"/>
        <v>100147.88735967527</v>
      </c>
      <c r="Q14" s="21">
        <f t="shared" si="9"/>
        <v>17620.5</v>
      </c>
      <c r="S14" s="53">
        <v>12360</v>
      </c>
      <c r="T14" s="56">
        <f>S13+S14</f>
        <v>16460</v>
      </c>
      <c r="U14" s="77"/>
      <c r="V14">
        <f>U16</f>
        <v>0.18265998604680661</v>
      </c>
      <c r="W14">
        <f t="shared" si="1"/>
        <v>0.17192738688846473</v>
      </c>
    </row>
    <row r="15" spans="1:23" ht="15.75" thickBot="1" x14ac:dyDescent="0.3">
      <c r="A15" s="3"/>
      <c r="B15" s="61" t="s">
        <v>18</v>
      </c>
      <c r="C15" s="25" t="s">
        <v>21</v>
      </c>
      <c r="D15" s="66">
        <v>60500</v>
      </c>
      <c r="E15" s="26">
        <f>SUM('[1]Pipeline 1'!$H$43)</f>
        <v>60500</v>
      </c>
      <c r="F15" s="26">
        <f>SUM('[1]Actuals Spent'!$H$42)</f>
        <v>0</v>
      </c>
      <c r="G15" s="22"/>
      <c r="H15" s="27">
        <f>'[1]Demo 1'!$H$19</f>
        <v>0</v>
      </c>
      <c r="I15" s="4"/>
      <c r="J15" s="21">
        <f t="shared" si="2"/>
        <v>1695.2432295300309</v>
      </c>
      <c r="K15" s="21">
        <f t="shared" si="3"/>
        <v>1136.1736538339569</v>
      </c>
      <c r="L15" s="21">
        <f t="shared" si="4"/>
        <v>3029.7964102238852</v>
      </c>
      <c r="M15" s="21">
        <f t="shared" si="5"/>
        <v>11873.91640768694</v>
      </c>
      <c r="N15" s="21">
        <f t="shared" si="6"/>
        <v>8115.526098813978</v>
      </c>
      <c r="O15" s="21">
        <f t="shared" si="7"/>
        <v>10387.873406481891</v>
      </c>
      <c r="P15" s="21">
        <f t="shared" si="8"/>
        <v>20631.470793429311</v>
      </c>
      <c r="Q15" s="21">
        <f>D15-SUM(J15:P15)</f>
        <v>3630.0000000000073</v>
      </c>
      <c r="S15" s="51">
        <v>11250</v>
      </c>
      <c r="T15" s="57">
        <f>S15</f>
        <v>11250</v>
      </c>
      <c r="U15" s="55">
        <f t="shared" si="0"/>
        <v>0.14270311409906766</v>
      </c>
      <c r="V15">
        <f>U17</f>
        <v>0.36278302784296312</v>
      </c>
      <c r="W15">
        <f t="shared" si="1"/>
        <v>0.34146689340347858</v>
      </c>
    </row>
    <row r="16" spans="1:23" ht="15.75" thickBot="1" x14ac:dyDescent="0.3">
      <c r="A16" s="3"/>
      <c r="B16" s="61" t="s">
        <v>18</v>
      </c>
      <c r="C16" s="25" t="s">
        <v>22</v>
      </c>
      <c r="D16" s="66">
        <v>60000</v>
      </c>
      <c r="E16" s="26">
        <f>SUM('[1]Pipeline 1'!$H$44)</f>
        <v>60000</v>
      </c>
      <c r="F16" s="26">
        <f>SUM('[1]Actuals Spent'!$H$43)</f>
        <v>0</v>
      </c>
      <c r="G16" s="22"/>
      <c r="H16" s="27">
        <v>0</v>
      </c>
      <c r="I16" s="4"/>
      <c r="J16" s="21">
        <f t="shared" si="2"/>
        <v>1681.2329549058159</v>
      </c>
      <c r="K16" s="21">
        <f t="shared" si="3"/>
        <v>1126.7837889262382</v>
      </c>
      <c r="L16" s="21">
        <f t="shared" si="4"/>
        <v>3004.7567704699686</v>
      </c>
      <c r="M16" s="21">
        <f t="shared" si="5"/>
        <v>11775.784867127544</v>
      </c>
      <c r="N16" s="21">
        <f t="shared" si="6"/>
        <v>8048.4556351874153</v>
      </c>
      <c r="O16" s="21">
        <f t="shared" si="7"/>
        <v>10302.023213039893</v>
      </c>
      <c r="P16" s="21">
        <f t="shared" si="8"/>
        <v>20460.962770343122</v>
      </c>
      <c r="Q16" s="21">
        <f t="shared" si="9"/>
        <v>3600</v>
      </c>
      <c r="S16" s="51">
        <v>14400</v>
      </c>
      <c r="T16" s="57">
        <f>S16</f>
        <v>14400</v>
      </c>
      <c r="U16" s="55">
        <f t="shared" si="0"/>
        <v>0.18265998604680661</v>
      </c>
    </row>
    <row r="17" spans="1:21" x14ac:dyDescent="0.25">
      <c r="A17" s="3"/>
      <c r="B17" s="61" t="s">
        <v>23</v>
      </c>
      <c r="C17" s="25" t="s">
        <v>24</v>
      </c>
      <c r="D17" s="66">
        <v>690486</v>
      </c>
      <c r="E17" s="26">
        <f>CEILING('[1]Pipeline 1'!$I$202,100)</f>
        <v>564200</v>
      </c>
      <c r="F17" s="26">
        <f>CEILING('[1]Actuals Spent'!$I$191,100)</f>
        <v>57500</v>
      </c>
      <c r="G17" s="22"/>
      <c r="H17" s="27">
        <f>CEILING('[1]Demo 1'!$I$54,100)</f>
        <v>6200</v>
      </c>
      <c r="I17" s="4"/>
      <c r="J17" s="21">
        <f t="shared" si="2"/>
        <v>19347.796968351617</v>
      </c>
      <c r="K17" s="21">
        <f t="shared" si="3"/>
        <v>12967.140521342042</v>
      </c>
      <c r="L17" s="21">
        <f t="shared" si="4"/>
        <v>34579.041390245453</v>
      </c>
      <c r="M17" s="21">
        <f t="shared" si="5"/>
        <v>135516.90982939047</v>
      </c>
      <c r="N17" s="21">
        <f t="shared" si="6"/>
        <v>92622.432295300299</v>
      </c>
      <c r="O17" s="21">
        <f t="shared" si="7"/>
        <v>118556.71333798437</v>
      </c>
      <c r="P17" s="21">
        <f t="shared" si="8"/>
        <v>235466.80565738564</v>
      </c>
      <c r="Q17" s="21">
        <f t="shared" si="9"/>
        <v>41429.160000000149</v>
      </c>
      <c r="S17" s="52">
        <v>14100</v>
      </c>
      <c r="T17" s="46"/>
      <c r="U17" s="76">
        <f>T18/$T$19</f>
        <v>0.36278302784296312</v>
      </c>
    </row>
    <row r="18" spans="1:21" ht="15.75" thickBot="1" x14ac:dyDescent="0.3">
      <c r="A18" s="3"/>
      <c r="B18" s="61" t="s">
        <v>25</v>
      </c>
      <c r="C18" s="25" t="s">
        <v>26</v>
      </c>
      <c r="D18" s="66">
        <v>7769300</v>
      </c>
      <c r="E18" s="26">
        <f>CEILING('[1]Pipeline 1'!$I$171,100)</f>
        <v>7067000</v>
      </c>
      <c r="F18" s="26">
        <f>CEILING('[1]Actuals Spent'!$I$169,100)</f>
        <v>0</v>
      </c>
      <c r="G18" s="22"/>
      <c r="H18" s="27">
        <f>CEILING('[1]Demo 1'!$I$41,100)</f>
        <v>86500</v>
      </c>
      <c r="I18" s="4"/>
      <c r="J18" s="21">
        <f>D18*$V$9</f>
        <v>231595.80135726515</v>
      </c>
      <c r="K18" s="21">
        <f>$D18*$V$10</f>
        <v>155218.46261178411</v>
      </c>
      <c r="L18" s="21">
        <f>$D18*$V$11</f>
        <v>413915.90029809094</v>
      </c>
      <c r="M18" s="21">
        <f>$D18*$V$12</f>
        <v>1622156.123549185</v>
      </c>
      <c r="N18" s="21">
        <f>$D18*$V$13</f>
        <v>1108703.3043698864</v>
      </c>
      <c r="O18" s="21">
        <f>$D18*$V$14</f>
        <v>1419140.2295934546</v>
      </c>
      <c r="P18" s="21">
        <f>$D18*$V$15</f>
        <v>2818570.1782203335</v>
      </c>
      <c r="Q18" s="26" t="s">
        <v>66</v>
      </c>
      <c r="S18" s="53">
        <v>14500</v>
      </c>
      <c r="T18" s="56">
        <f>S17+S18</f>
        <v>28600</v>
      </c>
      <c r="U18" s="77"/>
    </row>
    <row r="19" spans="1:21" ht="15.75" thickBot="1" x14ac:dyDescent="0.3">
      <c r="A19" s="3"/>
      <c r="B19" s="61" t="s">
        <v>27</v>
      </c>
      <c r="C19" s="25" t="s">
        <v>28</v>
      </c>
      <c r="D19" s="66">
        <v>485000</v>
      </c>
      <c r="E19" s="28">
        <v>0</v>
      </c>
      <c r="F19" s="28">
        <v>0</v>
      </c>
      <c r="G19" s="22"/>
      <c r="H19" s="29">
        <v>0</v>
      </c>
      <c r="I19" s="4"/>
      <c r="J19" s="21" t="s">
        <v>66</v>
      </c>
      <c r="K19" s="21" t="s">
        <v>66</v>
      </c>
      <c r="L19" s="21" t="s">
        <v>66</v>
      </c>
      <c r="M19" s="21" t="s">
        <v>66</v>
      </c>
      <c r="N19" s="21" t="s">
        <v>66</v>
      </c>
      <c r="O19" s="21" t="s">
        <v>66</v>
      </c>
      <c r="P19" s="21" t="s">
        <v>66</v>
      </c>
      <c r="Q19" s="26">
        <v>485000</v>
      </c>
      <c r="S19" s="54">
        <f>SUM(S9:S18)</f>
        <v>78835</v>
      </c>
      <c r="T19" s="57">
        <f>SUM(T9:T18)</f>
        <v>78835</v>
      </c>
      <c r="U19" s="58">
        <f>SUM(U9:U17)</f>
        <v>1</v>
      </c>
    </row>
    <row r="20" spans="1:21" x14ac:dyDescent="0.25">
      <c r="A20" s="3"/>
      <c r="B20" s="61" t="s">
        <v>29</v>
      </c>
      <c r="C20" s="25" t="s">
        <v>30</v>
      </c>
      <c r="D20" s="66">
        <v>1009836</v>
      </c>
      <c r="E20" s="26">
        <f>CEILING('[1]Pipeline 1'!$H$174,100)</f>
        <v>961900</v>
      </c>
      <c r="F20" s="26">
        <f>CEILING('[1]Actuals Spent'!$H$172,100)</f>
        <v>0</v>
      </c>
      <c r="G20" s="22"/>
      <c r="H20" s="27">
        <f>CEILING('[1]Demo 1'!$H$44,100)</f>
        <v>10400</v>
      </c>
      <c r="I20" s="4" t="s">
        <v>2</v>
      </c>
      <c r="J20" s="21">
        <f t="shared" si="2"/>
        <v>28296.159370837824</v>
      </c>
      <c r="K20" s="21">
        <f t="shared" si="3"/>
        <v>18964.447237901946</v>
      </c>
      <c r="L20" s="21">
        <f t="shared" si="4"/>
        <v>50571.859301071854</v>
      </c>
      <c r="M20" s="21">
        <f t="shared" si="5"/>
        <v>198193.52478467682</v>
      </c>
      <c r="N20" s="21">
        <f t="shared" si="6"/>
        <v>135460.33741358531</v>
      </c>
      <c r="O20" s="21">
        <f t="shared" si="7"/>
        <v>173389.23188938922</v>
      </c>
      <c r="P20" s="21">
        <f t="shared" si="8"/>
        <v>344370.28000253689</v>
      </c>
      <c r="Q20" s="26">
        <f>D20-SUM(J20:P20)</f>
        <v>60590.160000000149</v>
      </c>
    </row>
    <row r="21" spans="1:21" x14ac:dyDescent="0.25">
      <c r="A21" s="3"/>
      <c r="B21" s="61" t="s">
        <v>29</v>
      </c>
      <c r="C21" s="25" t="s">
        <v>31</v>
      </c>
      <c r="D21" s="66">
        <v>112204</v>
      </c>
      <c r="E21" s="26">
        <f>CEILING('[1]Pipeline 1'!$H$175,100)</f>
        <v>106100</v>
      </c>
      <c r="F21" s="26">
        <f>CEILING('[1]Actuals Spent'!$H$168,100)</f>
        <v>0</v>
      </c>
      <c r="G21" s="22"/>
      <c r="H21" s="27">
        <f>CEILING('[1]Demo 1'!$H$45,100)</f>
        <v>0</v>
      </c>
      <c r="I21" s="4" t="s">
        <v>2</v>
      </c>
      <c r="J21" s="21">
        <f t="shared" si="2"/>
        <v>3144.0177078708693</v>
      </c>
      <c r="K21" s="21">
        <f t="shared" si="3"/>
        <v>2107.1608042113271</v>
      </c>
      <c r="L21" s="21">
        <f t="shared" si="4"/>
        <v>5619.0954778968726</v>
      </c>
      <c r="M21" s="21">
        <f t="shared" si="5"/>
        <v>22021.502753852983</v>
      </c>
      <c r="N21" s="21">
        <f t="shared" si="6"/>
        <v>15051.14860150948</v>
      </c>
      <c r="O21" s="21">
        <f t="shared" si="7"/>
        <v>19265.470209932133</v>
      </c>
      <c r="P21" s="21">
        <f t="shared" si="8"/>
        <v>38263.364444726321</v>
      </c>
      <c r="Q21" s="26">
        <f t="shared" ref="Q21:Q23" si="10">D21-SUM(J21:P21)</f>
        <v>6732.2400000000198</v>
      </c>
    </row>
    <row r="22" spans="1:21" x14ac:dyDescent="0.25">
      <c r="A22" s="3"/>
      <c r="B22" s="61" t="s">
        <v>32</v>
      </c>
      <c r="C22" s="25" t="s">
        <v>53</v>
      </c>
      <c r="D22" s="66">
        <v>700000</v>
      </c>
      <c r="E22" s="26">
        <f>CEILING('[1]Pipeline 1'!$H$5,100)</f>
        <v>597000</v>
      </c>
      <c r="F22" s="26">
        <f>CEILING('[1]Actuals Spent'!$H$5,100)</f>
        <v>81000</v>
      </c>
      <c r="G22" s="22"/>
      <c r="H22" s="27">
        <f>CEILING('[1]Demo 1'!$H$5,100)</f>
        <v>87500</v>
      </c>
      <c r="I22" s="4" t="s">
        <v>2</v>
      </c>
      <c r="J22" s="21">
        <f t="shared" si="2"/>
        <v>19614.384473901184</v>
      </c>
      <c r="K22" s="21">
        <f t="shared" si="3"/>
        <v>13145.810870806112</v>
      </c>
      <c r="L22" s="21">
        <f t="shared" si="4"/>
        <v>35055.49565548297</v>
      </c>
      <c r="M22" s="21">
        <f t="shared" si="5"/>
        <v>137384.15678315467</v>
      </c>
      <c r="N22" s="21">
        <f t="shared" si="6"/>
        <v>93898.649077186521</v>
      </c>
      <c r="O22" s="21">
        <f t="shared" si="7"/>
        <v>120190.27081879874</v>
      </c>
      <c r="P22" s="21">
        <f t="shared" si="8"/>
        <v>238711.23232066972</v>
      </c>
      <c r="Q22" s="26">
        <f t="shared" si="10"/>
        <v>42000.000000000116</v>
      </c>
    </row>
    <row r="23" spans="1:21" ht="15.75" thickBot="1" x14ac:dyDescent="0.3">
      <c r="A23" s="3"/>
      <c r="B23" s="62" t="s">
        <v>33</v>
      </c>
      <c r="C23" s="30" t="s">
        <v>34</v>
      </c>
      <c r="D23" s="67">
        <v>64700</v>
      </c>
      <c r="E23" s="31">
        <f>CEILING('[1]Pipeline 1'!$H$6,100)</f>
        <v>60200</v>
      </c>
      <c r="F23" s="31">
        <f>CEILING('[1]Actuals Spent'!$H$6,100)</f>
        <v>4500</v>
      </c>
      <c r="G23" s="22"/>
      <c r="H23" s="32">
        <f>CEILING('[1]Demo 1'!$H$6,100)</f>
        <v>8800</v>
      </c>
      <c r="I23" s="4"/>
      <c r="J23" s="21">
        <f t="shared" si="2"/>
        <v>1812.9295363734379</v>
      </c>
      <c r="K23" s="21">
        <f t="shared" si="3"/>
        <v>1215.0485190587935</v>
      </c>
      <c r="L23" s="21">
        <f t="shared" si="4"/>
        <v>3240.1293841567831</v>
      </c>
      <c r="M23" s="21">
        <f t="shared" si="5"/>
        <v>12698.221348385867</v>
      </c>
      <c r="N23" s="21">
        <f t="shared" si="6"/>
        <v>8678.9179932770967</v>
      </c>
      <c r="O23" s="21">
        <f t="shared" si="7"/>
        <v>11109.015031394683</v>
      </c>
      <c r="P23" s="21">
        <f t="shared" si="8"/>
        <v>22063.738187353327</v>
      </c>
      <c r="Q23" s="26">
        <f t="shared" si="10"/>
        <v>3882.0000000000146</v>
      </c>
    </row>
    <row r="24" spans="1:21" s="37" customFormat="1" ht="15.75" thickBot="1" x14ac:dyDescent="0.3">
      <c r="A24" s="33"/>
      <c r="B24" s="86" t="s">
        <v>35</v>
      </c>
      <c r="C24" s="87"/>
      <c r="D24" s="43">
        <f>SUM(D12:D23)</f>
        <v>12876601</v>
      </c>
      <c r="E24" s="34">
        <f t="shared" ref="E24:F24" si="11">SUM(E12:E23)</f>
        <v>11339500</v>
      </c>
      <c r="F24" s="34">
        <f t="shared" si="11"/>
        <v>744600</v>
      </c>
      <c r="G24" s="35"/>
      <c r="H24" s="34">
        <f>SUM(H12:H23)</f>
        <v>206900</v>
      </c>
      <c r="I24" s="36"/>
      <c r="J24" s="34">
        <f t="shared" ref="J24:Q24" si="12">SUM(J12:J23)</f>
        <v>361166.25675905368</v>
      </c>
      <c r="K24" s="34">
        <f t="shared" si="12"/>
        <v>242058.23591298281</v>
      </c>
      <c r="L24" s="34">
        <f t="shared" si="12"/>
        <v>645488.62910128746</v>
      </c>
      <c r="M24" s="34">
        <f t="shared" si="12"/>
        <v>2529700.6750017121</v>
      </c>
      <c r="N24" s="34">
        <f t="shared" si="12"/>
        <v>1728987.3993784485</v>
      </c>
      <c r="O24" s="34">
        <f t="shared" si="12"/>
        <v>2213103.8712044139</v>
      </c>
      <c r="P24" s="34">
        <f t="shared" si="12"/>
        <v>4395470.1886420995</v>
      </c>
      <c r="Q24" s="34">
        <f t="shared" si="12"/>
        <v>760625.74400000053</v>
      </c>
    </row>
    <row r="25" spans="1:21" x14ac:dyDescent="0.25">
      <c r="A25" s="3"/>
      <c r="B25" s="63" t="s">
        <v>2</v>
      </c>
      <c r="C25" s="38" t="s">
        <v>36</v>
      </c>
      <c r="D25" s="65">
        <v>1718000</v>
      </c>
      <c r="E25" s="21">
        <f>CEILING('[1]Pipeline 1'!$I$205,100)+4400</f>
        <v>1728000</v>
      </c>
      <c r="F25" s="21">
        <f>CEILING('[1]Actuals Spent'!$I$199,100)</f>
        <v>0</v>
      </c>
      <c r="G25" s="22"/>
      <c r="H25" s="23">
        <f>CEILING('[1]Demo 1'!$I$57,100)</f>
        <v>31500</v>
      </c>
      <c r="I25" s="4"/>
      <c r="J25" s="21">
        <f>D25*$W9</f>
        <v>48202.947158666582</v>
      </c>
      <c r="K25" s="21">
        <f>D25*$W$10</f>
        <v>32306.230542510581</v>
      </c>
      <c r="L25" s="21">
        <f>D25*$W$11</f>
        <v>86149.948113361548</v>
      </c>
      <c r="M25" s="21">
        <f>D25*$W$12</f>
        <v>337625.7490347455</v>
      </c>
      <c r="N25" s="21">
        <f>D25*$W$13</f>
        <v>230758.78958936129</v>
      </c>
      <c r="O25" s="21">
        <f>D25*$W$14</f>
        <v>295371.25067438243</v>
      </c>
      <c r="P25" s="21">
        <f>D25*$W$15</f>
        <v>586640.12286717619</v>
      </c>
      <c r="Q25" s="21">
        <f>D25-SUM(J25:P25)</f>
        <v>100944.96201979602</v>
      </c>
    </row>
    <row r="26" spans="1:21" ht="15.75" thickBot="1" x14ac:dyDescent="0.3">
      <c r="A26" s="3"/>
      <c r="B26" s="62" t="s">
        <v>2</v>
      </c>
      <c r="C26" s="30" t="s">
        <v>37</v>
      </c>
      <c r="D26" s="67">
        <v>150000</v>
      </c>
      <c r="E26" s="31">
        <f>CEILING('[1]Pipeline 1'!$I$204,100)</f>
        <v>492100</v>
      </c>
      <c r="F26" s="31">
        <f>CEILING('[1]Actuals Spent'!$I$193,100)</f>
        <v>18700</v>
      </c>
      <c r="G26" s="22"/>
      <c r="H26" s="32">
        <f>CEILING('[1]Demo 1'!$I$56,100)</f>
        <v>7800</v>
      </c>
      <c r="I26" s="4"/>
      <c r="J26" s="21">
        <f>D26*W9</f>
        <v>4208.6391582072101</v>
      </c>
      <c r="K26" s="21">
        <f>D26*W10</f>
        <v>2820.683691138875</v>
      </c>
      <c r="L26" s="21">
        <f>D26*W11</f>
        <v>7521.8231763703334</v>
      </c>
      <c r="M26" s="21">
        <f>D26*W12</f>
        <v>29478.383210251352</v>
      </c>
      <c r="N26" s="21">
        <f>D26*W13</f>
        <v>20147.740650991964</v>
      </c>
      <c r="O26" s="21">
        <f>D26*W14</f>
        <v>25789.108033269709</v>
      </c>
      <c r="P26" s="21">
        <f>D26*W15</f>
        <v>51220.034010521784</v>
      </c>
      <c r="Q26" s="21">
        <f>D26-SUM(J26:P26)</f>
        <v>8813.5880692487699</v>
      </c>
      <c r="S26" s="24"/>
    </row>
    <row r="27" spans="1:21" s="37" customFormat="1" ht="15.75" thickBot="1" x14ac:dyDescent="0.3">
      <c r="A27" s="33"/>
      <c r="B27" s="89" t="s">
        <v>38</v>
      </c>
      <c r="C27" s="90"/>
      <c r="D27" s="43">
        <f>SUM(D25:D26)</f>
        <v>1868000</v>
      </c>
      <c r="E27" s="39">
        <f t="shared" ref="E27:F27" si="13">SUM(E25:E26)</f>
        <v>2220100</v>
      </c>
      <c r="F27" s="39">
        <f t="shared" si="13"/>
        <v>18700</v>
      </c>
      <c r="G27" s="35"/>
      <c r="H27" s="39">
        <f>SUM(H25:H26)</f>
        <v>39300</v>
      </c>
      <c r="I27" s="36"/>
      <c r="J27" s="39">
        <f>SUM(J25:J26)</f>
        <v>52411.586316873792</v>
      </c>
      <c r="K27" s="39">
        <f t="shared" ref="K27:Q27" si="14">SUM(K25:K26)</f>
        <v>35126.914233649455</v>
      </c>
      <c r="L27" s="39">
        <f t="shared" si="14"/>
        <v>93671.771289731885</v>
      </c>
      <c r="M27" s="39">
        <f t="shared" si="14"/>
        <v>367104.13224499684</v>
      </c>
      <c r="N27" s="39">
        <f t="shared" si="14"/>
        <v>250906.53024035326</v>
      </c>
      <c r="O27" s="39">
        <f t="shared" si="14"/>
        <v>321160.35870765214</v>
      </c>
      <c r="P27" s="39">
        <f t="shared" si="14"/>
        <v>637860.15687769803</v>
      </c>
      <c r="Q27" s="39">
        <f t="shared" si="14"/>
        <v>109758.55008904479</v>
      </c>
    </row>
    <row r="28" spans="1:21" ht="5.25" customHeight="1" thickBot="1" x14ac:dyDescent="0.3">
      <c r="B28" s="40"/>
      <c r="C28" s="64"/>
      <c r="D28" s="68"/>
      <c r="E28" s="41"/>
      <c r="F28" s="41"/>
      <c r="G28" s="22"/>
      <c r="H28" s="41"/>
      <c r="I28" s="4"/>
      <c r="J28" s="41"/>
      <c r="K28" s="41"/>
      <c r="L28" s="41"/>
      <c r="M28" s="41"/>
      <c r="N28" s="41"/>
      <c r="O28" s="41"/>
      <c r="P28" s="41"/>
      <c r="Q28" s="41"/>
    </row>
    <row r="29" spans="1:21" s="37" customFormat="1" ht="15.75" thickBot="1" x14ac:dyDescent="0.3">
      <c r="A29" s="33"/>
      <c r="B29" s="91" t="s">
        <v>39</v>
      </c>
      <c r="C29" s="92"/>
      <c r="D29" s="43">
        <f>SUM(D27,D24)</f>
        <v>14744601</v>
      </c>
      <c r="E29" s="42">
        <f t="shared" ref="E29:F29" si="15">SUM(E24,E27)</f>
        <v>13559600</v>
      </c>
      <c r="F29" s="42">
        <f t="shared" si="15"/>
        <v>763300</v>
      </c>
      <c r="G29" s="35"/>
      <c r="H29" s="42">
        <f>SUM(H24,H27)</f>
        <v>246200</v>
      </c>
      <c r="I29" s="36"/>
      <c r="J29" s="42">
        <f t="shared" ref="J29:Q29" si="16">SUM(J27,J24)</f>
        <v>413577.84307592746</v>
      </c>
      <c r="K29" s="42">
        <f t="shared" si="16"/>
        <v>277185.15014663228</v>
      </c>
      <c r="L29" s="42">
        <f t="shared" si="16"/>
        <v>739160.4003910193</v>
      </c>
      <c r="M29" s="42">
        <f t="shared" si="16"/>
        <v>2896804.8072467088</v>
      </c>
      <c r="N29" s="42">
        <f t="shared" si="16"/>
        <v>1979893.9296188017</v>
      </c>
      <c r="O29" s="42">
        <f t="shared" si="16"/>
        <v>2534264.2299120659</v>
      </c>
      <c r="P29" s="42">
        <f t="shared" si="16"/>
        <v>5033330.3455197979</v>
      </c>
      <c r="Q29" s="42">
        <f t="shared" si="16"/>
        <v>870384.29408904538</v>
      </c>
    </row>
    <row r="30" spans="1:21" x14ac:dyDescent="0.25">
      <c r="A30" s="3"/>
      <c r="B30" s="61" t="s">
        <v>40</v>
      </c>
      <c r="C30" s="25" t="s">
        <v>41</v>
      </c>
      <c r="D30" s="65">
        <v>373974</v>
      </c>
      <c r="E30" s="26">
        <v>388500</v>
      </c>
      <c r="F30" s="26">
        <v>97200</v>
      </c>
      <c r="G30" s="22"/>
      <c r="H30" s="27">
        <v>0</v>
      </c>
      <c r="I30" s="4"/>
      <c r="J30" s="26">
        <f>D30*W9</f>
        <v>10492.810803675888</v>
      </c>
      <c r="K30" s="26">
        <f>D30*W10</f>
        <v>7032.415751399798</v>
      </c>
      <c r="L30" s="26">
        <f>D30*W11</f>
        <v>18753.108670399459</v>
      </c>
      <c r="M30" s="26">
        <f>D30*W12</f>
        <v>73494.325884470265</v>
      </c>
      <c r="N30" s="26">
        <f>D30*W13</f>
        <v>50231.541081427124</v>
      </c>
      <c r="O30" s="26">
        <f>D30*W14</f>
        <v>64296.372584226709</v>
      </c>
      <c r="P30" s="26">
        <f>D30*W15</f>
        <v>127699.7399936725</v>
      </c>
      <c r="Q30" s="26">
        <f>D30-SUM(J30:P30)</f>
        <v>21973.685230728239</v>
      </c>
      <c r="S30" s="24"/>
    </row>
    <row r="31" spans="1:21" ht="15.75" thickBot="1" x14ac:dyDescent="0.3">
      <c r="A31" s="3"/>
      <c r="B31" s="62" t="s">
        <v>42</v>
      </c>
      <c r="C31" s="30" t="s">
        <v>43</v>
      </c>
      <c r="D31" s="67">
        <v>2182175.77</v>
      </c>
      <c r="E31" s="31">
        <v>1819100</v>
      </c>
      <c r="F31" s="31">
        <v>146700</v>
      </c>
      <c r="G31" s="22"/>
      <c r="H31" s="32" t="e">
        <f>CEILING((SUM(H12,H18:H23,H25:H26)*#REF!),100)</f>
        <v>#REF!</v>
      </c>
      <c r="I31" s="4"/>
      <c r="J31" s="26">
        <f>D31*W9</f>
        <v>61226.602638086471</v>
      </c>
      <c r="K31" s="26">
        <f>D31*W10</f>
        <v>41034.850704249446</v>
      </c>
      <c r="L31" s="26">
        <f>D31*W11</f>
        <v>109426.26854466519</v>
      </c>
      <c r="M31" s="26">
        <f>D31*W12</f>
        <v>428846.75720123545</v>
      </c>
      <c r="N31" s="26">
        <f>D31*W13</f>
        <v>293106.07645892457</v>
      </c>
      <c r="O31" s="26">
        <f>D31*W14</f>
        <v>375175.77786742343</v>
      </c>
      <c r="P31" s="26">
        <f>D31*W15</f>
        <v>745140.78104224382</v>
      </c>
      <c r="Q31" s="26">
        <f>D31-SUM(J31:P31)</f>
        <v>128218.65554317157</v>
      </c>
    </row>
    <row r="32" spans="1:21" s="37" customFormat="1" ht="15.75" thickBot="1" x14ac:dyDescent="0.3">
      <c r="A32" s="33"/>
      <c r="B32" s="86" t="s">
        <v>54</v>
      </c>
      <c r="C32" s="87"/>
      <c r="D32" s="43">
        <f t="shared" ref="D32:F32" si="17">SUM(D30:D31)</f>
        <v>2556149.77</v>
      </c>
      <c r="E32" s="34">
        <f t="shared" si="17"/>
        <v>2207600</v>
      </c>
      <c r="F32" s="34">
        <f t="shared" si="17"/>
        <v>243900</v>
      </c>
      <c r="G32" s="35"/>
      <c r="H32" s="34" t="e">
        <f>SUM(H30:H31)</f>
        <v>#REF!</v>
      </c>
      <c r="I32" s="36"/>
      <c r="J32" s="34">
        <f t="shared" ref="J32:Q32" si="18">SUM(J30:J31)</f>
        <v>71719.413441762357</v>
      </c>
      <c r="K32" s="34">
        <f t="shared" si="18"/>
        <v>48067.266455649245</v>
      </c>
      <c r="L32" s="34">
        <f t="shared" si="18"/>
        <v>128179.37721506465</v>
      </c>
      <c r="M32" s="34">
        <f t="shared" si="18"/>
        <v>502341.0830857057</v>
      </c>
      <c r="N32" s="34">
        <f t="shared" si="18"/>
        <v>343337.6175403517</v>
      </c>
      <c r="O32" s="34">
        <f t="shared" si="18"/>
        <v>439472.15045165014</v>
      </c>
      <c r="P32" s="34">
        <f t="shared" si="18"/>
        <v>872840.52103591629</v>
      </c>
      <c r="Q32" s="34">
        <f t="shared" si="18"/>
        <v>150192.34077389981</v>
      </c>
    </row>
    <row r="33" spans="2:17" s="37" customFormat="1" ht="30" customHeight="1" thickBot="1" x14ac:dyDescent="0.3">
      <c r="B33" s="74" t="s">
        <v>44</v>
      </c>
      <c r="C33" s="75"/>
      <c r="D33" s="43">
        <f>SUM(D32,D29)</f>
        <v>17300750.77</v>
      </c>
      <c r="E33" s="43">
        <f t="shared" ref="E33:H33" si="19">SUM(E29,E32)</f>
        <v>15767200</v>
      </c>
      <c r="F33" s="43">
        <f>SUM(F29,F32)</f>
        <v>1007200</v>
      </c>
      <c r="G33" s="44"/>
      <c r="H33" s="45" t="e">
        <f t="shared" si="19"/>
        <v>#REF!</v>
      </c>
      <c r="I33" s="36"/>
      <c r="J33" s="43">
        <f t="shared" ref="J33:Q33" si="20">SUM(J32,J29)</f>
        <v>485297.25651768979</v>
      </c>
      <c r="K33" s="43">
        <f t="shared" si="20"/>
        <v>325252.4166022815</v>
      </c>
      <c r="L33" s="43">
        <f t="shared" si="20"/>
        <v>867339.77760608401</v>
      </c>
      <c r="M33" s="43">
        <f t="shared" si="20"/>
        <v>3399145.8903324143</v>
      </c>
      <c r="N33" s="43">
        <f t="shared" si="20"/>
        <v>2323231.5471591535</v>
      </c>
      <c r="O33" s="43">
        <f t="shared" si="20"/>
        <v>2973736.3803637158</v>
      </c>
      <c r="P33" s="43">
        <f t="shared" si="20"/>
        <v>5906170.866555714</v>
      </c>
      <c r="Q33" s="43">
        <f t="shared" si="20"/>
        <v>1020576.6348629452</v>
      </c>
    </row>
    <row r="34" spans="2:17" ht="31.5" customHeight="1" thickBot="1" x14ac:dyDescent="0.3">
      <c r="B34" s="74" t="s">
        <v>67</v>
      </c>
      <c r="C34" s="75"/>
      <c r="D34" s="69" t="s">
        <v>63</v>
      </c>
      <c r="E34" s="43"/>
      <c r="F34" s="43"/>
      <c r="G34" s="44"/>
      <c r="H34" s="45"/>
      <c r="I34" s="36"/>
      <c r="J34" s="43">
        <f>J33/J10</f>
        <v>485297.25651768979</v>
      </c>
      <c r="K34" s="43">
        <f t="shared" ref="K34:O34" si="21">K33/K10</f>
        <v>325252.4166022815</v>
      </c>
      <c r="L34" s="43">
        <f t="shared" si="21"/>
        <v>867339.77760608401</v>
      </c>
      <c r="M34" s="43">
        <f t="shared" si="21"/>
        <v>849786.47258310358</v>
      </c>
      <c r="N34" s="43">
        <f t="shared" si="21"/>
        <v>387205.25785985892</v>
      </c>
      <c r="O34" s="43">
        <f t="shared" si="21"/>
        <v>991245.4601212386</v>
      </c>
      <c r="P34" s="72">
        <f>(P33+Q33)/P10</f>
        <v>629704.3183107872</v>
      </c>
      <c r="Q34" s="73"/>
    </row>
    <row r="35" spans="2:17" ht="6.75" customHeight="1" x14ac:dyDescent="0.25">
      <c r="G35"/>
      <c r="H35"/>
    </row>
    <row r="36" spans="2:17" ht="18" customHeight="1" x14ac:dyDescent="0.25">
      <c r="G36"/>
      <c r="H36"/>
    </row>
    <row r="37" spans="2:17" hidden="1" x14ac:dyDescent="0.25">
      <c r="G37"/>
      <c r="H37"/>
      <c r="O37">
        <v>7769300</v>
      </c>
      <c r="P37">
        <f>O37/(O37+O38)</f>
        <v>0.94124274620500825</v>
      </c>
    </row>
    <row r="38" spans="2:17" hidden="1" x14ac:dyDescent="0.25">
      <c r="G38"/>
      <c r="H38"/>
      <c r="O38">
        <v>485000</v>
      </c>
      <c r="P38">
        <f>1-P37</f>
        <v>5.8757253794991748E-2</v>
      </c>
    </row>
    <row r="39" spans="2:17" x14ac:dyDescent="0.25">
      <c r="G39"/>
      <c r="H39"/>
    </row>
    <row r="40" spans="2:17" x14ac:dyDescent="0.25">
      <c r="G40"/>
      <c r="H40"/>
    </row>
    <row r="41" spans="2:17" x14ac:dyDescent="0.25">
      <c r="G41"/>
      <c r="H41"/>
    </row>
    <row r="42" spans="2:17" ht="19.5" customHeight="1" x14ac:dyDescent="0.25">
      <c r="G42"/>
      <c r="H42"/>
    </row>
    <row r="43" spans="2:17" x14ac:dyDescent="0.25">
      <c r="G43"/>
      <c r="H43"/>
    </row>
    <row r="44" spans="2:17" x14ac:dyDescent="0.25">
      <c r="G44"/>
      <c r="H44"/>
    </row>
    <row r="45" spans="2:17" x14ac:dyDescent="0.25">
      <c r="G45"/>
      <c r="H45"/>
    </row>
    <row r="46" spans="2:17" x14ac:dyDescent="0.25">
      <c r="G46"/>
      <c r="H46"/>
    </row>
    <row r="47" spans="2:17" x14ac:dyDescent="0.25">
      <c r="G47"/>
      <c r="H47"/>
    </row>
    <row r="48" spans="2:17" x14ac:dyDescent="0.25">
      <c r="G48"/>
      <c r="H48"/>
    </row>
    <row r="49" spans="6:8" x14ac:dyDescent="0.25">
      <c r="G49"/>
      <c r="H49"/>
    </row>
    <row r="50" spans="6:8" x14ac:dyDescent="0.25">
      <c r="G50"/>
      <c r="H50"/>
    </row>
    <row r="51" spans="6:8" x14ac:dyDescent="0.25">
      <c r="G51"/>
      <c r="H51"/>
    </row>
    <row r="52" spans="6:8" x14ac:dyDescent="0.25">
      <c r="G52"/>
      <c r="H52"/>
    </row>
    <row r="53" spans="6:8" x14ac:dyDescent="0.25">
      <c r="F53" s="48"/>
    </row>
    <row r="54" spans="6:8" x14ac:dyDescent="0.25">
      <c r="F54" s="48"/>
    </row>
    <row r="55" spans="6:8" x14ac:dyDescent="0.25">
      <c r="F55" s="48"/>
    </row>
    <row r="56" spans="6:8" x14ac:dyDescent="0.25">
      <c r="F56" s="48"/>
    </row>
    <row r="57" spans="6:8" x14ac:dyDescent="0.25">
      <c r="F57" s="48"/>
    </row>
    <row r="58" spans="6:8" x14ac:dyDescent="0.25">
      <c r="F58" s="48"/>
    </row>
    <row r="59" spans="6:8" x14ac:dyDescent="0.25">
      <c r="F59" s="48"/>
    </row>
    <row r="60" spans="6:8" x14ac:dyDescent="0.25">
      <c r="F60" s="48"/>
    </row>
    <row r="61" spans="6:8" x14ac:dyDescent="0.25">
      <c r="F61" s="48"/>
    </row>
    <row r="62" spans="6:8" x14ac:dyDescent="0.25">
      <c r="F62" s="48"/>
    </row>
    <row r="63" spans="6:8" x14ac:dyDescent="0.25">
      <c r="F63" s="48"/>
    </row>
    <row r="64" spans="6:8" x14ac:dyDescent="0.25">
      <c r="F64" s="48"/>
    </row>
    <row r="65" spans="5:6" x14ac:dyDescent="0.25">
      <c r="F65" s="48"/>
    </row>
    <row r="66" spans="5:6" x14ac:dyDescent="0.25">
      <c r="F66" s="48"/>
    </row>
    <row r="67" spans="5:6" x14ac:dyDescent="0.25">
      <c r="F67" s="48"/>
    </row>
    <row r="68" spans="5:6" x14ac:dyDescent="0.25">
      <c r="F68" s="48"/>
    </row>
    <row r="69" spans="5:6" x14ac:dyDescent="0.25">
      <c r="F69" s="48"/>
    </row>
    <row r="70" spans="5:6" x14ac:dyDescent="0.25">
      <c r="F70" s="48"/>
    </row>
    <row r="71" spans="5:6" x14ac:dyDescent="0.25">
      <c r="F71" s="48"/>
    </row>
    <row r="72" spans="5:6" x14ac:dyDescent="0.25">
      <c r="F72" s="48"/>
    </row>
    <row r="73" spans="5:6" x14ac:dyDescent="0.25">
      <c r="F73" s="48"/>
    </row>
    <row r="74" spans="5:6" x14ac:dyDescent="0.25">
      <c r="E74" s="49"/>
      <c r="F74" s="48"/>
    </row>
  </sheetData>
  <protectedRanges>
    <protectedRange algorithmName="SHA-512" hashValue="yJ7YkBA2u/CLyu2V3VZTOOGQ6VlgGl1GQf3hwna+lgiECzFrbzmeW+wENCRbi04XT/jTCfPteaEsqqg9//hxFg==" saltValue="M/HQVSxuNTUSB1+aTa62cw==" spinCount="100000" sqref="F34:G40 F41 A75:G1048576 A1:C74 H34:I1048576 D7:I33 D1:XFD6 U7:U13 U15:U17 U19:U1048576 V7:XFD1048576 J7:T1048576 D34:E41" name="Range1_2" securityDescriptor="O:WDG:WDD:(A;;CC;;;S-1-5-21-577582919-1435025626-1914702595-3940917)(A;;CC;;;S-1-5-21-577582919-1435025626-1914702595-3758127)(A;;CC;;;S-1-5-21-577582919-1435025626-1914702595-3758875)(A;;CC;;;S-1-5-21-577582919-1435025626-1914702595-3758999)(A;;CC;;;S-1-5-21-577582919-1435025626-1914702595-4020469)(A;;CC;;;S-1-5-21-577582919-1435025626-1914702595-4023729)"/>
    <protectedRange algorithmName="SHA-512" hashValue="yJ7YkBA2u/CLyu2V3VZTOOGQ6VlgGl1GQf3hwna+lgiECzFrbzmeW+wENCRbi04XT/jTCfPteaEsqqg9//hxFg==" saltValue="M/HQVSxuNTUSB1+aTa62cw==" spinCount="100000" sqref="D42:F74" name="Range1_2_1" securityDescriptor="O:WDG:WDD:(A;;CC;;;S-1-5-21-577582919-1435025626-1914702595-3940917)(A;;CC;;;S-1-5-21-577582919-1435025626-1914702595-3758127)(A;;CC;;;S-1-5-21-577582919-1435025626-1914702595-3758875)(A;;CC;;;S-1-5-21-577582919-1435025626-1914702595-3758999)(A;;CC;;;S-1-5-21-577582919-1435025626-1914702595-4020469)(A;;CC;;;S-1-5-21-577582919-1435025626-1914702595-4023729)"/>
  </protectedRanges>
  <mergeCells count="17">
    <mergeCell ref="B29:C29"/>
    <mergeCell ref="P10:Q10"/>
    <mergeCell ref="P34:Q34"/>
    <mergeCell ref="B34:C34"/>
    <mergeCell ref="U17:U18"/>
    <mergeCell ref="B2:Q2"/>
    <mergeCell ref="B3:Q3"/>
    <mergeCell ref="B4:Q4"/>
    <mergeCell ref="B5:Q5"/>
    <mergeCell ref="B6:Q6"/>
    <mergeCell ref="U11:U12"/>
    <mergeCell ref="U13:U14"/>
    <mergeCell ref="B32:C32"/>
    <mergeCell ref="B33:C33"/>
    <mergeCell ref="D7:F7"/>
    <mergeCell ref="B24:C24"/>
    <mergeCell ref="B27:C27"/>
  </mergeCells>
  <pageMargins left="0.7" right="0.7" top="0.9" bottom="0.75" header="0.3" footer="0.3"/>
  <pageSetup scale="59" orientation="landscape" r:id="rId1"/>
  <headerFooter>
    <oddHeader>&amp;R&amp;"Times New Roman,Bold"&amp;10KyPSC Case No. 2026-00114
STAFF-DR-03-003 Attachment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EC0F9797D654290E1FD5655EA378F" ma:contentTypeVersion="5" ma:contentTypeDescription="Create a new document." ma:contentTypeScope="" ma:versionID="944c881ce720f7493389961db58a683c">
  <xsd:schema xmlns:xsd="http://www.w3.org/2001/XMLSchema" xmlns:xs="http://www.w3.org/2001/XMLSchema" xmlns:p="http://schemas.microsoft.com/office/2006/metadata/properties" xmlns:ns2="1244981c-c363-4a81-9e8a-51c707ce5d2b" targetNamespace="http://schemas.microsoft.com/office/2006/metadata/properties" ma:root="true" ma:fieldsID="f514c8e2391effa57c87696853e52511" ns2:_="">
    <xsd:import namespace="1244981c-c363-4a81-9e8a-51c707ce5d2b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44981c-c363-4a81-9e8a-51c707ce5d2b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list="UserInfo" ma:SharePointGroup="0" ma:internalName="Witness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1244981c-c363-4a81-9e8a-51c707ce5d2b">
      <UserInfo>
        <DisplayName/>
        <AccountId xsi:nil="true"/>
        <AccountType/>
      </UserInfo>
    </Witness>
  </documentManagement>
</p:properties>
</file>

<file path=customXml/itemProps1.xml><?xml version="1.0" encoding="utf-8"?>
<ds:datastoreItem xmlns:ds="http://schemas.openxmlformats.org/officeDocument/2006/customXml" ds:itemID="{9CE560D7-0DA5-4E90-AE3A-A04B6F9CF8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C4640F-4081-46F9-9DA6-9EF10D1ADC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44981c-c363-4a81-9e8a-51c707ce5d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968A51-528D-456B-8801-2ABF4FA2C8CD}">
  <ds:schemaRefs>
    <ds:schemaRef ds:uri="http://schemas.microsoft.com/office/2006/documentManagement/types"/>
    <ds:schemaRef ds:uri="http://purl.org/dc/terms/"/>
    <ds:schemaRef ds:uri="1244981c-c363-4a81-9e8a-51c707ce5d2b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Duke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CPCN Financial Exhibit_Farm tap main extR2_MA</dc:subject>
  <dc:creator>Klein, David A</dc:creator>
  <cp:lastModifiedBy>D'Ascenzo, Rocco</cp:lastModifiedBy>
  <cp:lastPrinted>2026-10-26T16:44:49Z</cp:lastPrinted>
  <dcterms:created xsi:type="dcterms:W3CDTF">2026-03-30T16:46:03Z</dcterms:created>
  <dcterms:modified xsi:type="dcterms:W3CDTF">2026-10-26T18:52:52Z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2026-03-30T16:49:38Z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e2b980e6-5a74-4d10-a438-c57b3863f90c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0x010100D98EC0F9797D654290E1FD5655EA378F</vt:lpwstr>
  </property>
</Properties>
</file>