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KyPSCCaseNo2026-00xxxFarmTapCPCN/KyPSC Case No 202600xxx Farm Tap CPCN/Discovery/STAFF'S 2nd Set of Data Requests/"/>
    </mc:Choice>
  </mc:AlternateContent>
  <xr:revisionPtr revIDLastSave="0" documentId="13_ncr:1_{DF72005B-EE25-4113-8526-E6784D2C9E8F}" xr6:coauthVersionLast="47" xr6:coauthVersionMax="47" xr10:uidLastSave="{00000000-0000-0000-0000-000000000000}"/>
  <bookViews>
    <workbookView xWindow="-108" yWindow="-108" windowWidth="23256" windowHeight="12456" tabRatio="807" xr2:uid="{00000000-000D-0000-FFFF-FFFF00000000}"/>
  </bookViews>
  <sheets>
    <sheet name="Rev Req Summary" sheetId="1" r:id="rId1"/>
    <sheet name="Depr and ADIT" sheetId="15" r:id="rId2"/>
    <sheet name="Plant Data (Mar15)" sheetId="10" state="hidden" r:id="rId3"/>
    <sheet name="Accum Depr (Mar15)" sheetId="12" state="hidden" r:id="rId4"/>
    <sheet name="Accum Def Inc Tax (Mar15)" sheetId="11" state="hidden" r:id="rId5"/>
  </sheets>
  <externalReferences>
    <externalReference r:id="rId6"/>
    <externalReference r:id="rId7"/>
    <externalReference r:id="rId8"/>
  </externalReferences>
  <definedNames>
    <definedName name="BASE_D_REV">#REF!</definedName>
    <definedName name="CommResAlloc">[1]INPUT!$D$16</definedName>
    <definedName name="COSSALLOC">'[2]COSS ALLOC'!$A$2:$D$8</definedName>
    <definedName name="PRETAX_ROR" localSheetId="1">[3]Inputs!$C$6</definedName>
    <definedName name="PRETAX_ROR">#REF!</definedName>
    <definedName name="_xlnm.Print_Area" localSheetId="2">'Plant Data (Mar15)'!$A$1:$G$38</definedName>
    <definedName name="_xlnm.Print_Area" localSheetId="0">'Rev Req Summary'!$A$1:$G$29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5" l="1"/>
  <c r="M19" i="1" l="1"/>
  <c r="J16" i="1"/>
  <c r="J17" i="1" s="1"/>
  <c r="J18" i="1" s="1"/>
  <c r="J19" i="1" s="1"/>
  <c r="K7" i="15" l="1"/>
  <c r="M7" i="15"/>
  <c r="O7" i="15"/>
  <c r="Q7" i="15"/>
  <c r="S7" i="15" s="1"/>
  <c r="U7" i="15" s="1"/>
  <c r="E43" i="15" l="1"/>
  <c r="E44" i="15"/>
  <c r="E45" i="15"/>
  <c r="E46" i="15"/>
  <c r="E47" i="15"/>
  <c r="E48" i="15"/>
  <c r="E49" i="15"/>
  <c r="E42" i="15"/>
  <c r="A3" i="15" l="1"/>
  <c r="A9" i="15" s="1"/>
  <c r="C38" i="15" l="1"/>
  <c r="G56" i="15"/>
  <c r="M56" i="15"/>
  <c r="O56" i="15"/>
  <c r="G57" i="15"/>
  <c r="M57" i="15"/>
  <c r="O57" i="15"/>
  <c r="G58" i="15"/>
  <c r="M58" i="15"/>
  <c r="O58" i="15"/>
  <c r="G59" i="15"/>
  <c r="M59" i="15"/>
  <c r="O59" i="15"/>
  <c r="G60" i="15"/>
  <c r="M60" i="15"/>
  <c r="O60" i="15"/>
  <c r="G61" i="15"/>
  <c r="M61" i="15"/>
  <c r="O61" i="15"/>
  <c r="G62" i="15"/>
  <c r="M62" i="15"/>
  <c r="O62" i="15"/>
  <c r="C108" i="15"/>
  <c r="C20" i="15"/>
  <c r="A2" i="15" l="1"/>
  <c r="A1" i="15"/>
  <c r="E7" i="15"/>
  <c r="G7" i="15" s="1"/>
  <c r="I7" i="15" s="1"/>
  <c r="C10" i="15"/>
  <c r="E20" i="15"/>
  <c r="G20" i="15" s="1"/>
  <c r="I20" i="15" s="1"/>
  <c r="K20" i="15" s="1"/>
  <c r="M20" i="15" s="1"/>
  <c r="O20" i="15" s="1"/>
  <c r="Q20" i="15" s="1"/>
  <c r="S20" i="15" s="1"/>
  <c r="U20" i="15" s="1"/>
  <c r="E24" i="15"/>
  <c r="E29" i="15" s="1"/>
  <c r="G24" i="15"/>
  <c r="I24" i="15"/>
  <c r="K24" i="15"/>
  <c r="M24" i="15"/>
  <c r="G25" i="15"/>
  <c r="I25" i="15"/>
  <c r="K25" i="15"/>
  <c r="M25" i="15"/>
  <c r="O25" i="15"/>
  <c r="I26" i="15"/>
  <c r="K26" i="15"/>
  <c r="M26" i="15"/>
  <c r="O26" i="15"/>
  <c r="Q26" i="15"/>
  <c r="K27" i="15"/>
  <c r="M27" i="15"/>
  <c r="O27" i="15"/>
  <c r="Q27" i="15"/>
  <c r="S27" i="15"/>
  <c r="M28" i="15"/>
  <c r="O28" i="15"/>
  <c r="Q28" i="15"/>
  <c r="S28" i="15"/>
  <c r="U28" i="15"/>
  <c r="U29" i="15" s="1"/>
  <c r="C29" i="15"/>
  <c r="S40" i="15"/>
  <c r="E40" i="15"/>
  <c r="G40" i="15"/>
  <c r="Q40" i="15" s="1"/>
  <c r="A41" i="15"/>
  <c r="G41" i="15"/>
  <c r="G42" i="15"/>
  <c r="G43" i="15"/>
  <c r="M43" i="15"/>
  <c r="G44" i="15"/>
  <c r="M44" i="15"/>
  <c r="O44" i="15"/>
  <c r="G45" i="15"/>
  <c r="M45" i="15"/>
  <c r="O45" i="15"/>
  <c r="G46" i="15"/>
  <c r="M46" i="15"/>
  <c r="O46" i="15"/>
  <c r="G47" i="15"/>
  <c r="M47" i="15"/>
  <c r="O47" i="15"/>
  <c r="G48" i="15"/>
  <c r="M48" i="15"/>
  <c r="O48" i="15"/>
  <c r="G49" i="15"/>
  <c r="M49" i="15"/>
  <c r="O49" i="15"/>
  <c r="G50" i="15"/>
  <c r="M50" i="15"/>
  <c r="O50" i="15"/>
  <c r="G51" i="15"/>
  <c r="M51" i="15"/>
  <c r="O51" i="15"/>
  <c r="G52" i="15"/>
  <c r="M52" i="15"/>
  <c r="O52" i="15"/>
  <c r="G53" i="15"/>
  <c r="M53" i="15"/>
  <c r="O53" i="15"/>
  <c r="G54" i="15"/>
  <c r="M54" i="15"/>
  <c r="O54" i="15"/>
  <c r="G55" i="15"/>
  <c r="M55" i="15"/>
  <c r="O55" i="15"/>
  <c r="O29" i="15" l="1"/>
  <c r="G29" i="15"/>
  <c r="M29" i="15"/>
  <c r="U40" i="15"/>
  <c r="S29" i="15"/>
  <c r="O108" i="15"/>
  <c r="A42" i="15"/>
  <c r="M108" i="15"/>
  <c r="Y40" i="15"/>
  <c r="Q29" i="15"/>
  <c r="K29" i="15"/>
  <c r="I29" i="15"/>
  <c r="G108" i="15"/>
  <c r="AA40" i="15"/>
  <c r="C16" i="15" s="1"/>
  <c r="W40" i="15"/>
  <c r="C12" i="15"/>
  <c r="A43" i="15" l="1"/>
  <c r="I58" i="15"/>
  <c r="I60" i="15"/>
  <c r="I57" i="15"/>
  <c r="I59" i="15"/>
  <c r="I56" i="15"/>
  <c r="I61" i="15"/>
  <c r="I62" i="15"/>
  <c r="I52" i="15"/>
  <c r="I42" i="15"/>
  <c r="I45" i="15"/>
  <c r="I49" i="15"/>
  <c r="I44" i="15"/>
  <c r="I48" i="15"/>
  <c r="I51" i="15"/>
  <c r="I43" i="15"/>
  <c r="E41" i="15"/>
  <c r="S41" i="15" s="1"/>
  <c r="I47" i="15"/>
  <c r="I53" i="15"/>
  <c r="I41" i="15"/>
  <c r="I50" i="15"/>
  <c r="I46" i="15"/>
  <c r="I55" i="15"/>
  <c r="I54" i="15"/>
  <c r="E10" i="15"/>
  <c r="C14" i="15"/>
  <c r="A44" i="15" l="1"/>
  <c r="E12" i="15"/>
  <c r="E14" i="15" s="1"/>
  <c r="U41" i="15"/>
  <c r="W41" i="15"/>
  <c r="Q41" i="15"/>
  <c r="I108" i="15"/>
  <c r="A45" i="15" l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Y41" i="15"/>
  <c r="K61" i="15"/>
  <c r="Q61" i="15" s="1"/>
  <c r="K60" i="15"/>
  <c r="Q60" i="15" s="1"/>
  <c r="K62" i="15"/>
  <c r="Q62" i="15" s="1"/>
  <c r="K56" i="15"/>
  <c r="Q56" i="15" s="1"/>
  <c r="K58" i="15"/>
  <c r="Q58" i="15" s="1"/>
  <c r="K57" i="15"/>
  <c r="Q57" i="15" s="1"/>
  <c r="K59" i="15"/>
  <c r="Q59" i="15" s="1"/>
  <c r="K46" i="15"/>
  <c r="Q46" i="15" s="1"/>
  <c r="K55" i="15"/>
  <c r="Q55" i="15" s="1"/>
  <c r="K49" i="15"/>
  <c r="Q49" i="15" s="1"/>
  <c r="K52" i="15"/>
  <c r="Q52" i="15" s="1"/>
  <c r="K47" i="15"/>
  <c r="Q47" i="15" s="1"/>
  <c r="K42" i="15"/>
  <c r="K45" i="15"/>
  <c r="Q45" i="15" s="1"/>
  <c r="K54" i="15"/>
  <c r="Q54" i="15" s="1"/>
  <c r="K44" i="15"/>
  <c r="Q44" i="15" s="1"/>
  <c r="K48" i="15"/>
  <c r="Q48" i="15" s="1"/>
  <c r="K51" i="15"/>
  <c r="Q51" i="15" s="1"/>
  <c r="E108" i="15"/>
  <c r="K43" i="15"/>
  <c r="Q43" i="15" s="1"/>
  <c r="K50" i="15"/>
  <c r="Q50" i="15" s="1"/>
  <c r="K53" i="15"/>
  <c r="Q53" i="15" s="1"/>
  <c r="G10" i="15"/>
  <c r="I10" i="15" s="1"/>
  <c r="K10" i="15" s="1"/>
  <c r="M10" i="15" s="1"/>
  <c r="O10" i="15" s="1"/>
  <c r="Q10" i="15" s="1"/>
  <c r="S10" i="15" s="1"/>
  <c r="U10" i="15" s="1"/>
  <c r="K108" i="15" l="1"/>
  <c r="Q42" i="15"/>
  <c r="S42" i="15"/>
  <c r="U42" i="15"/>
  <c r="S43" i="15" s="1"/>
  <c r="I12" i="15" s="1"/>
  <c r="AA41" i="15"/>
  <c r="E16" i="15" s="1"/>
  <c r="U43" i="15" l="1"/>
  <c r="S44" i="15" s="1"/>
  <c r="K12" i="15" s="1"/>
  <c r="G12" i="15"/>
  <c r="F20" i="1" s="1"/>
  <c r="W42" i="15"/>
  <c r="W43" i="15"/>
  <c r="Y43" i="15"/>
  <c r="Y42" i="15"/>
  <c r="Q108" i="15"/>
  <c r="K14" i="15" l="1"/>
  <c r="I14" i="15"/>
  <c r="W44" i="15"/>
  <c r="Y44" i="15"/>
  <c r="G14" i="15"/>
  <c r="F9" i="1" s="1"/>
  <c r="U44" i="15"/>
  <c r="AA43" i="15"/>
  <c r="I16" i="15" s="1"/>
  <c r="AA42" i="15"/>
  <c r="G16" i="15" s="1"/>
  <c r="F12" i="1" s="1"/>
  <c r="S45" i="15" l="1"/>
  <c r="M12" i="15" s="1"/>
  <c r="U45" i="15"/>
  <c r="S46" i="15" s="1"/>
  <c r="O12" i="15" s="1"/>
  <c r="AA44" i="15"/>
  <c r="K16" i="15" s="1"/>
  <c r="M14" i="15" l="1"/>
  <c r="O14" i="15"/>
  <c r="W46" i="15"/>
  <c r="Y45" i="15"/>
  <c r="W45" i="15"/>
  <c r="U46" i="15"/>
  <c r="S47" i="15" s="1"/>
  <c r="Q12" i="15" s="1"/>
  <c r="Q14" i="15" s="1"/>
  <c r="Y46" i="15"/>
  <c r="AA45" i="15" l="1"/>
  <c r="M16" i="15" s="1"/>
  <c r="AA46" i="15"/>
  <c r="O16" i="15" s="1"/>
  <c r="Y47" i="15"/>
  <c r="AA47" i="15" s="1"/>
  <c r="Q16" i="15" s="1"/>
  <c r="W47" i="15"/>
  <c r="U47" i="15"/>
  <c r="S48" i="15" s="1"/>
  <c r="S12" i="15" s="1"/>
  <c r="S14" i="15" s="1"/>
  <c r="Y48" i="15" l="1"/>
  <c r="W48" i="15"/>
  <c r="U48" i="15"/>
  <c r="S49" i="15" s="1"/>
  <c r="U12" i="15" s="1"/>
  <c r="U14" i="15" s="1"/>
  <c r="U49" i="15"/>
  <c r="S50" i="15" s="1"/>
  <c r="AA48" i="15" l="1"/>
  <c r="S16" i="15" s="1"/>
  <c r="Y49" i="15"/>
  <c r="AA49" i="15" s="1"/>
  <c r="U16" i="15" s="1"/>
  <c r="W49" i="15"/>
  <c r="U50" i="15"/>
  <c r="S51" i="15" s="1"/>
  <c r="Y50" i="15"/>
  <c r="AA50" i="15" l="1"/>
  <c r="U51" i="15"/>
  <c r="S52" i="15" s="1"/>
  <c r="Y51" i="15"/>
  <c r="AA51" i="15" s="1"/>
  <c r="W50" i="15"/>
  <c r="G32" i="10"/>
  <c r="A9" i="1"/>
  <c r="A10" i="1" s="1"/>
  <c r="E22" i="11"/>
  <c r="F26" i="10"/>
  <c r="E33" i="12"/>
  <c r="E29" i="12"/>
  <c r="G29" i="12" s="1"/>
  <c r="E24" i="12"/>
  <c r="G24" i="12" s="1"/>
  <c r="E23" i="12"/>
  <c r="E19" i="12"/>
  <c r="E16" i="12"/>
  <c r="E35" i="12" s="1"/>
  <c r="E30" i="10"/>
  <c r="G30" i="10" s="1"/>
  <c r="E25" i="10"/>
  <c r="E24" i="10"/>
  <c r="E17" i="10"/>
  <c r="G17" i="10" s="1"/>
  <c r="F32" i="12"/>
  <c r="G32" i="12" s="1"/>
  <c r="F27" i="12"/>
  <c r="F28" i="10"/>
  <c r="G28" i="10" s="1"/>
  <c r="F33" i="10"/>
  <c r="G33" i="10" s="1"/>
  <c r="F17" i="11"/>
  <c r="F14" i="11"/>
  <c r="F22" i="11"/>
  <c r="F25" i="12"/>
  <c r="G25" i="12" s="1"/>
  <c r="G11" i="10"/>
  <c r="G12" i="10"/>
  <c r="G13" i="10"/>
  <c r="G15" i="10"/>
  <c r="G16" i="10"/>
  <c r="G18" i="10"/>
  <c r="G19" i="10"/>
  <c r="G20" i="10"/>
  <c r="G21" i="10"/>
  <c r="G22" i="10"/>
  <c r="G23" i="10"/>
  <c r="G27" i="10"/>
  <c r="G29" i="10"/>
  <c r="G31" i="10"/>
  <c r="G14" i="10"/>
  <c r="G25" i="10"/>
  <c r="G24" i="10"/>
  <c r="G26" i="10"/>
  <c r="A10" i="10"/>
  <c r="A12" i="10" s="1"/>
  <c r="G33" i="12"/>
  <c r="G31" i="12"/>
  <c r="G30" i="12"/>
  <c r="G28" i="12"/>
  <c r="G27" i="12"/>
  <c r="G26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A9" i="12"/>
  <c r="H20" i="11"/>
  <c r="H19" i="11"/>
  <c r="H18" i="11"/>
  <c r="H17" i="11"/>
  <c r="H16" i="11"/>
  <c r="H15" i="11"/>
  <c r="H14" i="11"/>
  <c r="H13" i="11"/>
  <c r="H12" i="11"/>
  <c r="H22" i="11" s="1"/>
  <c r="H11" i="11"/>
  <c r="H10" i="11"/>
  <c r="H9" i="11"/>
  <c r="A9" i="11"/>
  <c r="G10" i="10"/>
  <c r="A11" i="10"/>
  <c r="A10" i="12"/>
  <c r="A11" i="12"/>
  <c r="W51" i="15" l="1"/>
  <c r="U52" i="15"/>
  <c r="S53" i="15" s="1"/>
  <c r="Y52" i="15"/>
  <c r="AA52" i="15" s="1"/>
  <c r="G35" i="12"/>
  <c r="G35" i="10"/>
  <c r="A12" i="12"/>
  <c r="A14" i="12" s="1"/>
  <c r="A13" i="12"/>
  <c r="A10" i="11"/>
  <c r="E35" i="10"/>
  <c r="F35" i="12"/>
  <c r="F35" i="10"/>
  <c r="A13" i="10"/>
  <c r="A12" i="1"/>
  <c r="W52" i="15" l="1"/>
  <c r="U53" i="15"/>
  <c r="S54" i="15" s="1"/>
  <c r="A15" i="12"/>
  <c r="A12" i="11"/>
  <c r="A14" i="10"/>
  <c r="A11" i="11"/>
  <c r="A14" i="1"/>
  <c r="W54" i="15" l="1"/>
  <c r="U54" i="15"/>
  <c r="S55" i="15" s="1"/>
  <c r="Y53" i="15"/>
  <c r="AA53" i="15" s="1"/>
  <c r="W53" i="15"/>
  <c r="A15" i="10"/>
  <c r="A13" i="11"/>
  <c r="A14" i="11" s="1"/>
  <c r="A16" i="12"/>
  <c r="A16" i="1"/>
  <c r="A18" i="1" s="1"/>
  <c r="F10" i="1"/>
  <c r="F21" i="1" s="1"/>
  <c r="U55" i="15" l="1"/>
  <c r="S56" i="15" s="1"/>
  <c r="W55" i="15"/>
  <c r="Y54" i="15"/>
  <c r="AA54" i="15" s="1"/>
  <c r="A15" i="11"/>
  <c r="A20" i="12"/>
  <c r="A17" i="12"/>
  <c r="A18" i="12"/>
  <c r="A16" i="10"/>
  <c r="A16" i="11"/>
  <c r="A19" i="12"/>
  <c r="A21" i="12" s="1"/>
  <c r="A20" i="1"/>
  <c r="F14" i="1"/>
  <c r="F18" i="1" s="1"/>
  <c r="F23" i="1" s="1"/>
  <c r="N19" i="1" s="1"/>
  <c r="N18" i="1" l="1"/>
  <c r="R18" i="1" s="1"/>
  <c r="N17" i="1"/>
  <c r="R17" i="1" s="1"/>
  <c r="N16" i="1"/>
  <c r="R16" i="1" s="1"/>
  <c r="N15" i="1"/>
  <c r="R15" i="1" s="1"/>
  <c r="U56" i="15"/>
  <c r="S57" i="15" s="1"/>
  <c r="W56" i="15"/>
  <c r="Y55" i="15"/>
  <c r="AA55" i="15" s="1"/>
  <c r="A22" i="12"/>
  <c r="A17" i="11"/>
  <c r="A18" i="11" s="1"/>
  <c r="A19" i="11" s="1"/>
  <c r="A20" i="11" s="1"/>
  <c r="A22" i="11" s="1"/>
  <c r="A23" i="12"/>
  <c r="A17" i="10"/>
  <c r="A18" i="10"/>
  <c r="A21" i="1"/>
  <c r="A23" i="1" s="1"/>
  <c r="Y56" i="15" l="1"/>
  <c r="AA56" i="15" s="1"/>
  <c r="U57" i="15"/>
  <c r="S58" i="15" s="1"/>
  <c r="A24" i="12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20" i="10"/>
  <c r="A19" i="10"/>
  <c r="U58" i="15" l="1"/>
  <c r="S59" i="15" s="1"/>
  <c r="Y58" i="15"/>
  <c r="Y57" i="15"/>
  <c r="AA57" i="15" s="1"/>
  <c r="W57" i="15"/>
  <c r="A21" i="10"/>
  <c r="W58" i="15" l="1"/>
  <c r="AA58" i="15"/>
  <c r="U59" i="15"/>
  <c r="S60" i="15" s="1"/>
  <c r="Y59" i="15"/>
  <c r="AA59" i="15" s="1"/>
  <c r="A22" i="10"/>
  <c r="A23" i="10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W59" i="15" l="1"/>
  <c r="U60" i="15"/>
  <c r="S61" i="15" s="1"/>
  <c r="Y61" i="15" s="1"/>
  <c r="U61" i="15" l="1"/>
  <c r="S62" i="15" s="1"/>
  <c r="Y62" i="15" s="1"/>
  <c r="Y60" i="15"/>
  <c r="AA61" i="15" s="1"/>
  <c r="W60" i="15"/>
  <c r="AA62" i="15" l="1"/>
  <c r="U62" i="15"/>
  <c r="AA60" i="15"/>
  <c r="S63" i="15" l="1"/>
  <c r="U63" i="15"/>
  <c r="W61" i="15"/>
  <c r="U64" i="15" l="1"/>
  <c r="S64" i="15"/>
  <c r="Y63" i="15"/>
  <c r="AA63" i="15" s="1"/>
  <c r="W63" i="15"/>
  <c r="W62" i="15"/>
  <c r="Y64" i="15" l="1"/>
  <c r="AA64" i="15" s="1"/>
  <c r="W64" i="15"/>
  <c r="S65" i="15"/>
  <c r="U65" i="15"/>
  <c r="S66" i="15" l="1"/>
  <c r="U66" i="15"/>
  <c r="Y65" i="15"/>
  <c r="W65" i="15"/>
  <c r="AA65" i="15" l="1"/>
  <c r="S67" i="15"/>
  <c r="U67" i="15"/>
  <c r="Y66" i="15"/>
  <c r="AA66" i="15" s="1"/>
  <c r="W66" i="15"/>
  <c r="S68" i="15" l="1"/>
  <c r="U68" i="15"/>
  <c r="Y67" i="15"/>
  <c r="AA67" i="15" s="1"/>
  <c r="W67" i="15"/>
  <c r="S69" i="15" l="1"/>
  <c r="U69" i="15"/>
  <c r="Y68" i="15"/>
  <c r="W68" i="15"/>
  <c r="AA68" i="15" l="1"/>
  <c r="S70" i="15"/>
  <c r="U70" i="15"/>
  <c r="Y69" i="15"/>
  <c r="AA69" i="15" s="1"/>
  <c r="W69" i="15"/>
  <c r="Y70" i="15" l="1"/>
  <c r="AA70" i="15" s="1"/>
  <c r="W70" i="15"/>
  <c r="S71" i="15"/>
  <c r="U71" i="15"/>
  <c r="S72" i="15" l="1"/>
  <c r="U72" i="15"/>
  <c r="Y71" i="15"/>
  <c r="AA71" i="15" s="1"/>
  <c r="W71" i="15"/>
  <c r="S73" i="15" l="1"/>
  <c r="U73" i="15"/>
  <c r="Y72" i="15"/>
  <c r="AA72" i="15" s="1"/>
  <c r="W72" i="15"/>
  <c r="S74" i="15" l="1"/>
  <c r="U74" i="15"/>
  <c r="Y73" i="15"/>
  <c r="AA73" i="15" s="1"/>
  <c r="W73" i="15"/>
  <c r="S75" i="15" l="1"/>
  <c r="U75" i="15"/>
  <c r="Y74" i="15"/>
  <c r="AA74" i="15" s="1"/>
  <c r="W74" i="15"/>
  <c r="S76" i="15" l="1"/>
  <c r="U76" i="15"/>
  <c r="Y75" i="15"/>
  <c r="AA75" i="15" s="1"/>
  <c r="W75" i="15"/>
  <c r="S77" i="15" l="1"/>
  <c r="U77" i="15"/>
  <c r="Y76" i="15"/>
  <c r="AA76" i="15" s="1"/>
  <c r="W76" i="15"/>
  <c r="S78" i="15" l="1"/>
  <c r="U78" i="15"/>
  <c r="Y77" i="15"/>
  <c r="AA77" i="15" s="1"/>
  <c r="W77" i="15"/>
  <c r="S79" i="15" l="1"/>
  <c r="U79" i="15"/>
  <c r="Y78" i="15"/>
  <c r="AA78" i="15" s="1"/>
  <c r="W78" i="15"/>
  <c r="S80" i="15" l="1"/>
  <c r="U80" i="15"/>
  <c r="Y79" i="15"/>
  <c r="AA79" i="15" s="1"/>
  <c r="W79" i="15"/>
  <c r="S81" i="15" l="1"/>
  <c r="U81" i="15"/>
  <c r="Y80" i="15"/>
  <c r="AA80" i="15" s="1"/>
  <c r="W80" i="15"/>
  <c r="S82" i="15" l="1"/>
  <c r="U82" i="15"/>
  <c r="Y81" i="15"/>
  <c r="AA81" i="15" s="1"/>
  <c r="W81" i="15"/>
  <c r="S83" i="15" l="1"/>
  <c r="U83" i="15"/>
  <c r="Y82" i="15"/>
  <c r="AA82" i="15" s="1"/>
  <c r="W82" i="15"/>
  <c r="S84" i="15" l="1"/>
  <c r="U84" i="15"/>
  <c r="Y83" i="15"/>
  <c r="AA83" i="15" s="1"/>
  <c r="W83" i="15"/>
  <c r="S85" i="15" l="1"/>
  <c r="U85" i="15"/>
  <c r="Y84" i="15"/>
  <c r="AA84" i="15" s="1"/>
  <c r="W84" i="15"/>
  <c r="S86" i="15" l="1"/>
  <c r="U86" i="15"/>
  <c r="Y85" i="15"/>
  <c r="AA85" i="15" s="1"/>
  <c r="W85" i="15"/>
  <c r="S87" i="15" l="1"/>
  <c r="U87" i="15"/>
  <c r="Y86" i="15"/>
  <c r="AA86" i="15" s="1"/>
  <c r="W86" i="15"/>
  <c r="S88" i="15" l="1"/>
  <c r="U88" i="15"/>
  <c r="Y87" i="15"/>
  <c r="AA87" i="15" s="1"/>
  <c r="W87" i="15"/>
  <c r="S89" i="15" l="1"/>
  <c r="U89" i="15"/>
  <c r="Y88" i="15"/>
  <c r="AA88" i="15" s="1"/>
  <c r="W88" i="15"/>
  <c r="S90" i="15" l="1"/>
  <c r="U90" i="15"/>
  <c r="Y89" i="15"/>
  <c r="AA89" i="15" s="1"/>
  <c r="W89" i="15"/>
  <c r="S91" i="15" l="1"/>
  <c r="U91" i="15"/>
  <c r="Y90" i="15"/>
  <c r="AA90" i="15" s="1"/>
  <c r="W90" i="15"/>
  <c r="S92" i="15" l="1"/>
  <c r="U92" i="15"/>
  <c r="Y91" i="15"/>
  <c r="AA91" i="15" s="1"/>
  <c r="W91" i="15"/>
  <c r="S93" i="15" l="1"/>
  <c r="U93" i="15"/>
  <c r="Y92" i="15"/>
  <c r="AA92" i="15" s="1"/>
  <c r="W92" i="15"/>
  <c r="S94" i="15" l="1"/>
  <c r="U94" i="15"/>
  <c r="Y93" i="15"/>
  <c r="AA93" i="15" s="1"/>
  <c r="W93" i="15"/>
  <c r="S95" i="15" l="1"/>
  <c r="U95" i="15"/>
  <c r="Y94" i="15"/>
  <c r="AA94" i="15" s="1"/>
  <c r="W94" i="15"/>
  <c r="S96" i="15" l="1"/>
  <c r="U96" i="15"/>
  <c r="Y95" i="15"/>
  <c r="AA95" i="15" s="1"/>
  <c r="W95" i="15"/>
  <c r="S97" i="15" l="1"/>
  <c r="U97" i="15"/>
  <c r="Y96" i="15"/>
  <c r="AA96" i="15" s="1"/>
  <c r="W96" i="15"/>
  <c r="S98" i="15" l="1"/>
  <c r="U98" i="15"/>
  <c r="Y97" i="15"/>
  <c r="AA97" i="15" s="1"/>
  <c r="W97" i="15"/>
  <c r="S99" i="15" l="1"/>
  <c r="U99" i="15"/>
  <c r="Y98" i="15"/>
  <c r="AA98" i="15" s="1"/>
  <c r="W98" i="15"/>
  <c r="S100" i="15" l="1"/>
  <c r="U100" i="15"/>
  <c r="Y99" i="15"/>
  <c r="AA99" i="15" s="1"/>
  <c r="W99" i="15"/>
  <c r="S101" i="15" l="1"/>
  <c r="U101" i="15"/>
  <c r="Y100" i="15"/>
  <c r="AA100" i="15" s="1"/>
  <c r="W100" i="15"/>
  <c r="S102" i="15" l="1"/>
  <c r="U102" i="15"/>
  <c r="Y101" i="15"/>
  <c r="AA101" i="15" s="1"/>
  <c r="W101" i="15"/>
  <c r="S103" i="15" l="1"/>
  <c r="U103" i="15"/>
  <c r="Y102" i="15"/>
  <c r="AA102" i="15" s="1"/>
  <c r="W102" i="15"/>
  <c r="S104" i="15" l="1"/>
  <c r="U104" i="15"/>
  <c r="Y103" i="15"/>
  <c r="AA103" i="15" s="1"/>
  <c r="W103" i="15"/>
  <c r="S105" i="15" l="1"/>
  <c r="U105" i="15"/>
  <c r="Y104" i="15"/>
  <c r="AA104" i="15" s="1"/>
  <c r="W104" i="15"/>
  <c r="S106" i="15" l="1"/>
  <c r="U106" i="15"/>
  <c r="U107" i="15" s="1"/>
  <c r="Y105" i="15"/>
  <c r="AA105" i="15" s="1"/>
  <c r="W105" i="15"/>
  <c r="Y106" i="15" l="1"/>
  <c r="AA106" i="15" s="1"/>
  <c r="W106" i="15"/>
  <c r="S107" i="15" s="1"/>
  <c r="Y107" i="15" l="1"/>
  <c r="W107" i="15"/>
  <c r="S108" i="15"/>
  <c r="AA107" i="15" l="1"/>
  <c r="Y108" i="15"/>
</calcChain>
</file>

<file path=xl/sharedStrings.xml><?xml version="1.0" encoding="utf-8"?>
<sst xmlns="http://schemas.openxmlformats.org/spreadsheetml/2006/main" count="205" uniqueCount="133">
  <si>
    <t>Return on Rate Base (Pre-Tax)</t>
  </si>
  <si>
    <t>\F</t>
  </si>
  <si>
    <t>\B</t>
  </si>
  <si>
    <t>\A</t>
  </si>
  <si>
    <t>\C</t>
  </si>
  <si>
    <t>\D</t>
  </si>
  <si>
    <t>\E</t>
  </si>
  <si>
    <t>Account 282</t>
  </si>
  <si>
    <t>263A</t>
  </si>
  <si>
    <t>AFUDC Debt</t>
  </si>
  <si>
    <t>Casualty Loss</t>
  </si>
  <si>
    <t>CIAC</t>
  </si>
  <si>
    <t>CWIP Differences</t>
  </si>
  <si>
    <t>FAS109</t>
  </si>
  <si>
    <t>Miscellaneous</t>
  </si>
  <si>
    <t>Non-Cash Overheads</t>
  </si>
  <si>
    <t>Section 174</t>
  </si>
  <si>
    <t>Software</t>
  </si>
  <si>
    <t>Tax Depreciation</t>
  </si>
  <si>
    <t>Land and Land Rights</t>
  </si>
  <si>
    <t>Rights of Way</t>
  </si>
  <si>
    <t>Structures and Improvements</t>
  </si>
  <si>
    <t>Station Equipment</t>
  </si>
  <si>
    <t>Major Equipment</t>
  </si>
  <si>
    <t>Station Equipment Electronic</t>
  </si>
  <si>
    <t>Poles, Towers &amp; Fixtures</t>
  </si>
  <si>
    <t>3650, 3651</t>
  </si>
  <si>
    <t>Overhead Conductors and Devices</t>
  </si>
  <si>
    <t>Underground Conduit</t>
  </si>
  <si>
    <t>Underground Conductors and Devices</t>
  </si>
  <si>
    <t>3680, 3681</t>
  </si>
  <si>
    <t>Line Transformers</t>
  </si>
  <si>
    <t>Customer Transformer Installations</t>
  </si>
  <si>
    <t>Services - Underground</t>
  </si>
  <si>
    <t>Services - Overhead</t>
  </si>
  <si>
    <t>Meters</t>
  </si>
  <si>
    <t>Leased Meters</t>
  </si>
  <si>
    <t>Utility of the Future Meters</t>
  </si>
  <si>
    <t>Installations on Customers' Premises</t>
  </si>
  <si>
    <t>Leased Property on Customers' Premises</t>
  </si>
  <si>
    <t>3730, 3731</t>
  </si>
  <si>
    <t>Street Lighting - Overhead</t>
  </si>
  <si>
    <t>Street Lighting - Boulevard</t>
  </si>
  <si>
    <t>Light Security OL POL Flood</t>
  </si>
  <si>
    <t>Light Choice OLE - Public</t>
  </si>
  <si>
    <t>Company</t>
  </si>
  <si>
    <t>Adjusted</t>
  </si>
  <si>
    <t>Duke Energy Ohio, Inc.</t>
  </si>
  <si>
    <t>Company Owned Outdoor Light</t>
  </si>
  <si>
    <t>Street Lighting</t>
  </si>
  <si>
    <t>Account Number</t>
  </si>
  <si>
    <t>FERC</t>
  </si>
  <si>
    <t>Line No.</t>
  </si>
  <si>
    <t>Account Title</t>
  </si>
  <si>
    <t>Per Books</t>
  </si>
  <si>
    <t>Total Company</t>
  </si>
  <si>
    <t>Distribution Accounts</t>
  </si>
  <si>
    <r>
      <t xml:space="preserve">Adjustments </t>
    </r>
    <r>
      <rPr>
        <b/>
        <vertAlign val="superscript"/>
        <sz val="12"/>
        <rFont val="Calibri"/>
        <family val="2"/>
        <scheme val="minor"/>
      </rPr>
      <t>(a)</t>
    </r>
  </si>
  <si>
    <t>282.XXX</t>
  </si>
  <si>
    <t xml:space="preserve">Total Plant-Related Accumulated Deferred Income Tax </t>
  </si>
  <si>
    <t>Dist Station Equip Elec</t>
  </si>
  <si>
    <t>Retirement Work in Progress</t>
  </si>
  <si>
    <t>TIC</t>
  </si>
  <si>
    <t>Plant in Service Summary by Major Property Groupings (As of March 31, 2015)</t>
  </si>
  <si>
    <t>Accumulated Depreciation by Major Property Groupings (As of March 31, 2015)</t>
  </si>
  <si>
    <t>Plant Related Accumulated Deferred Income Taxes - Excluding Grid Modernization (March 31, 2015)</t>
  </si>
  <si>
    <t>(a)</t>
  </si>
  <si>
    <t xml:space="preserve">Adjustments </t>
  </si>
  <si>
    <t>Line</t>
  </si>
  <si>
    <t>Description</t>
  </si>
  <si>
    <t>Notes:  (a) Grid Mod additions</t>
  </si>
  <si>
    <t>Accumulated Depreciation</t>
  </si>
  <si>
    <t>Depreciation Expense</t>
  </si>
  <si>
    <t xml:space="preserve">Assumptions:  </t>
  </si>
  <si>
    <t xml:space="preserve">Estimated Revenue Requirement </t>
  </si>
  <si>
    <t>Duke Energy Kentucky</t>
  </si>
  <si>
    <r>
      <t>Gross Plant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</si>
  <si>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  Net Plant in Service</t>
  </si>
  <si>
    <t>Rate Base</t>
  </si>
  <si>
    <t xml:space="preserve">  Revenue Requirement (Lines 7 - 9)</t>
  </si>
  <si>
    <r>
      <t xml:space="preserve">Annualized Property Tax Expense </t>
    </r>
    <r>
      <rPr>
        <vertAlign val="superscript"/>
        <sz val="11"/>
        <color theme="1"/>
        <rFont val="Calibri"/>
        <family val="2"/>
        <scheme val="minor"/>
      </rPr>
      <t>(d)</t>
    </r>
  </si>
  <si>
    <r>
      <t xml:space="preserve">Return on Rate Base (Pre-Tax %) </t>
    </r>
    <r>
      <rPr>
        <vertAlign val="superscript"/>
        <sz val="11"/>
        <color theme="1"/>
        <rFont val="Calibri"/>
        <family val="2"/>
        <scheme val="minor"/>
      </rPr>
      <t>(c)</t>
    </r>
  </si>
  <si>
    <r>
      <t xml:space="preserve">Accum Def Income Taxes on Plant </t>
    </r>
    <r>
      <rPr>
        <vertAlign val="superscript"/>
        <sz val="11"/>
        <color theme="1"/>
        <rFont val="Calibri"/>
        <family val="2"/>
        <scheme val="minor"/>
      </rPr>
      <t>(b)</t>
    </r>
  </si>
  <si>
    <t>ADIT</t>
  </si>
  <si>
    <t>Deferred Tax</t>
  </si>
  <si>
    <t>Depreciation</t>
  </si>
  <si>
    <t>Plant</t>
  </si>
  <si>
    <t>Tax Depr</t>
  </si>
  <si>
    <t>Cap Additions</t>
  </si>
  <si>
    <t>Accumulated</t>
  </si>
  <si>
    <t>Gross</t>
  </si>
  <si>
    <t>Book</t>
  </si>
  <si>
    <t>Total</t>
  </si>
  <si>
    <t xml:space="preserve">Tax Deprecation on </t>
  </si>
  <si>
    <t>Tax Life</t>
  </si>
  <si>
    <t>Book Life</t>
  </si>
  <si>
    <t>Amortization of O&amp;M for Rider</t>
  </si>
  <si>
    <t xml:space="preserve">    2023 O&amp;M</t>
  </si>
  <si>
    <t xml:space="preserve">    2022 O&amp;M</t>
  </si>
  <si>
    <t xml:space="preserve">    2021 O&amp;M</t>
  </si>
  <si>
    <t xml:space="preserve">    2020 O&amp;M</t>
  </si>
  <si>
    <t xml:space="preserve">    2019 O&amp;M</t>
  </si>
  <si>
    <t xml:space="preserve">  Amortize O&amp;M over 5 yrs After Spend</t>
  </si>
  <si>
    <t>Annual O&amp;M</t>
  </si>
  <si>
    <t>Project</t>
  </si>
  <si>
    <t>Annual Spend (O&amp;M)</t>
  </si>
  <si>
    <t>Accumulated Deferred Income Tax</t>
  </si>
  <si>
    <t>Property, Plant and Equipment (Capital)</t>
  </si>
  <si>
    <r>
      <t xml:space="preserve">  Cumulative Gross Plant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</si>
  <si>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 xml:space="preserve">    </t>
    </r>
    <r>
      <rPr>
        <vertAlign val="superscript"/>
        <sz val="11"/>
        <color theme="1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Excludes  account 27400 - Non-depr Land &amp; Land Rights</t>
    </r>
  </si>
  <si>
    <t>Farm Tap</t>
  </si>
  <si>
    <r>
      <rPr>
        <vertAlign val="superscript"/>
        <sz val="11"/>
        <color theme="1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Assumed placed in service in 2027</t>
    </r>
  </si>
  <si>
    <r>
      <rPr>
        <vertAlign val="superscript"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Assumes 0.668% of net plant; derived from test year property taxes divided by test year net plant in Case No. 2025-00125</t>
    </r>
  </si>
  <si>
    <r>
      <rPr>
        <vertAlign val="superscript"/>
        <sz val="11"/>
        <color theme="1"/>
        <rFont val="Calibri"/>
        <family val="2"/>
        <scheme val="minor"/>
      </rPr>
      <t xml:space="preserve">(b) </t>
    </r>
    <r>
      <rPr>
        <sz val="11"/>
        <color theme="1"/>
        <rFont val="Calibri"/>
        <family val="2"/>
        <scheme val="minor"/>
      </rPr>
      <t>Assumes 36.1 year book life; 20 year MACRS</t>
    </r>
  </si>
  <si>
    <r>
      <rPr>
        <vertAlign val="superscript"/>
        <sz val="11"/>
        <color theme="1"/>
        <rFont val="Calibri"/>
        <family val="2"/>
        <scheme val="minor"/>
      </rPr>
      <t>(c)</t>
    </r>
    <r>
      <rPr>
        <sz val="11"/>
        <color theme="1"/>
        <rFont val="Calibri"/>
        <family val="2"/>
        <scheme val="minor"/>
      </rPr>
      <t xml:space="preserve">  Weighted-Average Cost of Capital from Schedule A in Case No. 2025-00125, with ROE at 9.8%, grossed up for 21% FIT rate.</t>
    </r>
  </si>
  <si>
    <t xml:space="preserve">Weighted </t>
  </si>
  <si>
    <t>Gross Distribution Plant</t>
  </si>
  <si>
    <t>Billing</t>
  </si>
  <si>
    <t>Approved KyPSC</t>
  </si>
  <si>
    <t>Revenue</t>
  </si>
  <si>
    <t>Determinants</t>
  </si>
  <si>
    <t>Monthly</t>
  </si>
  <si>
    <t>No.</t>
  </si>
  <si>
    <t>Rate Schedule</t>
  </si>
  <si>
    <r>
      <t xml:space="preserve">Case No. </t>
    </r>
    <r>
      <rPr>
        <b/>
        <u/>
        <sz val="11"/>
        <color rgb="FF0000FF"/>
        <rFont val="Calibri"/>
        <family val="2"/>
        <scheme val="minor"/>
      </rPr>
      <t>2025-00125</t>
    </r>
  </si>
  <si>
    <t>Requirement</t>
  </si>
  <si>
    <t>per  CCF</t>
  </si>
  <si>
    <t>RS- Residential</t>
  </si>
  <si>
    <t>Per CCF</t>
  </si>
  <si>
    <t>GS - General Service</t>
  </si>
  <si>
    <t>FT - Firm Transportation (Includes DGS)</t>
  </si>
  <si>
    <t>IT - Interruptible Transportation</t>
  </si>
  <si>
    <r>
      <rPr>
        <b/>
        <sz val="11"/>
        <color rgb="FF0000FF"/>
        <rFont val="Calibri"/>
        <family val="2"/>
        <scheme val="minor"/>
      </rPr>
      <t>2029</t>
    </r>
    <r>
      <rPr>
        <b/>
        <sz val="11"/>
        <color theme="1"/>
        <rFont val="Calibri"/>
        <family val="2"/>
        <scheme val="minor"/>
      </rPr>
      <t xml:space="preserve"> Projected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</si>
</sst>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&quot;$&quot;#,##0;[Red]&quot;$&quot;#,##0"/>
    <numFmt numFmtId="170" formatCode="_(* #,##0.0000_);_(* \(#,##0.0000\);_(* &quot;-&quot;??_);_(@_)"/>
    <numFmt numFmtId="171" formatCode="[$-409]mmm\-yy;@"/>
    <numFmt numFmtId="172" formatCode="_(* #,##0.00000_);_(* \(#,##0.0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name val="Courier"/>
      <family val="3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applyNumberFormat="1" applyFont="1" applyAlignment="1">
      <alignment horizontal="right"/>
    </xf>
    <xf numFmtId="5" fontId="3" fillId="0" borderId="0" xfId="0" applyNumberFormat="1" applyFont="1" applyAlignment="1">
      <alignment horizontal="right"/>
    </xf>
    <xf numFmtId="5" fontId="3" fillId="0" borderId="2" xfId="0" applyNumberFormat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49" fontId="3" fillId="0" borderId="0" xfId="0" quotePrefix="1" applyNumberFormat="1" applyFont="1" applyAlignment="1">
      <alignment horizontal="left"/>
    </xf>
    <xf numFmtId="165" fontId="3" fillId="0" borderId="0" xfId="0" quotePrefix="1" applyNumberFormat="1" applyFont="1" applyAlignment="1">
      <alignment horizontal="left"/>
    </xf>
    <xf numFmtId="5" fontId="0" fillId="0" borderId="0" xfId="0" applyNumberFormat="1"/>
    <xf numFmtId="5" fontId="3" fillId="0" borderId="9" xfId="0" applyNumberFormat="1" applyFont="1" applyBorder="1" applyAlignment="1">
      <alignment horizontal="right"/>
    </xf>
    <xf numFmtId="0" fontId="2" fillId="0" borderId="0" xfId="0" applyFont="1"/>
    <xf numFmtId="0" fontId="10" fillId="0" borderId="0" xfId="0" quotePrefix="1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/>
    <xf numFmtId="5" fontId="8" fillId="0" borderId="0" xfId="0" applyNumberFormat="1" applyFont="1" applyAlignment="1">
      <alignment horizontal="right"/>
    </xf>
    <xf numFmtId="5" fontId="12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5" fontId="3" fillId="0" borderId="0" xfId="0" applyNumberFormat="1" applyFont="1"/>
    <xf numFmtId="167" fontId="12" fillId="0" borderId="0" xfId="11" applyNumberFormat="1" applyFont="1" applyFill="1" applyAlignment="1" applyProtection="1">
      <alignment horizontal="right"/>
    </xf>
    <xf numFmtId="165" fontId="3" fillId="0" borderId="0" xfId="0" applyNumberFormat="1" applyFont="1" applyAlignment="1">
      <alignment horizontal="center"/>
    </xf>
    <xf numFmtId="164" fontId="3" fillId="0" borderId="0" xfId="2" applyNumberFormat="1" applyFont="1" applyBorder="1" applyAlignment="1" applyProtection="1">
      <alignment horizontal="center"/>
    </xf>
    <xf numFmtId="0" fontId="3" fillId="0" borderId="0" xfId="0" quotePrefix="1" applyFont="1"/>
    <xf numFmtId="167" fontId="3" fillId="0" borderId="9" xfId="0" applyNumberFormat="1" applyFont="1" applyBorder="1" applyAlignment="1">
      <alignment horizontal="right"/>
    </xf>
    <xf numFmtId="0" fontId="5" fillId="0" borderId="10" xfId="0" quotePrefix="1" applyFont="1" applyBorder="1" applyAlignment="1">
      <alignment horizontal="center"/>
    </xf>
    <xf numFmtId="37" fontId="12" fillId="0" borderId="0" xfId="0" quotePrefix="1" applyNumberFormat="1" applyFont="1" applyAlignment="1">
      <alignment horizontal="right"/>
    </xf>
    <xf numFmtId="0" fontId="0" fillId="0" borderId="0" xfId="0" quotePrefix="1" applyAlignment="1">
      <alignment horizontal="center" wrapText="1"/>
    </xf>
    <xf numFmtId="0" fontId="0" fillId="0" borderId="6" xfId="0" applyBorder="1"/>
    <xf numFmtId="0" fontId="10" fillId="0" borderId="6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3" fillId="0" borderId="2" xfId="0" applyFont="1" applyBorder="1"/>
    <xf numFmtId="0" fontId="3" fillId="0" borderId="0" xfId="0" quotePrefix="1" applyFont="1" applyAlignment="1">
      <alignment horizontal="left"/>
    </xf>
    <xf numFmtId="0" fontId="3" fillId="0" borderId="11" xfId="0" applyFont="1" applyBorder="1"/>
    <xf numFmtId="165" fontId="3" fillId="0" borderId="11" xfId="0" applyNumberFormat="1" applyFont="1" applyBorder="1"/>
    <xf numFmtId="0" fontId="2" fillId="0" borderId="0" xfId="0" quotePrefix="1" applyFont="1" applyAlignment="1">
      <alignment horizontal="center"/>
    </xf>
    <xf numFmtId="166" fontId="0" fillId="0" borderId="0" xfId="1" applyNumberFormat="1" applyFont="1" applyFill="1"/>
    <xf numFmtId="0" fontId="0" fillId="0" borderId="0" xfId="0" quotePrefix="1"/>
    <xf numFmtId="5" fontId="0" fillId="0" borderId="2" xfId="0" applyNumberFormat="1" applyBorder="1"/>
    <xf numFmtId="0" fontId="10" fillId="0" borderId="0" xfId="0" applyFont="1"/>
    <xf numFmtId="5" fontId="0" fillId="0" borderId="1" xfId="0" applyNumberFormat="1" applyBorder="1"/>
    <xf numFmtId="5" fontId="2" fillId="0" borderId="9" xfId="0" applyNumberFormat="1" applyFont="1" applyBorder="1"/>
    <xf numFmtId="5" fontId="2" fillId="0" borderId="0" xfId="0" applyNumberFormat="1" applyFont="1"/>
    <xf numFmtId="10" fontId="0" fillId="0" borderId="0" xfId="2" applyNumberFormat="1" applyFont="1" applyFill="1"/>
    <xf numFmtId="166" fontId="10" fillId="0" borderId="0" xfId="1" quotePrefix="1" applyNumberFormat="1" applyFont="1" applyFill="1" applyAlignment="1">
      <alignment horizontal="left"/>
    </xf>
    <xf numFmtId="166" fontId="0" fillId="0" borderId="0" xfId="1" applyNumberFormat="1" applyFont="1" applyFill="1" applyBorder="1"/>
    <xf numFmtId="166" fontId="10" fillId="0" borderId="0" xfId="1" quotePrefix="1" applyNumberFormat="1" applyFont="1" applyFill="1" applyBorder="1" applyAlignment="1">
      <alignment horizontal="left"/>
    </xf>
    <xf numFmtId="0" fontId="10" fillId="0" borderId="2" xfId="0" applyFont="1" applyBorder="1"/>
    <xf numFmtId="0" fontId="0" fillId="0" borderId="0" xfId="0" quotePrefix="1" applyAlignment="1">
      <alignment horizontal="left" indent="1"/>
    </xf>
    <xf numFmtId="5" fontId="0" fillId="2" borderId="12" xfId="0" applyNumberFormat="1" applyFill="1" applyBorder="1"/>
    <xf numFmtId="0" fontId="0" fillId="0" borderId="0" xfId="0" applyAlignment="1">
      <alignment horizontal="left" indent="1"/>
    </xf>
    <xf numFmtId="166" fontId="0" fillId="0" borderId="0" xfId="1" applyNumberFormat="1" applyFont="1"/>
    <xf numFmtId="166" fontId="0" fillId="0" borderId="0" xfId="1" applyNumberFormat="1" applyFont="1" applyBorder="1"/>
    <xf numFmtId="0" fontId="0" fillId="0" borderId="0" xfId="0" applyAlignment="1">
      <alignment horizontal="right" indent="1"/>
    </xf>
    <xf numFmtId="168" fontId="0" fillId="0" borderId="0" xfId="2" applyNumberFormat="1" applyFont="1" applyAlignment="1">
      <alignment horizontal="right" indent="1"/>
    </xf>
    <xf numFmtId="0" fontId="0" fillId="0" borderId="0" xfId="0" applyAlignment="1">
      <alignment horizontal="right" indent="2"/>
    </xf>
    <xf numFmtId="166" fontId="0" fillId="0" borderId="0" xfId="0" applyNumberFormat="1"/>
    <xf numFmtId="166" fontId="0" fillId="0" borderId="0" xfId="1" quotePrefix="1" applyNumberFormat="1" applyFont="1" applyAlignment="1">
      <alignment horizontal="left"/>
    </xf>
    <xf numFmtId="5" fontId="0" fillId="0" borderId="2" xfId="1" applyNumberFormat="1" applyFont="1" applyBorder="1"/>
    <xf numFmtId="10" fontId="0" fillId="0" borderId="0" xfId="2" applyNumberFormat="1" applyFont="1" applyAlignment="1">
      <alignment horizontal="right" indent="1"/>
    </xf>
    <xf numFmtId="166" fontId="0" fillId="0" borderId="14" xfId="1" applyNumberFormat="1" applyFont="1" applyBorder="1"/>
    <xf numFmtId="0" fontId="0" fillId="0" borderId="14" xfId="0" applyBorder="1"/>
    <xf numFmtId="166" fontId="0" fillId="0" borderId="14" xfId="0" applyNumberFormat="1" applyBorder="1"/>
    <xf numFmtId="10" fontId="0" fillId="0" borderId="14" xfId="2" applyNumberFormat="1" applyFont="1" applyBorder="1" applyAlignment="1">
      <alignment horizontal="right" indent="1"/>
    </xf>
    <xf numFmtId="0" fontId="0" fillId="0" borderId="14" xfId="0" applyBorder="1" applyAlignment="1">
      <alignment horizontal="right" indent="2"/>
    </xf>
    <xf numFmtId="10" fontId="0" fillId="0" borderId="0" xfId="2" applyNumberFormat="1" applyFont="1" applyBorder="1" applyAlignment="1">
      <alignment horizontal="right" indent="1"/>
    </xf>
    <xf numFmtId="5" fontId="0" fillId="0" borderId="0" xfId="1" applyNumberFormat="1" applyFont="1"/>
    <xf numFmtId="169" fontId="0" fillId="0" borderId="0" xfId="0" applyNumberFormat="1"/>
    <xf numFmtId="0" fontId="0" fillId="0" borderId="0" xfId="0" quotePrefix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0" fontId="2" fillId="2" borderId="8" xfId="0" quotePrefix="1" applyFont="1" applyFill="1" applyBorder="1" applyAlignment="1">
      <alignment horizontal="center"/>
    </xf>
    <xf numFmtId="0" fontId="2" fillId="2" borderId="7" xfId="0" quotePrefix="1" applyFont="1" applyFill="1" applyBorder="1" applyAlignment="1">
      <alignment horizontal="center"/>
    </xf>
    <xf numFmtId="0" fontId="14" fillId="0" borderId="0" xfId="0" quotePrefix="1" applyFont="1" applyAlignment="1">
      <alignment horizontal="left"/>
    </xf>
    <xf numFmtId="43" fontId="0" fillId="0" borderId="0" xfId="1" applyFont="1" applyFill="1"/>
    <xf numFmtId="5" fontId="0" fillId="0" borderId="2" xfId="1" applyNumberFormat="1" applyFont="1" applyFill="1" applyBorder="1"/>
    <xf numFmtId="5" fontId="0" fillId="0" borderId="0" xfId="1" applyNumberFormat="1" applyFont="1" applyFill="1"/>
    <xf numFmtId="5" fontId="0" fillId="0" borderId="0" xfId="1" applyNumberFormat="1" applyFont="1" applyFill="1" applyBorder="1"/>
    <xf numFmtId="0" fontId="2" fillId="0" borderId="8" xfId="1" quotePrefix="1" applyNumberFormat="1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166" fontId="0" fillId="0" borderId="2" xfId="1" applyNumberFormat="1" applyFont="1" applyFill="1" applyBorder="1"/>
    <xf numFmtId="0" fontId="2" fillId="0" borderId="8" xfId="1" quotePrefix="1" applyNumberFormat="1" applyFont="1" applyBorder="1" applyAlignment="1">
      <alignment horizontal="center"/>
    </xf>
    <xf numFmtId="10" fontId="0" fillId="0" borderId="2" xfId="1" applyNumberFormat="1" applyFont="1" applyBorder="1"/>
    <xf numFmtId="170" fontId="0" fillId="0" borderId="0" xfId="1" quotePrefix="1" applyNumberFormat="1" applyFont="1" applyFill="1" applyAlignment="1">
      <alignment horizontal="left" indent="1"/>
    </xf>
    <xf numFmtId="167" fontId="0" fillId="0" borderId="0" xfId="11" applyNumberFormat="1" applyFont="1" applyFill="1" applyBorder="1"/>
    <xf numFmtId="0" fontId="0" fillId="0" borderId="0" xfId="0" quotePrefix="1" applyAlignment="1">
      <alignment horizontal="left" indent="2"/>
    </xf>
    <xf numFmtId="0" fontId="2" fillId="2" borderId="4" xfId="0" quotePrefix="1" applyFont="1" applyFill="1" applyBorder="1"/>
    <xf numFmtId="0" fontId="2" fillId="2" borderId="13" xfId="0" quotePrefix="1" applyFont="1" applyFill="1" applyBorder="1"/>
    <xf numFmtId="0" fontId="2" fillId="2" borderId="5" xfId="0" quotePrefix="1" applyFont="1" applyFill="1" applyBorder="1"/>
    <xf numFmtId="0" fontId="2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0" fontId="16" fillId="0" borderId="0" xfId="0" applyFont="1"/>
    <xf numFmtId="171" fontId="0" fillId="0" borderId="0" xfId="0" applyNumberFormat="1"/>
    <xf numFmtId="164" fontId="18" fillId="0" borderId="0" xfId="1" applyNumberFormat="1" applyFont="1" applyFill="1"/>
    <xf numFmtId="42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4" fontId="18" fillId="0" borderId="1" xfId="1" applyNumberFormat="1" applyFont="1" applyFill="1" applyBorder="1"/>
    <xf numFmtId="164" fontId="18" fillId="0" borderId="12" xfId="1" applyNumberFormat="1" applyFont="1" applyFill="1" applyBorder="1"/>
    <xf numFmtId="5" fontId="0" fillId="0" borderId="12" xfId="1" applyNumberFormat="1" applyFont="1" applyBorder="1"/>
    <xf numFmtId="170" fontId="0" fillId="0" borderId="0" xfId="1" applyNumberFormat="1" applyFont="1" applyAlignment="1">
      <alignment horizontal="center"/>
    </xf>
    <xf numFmtId="172" fontId="0" fillId="0" borderId="0" xfId="1" applyNumberFormat="1" applyFont="1"/>
    <xf numFmtId="172" fontId="0" fillId="0" borderId="0" xfId="1" applyNumberFormat="1" applyFont="1" applyAlignment="1">
      <alignment horizontal="center"/>
    </xf>
    <xf numFmtId="172" fontId="2" fillId="0" borderId="0" xfId="1" applyNumberFormat="1" applyFont="1" applyAlignment="1">
      <alignment horizontal="centerContinuous"/>
    </xf>
    <xf numFmtId="0" fontId="15" fillId="0" borderId="0" xfId="0" applyFont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2" fillId="2" borderId="13" xfId="0" quotePrefix="1" applyFont="1" applyFill="1" applyBorder="1" applyAlignment="1">
      <alignment horizontal="center"/>
    </xf>
    <xf numFmtId="0" fontId="2" fillId="2" borderId="5" xfId="0" quotePrefix="1" applyFont="1" applyFill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</cellXfs>
  <cellStyles count="12">
    <cellStyle name="Comma" xfId="1" builtinId="3"/>
    <cellStyle name="Currency" xfId="11" builtinId="4"/>
    <cellStyle name="Normal" xfId="0" builtinId="0"/>
    <cellStyle name="Normal 69" xfId="3" xr:uid="{00000000-0005-0000-0000-000003000000}"/>
    <cellStyle name="Normal 70" xfId="5" xr:uid="{00000000-0005-0000-0000-000004000000}"/>
    <cellStyle name="Normal 72" xfId="4" xr:uid="{00000000-0005-0000-0000-000005000000}"/>
    <cellStyle name="Normal 74" xfId="6" xr:uid="{00000000-0005-0000-0000-000006000000}"/>
    <cellStyle name="Normal 75" xfId="7" xr:uid="{00000000-0005-0000-0000-000007000000}"/>
    <cellStyle name="Normal 76" xfId="8" xr:uid="{00000000-0005-0000-0000-000008000000}"/>
    <cellStyle name="Normal 77" xfId="9" xr:uid="{00000000-0005-0000-0000-000009000000}"/>
    <cellStyle name="Normal 78" xfId="10" xr:uid="{00000000-0005-0000-0000-00000A000000}"/>
    <cellStyle name="Percent" xfId="2" builtinId="5"/>
  </cellStyles>
  <dxfs count="0"/>
  <tableStyles count="0" defaultTableStyle="TableStyleMedium9" defaultPivotStyle="PivotStyleLight16"/>
  <colors>
    <mruColors>
      <color rgb="FF0000FF"/>
      <color rgb="FFFFE4A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Case%20Filings\DE%20Ohio%20D%20Case%202012-1682\Settlement\PUCO%20ELECTRIC%20SFRs-%202012%20Settlement%20Upd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Case%20Filings\DE%20Ohio%20D%20Case%202012-1682\SFR%20Model\PUCO%20ELECTRIC%20SFRs-%202012%20As%20Fil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ncyfile1\Rates2\Rate%20Case%20Filings\DEK%20Electric%20Case%202019-00271\Testimony\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OSS ALLOC"/>
      <sheetName val="GOTO"/>
      <sheetName val="PRINT"/>
      <sheetName val="INPUT"/>
      <sheetName val="Jan-Jun 04 Budget"/>
      <sheetName val="NON-LABOR"/>
      <sheetName val="Jan-Jun 04 NonLabor Bdgt"/>
      <sheetName val="ACCTTABLE"/>
      <sheetName val="REV by PRODUCT"/>
      <sheetName val="LABOR"/>
      <sheetName val="Jan-Jun 04 Labor Bdgt"/>
      <sheetName val="SCH_A1"/>
      <sheetName val="SCH_A2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2.5b"/>
      <sheetName val="SCH_B-3"/>
      <sheetName val="SCH_B-3.1"/>
      <sheetName val="SCH_B-3.2 - Proposed Accrual"/>
      <sheetName val="SCH_B-3.2a - Current Accrual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9"/>
      <sheetName val="SCH_C1"/>
      <sheetName val="SCH_C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3.22"/>
      <sheetName val="SCH_C3.23"/>
      <sheetName val="SCH_C3.24"/>
      <sheetName val="SCH_C3.25"/>
      <sheetName val="SCH_C3.26"/>
      <sheetName val="SCH_C3.27"/>
      <sheetName val="SCH_C3.28"/>
      <sheetName val="SCH_C3.29"/>
      <sheetName val="SCH_C3.30"/>
      <sheetName val="SCH_C4"/>
      <sheetName val="SCH_C5"/>
      <sheetName val="SCH_C6"/>
      <sheetName val="SCH_C7"/>
      <sheetName val="SCH_C8"/>
      <sheetName val="SCH_C9"/>
      <sheetName val="SCH_C9.1"/>
      <sheetName val="SCH C10.1"/>
      <sheetName val="SCH C10.2"/>
      <sheetName val="SCH_C11"/>
      <sheetName val="SCH_C12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UPP (C)(7)"/>
      <sheetName val="SUPP (C)(9)"/>
      <sheetName val="SUPP (C)(23)"/>
      <sheetName val="SUPP (C)(25)"/>
    </sheetNames>
    <sheetDataSet>
      <sheetData sheetId="0">
        <row r="5">
          <cell r="C5" t="str">
            <v>DUKE ENERGY OHIO, INC.</v>
          </cell>
        </row>
      </sheetData>
      <sheetData sheetId="1">
        <row r="2">
          <cell r="A2" t="str">
            <v>C229</v>
          </cell>
        </row>
      </sheetData>
      <sheetData sheetId="2"/>
      <sheetData sheetId="3"/>
      <sheetData sheetId="4">
        <row r="1">
          <cell r="D1">
            <v>5.4250000000000001E-3</v>
          </cell>
        </row>
        <row r="16">
          <cell r="D16">
            <v>0.83499999999999996</v>
          </cell>
        </row>
      </sheetData>
      <sheetData sheetId="5"/>
      <sheetData sheetId="6"/>
      <sheetData sheetId="7"/>
      <sheetData sheetId="8">
        <row r="12">
          <cell r="A12">
            <v>403400</v>
          </cell>
        </row>
      </sheetData>
      <sheetData sheetId="9">
        <row r="12">
          <cell r="A12">
            <v>440000</v>
          </cell>
        </row>
      </sheetData>
      <sheetData sheetId="10">
        <row r="2">
          <cell r="A2" t="str">
            <v>Account</v>
          </cell>
        </row>
      </sheetData>
      <sheetData sheetId="11"/>
      <sheetData sheetId="12"/>
      <sheetData sheetId="13">
        <row r="37">
          <cell r="H37">
            <v>1.5650023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42">
          <cell r="AK142">
            <v>15568360</v>
          </cell>
        </row>
      </sheetData>
      <sheetData sheetId="33"/>
      <sheetData sheetId="34">
        <row r="104">
          <cell r="AA104">
            <v>-7270777</v>
          </cell>
        </row>
      </sheetData>
      <sheetData sheetId="35"/>
      <sheetData sheetId="36"/>
      <sheetData sheetId="37">
        <row r="23">
          <cell r="G23">
            <v>447125</v>
          </cell>
        </row>
      </sheetData>
      <sheetData sheetId="38"/>
      <sheetData sheetId="39">
        <row r="54">
          <cell r="J54">
            <v>515397375</v>
          </cell>
        </row>
      </sheetData>
      <sheetData sheetId="40">
        <row r="20">
          <cell r="E20">
            <v>-150838097</v>
          </cell>
        </row>
      </sheetData>
      <sheetData sheetId="41"/>
      <sheetData sheetId="42"/>
      <sheetData sheetId="43"/>
      <sheetData sheetId="44"/>
      <sheetData sheetId="45">
        <row r="19">
          <cell r="K19">
            <v>-5498799</v>
          </cell>
        </row>
      </sheetData>
      <sheetData sheetId="46"/>
      <sheetData sheetId="47"/>
      <sheetData sheetId="48"/>
      <sheetData sheetId="49"/>
      <sheetData sheetId="50">
        <row r="87">
          <cell r="AI87">
            <v>-26399957</v>
          </cell>
        </row>
      </sheetData>
      <sheetData sheetId="51"/>
      <sheetData sheetId="52"/>
      <sheetData sheetId="53"/>
      <sheetData sheetId="54"/>
      <sheetData sheetId="55"/>
      <sheetData sheetId="56"/>
      <sheetData sheetId="57">
        <row r="57">
          <cell r="W57">
            <v>2392829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2">
          <cell r="O2">
            <v>0.37390000000000001</v>
          </cell>
        </row>
      </sheetData>
      <sheetData sheetId="77"/>
      <sheetData sheetId="78"/>
      <sheetData sheetId="79"/>
      <sheetData sheetId="80"/>
      <sheetData sheetId="81"/>
      <sheetData sheetId="82">
        <row r="16">
          <cell r="M16">
            <v>2.4799999999999999E-2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OSS ALLOC"/>
      <sheetName val="GOTO"/>
      <sheetName val="PRINT"/>
      <sheetName val="INPUT"/>
      <sheetName val="Jan-Jun 04 Budget"/>
      <sheetName val="NON-LABOR"/>
      <sheetName val="Jan-Jun 04 NonLabor Bdgt"/>
      <sheetName val="ACCTTABLE"/>
      <sheetName val="REV by PRODUCT"/>
      <sheetName val="LABOR"/>
      <sheetName val="Jan-Jun 04 Labor Bdgt"/>
      <sheetName val="SCH_A1"/>
      <sheetName val="SCH_A2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2.5b"/>
      <sheetName val="SCH_B-3"/>
      <sheetName val="SCH_B-3.1"/>
      <sheetName val="SCH_B-3.2 - Proposed Accrual"/>
      <sheetName val="SCH_B-3.2a - Current Accrual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9"/>
      <sheetName val="SCH_C1"/>
      <sheetName val="SCH_C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3.22"/>
      <sheetName val="SCH_C3.23"/>
      <sheetName val="SCH_C3.24"/>
      <sheetName val="SCH_C3.25"/>
      <sheetName val="SCH_C3.26"/>
      <sheetName val="SCH_C3.27"/>
      <sheetName val="SCH_C3.28"/>
      <sheetName val="SCH_C3.29"/>
      <sheetName val="SCH_C3.30"/>
      <sheetName val="SCH_C4"/>
      <sheetName val="SCH_C5"/>
      <sheetName val="SCH_C6"/>
      <sheetName val="SCH_C7"/>
      <sheetName val="SCH_C8"/>
      <sheetName val="SCH_C9"/>
      <sheetName val="SCH_C9.1"/>
      <sheetName val="SCH C10.1"/>
      <sheetName val="SCH C10.2"/>
      <sheetName val="SCH_C11"/>
      <sheetName val="SCH_C12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UPP (C)(7)"/>
      <sheetName val="SUPP (C)(9)"/>
      <sheetName val="SUPP (C)(23)"/>
      <sheetName val="SUPP (C)(25)"/>
    </sheetNames>
    <sheetDataSet>
      <sheetData sheetId="0"/>
      <sheetData sheetId="1">
        <row r="2">
          <cell r="A2" t="str">
            <v>C229</v>
          </cell>
          <cell r="B2">
            <v>0.44821</v>
          </cell>
          <cell r="C2" t="str">
            <v>WTD Net C &amp; O Plant Ratios</v>
          </cell>
          <cell r="D2" t="str">
            <v>Per B-7</v>
          </cell>
        </row>
        <row r="3">
          <cell r="A3" t="str">
            <v>DALL</v>
          </cell>
          <cell r="B3">
            <v>1</v>
          </cell>
          <cell r="C3" t="str">
            <v>All Jurisdictional</v>
          </cell>
        </row>
        <row r="4">
          <cell r="A4" t="str">
            <v>DNON</v>
          </cell>
          <cell r="B4">
            <v>0</v>
          </cell>
          <cell r="C4" t="str">
            <v>Non-Jurisdictional</v>
          </cell>
        </row>
        <row r="5">
          <cell r="A5" t="str">
            <v>G229</v>
          </cell>
          <cell r="B5">
            <v>0.92257</v>
          </cell>
          <cell r="C5" t="str">
            <v>WTD Net G &amp; I Plant Ratios (T&amp;D Only)</v>
          </cell>
          <cell r="D5" t="str">
            <v>Per B-7</v>
          </cell>
        </row>
        <row r="6">
          <cell r="A6" t="str">
            <v>D595</v>
          </cell>
          <cell r="B6">
            <v>0.54069999999999996</v>
          </cell>
          <cell r="C6" t="str">
            <v>Distribution Revenue ratio</v>
          </cell>
          <cell r="D6" t="str">
            <v>Per WPB-5.1c</v>
          </cell>
        </row>
        <row r="7">
          <cell r="A7" t="str">
            <v>DLAB</v>
          </cell>
          <cell r="B7">
            <v>0.87319000000000002</v>
          </cell>
          <cell r="C7" t="str">
            <v>Labor Distribution</v>
          </cell>
          <cell r="D7" t="str">
            <v>FERC Pages 354 &amp; 355</v>
          </cell>
        </row>
        <row r="8">
          <cell r="A8" t="str">
            <v>DPTX</v>
          </cell>
          <cell r="B8">
            <v>0.79</v>
          </cell>
          <cell r="C8" t="str">
            <v>Distribution Property Tax Split based on 3 months actual</v>
          </cell>
          <cell r="D8" t="str">
            <v>Per Tax Department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Req Summary"/>
      <sheetName val="Inputs"/>
      <sheetName val="Plant Data (Mar15)"/>
      <sheetName val="Accum Depr (Mar15)"/>
      <sheetName val="Accum Def Inc Tax (Mar15)"/>
    </sheetNames>
    <sheetDataSet>
      <sheetData sheetId="0" refreshError="1"/>
      <sheetData sheetId="1">
        <row r="6">
          <cell r="C6">
            <v>8.9569999999999997E-2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view="pageLayout" zoomScaleNormal="100" workbookViewId="0">
      <selection activeCell="K23" sqref="K23"/>
    </sheetView>
  </sheetViews>
  <sheetFormatPr defaultRowHeight="14.4" x14ac:dyDescent="0.3"/>
  <cols>
    <col min="2" max="2" width="2" customWidth="1"/>
    <col min="3" max="3" width="46" customWidth="1"/>
    <col min="4" max="5" width="1.6640625" customWidth="1"/>
    <col min="6" max="6" width="14.6640625" customWidth="1"/>
    <col min="7" max="7" width="1.6640625" customWidth="1"/>
    <col min="10" max="10" width="4.6640625" bestFit="1" customWidth="1"/>
    <col min="11" max="11" width="28.6640625" customWidth="1"/>
    <col min="13" max="13" width="22.44140625" bestFit="1" customWidth="1"/>
    <col min="14" max="14" width="14.109375" bestFit="1" customWidth="1"/>
    <col min="15" max="15" width="13.33203125" bestFit="1" customWidth="1"/>
    <col min="16" max="16" width="3.44140625" customWidth="1"/>
    <col min="17" max="17" width="36.109375" bestFit="1" customWidth="1"/>
    <col min="18" max="18" width="12.44140625" style="117" bestFit="1" customWidth="1"/>
    <col min="19" max="19" width="7.6640625" bestFit="1" customWidth="1"/>
  </cols>
  <sheetData>
    <row r="1" spans="1:19" x14ac:dyDescent="0.3">
      <c r="A1" s="23" t="s">
        <v>75</v>
      </c>
      <c r="B1" s="23"/>
    </row>
    <row r="2" spans="1:19" x14ac:dyDescent="0.3">
      <c r="A2" s="23" t="s">
        <v>74</v>
      </c>
      <c r="B2" s="23"/>
    </row>
    <row r="3" spans="1:19" x14ac:dyDescent="0.3">
      <c r="A3" s="23" t="s">
        <v>110</v>
      </c>
      <c r="B3" s="23"/>
    </row>
    <row r="4" spans="1:19" ht="18.600000000000001" thickBot="1" x14ac:dyDescent="0.4">
      <c r="A4" s="39"/>
      <c r="B4" s="39"/>
      <c r="C4" s="40"/>
      <c r="D4" s="41"/>
      <c r="E4" s="42"/>
      <c r="F4" s="42"/>
      <c r="G4" s="42"/>
    </row>
    <row r="5" spans="1:19" ht="18" x14ac:dyDescent="0.35">
      <c r="C5" s="26"/>
      <c r="D5" s="25"/>
      <c r="E5" s="26"/>
      <c r="F5" s="26"/>
      <c r="G5" s="26"/>
      <c r="J5" s="46"/>
      <c r="N5" s="46"/>
      <c r="O5" s="46"/>
      <c r="P5" s="46"/>
      <c r="Q5" s="46"/>
      <c r="R5" s="118"/>
    </row>
    <row r="6" spans="1:19" x14ac:dyDescent="0.3">
      <c r="A6" s="43" t="s">
        <v>68</v>
      </c>
      <c r="B6" s="44"/>
      <c r="C6" s="43" t="s">
        <v>69</v>
      </c>
      <c r="E6" s="52"/>
      <c r="F6" s="45">
        <v>2029</v>
      </c>
      <c r="G6" s="52"/>
      <c r="J6" s="106"/>
      <c r="K6" s="106"/>
      <c r="L6" s="106"/>
      <c r="M6" s="106"/>
      <c r="N6" s="106"/>
      <c r="O6" s="106"/>
      <c r="P6" s="106"/>
      <c r="Q6" s="106"/>
      <c r="R6" s="119"/>
      <c r="S6" s="106"/>
    </row>
    <row r="7" spans="1:19" x14ac:dyDescent="0.3">
      <c r="J7" s="106"/>
      <c r="K7" s="106"/>
      <c r="L7" s="106"/>
      <c r="M7" s="106"/>
      <c r="N7" s="106"/>
      <c r="O7" s="106"/>
      <c r="P7" s="106"/>
      <c r="Q7" s="106"/>
      <c r="R7" s="119"/>
      <c r="S7" s="106"/>
    </row>
    <row r="8" spans="1:19" ht="16.2" x14ac:dyDescent="0.3">
      <c r="A8" s="46">
        <v>1</v>
      </c>
      <c r="C8" s="1" t="s">
        <v>76</v>
      </c>
      <c r="E8" s="21"/>
      <c r="F8" s="21">
        <v>17300750.77</v>
      </c>
      <c r="G8" s="21"/>
      <c r="J8" s="106"/>
      <c r="K8" s="106"/>
      <c r="L8" s="106"/>
      <c r="M8" s="106"/>
      <c r="N8" s="106"/>
      <c r="O8" s="106"/>
      <c r="P8" s="106"/>
      <c r="Q8" s="106"/>
      <c r="R8" s="119"/>
      <c r="S8" s="106"/>
    </row>
    <row r="9" spans="1:19" x14ac:dyDescent="0.3">
      <c r="A9" s="46">
        <f>MAX(A8:A$8)+1</f>
        <v>2</v>
      </c>
      <c r="C9" s="1" t="s">
        <v>71</v>
      </c>
      <c r="E9" s="53"/>
      <c r="F9" s="53">
        <f>'Depr and ADIT'!G14</f>
        <v>-1172419.8658224999</v>
      </c>
      <c r="G9" s="24"/>
      <c r="J9" s="46"/>
      <c r="K9" s="46"/>
      <c r="L9" s="46"/>
      <c r="M9" s="46"/>
      <c r="N9" s="46"/>
      <c r="O9" s="46"/>
      <c r="P9" s="46"/>
      <c r="Q9" s="46"/>
      <c r="R9" s="118"/>
      <c r="S9" s="46"/>
    </row>
    <row r="10" spans="1:19" x14ac:dyDescent="0.3">
      <c r="A10" s="46">
        <f>MAX(A$8:A9)+1</f>
        <v>3</v>
      </c>
      <c r="C10" s="1" t="s">
        <v>77</v>
      </c>
      <c r="E10" s="21"/>
      <c r="F10" s="55">
        <f>+F8+F9</f>
        <v>16128330.9041775</v>
      </c>
      <c r="G10" s="56"/>
      <c r="J10" s="46"/>
      <c r="M10" s="44" t="s">
        <v>115</v>
      </c>
      <c r="N10" s="46"/>
      <c r="O10" s="120">
        <v>2027</v>
      </c>
      <c r="P10" s="120"/>
      <c r="Q10" s="120"/>
      <c r="R10" s="118"/>
    </row>
    <row r="11" spans="1:19" x14ac:dyDescent="0.3">
      <c r="A11" s="46"/>
      <c r="F11" s="56"/>
      <c r="G11" s="56"/>
      <c r="J11" s="44"/>
      <c r="K11" s="23"/>
      <c r="L11" s="23"/>
      <c r="M11" s="44" t="s">
        <v>116</v>
      </c>
      <c r="N11" s="44" t="s">
        <v>132</v>
      </c>
      <c r="O11" s="44" t="s">
        <v>117</v>
      </c>
      <c r="P11" s="44"/>
      <c r="Q11" s="44"/>
      <c r="R11" s="118"/>
    </row>
    <row r="12" spans="1:19" ht="16.2" x14ac:dyDescent="0.3">
      <c r="A12" s="46">
        <f>MAX(A$8:A11)+1</f>
        <v>4</v>
      </c>
      <c r="C12" s="1" t="s">
        <v>82</v>
      </c>
      <c r="E12" s="21"/>
      <c r="F12" s="57">
        <f>'Depr and ADIT'!G16</f>
        <v>-381169</v>
      </c>
      <c r="G12" s="24"/>
      <c r="J12" s="44" t="s">
        <v>68</v>
      </c>
      <c r="K12" s="23"/>
      <c r="L12" s="23"/>
      <c r="M12" s="44" t="s">
        <v>118</v>
      </c>
      <c r="N12" s="44" t="s">
        <v>119</v>
      </c>
      <c r="O12" s="44" t="s">
        <v>120</v>
      </c>
      <c r="P12" s="44"/>
    </row>
    <row r="13" spans="1:19" x14ac:dyDescent="0.3">
      <c r="A13" s="46"/>
      <c r="F13" s="56"/>
      <c r="G13" s="56"/>
      <c r="J13" s="107" t="s">
        <v>122</v>
      </c>
      <c r="K13" s="108" t="s">
        <v>123</v>
      </c>
      <c r="L13" s="108"/>
      <c r="M13" s="107" t="s">
        <v>124</v>
      </c>
      <c r="N13" s="107" t="s">
        <v>125</v>
      </c>
      <c r="O13" s="107" t="s">
        <v>126</v>
      </c>
      <c r="P13" s="107"/>
      <c r="Q13" s="108" t="s">
        <v>123</v>
      </c>
      <c r="R13" s="108" t="s">
        <v>121</v>
      </c>
    </row>
    <row r="14" spans="1:19" ht="15" thickBot="1" x14ac:dyDescent="0.35">
      <c r="A14" s="46">
        <f>MAX(A$8:A13)+1</f>
        <v>5</v>
      </c>
      <c r="C14" s="1" t="s">
        <v>78</v>
      </c>
      <c r="E14" s="59"/>
      <c r="F14" s="58">
        <f>+F10+F12</f>
        <v>15747161.9041775</v>
      </c>
      <c r="G14" s="24"/>
      <c r="J14" s="46"/>
      <c r="K14" s="52"/>
      <c r="L14" s="44"/>
      <c r="M14" s="44"/>
      <c r="N14" s="44"/>
      <c r="O14" s="44"/>
      <c r="P14" s="44"/>
      <c r="Q14" s="108"/>
      <c r="R14" s="108"/>
    </row>
    <row r="15" spans="1:19" ht="15" thickTop="1" x14ac:dyDescent="0.3">
      <c r="A15" s="46"/>
      <c r="J15" s="46">
        <v>1</v>
      </c>
      <c r="K15" s="109" t="s">
        <v>127</v>
      </c>
      <c r="M15" s="110">
        <v>0.84199999999999997</v>
      </c>
      <c r="N15" s="111">
        <f>$N$19*M15</f>
        <v>1717357.1247156099</v>
      </c>
      <c r="O15" s="112">
        <v>60549379.79999999</v>
      </c>
      <c r="P15" s="112"/>
      <c r="Q15" s="109" t="s">
        <v>127</v>
      </c>
      <c r="R15" s="116">
        <f>N15/O15</f>
        <v>2.8362918503677396E-2</v>
      </c>
      <c r="S15" t="s">
        <v>128</v>
      </c>
    </row>
    <row r="16" spans="1:19" ht="16.2" x14ac:dyDescent="0.3">
      <c r="A16" s="46">
        <f>MAX(A$8:A15)+1</f>
        <v>6</v>
      </c>
      <c r="C16" s="1" t="s">
        <v>81</v>
      </c>
      <c r="E16" s="60"/>
      <c r="F16" s="60">
        <v>9.2899999999999996E-2</v>
      </c>
      <c r="G16" s="56"/>
      <c r="J16" s="46">
        <f>J15+1</f>
        <v>2</v>
      </c>
      <c r="K16" s="109" t="s">
        <v>129</v>
      </c>
      <c r="M16" s="110">
        <v>0.14854000000000001</v>
      </c>
      <c r="N16" s="111">
        <f>$N$19*M16</f>
        <v>302964.64050505549</v>
      </c>
      <c r="O16" s="112">
        <v>35482080.699999996</v>
      </c>
      <c r="P16" s="112"/>
      <c r="Q16" s="109" t="s">
        <v>129</v>
      </c>
      <c r="R16" s="116">
        <f>N16/O16</f>
        <v>8.5385252084457242E-3</v>
      </c>
      <c r="S16" t="s">
        <v>128</v>
      </c>
    </row>
    <row r="17" spans="1:19" x14ac:dyDescent="0.3">
      <c r="A17" s="46"/>
      <c r="F17" s="56"/>
      <c r="G17" s="56"/>
      <c r="J17" s="46">
        <f>J16+1</f>
        <v>3</v>
      </c>
      <c r="K17" s="109" t="s">
        <v>130</v>
      </c>
      <c r="M17" s="110">
        <v>7.5300000000000002E-3</v>
      </c>
      <c r="N17" s="111">
        <f>$N$19*M17</f>
        <v>15358.312528632476</v>
      </c>
      <c r="O17" s="112">
        <v>29148036.300000004</v>
      </c>
      <c r="P17" s="112"/>
      <c r="Q17" s="109" t="s">
        <v>130</v>
      </c>
      <c r="R17" s="116">
        <f>N17/O17</f>
        <v>5.269072801529506E-4</v>
      </c>
      <c r="S17" t="s">
        <v>128</v>
      </c>
    </row>
    <row r="18" spans="1:19" x14ac:dyDescent="0.3">
      <c r="A18" s="46">
        <f>MAX(A$8:A17)+1</f>
        <v>7</v>
      </c>
      <c r="C18" s="1" t="s">
        <v>0</v>
      </c>
      <c r="E18" s="21"/>
      <c r="F18" s="21">
        <f>+F14*F16</f>
        <v>1462911.3408980896</v>
      </c>
      <c r="G18" s="56"/>
      <c r="J18" s="46">
        <f>J17+1</f>
        <v>4</v>
      </c>
      <c r="K18" s="109" t="s">
        <v>131</v>
      </c>
      <c r="M18" s="113">
        <v>1.9300000000000001E-3</v>
      </c>
      <c r="N18" s="111">
        <f>$N$19*M18</f>
        <v>3936.4599176973011</v>
      </c>
      <c r="O18" s="112">
        <v>15851119.799999997</v>
      </c>
      <c r="P18" s="112"/>
      <c r="Q18" s="109" t="s">
        <v>131</v>
      </c>
      <c r="R18" s="116">
        <f>N18/O18</f>
        <v>2.4833954744934181E-4</v>
      </c>
      <c r="S18" t="s">
        <v>128</v>
      </c>
    </row>
    <row r="19" spans="1:19" ht="15" thickBot="1" x14ac:dyDescent="0.35">
      <c r="A19" s="46"/>
      <c r="C19" s="1"/>
      <c r="F19" s="56"/>
      <c r="G19" s="56"/>
      <c r="J19" s="46">
        <f>J18+1</f>
        <v>5</v>
      </c>
      <c r="K19" t="s">
        <v>92</v>
      </c>
      <c r="M19" s="114">
        <f>SUM(M14:M18)</f>
        <v>1</v>
      </c>
      <c r="N19" s="115">
        <f>F23</f>
        <v>2039616.5376669953</v>
      </c>
      <c r="O19" s="69"/>
      <c r="P19" s="69"/>
      <c r="R19" s="118"/>
    </row>
    <row r="20" spans="1:19" ht="15" thickTop="1" x14ac:dyDescent="0.3">
      <c r="A20" s="46">
        <f>MAX(A$8:A19)+1</f>
        <v>8</v>
      </c>
      <c r="C20" s="1" t="s">
        <v>72</v>
      </c>
      <c r="E20" s="53"/>
      <c r="F20" s="53">
        <f>'Depr and ADIT'!G12</f>
        <v>468967.94632899994</v>
      </c>
      <c r="G20" s="61"/>
    </row>
    <row r="21" spans="1:19" ht="16.2" x14ac:dyDescent="0.3">
      <c r="A21" s="46">
        <f>MAX(A$8:A20)+1</f>
        <v>9</v>
      </c>
      <c r="C21" s="1" t="s">
        <v>80</v>
      </c>
      <c r="E21" s="62"/>
      <c r="F21" s="62">
        <f>0.00668*F10</f>
        <v>107737.25043990571</v>
      </c>
      <c r="G21" s="63"/>
    </row>
    <row r="22" spans="1:19" x14ac:dyDescent="0.3">
      <c r="A22" s="46"/>
      <c r="F22" s="64"/>
      <c r="G22" s="56"/>
      <c r="J22" s="21"/>
    </row>
    <row r="23" spans="1:19" ht="15" thickBot="1" x14ac:dyDescent="0.35">
      <c r="A23" s="46">
        <f>MAX(A$8:A22)+1</f>
        <v>10</v>
      </c>
      <c r="C23" s="1" t="s">
        <v>79</v>
      </c>
      <c r="E23" s="21"/>
      <c r="F23" s="66">
        <f>SUM(F18:F21)</f>
        <v>2039616.5376669953</v>
      </c>
      <c r="G23" s="1"/>
    </row>
    <row r="24" spans="1:19" ht="15" thickTop="1" x14ac:dyDescent="0.3">
      <c r="A24" s="46"/>
    </row>
    <row r="26" spans="1:19" ht="14.25" customHeight="1" x14ac:dyDescent="0.3">
      <c r="A26" s="47"/>
      <c r="C26" s="54" t="s">
        <v>73</v>
      </c>
      <c r="D26" s="54"/>
      <c r="E26" s="38"/>
      <c r="F26" s="38"/>
      <c r="G26" s="38"/>
    </row>
    <row r="27" spans="1:19" ht="16.2" x14ac:dyDescent="0.3">
      <c r="C27" s="65" t="s">
        <v>111</v>
      </c>
    </row>
    <row r="28" spans="1:19" ht="16.2" x14ac:dyDescent="0.3">
      <c r="C28" s="65" t="s">
        <v>113</v>
      </c>
    </row>
    <row r="29" spans="1:19" ht="16.2" x14ac:dyDescent="0.3">
      <c r="C29" s="65" t="s">
        <v>114</v>
      </c>
    </row>
    <row r="30" spans="1:19" ht="16.2" x14ac:dyDescent="0.3">
      <c r="C30" s="65" t="s">
        <v>112</v>
      </c>
    </row>
    <row r="31" spans="1:19" x14ac:dyDescent="0.3">
      <c r="C31" s="100"/>
    </row>
    <row r="32" spans="1:19" x14ac:dyDescent="0.3">
      <c r="C32" s="67"/>
    </row>
    <row r="33" spans="3:3" x14ac:dyDescent="0.3">
      <c r="C33" s="67"/>
    </row>
  </sheetData>
  <pageMargins left="0.7" right="0.7" top="0.75" bottom="0.75" header="0.3" footer="0.3"/>
  <pageSetup scale="49" orientation="landscape" r:id="rId1"/>
  <headerFooter>
    <oddHeader>&amp;R&amp;"Times New Roman,Bold"&amp;10KyPSC Case No. 2026-00114
STAFF-DR-02-006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E067-5989-4B62-ADAA-FCE1E12946C1}">
  <sheetPr>
    <pageSetUpPr fitToPage="1"/>
  </sheetPr>
  <dimension ref="A1:AA116"/>
  <sheetViews>
    <sheetView view="pageLayout" zoomScaleNormal="100" workbookViewId="0">
      <selection activeCell="K23" sqref="K23"/>
    </sheetView>
  </sheetViews>
  <sheetFormatPr defaultRowHeight="14.4" x14ac:dyDescent="0.3"/>
  <cols>
    <col min="1" max="1" width="35.88671875" customWidth="1"/>
    <col min="2" max="2" width="1.6640625" customWidth="1"/>
    <col min="3" max="3" width="15.6640625" customWidth="1"/>
    <col min="4" max="4" width="1.6640625" customWidth="1"/>
    <col min="5" max="5" width="15.6640625" customWidth="1"/>
    <col min="6" max="6" width="1.6640625" customWidth="1"/>
    <col min="7" max="7" width="15.6640625" customWidth="1"/>
    <col min="8" max="8" width="1.6640625" customWidth="1"/>
    <col min="9" max="9" width="15.6640625" customWidth="1"/>
    <col min="10" max="10" width="1.6640625" customWidth="1"/>
    <col min="11" max="11" width="15.6640625" customWidth="1"/>
    <col min="12" max="12" width="1.6640625" customWidth="1"/>
    <col min="13" max="13" width="15.6640625" customWidth="1"/>
    <col min="14" max="14" width="1.6640625" customWidth="1"/>
    <col min="15" max="15" width="15.6640625" customWidth="1"/>
    <col min="16" max="16" width="1.6640625" customWidth="1"/>
    <col min="17" max="17" width="15.6640625" customWidth="1"/>
    <col min="18" max="18" width="1.6640625" customWidth="1"/>
    <col min="19" max="19" width="15.6640625" customWidth="1"/>
    <col min="20" max="20" width="1.6640625" customWidth="1"/>
    <col min="21" max="21" width="15.6640625" customWidth="1"/>
    <col min="22" max="22" width="1.6640625" customWidth="1"/>
    <col min="23" max="23" width="15.6640625" customWidth="1"/>
    <col min="24" max="24" width="1.6640625" customWidth="1"/>
    <col min="25" max="25" width="15.6640625" customWidth="1"/>
    <col min="26" max="26" width="1.6640625" customWidth="1"/>
    <col min="27" max="27" width="15.6640625" customWidth="1"/>
  </cols>
  <sheetData>
    <row r="1" spans="1:21" x14ac:dyDescent="0.3">
      <c r="A1" s="23" t="str">
        <f>'Rev Req Summary'!A1</f>
        <v>Duke Energy Kentucky</v>
      </c>
    </row>
    <row r="2" spans="1:21" x14ac:dyDescent="0.3">
      <c r="A2" s="23" t="str">
        <f>'Rev Req Summary'!A2</f>
        <v xml:space="preserve">Estimated Revenue Requirement </v>
      </c>
    </row>
    <row r="3" spans="1:21" x14ac:dyDescent="0.3">
      <c r="A3" s="23" t="str">
        <f>'Rev Req Summary'!A3</f>
        <v>Farm Tap</v>
      </c>
    </row>
    <row r="4" spans="1:21" ht="15" thickBot="1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6" spans="1:21" x14ac:dyDescent="0.3">
      <c r="C6" s="103" t="s">
        <v>107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1:21" x14ac:dyDescent="0.3">
      <c r="A7" s="43" t="s">
        <v>104</v>
      </c>
      <c r="C7" s="96">
        <v>2027</v>
      </c>
      <c r="D7" s="52"/>
      <c r="E7" s="98">
        <f>+C7+1</f>
        <v>2028</v>
      </c>
      <c r="F7" s="95"/>
      <c r="G7" s="98">
        <f>+E7+1</f>
        <v>2029</v>
      </c>
      <c r="H7" s="52"/>
      <c r="I7" s="98">
        <f>+G7+1</f>
        <v>2030</v>
      </c>
      <c r="J7" s="52"/>
      <c r="K7" s="98">
        <f>+I7+1</f>
        <v>2031</v>
      </c>
      <c r="L7" s="52"/>
      <c r="M7" s="98">
        <f>+K7+1</f>
        <v>2032</v>
      </c>
      <c r="O7" s="98">
        <f>+M7+1</f>
        <v>2033</v>
      </c>
      <c r="P7" s="52"/>
      <c r="Q7" s="98">
        <f>+O7+1</f>
        <v>2034</v>
      </c>
      <c r="S7" s="98">
        <f>+Q7+1</f>
        <v>2035</v>
      </c>
      <c r="U7" s="98">
        <f>+S7+1</f>
        <v>2036</v>
      </c>
    </row>
    <row r="9" spans="1:21" x14ac:dyDescent="0.3">
      <c r="A9" s="1" t="str">
        <f>A3</f>
        <v>Farm Tap</v>
      </c>
      <c r="C9" s="92">
        <f>17300750.77-370500</f>
        <v>16930250.77</v>
      </c>
      <c r="D9" s="92"/>
      <c r="E9" s="101">
        <v>0</v>
      </c>
      <c r="F9" s="92"/>
      <c r="G9" s="101">
        <v>0</v>
      </c>
      <c r="H9" s="92"/>
      <c r="I9" s="101">
        <v>0</v>
      </c>
      <c r="J9" s="92"/>
      <c r="K9" s="101">
        <v>0</v>
      </c>
      <c r="L9" s="92"/>
      <c r="M9" s="101">
        <v>0</v>
      </c>
      <c r="N9" s="92"/>
      <c r="O9" s="101">
        <v>0</v>
      </c>
      <c r="P9" s="92"/>
      <c r="Q9" s="101">
        <v>0</v>
      </c>
      <c r="S9" s="101">
        <v>0</v>
      </c>
      <c r="U9" s="101">
        <v>0</v>
      </c>
    </row>
    <row r="10" spans="1:21" ht="16.2" x14ac:dyDescent="0.3">
      <c r="A10" s="1" t="s">
        <v>108</v>
      </c>
      <c r="C10" s="97">
        <f>+C9</f>
        <v>16930250.77</v>
      </c>
      <c r="D10" s="53"/>
      <c r="E10" s="97">
        <f>+E9+C10</f>
        <v>16930250.77</v>
      </c>
      <c r="F10" s="53"/>
      <c r="G10" s="97">
        <f>+G9+E10</f>
        <v>16930250.77</v>
      </c>
      <c r="H10" s="53"/>
      <c r="I10" s="97">
        <f>+I9+G10</f>
        <v>16930250.77</v>
      </c>
      <c r="J10" s="53"/>
      <c r="K10" s="97">
        <f>+K9+I10</f>
        <v>16930250.77</v>
      </c>
      <c r="L10" s="53"/>
      <c r="M10" s="97">
        <f>+M9+K10</f>
        <v>16930250.77</v>
      </c>
      <c r="N10" s="53"/>
      <c r="O10" s="97">
        <f>+O9+M10</f>
        <v>16930250.77</v>
      </c>
      <c r="P10" s="53"/>
      <c r="Q10" s="97">
        <f>+Q9+O10</f>
        <v>16930250.77</v>
      </c>
      <c r="S10" s="97">
        <f>+S9+Q10</f>
        <v>16930250.77</v>
      </c>
      <c r="U10" s="97">
        <f>+U9+S10</f>
        <v>16930250.77</v>
      </c>
    </row>
    <row r="11" spans="1:21" x14ac:dyDescent="0.3">
      <c r="A11" s="1"/>
    </row>
    <row r="12" spans="1:21" x14ac:dyDescent="0.3">
      <c r="A12" s="1" t="s">
        <v>72</v>
      </c>
      <c r="C12" s="53">
        <f>+S40</f>
        <v>234483.97316449997</v>
      </c>
      <c r="D12" s="92"/>
      <c r="E12" s="92">
        <f>+S41</f>
        <v>468967.94632899994</v>
      </c>
      <c r="F12" s="92"/>
      <c r="G12" s="92">
        <f>+S42</f>
        <v>468967.94632899994</v>
      </c>
      <c r="H12" s="92"/>
      <c r="I12" s="92">
        <f>+S43</f>
        <v>468967.94632899994</v>
      </c>
      <c r="J12" s="92"/>
      <c r="K12" s="92">
        <f>+S44</f>
        <v>468967.94632899994</v>
      </c>
      <c r="L12" s="92"/>
      <c r="M12" s="92">
        <f>+S45</f>
        <v>468967.94632899994</v>
      </c>
      <c r="N12" s="92"/>
      <c r="O12" s="92">
        <f>+S46</f>
        <v>468967.94632899994</v>
      </c>
      <c r="P12" s="92"/>
      <c r="Q12" s="92">
        <f>+S47</f>
        <v>468967.94632899994</v>
      </c>
      <c r="S12" s="53">
        <f>S48</f>
        <v>468967.94632899994</v>
      </c>
      <c r="U12" s="53">
        <f>S49</f>
        <v>468967.94632899994</v>
      </c>
    </row>
    <row r="13" spans="1:21" x14ac:dyDescent="0.3">
      <c r="A13" s="1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S13" s="53"/>
      <c r="U13" s="53"/>
    </row>
    <row r="14" spans="1:21" x14ac:dyDescent="0.3">
      <c r="A14" s="1" t="s">
        <v>71</v>
      </c>
      <c r="C14" s="92">
        <f>-C12</f>
        <v>-234483.97316449997</v>
      </c>
      <c r="D14" s="92"/>
      <c r="E14" s="92">
        <f>-SUM($C12:E12)</f>
        <v>-703451.91949349991</v>
      </c>
      <c r="F14" s="92"/>
      <c r="G14" s="92">
        <f>-SUM($C12:G12)</f>
        <v>-1172419.8658224999</v>
      </c>
      <c r="H14" s="92"/>
      <c r="I14" s="92">
        <f>-SUM($C12:I12)</f>
        <v>-1641387.8121514998</v>
      </c>
      <c r="J14" s="92"/>
      <c r="K14" s="92">
        <f>-SUM($C12:K12)</f>
        <v>-2110355.7584804995</v>
      </c>
      <c r="L14" s="92"/>
      <c r="M14" s="92">
        <f>-SUM($C12:M12)</f>
        <v>-2579323.7048094994</v>
      </c>
      <c r="N14" s="92"/>
      <c r="O14" s="92">
        <f>-SUM($C12:O12)</f>
        <v>-3048291.6511384994</v>
      </c>
      <c r="P14" s="92"/>
      <c r="Q14" s="92">
        <f>-SUM($C12:Q12)</f>
        <v>-3517259.5974674993</v>
      </c>
      <c r="S14" s="92">
        <f>-SUM($C12:S12)</f>
        <v>-3986227.5437964993</v>
      </c>
      <c r="U14" s="92">
        <f>-SUM($C12:U12)</f>
        <v>-4455195.4901254997</v>
      </c>
    </row>
    <row r="15" spans="1:21" x14ac:dyDescent="0.3">
      <c r="A15" s="1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S15" s="53"/>
      <c r="U15" s="53"/>
    </row>
    <row r="16" spans="1:21" x14ac:dyDescent="0.3">
      <c r="A16" s="1" t="s">
        <v>106</v>
      </c>
      <c r="C16" s="92">
        <f>-+AA40</f>
        <v>-84084.090449204989</v>
      </c>
      <c r="D16" s="92"/>
      <c r="E16" s="92">
        <f>-AA41</f>
        <v>-242262</v>
      </c>
      <c r="F16" s="92"/>
      <c r="G16" s="92">
        <f>-AA42</f>
        <v>-381169</v>
      </c>
      <c r="H16" s="92"/>
      <c r="I16" s="92">
        <f>-AA43</f>
        <v>-502300</v>
      </c>
      <c r="J16" s="92"/>
      <c r="K16" s="92">
        <f>-AA44</f>
        <v>-606934</v>
      </c>
      <c r="L16" s="92"/>
      <c r="M16" s="92">
        <f>-AA45</f>
        <v>-696351</v>
      </c>
      <c r="N16" s="92"/>
      <c r="O16" s="92">
        <f>-AA46</f>
        <v>-771654</v>
      </c>
      <c r="P16" s="92"/>
      <c r="Q16" s="92">
        <f>-AA47</f>
        <v>-833944</v>
      </c>
      <c r="S16" s="53">
        <f>AA48</f>
        <v>894100</v>
      </c>
      <c r="U16" s="53">
        <f>AA49</f>
        <v>954221</v>
      </c>
    </row>
    <row r="17" spans="1:21" x14ac:dyDescent="0.3">
      <c r="A17" s="1"/>
    </row>
    <row r="18" spans="1:21" hidden="1" x14ac:dyDescent="0.3"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21" hidden="1" x14ac:dyDescent="0.3">
      <c r="C19" s="124" t="s">
        <v>105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6"/>
    </row>
    <row r="20" spans="1:21" hidden="1" x14ac:dyDescent="0.3">
      <c r="A20" s="43" t="s">
        <v>104</v>
      </c>
      <c r="C20" s="96">
        <f>C7</f>
        <v>2027</v>
      </c>
      <c r="D20" s="52"/>
      <c r="E20" s="94">
        <f>+C20+1</f>
        <v>2028</v>
      </c>
      <c r="F20" s="95"/>
      <c r="G20" s="94">
        <f>+E20+1</f>
        <v>2029</v>
      </c>
      <c r="H20" s="52"/>
      <c r="I20" s="94">
        <f>+G20+1</f>
        <v>2030</v>
      </c>
      <c r="J20" s="52"/>
      <c r="K20" s="94">
        <f>+I20+1</f>
        <v>2031</v>
      </c>
      <c r="L20" s="52"/>
      <c r="M20" s="94">
        <f>+K20+1</f>
        <v>2032</v>
      </c>
      <c r="O20" s="94">
        <f>+M20+1</f>
        <v>2033</v>
      </c>
      <c r="P20" s="52"/>
      <c r="Q20" s="94">
        <f>+O20+1</f>
        <v>2034</v>
      </c>
      <c r="S20" s="94">
        <f>+Q20+1</f>
        <v>2035</v>
      </c>
      <c r="U20" s="94">
        <f>+S20+1</f>
        <v>2036</v>
      </c>
    </row>
    <row r="21" spans="1:21" hidden="1" x14ac:dyDescent="0.3"/>
    <row r="22" spans="1:21" hidden="1" x14ac:dyDescent="0.3">
      <c r="A22" t="s">
        <v>103</v>
      </c>
      <c r="C22" s="92">
        <v>0</v>
      </c>
      <c r="D22" s="92"/>
      <c r="E22" s="92">
        <v>0</v>
      </c>
      <c r="F22" s="92"/>
      <c r="G22" s="92">
        <v>0</v>
      </c>
      <c r="H22" s="92"/>
      <c r="I22" s="92">
        <v>0</v>
      </c>
      <c r="J22" s="92"/>
      <c r="K22" s="92">
        <v>0</v>
      </c>
      <c r="L22" s="92"/>
      <c r="M22" s="92">
        <v>0</v>
      </c>
      <c r="N22" s="92"/>
      <c r="O22" s="92">
        <v>0</v>
      </c>
      <c r="P22" s="92"/>
      <c r="Q22" s="92">
        <v>0</v>
      </c>
      <c r="S22" s="92">
        <v>0</v>
      </c>
      <c r="U22" s="92">
        <v>0</v>
      </c>
    </row>
    <row r="23" spans="1:21" hidden="1" x14ac:dyDescent="0.3">
      <c r="A23" s="1" t="s">
        <v>102</v>
      </c>
    </row>
    <row r="24" spans="1:21" hidden="1" x14ac:dyDescent="0.3">
      <c r="A24" t="s">
        <v>101</v>
      </c>
      <c r="C24" s="92"/>
      <c r="D24" s="92"/>
      <c r="E24" s="92">
        <f>$C$22/5</f>
        <v>0</v>
      </c>
      <c r="F24" s="92"/>
      <c r="G24" s="92">
        <f>$C$22/5</f>
        <v>0</v>
      </c>
      <c r="H24" s="92"/>
      <c r="I24" s="92">
        <f>$C$22/5</f>
        <v>0</v>
      </c>
      <c r="J24" s="92"/>
      <c r="K24" s="92">
        <f>$C$22/5</f>
        <v>0</v>
      </c>
      <c r="L24" s="92"/>
      <c r="M24" s="92">
        <f>$C$22/5</f>
        <v>0</v>
      </c>
      <c r="N24" s="92"/>
      <c r="O24" s="92"/>
      <c r="P24" s="92"/>
      <c r="Q24" s="92"/>
      <c r="R24" s="92"/>
      <c r="S24" s="92"/>
      <c r="T24" s="92"/>
      <c r="U24" s="92"/>
    </row>
    <row r="25" spans="1:21" hidden="1" x14ac:dyDescent="0.3">
      <c r="A25" s="1" t="s">
        <v>100</v>
      </c>
      <c r="C25" s="53"/>
      <c r="D25" s="53"/>
      <c r="E25" s="53"/>
      <c r="F25" s="53"/>
      <c r="G25" s="53">
        <f>$E$22/5</f>
        <v>0</v>
      </c>
      <c r="H25" s="53"/>
      <c r="I25" s="53">
        <f>$E$22/5</f>
        <v>0</v>
      </c>
      <c r="J25" s="53"/>
      <c r="K25" s="53">
        <f>$E$22/5</f>
        <v>0</v>
      </c>
      <c r="L25" s="53"/>
      <c r="M25" s="53">
        <f>$E$22/5</f>
        <v>0</v>
      </c>
      <c r="N25" s="53"/>
      <c r="O25" s="53">
        <f>$E$22/5</f>
        <v>0</v>
      </c>
      <c r="P25" s="53"/>
      <c r="Q25" s="53"/>
      <c r="R25" s="53"/>
      <c r="S25" s="53"/>
      <c r="T25" s="53"/>
      <c r="U25" s="53"/>
    </row>
    <row r="26" spans="1:21" hidden="1" x14ac:dyDescent="0.3">
      <c r="A26" s="1" t="s">
        <v>99</v>
      </c>
      <c r="C26" s="53"/>
      <c r="D26" s="53"/>
      <c r="E26" s="53"/>
      <c r="F26" s="53"/>
      <c r="G26" s="53"/>
      <c r="H26" s="53"/>
      <c r="I26" s="68">
        <f>$G$22/5</f>
        <v>0</v>
      </c>
      <c r="J26" s="53"/>
      <c r="K26" s="68">
        <f>$G$22/5</f>
        <v>0</v>
      </c>
      <c r="L26" s="53"/>
      <c r="M26" s="68">
        <f>$G$22/5</f>
        <v>0</v>
      </c>
      <c r="N26" s="53"/>
      <c r="O26" s="68">
        <f>$G$22/5</f>
        <v>0</v>
      </c>
      <c r="P26" s="53"/>
      <c r="Q26" s="68">
        <f>$G$22/5</f>
        <v>0</v>
      </c>
      <c r="R26" s="68"/>
      <c r="S26" s="68"/>
      <c r="T26" s="68"/>
      <c r="U26" s="68"/>
    </row>
    <row r="27" spans="1:21" hidden="1" x14ac:dyDescent="0.3">
      <c r="A27" s="1" t="s">
        <v>98</v>
      </c>
      <c r="C27" s="53"/>
      <c r="D27" s="53"/>
      <c r="E27" s="53"/>
      <c r="F27" s="53"/>
      <c r="G27" s="53"/>
      <c r="H27" s="53"/>
      <c r="I27" s="68"/>
      <c r="J27" s="53"/>
      <c r="K27" s="93">
        <f>$I$22/5</f>
        <v>0</v>
      </c>
      <c r="L27" s="53"/>
      <c r="M27" s="93">
        <f>$I$22/5</f>
        <v>0</v>
      </c>
      <c r="N27" s="53"/>
      <c r="O27" s="93">
        <f>$I$22/5</f>
        <v>0</v>
      </c>
      <c r="P27" s="53"/>
      <c r="Q27" s="93">
        <f>$I$22/5</f>
        <v>0</v>
      </c>
      <c r="R27" s="68"/>
      <c r="S27" s="93">
        <f>$I$22/5</f>
        <v>0</v>
      </c>
      <c r="T27" s="68"/>
      <c r="U27" s="68"/>
    </row>
    <row r="28" spans="1:21" hidden="1" x14ac:dyDescent="0.3">
      <c r="A28" s="1" t="s">
        <v>97</v>
      </c>
      <c r="C28" s="53"/>
      <c r="D28" s="53"/>
      <c r="E28" s="53"/>
      <c r="F28" s="53"/>
      <c r="G28" s="53"/>
      <c r="H28" s="53"/>
      <c r="I28" s="68"/>
      <c r="J28" s="53"/>
      <c r="K28" s="68"/>
      <c r="L28" s="53"/>
      <c r="M28" s="68">
        <f>$K$22/5</f>
        <v>0</v>
      </c>
      <c r="N28" s="53"/>
      <c r="O28" s="68">
        <f>$K$22/5</f>
        <v>0</v>
      </c>
      <c r="P28" s="53"/>
      <c r="Q28" s="68">
        <f>$K$22/5</f>
        <v>0</v>
      </c>
      <c r="R28" s="68"/>
      <c r="S28" s="68">
        <f>$K$22/5</f>
        <v>0</v>
      </c>
      <c r="T28" s="68"/>
      <c r="U28" s="68">
        <f>$K$22/5</f>
        <v>0</v>
      </c>
    </row>
    <row r="29" spans="1:21" hidden="1" x14ac:dyDescent="0.3">
      <c r="A29" s="1" t="s">
        <v>96</v>
      </c>
      <c r="C29" s="91">
        <f>SUM(C24:C28)</f>
        <v>0</v>
      </c>
      <c r="D29" s="92"/>
      <c r="E29" s="91">
        <f>SUM(E24:E28)</f>
        <v>0</v>
      </c>
      <c r="F29" s="92"/>
      <c r="G29" s="91">
        <f>SUM(G24:G28)</f>
        <v>0</v>
      </c>
      <c r="H29" s="92"/>
      <c r="I29" s="91">
        <f>SUM(I24:I28)</f>
        <v>0</v>
      </c>
      <c r="J29" s="92"/>
      <c r="K29" s="91">
        <f>SUM(K24:K28)</f>
        <v>0</v>
      </c>
      <c r="L29" s="92"/>
      <c r="M29" s="91">
        <f>SUM(M24:M28)</f>
        <v>0</v>
      </c>
      <c r="N29" s="92"/>
      <c r="O29" s="91">
        <f>SUM(O24:O28)</f>
        <v>0</v>
      </c>
      <c r="P29" s="92"/>
      <c r="Q29" s="91">
        <f>SUM(Q24:Q28)</f>
        <v>0</v>
      </c>
      <c r="R29" s="83"/>
      <c r="S29" s="91">
        <f>SUM(S24:S28)</f>
        <v>0</v>
      </c>
      <c r="T29" s="83"/>
      <c r="U29" s="91">
        <f>SUM(U24:U28)</f>
        <v>0</v>
      </c>
    </row>
    <row r="30" spans="1:21" hidden="1" x14ac:dyDescent="0.3">
      <c r="A30" s="1"/>
    </row>
    <row r="32" spans="1:21" x14ac:dyDescent="0.3">
      <c r="C32" s="86" t="s">
        <v>95</v>
      </c>
      <c r="E32" s="86" t="s">
        <v>94</v>
      </c>
      <c r="S32" s="74"/>
    </row>
    <row r="34" spans="1:27" x14ac:dyDescent="0.3">
      <c r="C34" s="90">
        <v>36.101083032490976</v>
      </c>
      <c r="D34" s="90"/>
      <c r="E34" s="90">
        <v>20</v>
      </c>
      <c r="G34" s="89"/>
      <c r="S34" s="73"/>
    </row>
    <row r="35" spans="1:27" x14ac:dyDescent="0.3">
      <c r="C35" s="68"/>
    </row>
    <row r="36" spans="1:27" x14ac:dyDescent="0.3">
      <c r="C36" s="52"/>
    </row>
    <row r="37" spans="1:27" x14ac:dyDescent="0.3">
      <c r="A37" s="70"/>
      <c r="C37" s="68"/>
      <c r="G37" s="121" t="s">
        <v>93</v>
      </c>
      <c r="H37" s="122"/>
      <c r="I37" s="122"/>
      <c r="J37" s="122"/>
      <c r="K37" s="122"/>
      <c r="L37" s="122"/>
      <c r="M37" s="122"/>
      <c r="N37" s="122"/>
      <c r="O37" s="123"/>
      <c r="Q37" s="88" t="s">
        <v>92</v>
      </c>
      <c r="S37" s="88" t="s">
        <v>91</v>
      </c>
      <c r="U37" s="88" t="s">
        <v>90</v>
      </c>
      <c r="W37" s="88" t="s">
        <v>89</v>
      </c>
    </row>
    <row r="38" spans="1:27" x14ac:dyDescent="0.3">
      <c r="A38" s="70"/>
      <c r="C38" s="86" t="str">
        <f>CONCATENATE(E34, " ", "Yr MACRS")</f>
        <v>20 Yr MACRS</v>
      </c>
      <c r="E38" s="86" t="s">
        <v>88</v>
      </c>
      <c r="G38" s="45">
        <v>2027</v>
      </c>
      <c r="H38" s="46"/>
      <c r="I38" s="45">
        <v>2028</v>
      </c>
      <c r="J38" s="46"/>
      <c r="K38" s="45">
        <v>2029</v>
      </c>
      <c r="L38" s="46"/>
      <c r="M38" s="45">
        <v>2029</v>
      </c>
      <c r="N38" s="46"/>
      <c r="O38" s="45">
        <v>2030</v>
      </c>
      <c r="Q38" s="87" t="s">
        <v>87</v>
      </c>
      <c r="S38" s="87" t="s">
        <v>85</v>
      </c>
      <c r="U38" s="87" t="s">
        <v>86</v>
      </c>
      <c r="W38" s="87" t="s">
        <v>85</v>
      </c>
      <c r="Y38" s="86" t="s">
        <v>84</v>
      </c>
      <c r="AA38" s="86" t="s">
        <v>83</v>
      </c>
    </row>
    <row r="39" spans="1:27" x14ac:dyDescent="0.3">
      <c r="A39" s="70"/>
      <c r="C39" s="68"/>
      <c r="G39" s="85"/>
      <c r="I39" s="85"/>
      <c r="K39" s="85"/>
      <c r="M39" s="85"/>
      <c r="O39" s="85"/>
    </row>
    <row r="40" spans="1:27" x14ac:dyDescent="0.3">
      <c r="A40" s="72">
        <v>2020</v>
      </c>
      <c r="C40" s="76">
        <v>3.7499999999999999E-2</v>
      </c>
      <c r="E40" s="21">
        <f>+C9</f>
        <v>16930250.77</v>
      </c>
      <c r="G40" s="83">
        <f t="shared" ref="G40:G55" si="0">+C$9*C40</f>
        <v>634884.40387499996</v>
      </c>
      <c r="J40" s="68"/>
      <c r="L40" s="68"/>
      <c r="N40" s="68"/>
      <c r="Q40" s="68">
        <f t="shared" ref="Q40:Q55" si="1">SUM(G40:O40)</f>
        <v>634884.40387499996</v>
      </c>
      <c r="R40" s="84"/>
      <c r="S40" s="83">
        <f>SUM(C9)/C$34-C9/C$34*0.5</f>
        <v>234483.97316449997</v>
      </c>
      <c r="T40" s="84"/>
      <c r="U40" s="68">
        <f>C10</f>
        <v>16930250.77</v>
      </c>
      <c r="V40" s="84"/>
      <c r="W40" s="83">
        <f>SUM(S40:S$40)</f>
        <v>234483.97316449997</v>
      </c>
      <c r="X40" s="84"/>
      <c r="Y40" s="68">
        <f>(Q40-S40)*0.21</f>
        <v>84084.090449204989</v>
      </c>
      <c r="AA40" s="83">
        <f>+(Q40-S40)*0.21</f>
        <v>84084.090449204989</v>
      </c>
    </row>
    <row r="41" spans="1:27" x14ac:dyDescent="0.3">
      <c r="A41" s="72">
        <f t="shared" ref="A41:A55" si="2">+A40+1</f>
        <v>2021</v>
      </c>
      <c r="C41" s="76">
        <v>7.2190000000000004E-2</v>
      </c>
      <c r="E41" s="68">
        <f>+E9</f>
        <v>0</v>
      </c>
      <c r="G41" s="68">
        <f t="shared" si="0"/>
        <v>1222194.8030863001</v>
      </c>
      <c r="I41" s="83">
        <f t="shared" ref="I41:I55" si="3">+E$9*C40</f>
        <v>0</v>
      </c>
      <c r="J41" s="68"/>
      <c r="L41" s="68"/>
      <c r="N41" s="68"/>
      <c r="Q41" s="68">
        <f t="shared" si="1"/>
        <v>1222194.8030863001</v>
      </c>
      <c r="R41" s="68"/>
      <c r="S41" s="68">
        <f t="shared" ref="S41:S47" si="4">U40/C$34+E41/C$34/2</f>
        <v>468967.94632899994</v>
      </c>
      <c r="T41" s="68"/>
      <c r="U41" s="68">
        <f>+E10</f>
        <v>16930250.77</v>
      </c>
      <c r="W41" s="73">
        <f>SUM(S$40:S41)</f>
        <v>703451.91949349991</v>
      </c>
      <c r="Y41" s="68">
        <f t="shared" ref="Y41:Y55" si="5">ROUND((Q41-S41)*0.21,4)</f>
        <v>158177.63990000001</v>
      </c>
      <c r="AA41" s="68">
        <f>ROUND(SUM(Y$40:Y41),0)</f>
        <v>242262</v>
      </c>
    </row>
    <row r="42" spans="1:27" x14ac:dyDescent="0.3">
      <c r="A42" s="72">
        <f t="shared" si="2"/>
        <v>2022</v>
      </c>
      <c r="C42" s="76">
        <v>6.6769999999999996E-2</v>
      </c>
      <c r="E42" s="68">
        <f>+G9</f>
        <v>0</v>
      </c>
      <c r="G42" s="68">
        <f t="shared" si="0"/>
        <v>1130432.8439129</v>
      </c>
      <c r="I42" s="68">
        <f t="shared" si="3"/>
        <v>0</v>
      </c>
      <c r="J42" s="68"/>
      <c r="K42" s="83">
        <f t="shared" ref="K42:K55" si="6">+G$9*C40</f>
        <v>0</v>
      </c>
      <c r="L42" s="68"/>
      <c r="N42" s="68"/>
      <c r="Q42" s="73">
        <f t="shared" si="1"/>
        <v>1130432.8439129</v>
      </c>
      <c r="S42" s="68">
        <f t="shared" si="4"/>
        <v>468967.94632899994</v>
      </c>
      <c r="U42" s="73">
        <f>+G10</f>
        <v>16930250.77</v>
      </c>
      <c r="W42" s="73">
        <f>SUM(S$40:S42)</f>
        <v>1172419.8658224999</v>
      </c>
      <c r="Y42" s="68">
        <f t="shared" si="5"/>
        <v>138907.62849999999</v>
      </c>
      <c r="AA42" s="68">
        <f>ROUND(SUM(Y$40:Y42),0)</f>
        <v>381169</v>
      </c>
    </row>
    <row r="43" spans="1:27" x14ac:dyDescent="0.3">
      <c r="A43" s="72">
        <f t="shared" si="2"/>
        <v>2023</v>
      </c>
      <c r="C43" s="76">
        <v>6.1769999999999999E-2</v>
      </c>
      <c r="E43" s="68">
        <f>+I9</f>
        <v>0</v>
      </c>
      <c r="G43" s="68">
        <f t="shared" si="0"/>
        <v>1045781.5900629</v>
      </c>
      <c r="I43" s="68">
        <f t="shared" si="3"/>
        <v>0</v>
      </c>
      <c r="J43" s="68"/>
      <c r="K43" s="68">
        <f t="shared" si="6"/>
        <v>0</v>
      </c>
      <c r="L43" s="68"/>
      <c r="M43" s="83">
        <f t="shared" ref="M43:M62" si="7">+I$9*C40</f>
        <v>0</v>
      </c>
      <c r="N43" s="68"/>
      <c r="Q43" s="73">
        <f t="shared" si="1"/>
        <v>1045781.5900629</v>
      </c>
      <c r="S43" s="68">
        <f t="shared" si="4"/>
        <v>468967.94632899994</v>
      </c>
      <c r="U43" s="73">
        <f>+I10</f>
        <v>16930250.77</v>
      </c>
      <c r="W43" s="73">
        <f>SUM(S$40:S43)</f>
        <v>1641387.8121514998</v>
      </c>
      <c r="Y43" s="68">
        <f t="shared" si="5"/>
        <v>121130.8652</v>
      </c>
      <c r="AA43" s="68">
        <f>ROUND(SUM(Y$40:Y43),0)</f>
        <v>502300</v>
      </c>
    </row>
    <row r="44" spans="1:27" x14ac:dyDescent="0.3">
      <c r="A44" s="72">
        <f t="shared" si="2"/>
        <v>2024</v>
      </c>
      <c r="C44" s="76">
        <v>5.713E-2</v>
      </c>
      <c r="E44" s="68">
        <f>+K9</f>
        <v>0</v>
      </c>
      <c r="G44" s="68">
        <f t="shared" si="0"/>
        <v>967225.22649010003</v>
      </c>
      <c r="I44" s="68">
        <f t="shared" si="3"/>
        <v>0</v>
      </c>
      <c r="J44" s="68"/>
      <c r="K44" s="68">
        <f t="shared" si="6"/>
        <v>0</v>
      </c>
      <c r="L44" s="68"/>
      <c r="M44" s="68">
        <f t="shared" si="7"/>
        <v>0</v>
      </c>
      <c r="N44" s="68"/>
      <c r="O44" s="83">
        <f t="shared" ref="O44:O62" si="8">+K$9*C40</f>
        <v>0</v>
      </c>
      <c r="Q44" s="73">
        <f t="shared" si="1"/>
        <v>967225.22649010003</v>
      </c>
      <c r="S44" s="68">
        <f t="shared" si="4"/>
        <v>468967.94632899994</v>
      </c>
      <c r="U44" s="73">
        <f>+K10</f>
        <v>16930250.77</v>
      </c>
      <c r="W44" s="73">
        <f>SUM(S$40:S44)</f>
        <v>2110355.7584804995</v>
      </c>
      <c r="Y44" s="68">
        <f t="shared" si="5"/>
        <v>104634.0288</v>
      </c>
      <c r="AA44" s="68">
        <f>ROUND(SUM(Y$40:Y44),0)</f>
        <v>606934</v>
      </c>
    </row>
    <row r="45" spans="1:27" x14ac:dyDescent="0.3">
      <c r="A45" s="72">
        <f t="shared" si="2"/>
        <v>2025</v>
      </c>
      <c r="C45" s="76">
        <v>5.2850000000000001E-2</v>
      </c>
      <c r="E45" s="68">
        <f>M9</f>
        <v>0</v>
      </c>
      <c r="G45" s="68">
        <f t="shared" si="0"/>
        <v>894763.75319449999</v>
      </c>
      <c r="I45" s="68">
        <f t="shared" si="3"/>
        <v>0</v>
      </c>
      <c r="J45" s="68"/>
      <c r="K45" s="68">
        <f t="shared" si="6"/>
        <v>0</v>
      </c>
      <c r="L45" s="68"/>
      <c r="M45" s="68">
        <f t="shared" si="7"/>
        <v>0</v>
      </c>
      <c r="N45" s="68"/>
      <c r="O45" s="68">
        <f t="shared" si="8"/>
        <v>0</v>
      </c>
      <c r="Q45" s="73">
        <f t="shared" si="1"/>
        <v>894763.75319449999</v>
      </c>
      <c r="S45" s="68">
        <f t="shared" si="4"/>
        <v>468967.94632899994</v>
      </c>
      <c r="U45" s="73">
        <f>+M10</f>
        <v>16930250.77</v>
      </c>
      <c r="W45" s="73">
        <f>SUM(S$40:S45)</f>
        <v>2579323.7048094994</v>
      </c>
      <c r="Y45" s="68">
        <f t="shared" si="5"/>
        <v>89417.119399999996</v>
      </c>
      <c r="AA45" s="68">
        <f>ROUND(SUM(Y$40:Y45),0)</f>
        <v>696351</v>
      </c>
    </row>
    <row r="46" spans="1:27" x14ac:dyDescent="0.3">
      <c r="A46" s="72">
        <f t="shared" si="2"/>
        <v>2026</v>
      </c>
      <c r="C46" s="76">
        <v>4.888E-2</v>
      </c>
      <c r="E46" s="68">
        <f>O9</f>
        <v>0</v>
      </c>
      <c r="G46" s="68">
        <f t="shared" si="0"/>
        <v>827550.65763759997</v>
      </c>
      <c r="I46" s="68">
        <f t="shared" si="3"/>
        <v>0</v>
      </c>
      <c r="J46" s="68"/>
      <c r="K46" s="68">
        <f t="shared" si="6"/>
        <v>0</v>
      </c>
      <c r="L46" s="68"/>
      <c r="M46" s="68">
        <f t="shared" si="7"/>
        <v>0</v>
      </c>
      <c r="N46" s="68"/>
      <c r="O46" s="68">
        <f t="shared" si="8"/>
        <v>0</v>
      </c>
      <c r="Q46" s="73">
        <f t="shared" si="1"/>
        <v>827550.65763759997</v>
      </c>
      <c r="S46" s="68">
        <f t="shared" si="4"/>
        <v>468967.94632899994</v>
      </c>
      <c r="U46" s="73">
        <f>+O10</f>
        <v>16930250.77</v>
      </c>
      <c r="W46" s="73">
        <f>SUM(S$40:S46)</f>
        <v>3048291.6511384994</v>
      </c>
      <c r="Y46" s="68">
        <f t="shared" si="5"/>
        <v>75302.369399999996</v>
      </c>
      <c r="AA46" s="68">
        <f>ROUND(SUM(Y$40:Y46),0)</f>
        <v>771654</v>
      </c>
    </row>
    <row r="47" spans="1:27" x14ac:dyDescent="0.3">
      <c r="A47" s="72">
        <f t="shared" si="2"/>
        <v>2027</v>
      </c>
      <c r="C47" s="76">
        <v>4.5220000000000003E-2</v>
      </c>
      <c r="E47" s="68">
        <f>Q9</f>
        <v>0</v>
      </c>
      <c r="G47" s="68">
        <f t="shared" si="0"/>
        <v>765585.93981940008</v>
      </c>
      <c r="I47" s="68">
        <f t="shared" si="3"/>
        <v>0</v>
      </c>
      <c r="J47" s="68"/>
      <c r="K47" s="68">
        <f t="shared" si="6"/>
        <v>0</v>
      </c>
      <c r="L47" s="68"/>
      <c r="M47" s="68">
        <f t="shared" si="7"/>
        <v>0</v>
      </c>
      <c r="N47" s="68"/>
      <c r="O47" s="68">
        <f t="shared" si="8"/>
        <v>0</v>
      </c>
      <c r="Q47" s="73">
        <f t="shared" si="1"/>
        <v>765585.93981940008</v>
      </c>
      <c r="S47" s="74">
        <f t="shared" si="4"/>
        <v>468967.94632899994</v>
      </c>
      <c r="U47" s="73">
        <f>+Q10</f>
        <v>16930250.77</v>
      </c>
      <c r="W47" s="73">
        <f>SUM(S$40:S47)</f>
        <v>3517259.5974674993</v>
      </c>
      <c r="Y47" s="68">
        <f t="shared" si="5"/>
        <v>62289.778599999998</v>
      </c>
      <c r="AA47" s="68">
        <f>ROUND(SUM(Y$40:Y47),0)</f>
        <v>833944</v>
      </c>
    </row>
    <row r="48" spans="1:27" x14ac:dyDescent="0.3">
      <c r="A48" s="72">
        <f t="shared" si="2"/>
        <v>2028</v>
      </c>
      <c r="C48" s="82">
        <v>4.462E-2</v>
      </c>
      <c r="E48" s="69">
        <f>S9</f>
        <v>0</v>
      </c>
      <c r="G48" s="69">
        <f t="shared" si="0"/>
        <v>755427.78935740003</v>
      </c>
      <c r="I48" s="69">
        <f t="shared" si="3"/>
        <v>0</v>
      </c>
      <c r="J48" s="69"/>
      <c r="K48" s="69">
        <f t="shared" si="6"/>
        <v>0</v>
      </c>
      <c r="L48" s="69"/>
      <c r="M48" s="69">
        <f t="shared" si="7"/>
        <v>0</v>
      </c>
      <c r="N48" s="69"/>
      <c r="O48" s="69">
        <f t="shared" si="8"/>
        <v>0</v>
      </c>
      <c r="Q48" s="73">
        <f t="shared" si="1"/>
        <v>755427.78935740003</v>
      </c>
      <c r="S48" s="74">
        <f t="shared" ref="S48:S79" si="9">IF(U47/C$34+E48/C$34/2&gt;U47,U47-W47,SUM(C$9:K$9)/C$34-K$9/C$34*0.5)</f>
        <v>468967.94632899994</v>
      </c>
      <c r="U48" s="73">
        <f>S10</f>
        <v>16930250.77</v>
      </c>
      <c r="W48" s="73">
        <f>SUM(S$40:S48)</f>
        <v>3986227.5437964993</v>
      </c>
      <c r="Y48" s="68">
        <f t="shared" si="5"/>
        <v>60156.567000000003</v>
      </c>
      <c r="AA48" s="68">
        <f>ROUND(SUM(Y$40:Y48),0)</f>
        <v>894100</v>
      </c>
    </row>
    <row r="49" spans="1:27" x14ac:dyDescent="0.3">
      <c r="A49" s="72">
        <f t="shared" si="2"/>
        <v>2029</v>
      </c>
      <c r="C49" s="82">
        <v>4.4609999999999997E-2</v>
      </c>
      <c r="E49" s="69">
        <f>U9</f>
        <v>0</v>
      </c>
      <c r="G49" s="69">
        <f t="shared" si="0"/>
        <v>755258.48684969998</v>
      </c>
      <c r="I49" s="69">
        <f t="shared" si="3"/>
        <v>0</v>
      </c>
      <c r="J49" s="69"/>
      <c r="K49" s="69">
        <f t="shared" si="6"/>
        <v>0</v>
      </c>
      <c r="L49" s="69"/>
      <c r="M49" s="69">
        <f t="shared" si="7"/>
        <v>0</v>
      </c>
      <c r="N49" s="69"/>
      <c r="O49" s="69">
        <f t="shared" si="8"/>
        <v>0</v>
      </c>
      <c r="Q49" s="73">
        <f t="shared" si="1"/>
        <v>755258.48684969998</v>
      </c>
      <c r="S49" s="74">
        <f t="shared" si="9"/>
        <v>468967.94632899994</v>
      </c>
      <c r="U49" s="73">
        <f>U10</f>
        <v>16930250.77</v>
      </c>
      <c r="W49" s="73">
        <f>SUM(S$40:S49)</f>
        <v>4455195.4901254997</v>
      </c>
      <c r="Y49" s="68">
        <f t="shared" si="5"/>
        <v>60121.013500000001</v>
      </c>
      <c r="AA49" s="68">
        <f>ROUND(SUM(Y$40:Y49),0)</f>
        <v>954221</v>
      </c>
    </row>
    <row r="50" spans="1:27" x14ac:dyDescent="0.3">
      <c r="A50" s="81">
        <f t="shared" si="2"/>
        <v>2030</v>
      </c>
      <c r="B50" s="78"/>
      <c r="C50" s="80">
        <v>4.462E-2</v>
      </c>
      <c r="D50" s="78"/>
      <c r="E50" s="77"/>
      <c r="F50" s="78"/>
      <c r="G50" s="77">
        <f t="shared" si="0"/>
        <v>755427.78935740003</v>
      </c>
      <c r="H50" s="78"/>
      <c r="I50" s="77">
        <f t="shared" si="3"/>
        <v>0</v>
      </c>
      <c r="J50" s="77"/>
      <c r="K50" s="77">
        <f t="shared" si="6"/>
        <v>0</v>
      </c>
      <c r="L50" s="77"/>
      <c r="M50" s="77">
        <f t="shared" si="7"/>
        <v>0</v>
      </c>
      <c r="N50" s="77"/>
      <c r="O50" s="77">
        <f t="shared" si="8"/>
        <v>0</v>
      </c>
      <c r="P50" s="78"/>
      <c r="Q50" s="79">
        <f t="shared" si="1"/>
        <v>755427.78935740003</v>
      </c>
      <c r="R50" s="78"/>
      <c r="S50" s="74">
        <f t="shared" si="9"/>
        <v>468967.94632899994</v>
      </c>
      <c r="T50" s="78"/>
      <c r="U50" s="77">
        <f t="shared" ref="U50:U55" si="10">+U49</f>
        <v>16930250.77</v>
      </c>
      <c r="V50" s="78"/>
      <c r="W50" s="79">
        <f>SUM(S$40:S50)</f>
        <v>4924163.4364544991</v>
      </c>
      <c r="X50" s="78"/>
      <c r="Y50" s="77">
        <f t="shared" si="5"/>
        <v>60156.567000000003</v>
      </c>
      <c r="Z50" s="78"/>
      <c r="AA50" s="77">
        <f>ROUND(SUM(Y$40:Y50),0)</f>
        <v>1014378</v>
      </c>
    </row>
    <row r="51" spans="1:27" x14ac:dyDescent="0.3">
      <c r="A51" s="72">
        <f t="shared" si="2"/>
        <v>2031</v>
      </c>
      <c r="C51" s="76">
        <v>4.4609999999999997E-2</v>
      </c>
      <c r="E51" s="68"/>
      <c r="G51" s="68">
        <f t="shared" si="0"/>
        <v>755258.48684969998</v>
      </c>
      <c r="I51" s="68">
        <f t="shared" si="3"/>
        <v>0</v>
      </c>
      <c r="J51" s="68"/>
      <c r="K51" s="68">
        <f t="shared" si="6"/>
        <v>0</v>
      </c>
      <c r="L51" s="68"/>
      <c r="M51" s="68">
        <f t="shared" si="7"/>
        <v>0</v>
      </c>
      <c r="N51" s="68"/>
      <c r="O51" s="68">
        <f t="shared" si="8"/>
        <v>0</v>
      </c>
      <c r="Q51" s="73">
        <f t="shared" si="1"/>
        <v>755258.48684969998</v>
      </c>
      <c r="S51" s="74">
        <f t="shared" si="9"/>
        <v>468967.94632899994</v>
      </c>
      <c r="U51" s="68">
        <f t="shared" si="10"/>
        <v>16930250.77</v>
      </c>
      <c r="W51" s="73">
        <f>SUM(S$40:S51)</f>
        <v>5393131.3827834986</v>
      </c>
      <c r="Y51" s="68">
        <f t="shared" si="5"/>
        <v>60121.013500000001</v>
      </c>
      <c r="AA51" s="68">
        <f>ROUND(SUM(Y$40:Y51),0)</f>
        <v>1074499</v>
      </c>
    </row>
    <row r="52" spans="1:27" x14ac:dyDescent="0.3">
      <c r="A52" s="72">
        <f t="shared" si="2"/>
        <v>2032</v>
      </c>
      <c r="C52" s="76">
        <v>4.462E-2</v>
      </c>
      <c r="E52" s="68"/>
      <c r="G52" s="68">
        <f t="shared" si="0"/>
        <v>755427.78935740003</v>
      </c>
      <c r="I52" s="68">
        <f t="shared" si="3"/>
        <v>0</v>
      </c>
      <c r="J52" s="68"/>
      <c r="K52" s="68">
        <f t="shared" si="6"/>
        <v>0</v>
      </c>
      <c r="L52" s="68"/>
      <c r="M52" s="68">
        <f t="shared" si="7"/>
        <v>0</v>
      </c>
      <c r="N52" s="68"/>
      <c r="O52" s="68">
        <f t="shared" si="8"/>
        <v>0</v>
      </c>
      <c r="Q52" s="73">
        <f t="shared" si="1"/>
        <v>755427.78935740003</v>
      </c>
      <c r="S52" s="74">
        <f t="shared" si="9"/>
        <v>468967.94632899994</v>
      </c>
      <c r="U52" s="68">
        <f t="shared" si="10"/>
        <v>16930250.77</v>
      </c>
      <c r="W52" s="73">
        <f>SUM(S$40:S52)</f>
        <v>5862099.3291124981</v>
      </c>
      <c r="Y52" s="68">
        <f t="shared" si="5"/>
        <v>60156.567000000003</v>
      </c>
      <c r="AA52" s="68">
        <f>ROUND(SUM(Y$40:Y52),0)</f>
        <v>1134655</v>
      </c>
    </row>
    <row r="53" spans="1:27" x14ac:dyDescent="0.3">
      <c r="A53" s="72">
        <f t="shared" si="2"/>
        <v>2033</v>
      </c>
      <c r="C53" s="76">
        <v>4.4609999999999997E-2</v>
      </c>
      <c r="E53" s="68"/>
      <c r="G53" s="68">
        <f t="shared" si="0"/>
        <v>755258.48684969998</v>
      </c>
      <c r="I53" s="68">
        <f t="shared" si="3"/>
        <v>0</v>
      </c>
      <c r="J53" s="68"/>
      <c r="K53" s="68">
        <f t="shared" si="6"/>
        <v>0</v>
      </c>
      <c r="L53" s="68"/>
      <c r="M53" s="68">
        <f t="shared" si="7"/>
        <v>0</v>
      </c>
      <c r="N53" s="68"/>
      <c r="O53" s="68">
        <f t="shared" si="8"/>
        <v>0</v>
      </c>
      <c r="Q53" s="73">
        <f t="shared" si="1"/>
        <v>755258.48684969998</v>
      </c>
      <c r="S53" s="74">
        <f t="shared" si="9"/>
        <v>468967.94632899994</v>
      </c>
      <c r="U53" s="68">
        <f t="shared" si="10"/>
        <v>16930250.77</v>
      </c>
      <c r="W53" s="73">
        <f>SUM(S$40:S53)</f>
        <v>6331067.2754414976</v>
      </c>
      <c r="Y53" s="68">
        <f t="shared" si="5"/>
        <v>60121.013500000001</v>
      </c>
      <c r="AA53" s="68">
        <f>ROUND(SUM(Y$40:Y53),0)</f>
        <v>1194776</v>
      </c>
    </row>
    <row r="54" spans="1:27" x14ac:dyDescent="0.3">
      <c r="A54" s="72">
        <f t="shared" si="2"/>
        <v>2034</v>
      </c>
      <c r="C54" s="76">
        <v>4.462E-2</v>
      </c>
      <c r="E54" s="68"/>
      <c r="G54" s="68">
        <f t="shared" si="0"/>
        <v>755427.78935740003</v>
      </c>
      <c r="I54" s="68">
        <f t="shared" si="3"/>
        <v>0</v>
      </c>
      <c r="J54" s="68"/>
      <c r="K54" s="68">
        <f t="shared" si="6"/>
        <v>0</v>
      </c>
      <c r="L54" s="68"/>
      <c r="M54" s="68">
        <f t="shared" si="7"/>
        <v>0</v>
      </c>
      <c r="N54" s="68"/>
      <c r="O54" s="68">
        <f t="shared" si="8"/>
        <v>0</v>
      </c>
      <c r="Q54" s="73">
        <f t="shared" si="1"/>
        <v>755427.78935740003</v>
      </c>
      <c r="S54" s="74">
        <f t="shared" si="9"/>
        <v>468967.94632899994</v>
      </c>
      <c r="U54" s="68">
        <f t="shared" si="10"/>
        <v>16930250.77</v>
      </c>
      <c r="W54" s="73">
        <f>SUM(S$40:S54)</f>
        <v>6800035.221770497</v>
      </c>
      <c r="Y54" s="68">
        <f t="shared" si="5"/>
        <v>60156.567000000003</v>
      </c>
      <c r="AA54" s="68">
        <f>ROUND(SUM(Y$40:Y54),0)</f>
        <v>1254933</v>
      </c>
    </row>
    <row r="55" spans="1:27" x14ac:dyDescent="0.3">
      <c r="A55" s="72">
        <f t="shared" si="2"/>
        <v>2035</v>
      </c>
      <c r="C55" s="76">
        <v>4.4609999999999997E-2</v>
      </c>
      <c r="E55" s="68"/>
      <c r="G55" s="68">
        <f t="shared" si="0"/>
        <v>755258.48684969998</v>
      </c>
      <c r="I55" s="68">
        <f t="shared" si="3"/>
        <v>0</v>
      </c>
      <c r="J55" s="68"/>
      <c r="K55" s="68">
        <f t="shared" si="6"/>
        <v>0</v>
      </c>
      <c r="L55" s="68"/>
      <c r="M55" s="68">
        <f t="shared" si="7"/>
        <v>0</v>
      </c>
      <c r="N55" s="68"/>
      <c r="O55" s="68">
        <f t="shared" si="8"/>
        <v>0</v>
      </c>
      <c r="Q55" s="73">
        <f t="shared" si="1"/>
        <v>755258.48684969998</v>
      </c>
      <c r="S55" s="74">
        <f t="shared" si="9"/>
        <v>468967.94632899994</v>
      </c>
      <c r="U55" s="68">
        <f t="shared" si="10"/>
        <v>16930250.77</v>
      </c>
      <c r="W55" s="73">
        <f>SUM(S$40:S55)</f>
        <v>7269003.1680994965</v>
      </c>
      <c r="Y55" s="68">
        <f t="shared" si="5"/>
        <v>60121.013500000001</v>
      </c>
      <c r="AA55" s="68">
        <f>ROUND(SUM(Y$40:Y55),0)</f>
        <v>1315054</v>
      </c>
    </row>
    <row r="56" spans="1:27" x14ac:dyDescent="0.3">
      <c r="A56" s="72">
        <f t="shared" ref="A56:A107" si="11">+A55+1</f>
        <v>2036</v>
      </c>
      <c r="C56" s="76">
        <v>4.462E-2</v>
      </c>
      <c r="E56" s="68"/>
      <c r="G56" s="68">
        <f t="shared" ref="G56:G62" si="12">+C$9*C56</f>
        <v>755427.78935740003</v>
      </c>
      <c r="I56" s="68">
        <f t="shared" ref="I56:I62" si="13">+E$9*C55</f>
        <v>0</v>
      </c>
      <c r="J56" s="68"/>
      <c r="K56" s="68">
        <f t="shared" ref="K56:K62" si="14">+G$9*C54</f>
        <v>0</v>
      </c>
      <c r="L56" s="68"/>
      <c r="M56" s="68">
        <f t="shared" si="7"/>
        <v>0</v>
      </c>
      <c r="N56" s="68"/>
      <c r="O56" s="68">
        <f t="shared" si="8"/>
        <v>0</v>
      </c>
      <c r="Q56" s="73">
        <f t="shared" ref="Q56:Q62" si="15">SUM(G56:O56)</f>
        <v>755427.78935740003</v>
      </c>
      <c r="S56" s="74">
        <f t="shared" si="9"/>
        <v>468967.94632899994</v>
      </c>
      <c r="U56" s="68">
        <f t="shared" ref="U56:U107" si="16">+U55</f>
        <v>16930250.77</v>
      </c>
      <c r="W56" s="73">
        <f>SUM(S$40:S56)</f>
        <v>7737971.114428496</v>
      </c>
      <c r="Y56" s="68">
        <f t="shared" ref="Y56:Y107" si="17">ROUND((Q56-S56)*0.21,4)</f>
        <v>60156.567000000003</v>
      </c>
      <c r="AA56" s="68">
        <f>ROUND(SUM(Y$40:Y56),0)</f>
        <v>1375210</v>
      </c>
    </row>
    <row r="57" spans="1:27" x14ac:dyDescent="0.3">
      <c r="A57" s="72">
        <f t="shared" si="11"/>
        <v>2037</v>
      </c>
      <c r="C57" s="76">
        <v>4.4609999999999997E-2</v>
      </c>
      <c r="E57" s="68"/>
      <c r="G57" s="68">
        <f t="shared" si="12"/>
        <v>755258.48684969998</v>
      </c>
      <c r="I57" s="68">
        <f t="shared" si="13"/>
        <v>0</v>
      </c>
      <c r="J57" s="68"/>
      <c r="K57" s="68">
        <f t="shared" si="14"/>
        <v>0</v>
      </c>
      <c r="L57" s="68"/>
      <c r="M57" s="68">
        <f t="shared" si="7"/>
        <v>0</v>
      </c>
      <c r="N57" s="68"/>
      <c r="O57" s="68">
        <f t="shared" si="8"/>
        <v>0</v>
      </c>
      <c r="Q57" s="73">
        <f t="shared" si="15"/>
        <v>755258.48684969998</v>
      </c>
      <c r="S57" s="74">
        <f t="shared" si="9"/>
        <v>468967.94632899994</v>
      </c>
      <c r="U57" s="68">
        <f t="shared" si="16"/>
        <v>16930250.77</v>
      </c>
      <c r="W57" s="73">
        <f>SUM(S$40:S57)</f>
        <v>8206939.0607574955</v>
      </c>
      <c r="Y57" s="68">
        <f t="shared" si="17"/>
        <v>60121.013500000001</v>
      </c>
      <c r="AA57" s="68">
        <f>ROUND(SUM(Y$40:Y57),0)</f>
        <v>1435331</v>
      </c>
    </row>
    <row r="58" spans="1:27" x14ac:dyDescent="0.3">
      <c r="A58" s="72">
        <f t="shared" si="11"/>
        <v>2038</v>
      </c>
      <c r="C58" s="76">
        <v>4.462E-2</v>
      </c>
      <c r="E58" s="68"/>
      <c r="G58" s="68">
        <f t="shared" si="12"/>
        <v>755427.78935740003</v>
      </c>
      <c r="I58" s="68">
        <f t="shared" si="13"/>
        <v>0</v>
      </c>
      <c r="J58" s="68"/>
      <c r="K58" s="68">
        <f t="shared" si="14"/>
        <v>0</v>
      </c>
      <c r="L58" s="68"/>
      <c r="M58" s="68">
        <f t="shared" si="7"/>
        <v>0</v>
      </c>
      <c r="N58" s="68"/>
      <c r="O58" s="68">
        <f t="shared" si="8"/>
        <v>0</v>
      </c>
      <c r="Q58" s="73">
        <f t="shared" si="15"/>
        <v>755427.78935740003</v>
      </c>
      <c r="S58" s="74">
        <f t="shared" si="9"/>
        <v>468967.94632899994</v>
      </c>
      <c r="U58" s="68">
        <f t="shared" si="16"/>
        <v>16930250.77</v>
      </c>
      <c r="W58" s="73">
        <f>SUM(S$40:S58)</f>
        <v>8675907.0070864949</v>
      </c>
      <c r="Y58" s="68">
        <f t="shared" si="17"/>
        <v>60156.567000000003</v>
      </c>
      <c r="AA58" s="68">
        <f>ROUND(SUM(Y$40:Y58),0)</f>
        <v>1495488</v>
      </c>
    </row>
    <row r="59" spans="1:27" x14ac:dyDescent="0.3">
      <c r="A59" s="72">
        <f t="shared" si="11"/>
        <v>2039</v>
      </c>
      <c r="C59" s="76">
        <v>4.4609999999999997E-2</v>
      </c>
      <c r="E59" s="68"/>
      <c r="G59" s="68">
        <f t="shared" si="12"/>
        <v>755258.48684969998</v>
      </c>
      <c r="I59" s="68">
        <f t="shared" si="13"/>
        <v>0</v>
      </c>
      <c r="J59" s="68"/>
      <c r="K59" s="68">
        <f t="shared" si="14"/>
        <v>0</v>
      </c>
      <c r="L59" s="68"/>
      <c r="M59" s="68">
        <f t="shared" si="7"/>
        <v>0</v>
      </c>
      <c r="N59" s="68"/>
      <c r="O59" s="68">
        <f t="shared" si="8"/>
        <v>0</v>
      </c>
      <c r="Q59" s="73">
        <f t="shared" si="15"/>
        <v>755258.48684969998</v>
      </c>
      <c r="S59" s="74">
        <f t="shared" si="9"/>
        <v>468967.94632899994</v>
      </c>
      <c r="U59" s="68">
        <f t="shared" si="16"/>
        <v>16930250.77</v>
      </c>
      <c r="W59" s="73">
        <f>SUM(S$40:S59)</f>
        <v>9144874.9534154944</v>
      </c>
      <c r="Y59" s="68">
        <f t="shared" si="17"/>
        <v>60121.013500000001</v>
      </c>
      <c r="AA59" s="68">
        <f>ROUND(SUM(Y$40:Y59),0)</f>
        <v>1555609</v>
      </c>
    </row>
    <row r="60" spans="1:27" x14ac:dyDescent="0.3">
      <c r="A60" s="72">
        <f t="shared" si="11"/>
        <v>2040</v>
      </c>
      <c r="C60" s="76">
        <v>2.231E-2</v>
      </c>
      <c r="E60" s="68"/>
      <c r="G60" s="68">
        <f t="shared" si="12"/>
        <v>377713.89467870002</v>
      </c>
      <c r="I60" s="68">
        <f t="shared" si="13"/>
        <v>0</v>
      </c>
      <c r="J60" s="68"/>
      <c r="K60" s="68">
        <f t="shared" si="14"/>
        <v>0</v>
      </c>
      <c r="L60" s="68"/>
      <c r="M60" s="68">
        <f t="shared" si="7"/>
        <v>0</v>
      </c>
      <c r="N60" s="68"/>
      <c r="O60" s="68">
        <f t="shared" si="8"/>
        <v>0</v>
      </c>
      <c r="Q60" s="73">
        <f t="shared" si="15"/>
        <v>377713.89467870002</v>
      </c>
      <c r="S60" s="74">
        <f t="shared" si="9"/>
        <v>468967.94632899994</v>
      </c>
      <c r="U60" s="68">
        <f t="shared" si="16"/>
        <v>16930250.77</v>
      </c>
      <c r="W60" s="73">
        <f>SUM(S$40:S60)</f>
        <v>9613842.8997444939</v>
      </c>
      <c r="Y60" s="68">
        <f t="shared" si="17"/>
        <v>-19163.3508</v>
      </c>
      <c r="AA60" s="68">
        <f>ROUND(SUM(Y$40:Y60),0)</f>
        <v>1536446</v>
      </c>
    </row>
    <row r="61" spans="1:27" x14ac:dyDescent="0.3">
      <c r="A61" s="72">
        <f t="shared" si="11"/>
        <v>2041</v>
      </c>
      <c r="C61" s="76"/>
      <c r="E61" s="68"/>
      <c r="G61" s="68">
        <f t="shared" si="12"/>
        <v>0</v>
      </c>
      <c r="I61" s="68">
        <f t="shared" si="13"/>
        <v>0</v>
      </c>
      <c r="J61" s="68"/>
      <c r="K61" s="68">
        <f t="shared" si="14"/>
        <v>0</v>
      </c>
      <c r="L61" s="68"/>
      <c r="M61" s="68">
        <f t="shared" si="7"/>
        <v>0</v>
      </c>
      <c r="N61" s="68"/>
      <c r="O61" s="68">
        <f t="shared" si="8"/>
        <v>0</v>
      </c>
      <c r="Q61" s="73">
        <f t="shared" si="15"/>
        <v>0</v>
      </c>
      <c r="S61" s="74">
        <f t="shared" si="9"/>
        <v>468967.94632899994</v>
      </c>
      <c r="U61" s="68">
        <f t="shared" si="16"/>
        <v>16930250.77</v>
      </c>
      <c r="W61" s="73">
        <f>SUM(S$40:S61)</f>
        <v>10082810.846073493</v>
      </c>
      <c r="Y61" s="68">
        <f t="shared" si="17"/>
        <v>-98483.268700000001</v>
      </c>
      <c r="AA61" s="68">
        <f>ROUND(SUM(Y$40:Y61),0)</f>
        <v>1437962</v>
      </c>
    </row>
    <row r="62" spans="1:27" x14ac:dyDescent="0.3">
      <c r="A62" s="72">
        <f t="shared" si="11"/>
        <v>2042</v>
      </c>
      <c r="C62" s="76"/>
      <c r="E62" s="68"/>
      <c r="G62" s="68">
        <f t="shared" si="12"/>
        <v>0</v>
      </c>
      <c r="I62" s="68">
        <f t="shared" si="13"/>
        <v>0</v>
      </c>
      <c r="J62" s="68"/>
      <c r="K62" s="68">
        <f t="shared" si="14"/>
        <v>0</v>
      </c>
      <c r="L62" s="68"/>
      <c r="M62" s="68">
        <f t="shared" si="7"/>
        <v>0</v>
      </c>
      <c r="N62" s="68"/>
      <c r="O62" s="68">
        <f t="shared" si="8"/>
        <v>0</v>
      </c>
      <c r="Q62" s="73">
        <f t="shared" si="15"/>
        <v>0</v>
      </c>
      <c r="S62" s="74">
        <f t="shared" si="9"/>
        <v>468967.94632899994</v>
      </c>
      <c r="U62" s="68">
        <f t="shared" si="16"/>
        <v>16930250.77</v>
      </c>
      <c r="W62" s="73">
        <f>SUM(S$40:S62)</f>
        <v>10551778.792402493</v>
      </c>
      <c r="Y62" s="68">
        <f t="shared" si="17"/>
        <v>-98483.268700000001</v>
      </c>
      <c r="AA62" s="68">
        <f>ROUND(SUM(Y$40:Y62),0)</f>
        <v>1339479</v>
      </c>
    </row>
    <row r="63" spans="1:27" x14ac:dyDescent="0.3">
      <c r="A63" s="72">
        <f t="shared" si="11"/>
        <v>2043</v>
      </c>
      <c r="C63" s="76"/>
      <c r="E63" s="68"/>
      <c r="G63" s="68"/>
      <c r="I63" s="68"/>
      <c r="J63" s="68"/>
      <c r="K63" s="68"/>
      <c r="L63" s="68"/>
      <c r="M63" s="68"/>
      <c r="N63" s="68"/>
      <c r="O63" s="68"/>
      <c r="Q63" s="73"/>
      <c r="S63" s="74">
        <f t="shared" si="9"/>
        <v>468967.94632899994</v>
      </c>
      <c r="U63" s="68">
        <f t="shared" si="16"/>
        <v>16930250.77</v>
      </c>
      <c r="W63" s="73">
        <f>SUM(S$40:S63)</f>
        <v>11020746.738731492</v>
      </c>
      <c r="Y63" s="68">
        <f t="shared" si="17"/>
        <v>-98483.268700000001</v>
      </c>
      <c r="AA63" s="68">
        <f>ROUND(SUM(Y$40:Y63),0)</f>
        <v>1240996</v>
      </c>
    </row>
    <row r="64" spans="1:27" x14ac:dyDescent="0.3">
      <c r="A64" s="72">
        <f t="shared" si="11"/>
        <v>2044</v>
      </c>
      <c r="C64" s="76"/>
      <c r="E64" s="68"/>
      <c r="G64" s="68"/>
      <c r="I64" s="68"/>
      <c r="J64" s="68"/>
      <c r="K64" s="68"/>
      <c r="L64" s="68"/>
      <c r="M64" s="68"/>
      <c r="N64" s="68"/>
      <c r="O64" s="68"/>
      <c r="Q64" s="73"/>
      <c r="S64" s="74">
        <f t="shared" si="9"/>
        <v>468967.94632899994</v>
      </c>
      <c r="U64" s="68">
        <f t="shared" si="16"/>
        <v>16930250.77</v>
      </c>
      <c r="W64" s="73">
        <f>SUM(S$40:S64)</f>
        <v>11489714.685060492</v>
      </c>
      <c r="Y64" s="68">
        <f t="shared" si="17"/>
        <v>-98483.268700000001</v>
      </c>
      <c r="AA64" s="68">
        <f>ROUND(SUM(Y$40:Y64),0)</f>
        <v>1142513</v>
      </c>
    </row>
    <row r="65" spans="1:27" x14ac:dyDescent="0.3">
      <c r="A65" s="72">
        <f t="shared" si="11"/>
        <v>2045</v>
      </c>
      <c r="C65" s="76"/>
      <c r="E65" s="68"/>
      <c r="G65" s="68"/>
      <c r="I65" s="68"/>
      <c r="J65" s="68"/>
      <c r="K65" s="68"/>
      <c r="L65" s="68"/>
      <c r="M65" s="68"/>
      <c r="N65" s="68"/>
      <c r="O65" s="68"/>
      <c r="Q65" s="73"/>
      <c r="S65" s="74">
        <f t="shared" si="9"/>
        <v>468967.94632899994</v>
      </c>
      <c r="U65" s="68">
        <f t="shared" si="16"/>
        <v>16930250.77</v>
      </c>
      <c r="W65" s="73">
        <f>SUM(S$40:S65)</f>
        <v>11958682.631389491</v>
      </c>
      <c r="Y65" s="68">
        <f t="shared" si="17"/>
        <v>-98483.268700000001</v>
      </c>
      <c r="AA65" s="68">
        <f>ROUND(SUM(Y$40:Y65),0)</f>
        <v>1044029</v>
      </c>
    </row>
    <row r="66" spans="1:27" x14ac:dyDescent="0.3">
      <c r="A66" s="72">
        <f t="shared" si="11"/>
        <v>2046</v>
      </c>
      <c r="C66" s="76"/>
      <c r="E66" s="68"/>
      <c r="G66" s="68"/>
      <c r="I66" s="68"/>
      <c r="J66" s="68"/>
      <c r="K66" s="68"/>
      <c r="L66" s="68"/>
      <c r="M66" s="68"/>
      <c r="N66" s="68"/>
      <c r="O66" s="68"/>
      <c r="Q66" s="73"/>
      <c r="S66" s="74">
        <f t="shared" si="9"/>
        <v>468967.94632899994</v>
      </c>
      <c r="U66" s="68">
        <f t="shared" si="16"/>
        <v>16930250.77</v>
      </c>
      <c r="W66" s="73">
        <f>SUM(S$40:S66)</f>
        <v>12427650.577718491</v>
      </c>
      <c r="Y66" s="68">
        <f t="shared" si="17"/>
        <v>-98483.268700000001</v>
      </c>
      <c r="AA66" s="68">
        <f>ROUND(SUM(Y$40:Y66),0)</f>
        <v>945546</v>
      </c>
    </row>
    <row r="67" spans="1:27" x14ac:dyDescent="0.3">
      <c r="A67" s="72">
        <f t="shared" si="11"/>
        <v>2047</v>
      </c>
      <c r="C67" s="76"/>
      <c r="E67" s="68"/>
      <c r="G67" s="68"/>
      <c r="I67" s="68"/>
      <c r="J67" s="68"/>
      <c r="K67" s="68"/>
      <c r="L67" s="68"/>
      <c r="M67" s="68"/>
      <c r="N67" s="68"/>
      <c r="O67" s="68"/>
      <c r="Q67" s="73"/>
      <c r="S67" s="74">
        <f t="shared" si="9"/>
        <v>468967.94632899994</v>
      </c>
      <c r="U67" s="68">
        <f t="shared" si="16"/>
        <v>16930250.77</v>
      </c>
      <c r="W67" s="73">
        <f>SUM(S$40:S67)</f>
        <v>12896618.52404749</v>
      </c>
      <c r="Y67" s="68">
        <f t="shared" si="17"/>
        <v>-98483.268700000001</v>
      </c>
      <c r="AA67" s="68">
        <f>ROUND(SUM(Y$40:Y67),0)</f>
        <v>847063</v>
      </c>
    </row>
    <row r="68" spans="1:27" x14ac:dyDescent="0.3">
      <c r="A68" s="72">
        <f t="shared" si="11"/>
        <v>2048</v>
      </c>
      <c r="C68" s="76"/>
      <c r="E68" s="68"/>
      <c r="G68" s="68"/>
      <c r="I68" s="68"/>
      <c r="J68" s="68"/>
      <c r="K68" s="68"/>
      <c r="L68" s="68"/>
      <c r="M68" s="68"/>
      <c r="N68" s="68"/>
      <c r="O68" s="68"/>
      <c r="Q68" s="73"/>
      <c r="S68" s="74">
        <f t="shared" si="9"/>
        <v>468967.94632899994</v>
      </c>
      <c r="U68" s="68">
        <f t="shared" si="16"/>
        <v>16930250.77</v>
      </c>
      <c r="W68" s="73">
        <f>SUM(S$40:S68)</f>
        <v>13365586.47037649</v>
      </c>
      <c r="Y68" s="68">
        <f t="shared" si="17"/>
        <v>-98483.268700000001</v>
      </c>
      <c r="AA68" s="68">
        <f>ROUND(SUM(Y$40:Y68),0)</f>
        <v>748580</v>
      </c>
    </row>
    <row r="69" spans="1:27" x14ac:dyDescent="0.3">
      <c r="A69" s="72">
        <f t="shared" si="11"/>
        <v>2049</v>
      </c>
      <c r="C69" s="76"/>
      <c r="E69" s="68"/>
      <c r="G69" s="68"/>
      <c r="I69" s="68"/>
      <c r="J69" s="68"/>
      <c r="K69" s="68"/>
      <c r="L69" s="68"/>
      <c r="M69" s="68"/>
      <c r="N69" s="68"/>
      <c r="O69" s="68"/>
      <c r="Q69" s="73"/>
      <c r="S69" s="74">
        <f t="shared" si="9"/>
        <v>468967.94632899994</v>
      </c>
      <c r="U69" s="68">
        <f t="shared" si="16"/>
        <v>16930250.77</v>
      </c>
      <c r="W69" s="73">
        <f>SUM(S$40:S69)</f>
        <v>13834554.416705489</v>
      </c>
      <c r="Y69" s="68">
        <f t="shared" si="17"/>
        <v>-98483.268700000001</v>
      </c>
      <c r="AA69" s="68">
        <f>ROUND(SUM(Y$40:Y69),0)</f>
        <v>650096</v>
      </c>
    </row>
    <row r="70" spans="1:27" x14ac:dyDescent="0.3">
      <c r="A70" s="72">
        <f t="shared" si="11"/>
        <v>2050</v>
      </c>
      <c r="C70" s="76"/>
      <c r="E70" s="68"/>
      <c r="G70" s="68"/>
      <c r="I70" s="68"/>
      <c r="J70" s="68"/>
      <c r="K70" s="68"/>
      <c r="L70" s="68"/>
      <c r="M70" s="68"/>
      <c r="N70" s="68"/>
      <c r="O70" s="68"/>
      <c r="Q70" s="73"/>
      <c r="S70" s="74">
        <f t="shared" si="9"/>
        <v>468967.94632899994</v>
      </c>
      <c r="U70" s="68">
        <f t="shared" si="16"/>
        <v>16930250.77</v>
      </c>
      <c r="W70" s="73">
        <f>SUM(S$40:S70)</f>
        <v>14303522.363034489</v>
      </c>
      <c r="Y70" s="68">
        <f t="shared" si="17"/>
        <v>-98483.268700000001</v>
      </c>
      <c r="AA70" s="68">
        <f>ROUND(SUM(Y$40:Y70),0)</f>
        <v>551613</v>
      </c>
    </row>
    <row r="71" spans="1:27" x14ac:dyDescent="0.3">
      <c r="A71" s="72">
        <f t="shared" si="11"/>
        <v>2051</v>
      </c>
      <c r="C71" s="76"/>
      <c r="E71" s="68"/>
      <c r="G71" s="68"/>
      <c r="I71" s="68"/>
      <c r="J71" s="68"/>
      <c r="K71" s="68"/>
      <c r="L71" s="68"/>
      <c r="M71" s="68"/>
      <c r="N71" s="68"/>
      <c r="O71" s="68"/>
      <c r="Q71" s="73"/>
      <c r="S71" s="74">
        <f t="shared" si="9"/>
        <v>468967.94632899994</v>
      </c>
      <c r="U71" s="68">
        <f t="shared" si="16"/>
        <v>16930250.77</v>
      </c>
      <c r="W71" s="73">
        <f>SUM(S$40:S71)</f>
        <v>14772490.309363488</v>
      </c>
      <c r="Y71" s="68">
        <f t="shared" si="17"/>
        <v>-98483.268700000001</v>
      </c>
      <c r="AA71" s="68">
        <f>ROUND(SUM(Y$40:Y71),0)</f>
        <v>453130</v>
      </c>
    </row>
    <row r="72" spans="1:27" x14ac:dyDescent="0.3">
      <c r="A72" s="72">
        <f t="shared" si="11"/>
        <v>2052</v>
      </c>
      <c r="C72" s="76"/>
      <c r="E72" s="68"/>
      <c r="G72" s="68"/>
      <c r="I72" s="68"/>
      <c r="J72" s="68"/>
      <c r="K72" s="68"/>
      <c r="L72" s="68"/>
      <c r="M72" s="68"/>
      <c r="N72" s="68"/>
      <c r="O72" s="68"/>
      <c r="Q72" s="73"/>
      <c r="S72" s="74">
        <f t="shared" si="9"/>
        <v>468967.94632899994</v>
      </c>
      <c r="U72" s="68">
        <f t="shared" si="16"/>
        <v>16930250.77</v>
      </c>
      <c r="W72" s="73">
        <f>SUM(S$40:S72)</f>
        <v>15241458.255692488</v>
      </c>
      <c r="Y72" s="68">
        <f t="shared" si="17"/>
        <v>-98483.268700000001</v>
      </c>
      <c r="AA72" s="68">
        <f>ROUND(SUM(Y$40:Y72),0)</f>
        <v>354646</v>
      </c>
    </row>
    <row r="73" spans="1:27" x14ac:dyDescent="0.3">
      <c r="A73" s="72">
        <f t="shared" si="11"/>
        <v>2053</v>
      </c>
      <c r="C73" s="76"/>
      <c r="E73" s="68"/>
      <c r="G73" s="68"/>
      <c r="I73" s="68"/>
      <c r="J73" s="68"/>
      <c r="K73" s="68"/>
      <c r="L73" s="68"/>
      <c r="M73" s="68"/>
      <c r="N73" s="68"/>
      <c r="O73" s="68"/>
      <c r="Q73" s="73"/>
      <c r="S73" s="74">
        <f t="shared" si="9"/>
        <v>468967.94632899994</v>
      </c>
      <c r="U73" s="68">
        <f t="shared" si="16"/>
        <v>16930250.77</v>
      </c>
      <c r="W73" s="73">
        <f>SUM(S$40:S73)</f>
        <v>15710426.202021487</v>
      </c>
      <c r="Y73" s="68">
        <f t="shared" si="17"/>
        <v>-98483.268700000001</v>
      </c>
      <c r="AA73" s="68">
        <f>ROUND(SUM(Y$40:Y73),0)</f>
        <v>256163</v>
      </c>
    </row>
    <row r="74" spans="1:27" x14ac:dyDescent="0.3">
      <c r="A74" s="72">
        <f t="shared" si="11"/>
        <v>2054</v>
      </c>
      <c r="C74" s="76"/>
      <c r="E74" s="68"/>
      <c r="G74" s="68"/>
      <c r="I74" s="68"/>
      <c r="J74" s="68"/>
      <c r="K74" s="68"/>
      <c r="L74" s="68"/>
      <c r="M74" s="68"/>
      <c r="N74" s="68"/>
      <c r="O74" s="68"/>
      <c r="Q74" s="73"/>
      <c r="S74" s="74">
        <f t="shared" si="9"/>
        <v>468967.94632899994</v>
      </c>
      <c r="U74" s="68">
        <f t="shared" si="16"/>
        <v>16930250.77</v>
      </c>
      <c r="W74" s="73">
        <f>SUM(S$40:S74)</f>
        <v>16179394.148350487</v>
      </c>
      <c r="Y74" s="68">
        <f t="shared" si="17"/>
        <v>-98483.268700000001</v>
      </c>
      <c r="AA74" s="68">
        <f>ROUND(SUM(Y$40:Y74),0)</f>
        <v>157680</v>
      </c>
    </row>
    <row r="75" spans="1:27" x14ac:dyDescent="0.3">
      <c r="A75" s="72">
        <f t="shared" si="11"/>
        <v>2055</v>
      </c>
      <c r="C75" s="76"/>
      <c r="E75" s="68"/>
      <c r="G75" s="68"/>
      <c r="I75" s="68"/>
      <c r="J75" s="68"/>
      <c r="K75" s="68"/>
      <c r="L75" s="68"/>
      <c r="M75" s="68"/>
      <c r="N75" s="68"/>
      <c r="O75" s="68"/>
      <c r="Q75" s="73"/>
      <c r="S75" s="74">
        <f t="shared" si="9"/>
        <v>468967.94632899994</v>
      </c>
      <c r="U75" s="68">
        <f t="shared" si="16"/>
        <v>16930250.77</v>
      </c>
      <c r="W75" s="73">
        <f>SUM(S$40:S75)</f>
        <v>16648362.094679486</v>
      </c>
      <c r="Y75" s="68">
        <f t="shared" si="17"/>
        <v>-98483.268700000001</v>
      </c>
      <c r="AA75" s="68">
        <f>ROUND(SUM(Y$40:Y75),0)</f>
        <v>59197</v>
      </c>
    </row>
    <row r="76" spans="1:27" x14ac:dyDescent="0.3">
      <c r="A76" s="72">
        <f t="shared" si="11"/>
        <v>2056</v>
      </c>
      <c r="C76" s="76"/>
      <c r="E76" s="68"/>
      <c r="G76" s="68"/>
      <c r="I76" s="68"/>
      <c r="J76" s="68"/>
      <c r="K76" s="68"/>
      <c r="L76" s="68"/>
      <c r="M76" s="68"/>
      <c r="N76" s="68"/>
      <c r="O76" s="68"/>
      <c r="Q76" s="73"/>
      <c r="S76" s="74">
        <f t="shared" si="9"/>
        <v>468967.94632899994</v>
      </c>
      <c r="U76" s="68">
        <f t="shared" si="16"/>
        <v>16930250.77</v>
      </c>
      <c r="W76" s="73">
        <f>SUM(S$40:S76)</f>
        <v>17117330.041008487</v>
      </c>
      <c r="Y76" s="68">
        <f t="shared" si="17"/>
        <v>-98483.268700000001</v>
      </c>
      <c r="AA76" s="68">
        <f>ROUND(SUM(Y$40:Y76),0)</f>
        <v>-39287</v>
      </c>
    </row>
    <row r="77" spans="1:27" x14ac:dyDescent="0.3">
      <c r="A77" s="72">
        <f t="shared" si="11"/>
        <v>2057</v>
      </c>
      <c r="C77" s="76"/>
      <c r="E77" s="68"/>
      <c r="G77" s="68"/>
      <c r="I77" s="68"/>
      <c r="J77" s="68"/>
      <c r="K77" s="68"/>
      <c r="L77" s="68"/>
      <c r="M77" s="68"/>
      <c r="N77" s="68"/>
      <c r="O77" s="68"/>
      <c r="Q77" s="73"/>
      <c r="S77" s="74">
        <f t="shared" si="9"/>
        <v>468967.94632899994</v>
      </c>
      <c r="U77" s="68">
        <f t="shared" si="16"/>
        <v>16930250.77</v>
      </c>
      <c r="W77" s="73">
        <f>SUM(S$40:S77)</f>
        <v>17586297.987337489</v>
      </c>
      <c r="Y77" s="68">
        <f t="shared" si="17"/>
        <v>-98483.268700000001</v>
      </c>
      <c r="AA77" s="68">
        <f>ROUND(SUM(Y$40:Y77),0)</f>
        <v>-137770</v>
      </c>
    </row>
    <row r="78" spans="1:27" x14ac:dyDescent="0.3">
      <c r="A78" s="72">
        <f t="shared" si="11"/>
        <v>2058</v>
      </c>
      <c r="C78" s="76"/>
      <c r="E78" s="68"/>
      <c r="G78" s="68"/>
      <c r="I78" s="68"/>
      <c r="J78" s="68"/>
      <c r="K78" s="68"/>
      <c r="L78" s="68"/>
      <c r="M78" s="68"/>
      <c r="N78" s="68"/>
      <c r="O78" s="68"/>
      <c r="Q78" s="73"/>
      <c r="S78" s="74">
        <f t="shared" si="9"/>
        <v>468967.94632899994</v>
      </c>
      <c r="U78" s="68">
        <f t="shared" si="16"/>
        <v>16930250.77</v>
      </c>
      <c r="W78" s="73">
        <f>SUM(S$40:S78)</f>
        <v>18055265.93366649</v>
      </c>
      <c r="Y78" s="68">
        <f t="shared" si="17"/>
        <v>-98483.268700000001</v>
      </c>
      <c r="AA78" s="68">
        <f>ROUND(SUM(Y$40:Y78),0)</f>
        <v>-236253</v>
      </c>
    </row>
    <row r="79" spans="1:27" x14ac:dyDescent="0.3">
      <c r="A79" s="72">
        <f t="shared" si="11"/>
        <v>2059</v>
      </c>
      <c r="C79" s="76"/>
      <c r="E79" s="68"/>
      <c r="G79" s="68"/>
      <c r="I79" s="68"/>
      <c r="J79" s="68"/>
      <c r="K79" s="68"/>
      <c r="L79" s="68"/>
      <c r="M79" s="68"/>
      <c r="N79" s="68"/>
      <c r="O79" s="68"/>
      <c r="Q79" s="73"/>
      <c r="S79" s="74">
        <f t="shared" si="9"/>
        <v>468967.94632899994</v>
      </c>
      <c r="U79" s="68">
        <f t="shared" si="16"/>
        <v>16930250.77</v>
      </c>
      <c r="W79" s="73">
        <f>SUM(S$40:S79)</f>
        <v>18524233.879995491</v>
      </c>
      <c r="Y79" s="68">
        <f t="shared" si="17"/>
        <v>-98483.268700000001</v>
      </c>
      <c r="AA79" s="68">
        <f>ROUND(SUM(Y$40:Y79),0)</f>
        <v>-334736</v>
      </c>
    </row>
    <row r="80" spans="1:27" x14ac:dyDescent="0.3">
      <c r="A80" s="72">
        <f t="shared" si="11"/>
        <v>2060</v>
      </c>
      <c r="C80" s="76"/>
      <c r="E80" s="68"/>
      <c r="G80" s="68"/>
      <c r="I80" s="68"/>
      <c r="J80" s="68"/>
      <c r="K80" s="68"/>
      <c r="L80" s="68"/>
      <c r="M80" s="68"/>
      <c r="N80" s="68"/>
      <c r="O80" s="68"/>
      <c r="Q80" s="73"/>
      <c r="S80" s="74">
        <f t="shared" ref="S80:S106" si="18">IF(U79/C$34+E80/C$34/2&gt;U79,U79-W79,SUM(C$9:K$9)/C$34-K$9/C$34*0.5)</f>
        <v>468967.94632899994</v>
      </c>
      <c r="U80" s="68">
        <f t="shared" si="16"/>
        <v>16930250.77</v>
      </c>
      <c r="W80" s="73">
        <f>SUM(S$40:S80)</f>
        <v>18993201.826324493</v>
      </c>
      <c r="Y80" s="68">
        <f t="shared" si="17"/>
        <v>-98483.268700000001</v>
      </c>
      <c r="AA80" s="68">
        <f>ROUND(SUM(Y$40:Y80),0)</f>
        <v>-433220</v>
      </c>
    </row>
    <row r="81" spans="1:27" x14ac:dyDescent="0.3">
      <c r="A81" s="72">
        <f t="shared" si="11"/>
        <v>2061</v>
      </c>
      <c r="C81" s="76"/>
      <c r="E81" s="68"/>
      <c r="G81" s="68"/>
      <c r="I81" s="68"/>
      <c r="J81" s="68"/>
      <c r="K81" s="68"/>
      <c r="L81" s="68"/>
      <c r="M81" s="68"/>
      <c r="N81" s="68"/>
      <c r="O81" s="68"/>
      <c r="Q81" s="73"/>
      <c r="S81" s="74">
        <f t="shared" si="18"/>
        <v>468967.94632899994</v>
      </c>
      <c r="U81" s="68">
        <f t="shared" si="16"/>
        <v>16930250.77</v>
      </c>
      <c r="W81" s="73">
        <f>SUM(S$40:S81)</f>
        <v>19462169.772653494</v>
      </c>
      <c r="Y81" s="68">
        <f t="shared" si="17"/>
        <v>-98483.268700000001</v>
      </c>
      <c r="AA81" s="68">
        <f>ROUND(SUM(Y$40:Y81),0)</f>
        <v>-531703</v>
      </c>
    </row>
    <row r="82" spans="1:27" x14ac:dyDescent="0.3">
      <c r="A82" s="72">
        <f t="shared" si="11"/>
        <v>2062</v>
      </c>
      <c r="C82" s="76"/>
      <c r="E82" s="68"/>
      <c r="G82" s="68"/>
      <c r="I82" s="68"/>
      <c r="J82" s="68"/>
      <c r="K82" s="68"/>
      <c r="L82" s="68"/>
      <c r="M82" s="68"/>
      <c r="N82" s="68"/>
      <c r="O82" s="68"/>
      <c r="Q82" s="73"/>
      <c r="S82" s="74">
        <f t="shared" si="18"/>
        <v>468967.94632899994</v>
      </c>
      <c r="U82" s="68">
        <f t="shared" si="16"/>
        <v>16930250.77</v>
      </c>
      <c r="W82" s="73">
        <f>SUM(S$40:S82)</f>
        <v>19931137.718982495</v>
      </c>
      <c r="Y82" s="68">
        <f t="shared" si="17"/>
        <v>-98483.268700000001</v>
      </c>
      <c r="AA82" s="68">
        <f>ROUND(SUM(Y$40:Y82),0)</f>
        <v>-630186</v>
      </c>
    </row>
    <row r="83" spans="1:27" x14ac:dyDescent="0.3">
      <c r="A83" s="72">
        <f t="shared" si="11"/>
        <v>2063</v>
      </c>
      <c r="C83" s="76"/>
      <c r="E83" s="68"/>
      <c r="G83" s="68"/>
      <c r="I83" s="68"/>
      <c r="J83" s="68"/>
      <c r="K83" s="68"/>
      <c r="L83" s="68"/>
      <c r="M83" s="68"/>
      <c r="N83" s="68"/>
      <c r="O83" s="68"/>
      <c r="Q83" s="73"/>
      <c r="S83" s="74">
        <f t="shared" si="18"/>
        <v>468967.94632899994</v>
      </c>
      <c r="U83" s="68">
        <f t="shared" si="16"/>
        <v>16930250.77</v>
      </c>
      <c r="W83" s="73">
        <f>SUM(S$40:S83)</f>
        <v>20400105.665311497</v>
      </c>
      <c r="Y83" s="68">
        <f t="shared" si="17"/>
        <v>-98483.268700000001</v>
      </c>
      <c r="AA83" s="68">
        <f>ROUND(SUM(Y$40:Y83),0)</f>
        <v>-728670</v>
      </c>
    </row>
    <row r="84" spans="1:27" x14ac:dyDescent="0.3">
      <c r="A84" s="72">
        <f t="shared" si="11"/>
        <v>2064</v>
      </c>
      <c r="C84" s="76"/>
      <c r="E84" s="68"/>
      <c r="G84" s="68"/>
      <c r="I84" s="68"/>
      <c r="J84" s="68"/>
      <c r="K84" s="68"/>
      <c r="L84" s="68"/>
      <c r="M84" s="68"/>
      <c r="N84" s="68"/>
      <c r="O84" s="68"/>
      <c r="Q84" s="73"/>
      <c r="S84" s="74">
        <f t="shared" si="18"/>
        <v>468967.94632899994</v>
      </c>
      <c r="U84" s="68">
        <f t="shared" si="16"/>
        <v>16930250.77</v>
      </c>
      <c r="W84" s="73">
        <f>SUM(S$40:S84)</f>
        <v>20869073.611640498</v>
      </c>
      <c r="Y84" s="68">
        <f t="shared" si="17"/>
        <v>-98483.268700000001</v>
      </c>
      <c r="AA84" s="68">
        <f>ROUND(SUM(Y$40:Y84),0)</f>
        <v>-827153</v>
      </c>
    </row>
    <row r="85" spans="1:27" x14ac:dyDescent="0.3">
      <c r="A85" s="72">
        <f t="shared" si="11"/>
        <v>2065</v>
      </c>
      <c r="C85" s="76"/>
      <c r="E85" s="68"/>
      <c r="G85" s="68"/>
      <c r="I85" s="68"/>
      <c r="J85" s="68"/>
      <c r="K85" s="68"/>
      <c r="L85" s="68"/>
      <c r="M85" s="68"/>
      <c r="N85" s="68"/>
      <c r="O85" s="68"/>
      <c r="Q85" s="73"/>
      <c r="S85" s="74">
        <f t="shared" si="18"/>
        <v>468967.94632899994</v>
      </c>
      <c r="U85" s="68">
        <f t="shared" si="16"/>
        <v>16930250.77</v>
      </c>
      <c r="W85" s="73">
        <f>SUM(S$40:S85)</f>
        <v>21338041.557969499</v>
      </c>
      <c r="Y85" s="68">
        <f t="shared" si="17"/>
        <v>-98483.268700000001</v>
      </c>
      <c r="AA85" s="68">
        <f>ROUND(SUM(Y$40:Y85),0)</f>
        <v>-925636</v>
      </c>
    </row>
    <row r="86" spans="1:27" x14ac:dyDescent="0.3">
      <c r="A86" s="72">
        <f t="shared" si="11"/>
        <v>2066</v>
      </c>
      <c r="C86" s="76"/>
      <c r="E86" s="68"/>
      <c r="G86" s="68"/>
      <c r="I86" s="68"/>
      <c r="J86" s="68"/>
      <c r="K86" s="68"/>
      <c r="L86" s="68"/>
      <c r="M86" s="68"/>
      <c r="N86" s="68"/>
      <c r="O86" s="68"/>
      <c r="Q86" s="73"/>
      <c r="S86" s="74">
        <f t="shared" si="18"/>
        <v>468967.94632899994</v>
      </c>
      <c r="U86" s="68">
        <f t="shared" si="16"/>
        <v>16930250.77</v>
      </c>
      <c r="W86" s="73">
        <f>SUM(S$40:S86)</f>
        <v>21807009.504298501</v>
      </c>
      <c r="Y86" s="68">
        <f t="shared" si="17"/>
        <v>-98483.268700000001</v>
      </c>
      <c r="AA86" s="68">
        <f>ROUND(SUM(Y$40:Y86),0)</f>
        <v>-1024119</v>
      </c>
    </row>
    <row r="87" spans="1:27" x14ac:dyDescent="0.3">
      <c r="A87" s="72">
        <f t="shared" si="11"/>
        <v>2067</v>
      </c>
      <c r="C87" s="76"/>
      <c r="E87" s="68"/>
      <c r="G87" s="68"/>
      <c r="I87" s="68"/>
      <c r="J87" s="68"/>
      <c r="K87" s="68"/>
      <c r="L87" s="68"/>
      <c r="M87" s="68"/>
      <c r="N87" s="68"/>
      <c r="O87" s="68"/>
      <c r="Q87" s="73"/>
      <c r="S87" s="74">
        <f t="shared" si="18"/>
        <v>468967.94632899994</v>
      </c>
      <c r="U87" s="68">
        <f t="shared" si="16"/>
        <v>16930250.77</v>
      </c>
      <c r="W87" s="73">
        <f>SUM(S$40:S87)</f>
        <v>22275977.450627502</v>
      </c>
      <c r="Y87" s="68">
        <f t="shared" si="17"/>
        <v>-98483.268700000001</v>
      </c>
      <c r="AA87" s="68">
        <f>ROUND(SUM(Y$40:Y87),0)</f>
        <v>-1122603</v>
      </c>
    </row>
    <row r="88" spans="1:27" x14ac:dyDescent="0.3">
      <c r="A88" s="72">
        <f t="shared" si="11"/>
        <v>2068</v>
      </c>
      <c r="C88" s="76"/>
      <c r="E88" s="68"/>
      <c r="G88" s="68"/>
      <c r="I88" s="68"/>
      <c r="J88" s="68"/>
      <c r="K88" s="68"/>
      <c r="L88" s="68"/>
      <c r="M88" s="68"/>
      <c r="N88" s="68"/>
      <c r="O88" s="68"/>
      <c r="Q88" s="73"/>
      <c r="S88" s="74">
        <f t="shared" si="18"/>
        <v>468967.94632899994</v>
      </c>
      <c r="U88" s="68">
        <f t="shared" si="16"/>
        <v>16930250.77</v>
      </c>
      <c r="W88" s="73">
        <f>SUM(S$40:S88)</f>
        <v>22744945.396956503</v>
      </c>
      <c r="Y88" s="68">
        <f t="shared" si="17"/>
        <v>-98483.268700000001</v>
      </c>
      <c r="AA88" s="68">
        <f>ROUND(SUM(Y$40:Y88),0)</f>
        <v>-1221086</v>
      </c>
    </row>
    <row r="89" spans="1:27" x14ac:dyDescent="0.3">
      <c r="A89" s="72">
        <f t="shared" si="11"/>
        <v>2069</v>
      </c>
      <c r="C89" s="76"/>
      <c r="E89" s="68"/>
      <c r="G89" s="68"/>
      <c r="I89" s="68"/>
      <c r="J89" s="68"/>
      <c r="K89" s="68"/>
      <c r="L89" s="68"/>
      <c r="M89" s="68"/>
      <c r="N89" s="68"/>
      <c r="O89" s="68"/>
      <c r="Q89" s="73"/>
      <c r="S89" s="74">
        <f t="shared" si="18"/>
        <v>468967.94632899994</v>
      </c>
      <c r="U89" s="68">
        <f t="shared" si="16"/>
        <v>16930250.77</v>
      </c>
      <c r="W89" s="73">
        <f>SUM(S$40:S89)</f>
        <v>23213913.343285505</v>
      </c>
      <c r="Y89" s="68">
        <f t="shared" si="17"/>
        <v>-98483.268700000001</v>
      </c>
      <c r="AA89" s="68">
        <f>ROUND(SUM(Y$40:Y89),0)</f>
        <v>-1319569</v>
      </c>
    </row>
    <row r="90" spans="1:27" x14ac:dyDescent="0.3">
      <c r="A90" s="72">
        <f t="shared" si="11"/>
        <v>2070</v>
      </c>
      <c r="C90" s="76"/>
      <c r="E90" s="68"/>
      <c r="G90" s="68"/>
      <c r="I90" s="68"/>
      <c r="J90" s="68"/>
      <c r="K90" s="68"/>
      <c r="L90" s="68"/>
      <c r="M90" s="68"/>
      <c r="N90" s="68"/>
      <c r="O90" s="68"/>
      <c r="Q90" s="73"/>
      <c r="S90" s="74">
        <f t="shared" si="18"/>
        <v>468967.94632899994</v>
      </c>
      <c r="U90" s="68">
        <f t="shared" si="16"/>
        <v>16930250.77</v>
      </c>
      <c r="W90" s="73">
        <f>SUM(S$40:S90)</f>
        <v>23682881.289614506</v>
      </c>
      <c r="Y90" s="68">
        <f t="shared" si="17"/>
        <v>-98483.268700000001</v>
      </c>
      <c r="AA90" s="68">
        <f>ROUND(SUM(Y$40:Y90),0)</f>
        <v>-1418052</v>
      </c>
    </row>
    <row r="91" spans="1:27" x14ac:dyDescent="0.3">
      <c r="A91" s="72">
        <f t="shared" si="11"/>
        <v>2071</v>
      </c>
      <c r="C91" s="76"/>
      <c r="E91" s="68"/>
      <c r="G91" s="68"/>
      <c r="I91" s="68"/>
      <c r="J91" s="68"/>
      <c r="K91" s="68"/>
      <c r="L91" s="68"/>
      <c r="M91" s="68"/>
      <c r="N91" s="68"/>
      <c r="O91" s="68"/>
      <c r="Q91" s="73"/>
      <c r="S91" s="74">
        <f t="shared" si="18"/>
        <v>468967.94632899994</v>
      </c>
      <c r="U91" s="68">
        <f t="shared" si="16"/>
        <v>16930250.77</v>
      </c>
      <c r="W91" s="73">
        <f>SUM(S$40:S91)</f>
        <v>24151849.235943507</v>
      </c>
      <c r="Y91" s="68">
        <f t="shared" si="17"/>
        <v>-98483.268700000001</v>
      </c>
      <c r="AA91" s="68">
        <f>ROUND(SUM(Y$40:Y91),0)</f>
        <v>-1516536</v>
      </c>
    </row>
    <row r="92" spans="1:27" x14ac:dyDescent="0.3">
      <c r="A92" s="72">
        <f t="shared" si="11"/>
        <v>2072</v>
      </c>
      <c r="C92" s="76"/>
      <c r="E92" s="68"/>
      <c r="G92" s="68"/>
      <c r="I92" s="68"/>
      <c r="J92" s="68"/>
      <c r="K92" s="68"/>
      <c r="L92" s="68"/>
      <c r="M92" s="68"/>
      <c r="N92" s="68"/>
      <c r="O92" s="68"/>
      <c r="Q92" s="73"/>
      <c r="S92" s="74">
        <f t="shared" si="18"/>
        <v>468967.94632899994</v>
      </c>
      <c r="U92" s="68">
        <f t="shared" si="16"/>
        <v>16930250.77</v>
      </c>
      <c r="W92" s="73">
        <f>SUM(S$40:S92)</f>
        <v>24620817.182272509</v>
      </c>
      <c r="Y92" s="68">
        <f t="shared" si="17"/>
        <v>-98483.268700000001</v>
      </c>
      <c r="AA92" s="68">
        <f>ROUND(SUM(Y$40:Y92),0)</f>
        <v>-1615019</v>
      </c>
    </row>
    <row r="93" spans="1:27" x14ac:dyDescent="0.3">
      <c r="A93" s="72">
        <f t="shared" si="11"/>
        <v>2073</v>
      </c>
      <c r="C93" s="76"/>
      <c r="E93" s="68"/>
      <c r="G93" s="68"/>
      <c r="I93" s="68"/>
      <c r="J93" s="68"/>
      <c r="K93" s="68"/>
      <c r="L93" s="68"/>
      <c r="M93" s="68"/>
      <c r="N93" s="68"/>
      <c r="O93" s="68"/>
      <c r="Q93" s="73"/>
      <c r="S93" s="74">
        <f t="shared" si="18"/>
        <v>468967.94632899994</v>
      </c>
      <c r="U93" s="68">
        <f t="shared" si="16"/>
        <v>16930250.77</v>
      </c>
      <c r="W93" s="73">
        <f>SUM(S$40:S93)</f>
        <v>25089785.12860151</v>
      </c>
      <c r="Y93" s="68">
        <f t="shared" si="17"/>
        <v>-98483.268700000001</v>
      </c>
      <c r="AA93" s="68">
        <f>ROUND(SUM(Y$40:Y93),0)</f>
        <v>-1713502</v>
      </c>
    </row>
    <row r="94" spans="1:27" x14ac:dyDescent="0.3">
      <c r="A94" s="72">
        <f t="shared" si="11"/>
        <v>2074</v>
      </c>
      <c r="C94" s="76"/>
      <c r="E94" s="68"/>
      <c r="G94" s="68"/>
      <c r="I94" s="68"/>
      <c r="J94" s="68"/>
      <c r="K94" s="68"/>
      <c r="L94" s="68"/>
      <c r="M94" s="68"/>
      <c r="N94" s="68"/>
      <c r="O94" s="68"/>
      <c r="Q94" s="73"/>
      <c r="S94" s="74">
        <f t="shared" si="18"/>
        <v>468967.94632899994</v>
      </c>
      <c r="U94" s="68">
        <f t="shared" si="16"/>
        <v>16930250.77</v>
      </c>
      <c r="W94" s="73">
        <f>SUM(S$40:S94)</f>
        <v>25558753.074930511</v>
      </c>
      <c r="Y94" s="68">
        <f t="shared" si="17"/>
        <v>-98483.268700000001</v>
      </c>
      <c r="AA94" s="68">
        <f>ROUND(SUM(Y$40:Y94),0)</f>
        <v>-1811985</v>
      </c>
    </row>
    <row r="95" spans="1:27" x14ac:dyDescent="0.3">
      <c r="A95" s="72">
        <f t="shared" si="11"/>
        <v>2075</v>
      </c>
      <c r="C95" s="76"/>
      <c r="E95" s="68"/>
      <c r="G95" s="68"/>
      <c r="I95" s="68"/>
      <c r="J95" s="68"/>
      <c r="K95" s="68"/>
      <c r="L95" s="68"/>
      <c r="M95" s="68"/>
      <c r="N95" s="68"/>
      <c r="O95" s="68"/>
      <c r="Q95" s="73"/>
      <c r="S95" s="74">
        <f t="shared" si="18"/>
        <v>468967.94632899994</v>
      </c>
      <c r="U95" s="68">
        <f t="shared" si="16"/>
        <v>16930250.77</v>
      </c>
      <c r="W95" s="73">
        <f>SUM(S$40:S95)</f>
        <v>26027721.021259513</v>
      </c>
      <c r="Y95" s="68">
        <f t="shared" si="17"/>
        <v>-98483.268700000001</v>
      </c>
      <c r="AA95" s="68">
        <f>ROUND(SUM(Y$40:Y95),0)</f>
        <v>-1910469</v>
      </c>
    </row>
    <row r="96" spans="1:27" x14ac:dyDescent="0.3">
      <c r="A96" s="72">
        <f t="shared" si="11"/>
        <v>2076</v>
      </c>
      <c r="C96" s="76"/>
      <c r="E96" s="68"/>
      <c r="G96" s="68"/>
      <c r="I96" s="68"/>
      <c r="J96" s="68"/>
      <c r="K96" s="68"/>
      <c r="L96" s="68"/>
      <c r="M96" s="68"/>
      <c r="N96" s="68"/>
      <c r="O96" s="68"/>
      <c r="Q96" s="73"/>
      <c r="S96" s="74">
        <f t="shared" si="18"/>
        <v>468967.94632899994</v>
      </c>
      <c r="U96" s="68">
        <f t="shared" si="16"/>
        <v>16930250.77</v>
      </c>
      <c r="W96" s="73">
        <f>SUM(S$40:S96)</f>
        <v>26496688.967588514</v>
      </c>
      <c r="Y96" s="68">
        <f t="shared" si="17"/>
        <v>-98483.268700000001</v>
      </c>
      <c r="AA96" s="68">
        <f>ROUND(SUM(Y$40:Y96),0)</f>
        <v>-2008952</v>
      </c>
    </row>
    <row r="97" spans="1:27" x14ac:dyDescent="0.3">
      <c r="A97" s="72">
        <f t="shared" si="11"/>
        <v>2077</v>
      </c>
      <c r="C97" s="76"/>
      <c r="E97" s="68"/>
      <c r="G97" s="68"/>
      <c r="I97" s="68"/>
      <c r="J97" s="68"/>
      <c r="K97" s="68"/>
      <c r="L97" s="68"/>
      <c r="M97" s="68"/>
      <c r="N97" s="68"/>
      <c r="O97" s="68"/>
      <c r="Q97" s="73"/>
      <c r="S97" s="74">
        <f t="shared" si="18"/>
        <v>468967.94632899994</v>
      </c>
      <c r="U97" s="68">
        <f t="shared" si="16"/>
        <v>16930250.77</v>
      </c>
      <c r="W97" s="73">
        <f>SUM(S$40:S97)</f>
        <v>26965656.913917515</v>
      </c>
      <c r="Y97" s="68">
        <f t="shared" si="17"/>
        <v>-98483.268700000001</v>
      </c>
      <c r="AA97" s="68">
        <f>ROUND(SUM(Y$40:Y97),0)</f>
        <v>-2107435</v>
      </c>
    </row>
    <row r="98" spans="1:27" x14ac:dyDescent="0.3">
      <c r="A98" s="72">
        <f t="shared" si="11"/>
        <v>2078</v>
      </c>
      <c r="C98" s="76"/>
      <c r="E98" s="68"/>
      <c r="G98" s="68"/>
      <c r="I98" s="68"/>
      <c r="J98" s="68"/>
      <c r="K98" s="68"/>
      <c r="L98" s="68"/>
      <c r="M98" s="68"/>
      <c r="N98" s="68"/>
      <c r="O98" s="68"/>
      <c r="Q98" s="73"/>
      <c r="S98" s="74">
        <f t="shared" si="18"/>
        <v>468967.94632899994</v>
      </c>
      <c r="U98" s="68">
        <f t="shared" si="16"/>
        <v>16930250.77</v>
      </c>
      <c r="W98" s="73">
        <f>SUM(S$40:S98)</f>
        <v>27434624.860246517</v>
      </c>
      <c r="Y98" s="68">
        <f t="shared" si="17"/>
        <v>-98483.268700000001</v>
      </c>
      <c r="AA98" s="68">
        <f>ROUND(SUM(Y$40:Y98),0)</f>
        <v>-2205919</v>
      </c>
    </row>
    <row r="99" spans="1:27" x14ac:dyDescent="0.3">
      <c r="A99" s="72">
        <f t="shared" si="11"/>
        <v>2079</v>
      </c>
      <c r="C99" s="76"/>
      <c r="E99" s="68"/>
      <c r="G99" s="68"/>
      <c r="I99" s="68"/>
      <c r="J99" s="68"/>
      <c r="K99" s="68"/>
      <c r="L99" s="68"/>
      <c r="M99" s="68"/>
      <c r="N99" s="68"/>
      <c r="O99" s="68"/>
      <c r="Q99" s="73"/>
      <c r="S99" s="74">
        <f t="shared" si="18"/>
        <v>468967.94632899994</v>
      </c>
      <c r="U99" s="68">
        <f t="shared" si="16"/>
        <v>16930250.77</v>
      </c>
      <c r="W99" s="73">
        <f>SUM(S$40:S99)</f>
        <v>27903592.806575518</v>
      </c>
      <c r="Y99" s="68">
        <f t="shared" si="17"/>
        <v>-98483.268700000001</v>
      </c>
      <c r="AA99" s="68">
        <f>ROUND(SUM(Y$40:Y99),0)</f>
        <v>-2304402</v>
      </c>
    </row>
    <row r="100" spans="1:27" x14ac:dyDescent="0.3">
      <c r="A100" s="72">
        <f t="shared" si="11"/>
        <v>2080</v>
      </c>
      <c r="C100" s="76"/>
      <c r="E100" s="68"/>
      <c r="G100" s="68"/>
      <c r="I100" s="68"/>
      <c r="J100" s="68"/>
      <c r="K100" s="68"/>
      <c r="L100" s="68"/>
      <c r="M100" s="68"/>
      <c r="N100" s="68"/>
      <c r="O100" s="68"/>
      <c r="Q100" s="73"/>
      <c r="S100" s="74">
        <f t="shared" si="18"/>
        <v>468967.94632899994</v>
      </c>
      <c r="U100" s="68">
        <f t="shared" si="16"/>
        <v>16930250.77</v>
      </c>
      <c r="W100" s="73">
        <f>SUM(S$40:S100)</f>
        <v>28372560.752904519</v>
      </c>
      <c r="Y100" s="68">
        <f t="shared" si="17"/>
        <v>-98483.268700000001</v>
      </c>
      <c r="AA100" s="68">
        <f>ROUND(SUM(Y$40:Y100),0)</f>
        <v>-2402885</v>
      </c>
    </row>
    <row r="101" spans="1:27" x14ac:dyDescent="0.3">
      <c r="A101" s="72">
        <f t="shared" si="11"/>
        <v>2081</v>
      </c>
      <c r="C101" s="76"/>
      <c r="E101" s="68"/>
      <c r="G101" s="68"/>
      <c r="I101" s="68"/>
      <c r="J101" s="68"/>
      <c r="K101" s="68"/>
      <c r="L101" s="68"/>
      <c r="M101" s="68"/>
      <c r="N101" s="68"/>
      <c r="O101" s="68"/>
      <c r="Q101" s="73"/>
      <c r="S101" s="74">
        <f t="shared" si="18"/>
        <v>468967.94632899994</v>
      </c>
      <c r="U101" s="68">
        <f t="shared" si="16"/>
        <v>16930250.77</v>
      </c>
      <c r="W101" s="73">
        <f>SUM(S$40:S101)</f>
        <v>28841528.699233521</v>
      </c>
      <c r="Y101" s="68">
        <f t="shared" si="17"/>
        <v>-98483.268700000001</v>
      </c>
      <c r="AA101" s="68">
        <f>ROUND(SUM(Y$40:Y101),0)</f>
        <v>-2501368</v>
      </c>
    </row>
    <row r="102" spans="1:27" x14ac:dyDescent="0.3">
      <c r="A102" s="72">
        <f t="shared" si="11"/>
        <v>2082</v>
      </c>
      <c r="C102" s="76"/>
      <c r="E102" s="68"/>
      <c r="G102" s="68"/>
      <c r="I102" s="68"/>
      <c r="J102" s="68"/>
      <c r="K102" s="68"/>
      <c r="L102" s="68"/>
      <c r="M102" s="68"/>
      <c r="N102" s="68"/>
      <c r="O102" s="68"/>
      <c r="Q102" s="73"/>
      <c r="S102" s="74">
        <f t="shared" si="18"/>
        <v>468967.94632899994</v>
      </c>
      <c r="U102" s="68">
        <f t="shared" si="16"/>
        <v>16930250.77</v>
      </c>
      <c r="W102" s="73">
        <f>SUM(S$40:S102)</f>
        <v>29310496.645562522</v>
      </c>
      <c r="Y102" s="68">
        <f t="shared" si="17"/>
        <v>-98483.268700000001</v>
      </c>
      <c r="AA102" s="68">
        <f>ROUND(SUM(Y$40:Y102),0)</f>
        <v>-2599852</v>
      </c>
    </row>
    <row r="103" spans="1:27" x14ac:dyDescent="0.3">
      <c r="A103" s="72">
        <f t="shared" si="11"/>
        <v>2083</v>
      </c>
      <c r="C103" s="76"/>
      <c r="E103" s="68"/>
      <c r="G103" s="68"/>
      <c r="I103" s="68"/>
      <c r="J103" s="68"/>
      <c r="K103" s="68"/>
      <c r="L103" s="68"/>
      <c r="M103" s="68"/>
      <c r="N103" s="68"/>
      <c r="O103" s="68"/>
      <c r="Q103" s="73"/>
      <c r="S103" s="74">
        <f t="shared" si="18"/>
        <v>468967.94632899994</v>
      </c>
      <c r="U103" s="68">
        <f t="shared" si="16"/>
        <v>16930250.77</v>
      </c>
      <c r="W103" s="73">
        <f>SUM(S$40:S103)</f>
        <v>29779464.591891523</v>
      </c>
      <c r="Y103" s="68">
        <f t="shared" si="17"/>
        <v>-98483.268700000001</v>
      </c>
      <c r="AA103" s="68">
        <f>ROUND(SUM(Y$40:Y103),0)</f>
        <v>-2698335</v>
      </c>
    </row>
    <row r="104" spans="1:27" x14ac:dyDescent="0.3">
      <c r="A104" s="72">
        <f t="shared" si="11"/>
        <v>2084</v>
      </c>
      <c r="C104" s="76"/>
      <c r="E104" s="68"/>
      <c r="G104" s="68"/>
      <c r="I104" s="68"/>
      <c r="J104" s="68"/>
      <c r="K104" s="68"/>
      <c r="L104" s="68"/>
      <c r="M104" s="68"/>
      <c r="N104" s="68"/>
      <c r="O104" s="68"/>
      <c r="Q104" s="73"/>
      <c r="S104" s="74">
        <f t="shared" si="18"/>
        <v>468967.94632899994</v>
      </c>
      <c r="U104" s="68">
        <f t="shared" si="16"/>
        <v>16930250.77</v>
      </c>
      <c r="W104" s="73">
        <f>SUM(S$40:S104)</f>
        <v>30248432.538220525</v>
      </c>
      <c r="Y104" s="68">
        <f t="shared" si="17"/>
        <v>-98483.268700000001</v>
      </c>
      <c r="AA104" s="68">
        <f>ROUND(SUM(Y$40:Y104),0)</f>
        <v>-2796818</v>
      </c>
    </row>
    <row r="105" spans="1:27" x14ac:dyDescent="0.3">
      <c r="A105" s="72">
        <f t="shared" si="11"/>
        <v>2085</v>
      </c>
      <c r="C105" s="76"/>
      <c r="E105" s="68"/>
      <c r="G105" s="68"/>
      <c r="I105" s="68"/>
      <c r="J105" s="68"/>
      <c r="K105" s="68"/>
      <c r="L105" s="68"/>
      <c r="M105" s="68"/>
      <c r="N105" s="68"/>
      <c r="O105" s="68"/>
      <c r="Q105" s="73"/>
      <c r="S105" s="74">
        <f t="shared" si="18"/>
        <v>468967.94632899994</v>
      </c>
      <c r="U105" s="68">
        <f t="shared" si="16"/>
        <v>16930250.77</v>
      </c>
      <c r="W105" s="73">
        <f>SUM(S$40:S105)</f>
        <v>30717400.484549526</v>
      </c>
      <c r="Y105" s="68">
        <f t="shared" si="17"/>
        <v>-98483.268700000001</v>
      </c>
      <c r="AA105" s="68">
        <f>ROUND(SUM(Y$40:Y105),0)</f>
        <v>-2895301</v>
      </c>
    </row>
    <row r="106" spans="1:27" x14ac:dyDescent="0.3">
      <c r="A106" s="72">
        <f t="shared" si="11"/>
        <v>2086</v>
      </c>
      <c r="C106" s="76"/>
      <c r="E106" s="68"/>
      <c r="G106" s="68"/>
      <c r="I106" s="68"/>
      <c r="J106" s="68"/>
      <c r="K106" s="68"/>
      <c r="L106" s="68"/>
      <c r="M106" s="68"/>
      <c r="N106" s="68"/>
      <c r="O106" s="68"/>
      <c r="Q106" s="73"/>
      <c r="S106" s="74">
        <f t="shared" si="18"/>
        <v>468967.94632899994</v>
      </c>
      <c r="U106" s="68">
        <f t="shared" si="16"/>
        <v>16930250.77</v>
      </c>
      <c r="W106" s="73">
        <f>SUM(S$40:S106)</f>
        <v>31186368.430878527</v>
      </c>
      <c r="Y106" s="68">
        <f t="shared" si="17"/>
        <v>-98483.268700000001</v>
      </c>
      <c r="AA106" s="68">
        <f>ROUND(SUM(Y$40:Y106),0)</f>
        <v>-2993785</v>
      </c>
    </row>
    <row r="107" spans="1:27" x14ac:dyDescent="0.3">
      <c r="A107" s="72">
        <f t="shared" si="11"/>
        <v>2087</v>
      </c>
      <c r="C107" s="76"/>
      <c r="E107" s="68"/>
      <c r="G107" s="68"/>
      <c r="I107" s="68"/>
      <c r="J107" s="68"/>
      <c r="K107" s="68"/>
      <c r="L107" s="68"/>
      <c r="M107" s="68"/>
      <c r="N107" s="68"/>
      <c r="O107" s="68"/>
      <c r="Q107" s="73"/>
      <c r="S107" s="74">
        <f t="shared" ref="S107" si="19">IF(W106+U106/C$34+E107/C$34/2&lt;U106,W106+U106/C$34+E107/C$34/2,U106-W106)</f>
        <v>-14256117.660878528</v>
      </c>
      <c r="U107" s="68">
        <f t="shared" si="16"/>
        <v>16930250.77</v>
      </c>
      <c r="W107" s="73">
        <f>SUM(S$40:S107)</f>
        <v>16930250.77</v>
      </c>
      <c r="Y107" s="68">
        <f t="shared" si="17"/>
        <v>2993784.7088000001</v>
      </c>
      <c r="AA107" s="68">
        <f>ROUND(SUM(Y$40:Y107),0)</f>
        <v>0</v>
      </c>
    </row>
    <row r="108" spans="1:27" x14ac:dyDescent="0.3">
      <c r="A108" s="72"/>
      <c r="C108" s="99">
        <f>SUM(C40:C107)</f>
        <v>1.0000000000000002</v>
      </c>
      <c r="E108" s="75">
        <f>SUM(E40:E107)</f>
        <v>16930250.77</v>
      </c>
      <c r="G108" s="75">
        <f>SUM(G40:G107)</f>
        <v>16930250.769999992</v>
      </c>
      <c r="I108" s="75">
        <f>SUM(I40:I107)</f>
        <v>0</v>
      </c>
      <c r="J108" s="68"/>
      <c r="K108" s="75">
        <f>SUM(K40:K107)</f>
        <v>0</v>
      </c>
      <c r="L108" s="68"/>
      <c r="M108" s="75">
        <f>SUM(M40:M107)</f>
        <v>0</v>
      </c>
      <c r="N108" s="68"/>
      <c r="O108" s="75">
        <f>SUM(O40:O107)</f>
        <v>0</v>
      </c>
      <c r="Q108" s="75">
        <f>SUM(Q40:Q107)</f>
        <v>16930250.769999992</v>
      </c>
      <c r="S108" s="75">
        <f>SUM(S40:S107)</f>
        <v>16930250.77</v>
      </c>
      <c r="W108" s="73"/>
      <c r="Y108" s="75">
        <f>SUM(Y40:Y107)</f>
        <v>1.0492079891264439E-3</v>
      </c>
      <c r="AA108" s="75"/>
    </row>
    <row r="109" spans="1:27" x14ac:dyDescent="0.3">
      <c r="A109" s="72"/>
      <c r="C109" s="71"/>
      <c r="G109" s="68"/>
      <c r="I109" s="68"/>
      <c r="J109" s="68"/>
      <c r="K109" s="68"/>
      <c r="L109" s="68"/>
      <c r="M109" s="68"/>
      <c r="N109" s="68"/>
      <c r="O109" s="68"/>
      <c r="Q109" s="73"/>
      <c r="S109" s="68"/>
      <c r="W109" s="73"/>
      <c r="Y109" s="68"/>
    </row>
    <row r="110" spans="1:27" x14ac:dyDescent="0.3">
      <c r="A110" s="72"/>
      <c r="C110" s="71"/>
      <c r="G110" s="68"/>
      <c r="I110" s="68"/>
      <c r="J110" s="68"/>
      <c r="K110" s="68"/>
      <c r="L110" s="68"/>
      <c r="M110" s="68"/>
      <c r="N110" s="68"/>
      <c r="O110" s="68"/>
      <c r="Q110" s="73"/>
      <c r="S110" s="68"/>
      <c r="W110" s="73"/>
      <c r="Y110" s="68"/>
    </row>
    <row r="111" spans="1:27" x14ac:dyDescent="0.3">
      <c r="A111" s="72"/>
      <c r="C111" s="71"/>
      <c r="E111" s="68"/>
      <c r="G111" s="68"/>
      <c r="H111" s="68"/>
      <c r="I111" s="68"/>
      <c r="J111" s="68"/>
      <c r="K111" s="68"/>
      <c r="L111" s="68"/>
      <c r="M111" s="68"/>
      <c r="O111" s="73"/>
      <c r="Q111" s="74"/>
      <c r="U111" s="73"/>
      <c r="W111" s="68"/>
    </row>
    <row r="112" spans="1:27" ht="16.2" x14ac:dyDescent="0.3">
      <c r="A112" s="102" t="s">
        <v>109</v>
      </c>
      <c r="C112" s="71"/>
      <c r="E112" s="68"/>
    </row>
    <row r="113" spans="1:1" x14ac:dyDescent="0.3">
      <c r="A113" s="70"/>
    </row>
    <row r="114" spans="1:1" x14ac:dyDescent="0.3">
      <c r="A114" s="70"/>
    </row>
    <row r="115" spans="1:1" x14ac:dyDescent="0.3">
      <c r="A115" s="70"/>
    </row>
    <row r="116" spans="1:1" x14ac:dyDescent="0.3">
      <c r="A116" s="70"/>
    </row>
  </sheetData>
  <mergeCells count="2">
    <mergeCell ref="G37:O37"/>
    <mergeCell ref="C19:U19"/>
  </mergeCells>
  <pageMargins left="0.7" right="0.7" top="0.75" bottom="0.75" header="0.3" footer="0.3"/>
  <pageSetup scale="35" orientation="landscape" r:id="rId1"/>
  <headerFooter>
    <oddHeader>&amp;R&amp;"Times New Roman,Bold"&amp;10KyPSC Case No. 2026-00114
STAFF-DR-02-006 Attachment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260"/>
  <sheetViews>
    <sheetView zoomScaleNormal="100" workbookViewId="0">
      <selection activeCell="I30" sqref="I30"/>
    </sheetView>
  </sheetViews>
  <sheetFormatPr defaultColWidth="12.5546875" defaultRowHeight="15.6" x14ac:dyDescent="0.3"/>
  <cols>
    <col min="1" max="1" width="8" style="2" customWidth="1"/>
    <col min="2" max="3" width="15.6640625" style="2" customWidth="1"/>
    <col min="4" max="4" width="44.88671875" style="2" customWidth="1"/>
    <col min="5" max="7" width="18.6640625" style="2" customWidth="1"/>
    <col min="8" max="12" width="20.33203125" style="2" customWidth="1"/>
    <col min="13" max="13" width="2.33203125" style="2" customWidth="1"/>
    <col min="14" max="14" width="12.5546875" style="2"/>
    <col min="15" max="15" width="15.109375" style="2" customWidth="1"/>
    <col min="16" max="16" width="12.5546875" style="2"/>
    <col min="17" max="17" width="52.44140625" style="2" customWidth="1"/>
    <col min="18" max="20" width="20.33203125" style="2" customWidth="1"/>
    <col min="21" max="21" width="2.33203125" style="2" customWidth="1"/>
    <col min="22" max="22" width="12.5546875" style="2"/>
    <col min="23" max="23" width="15.109375" style="2" customWidth="1"/>
    <col min="24" max="24" width="12.5546875" style="2"/>
    <col min="25" max="25" width="65.33203125" style="2" customWidth="1"/>
    <col min="26" max="30" width="20.33203125" style="2" customWidth="1"/>
    <col min="31" max="31" width="33.109375" style="2" customWidth="1"/>
    <col min="32" max="32" width="20.33203125" style="2" customWidth="1"/>
    <col min="33" max="33" width="2.33203125" style="2" customWidth="1"/>
    <col min="34" max="34" width="15.109375" style="2" customWidth="1"/>
    <col min="35" max="40" width="22.88671875" style="2" customWidth="1"/>
    <col min="41" max="41" width="26.6640625" style="2" customWidth="1"/>
    <col min="42" max="42" width="22.88671875" style="2" customWidth="1"/>
    <col min="43" max="43" width="20.33203125" style="2" customWidth="1"/>
    <col min="44" max="44" width="2.33203125" style="2" customWidth="1"/>
    <col min="45" max="45" width="26.6640625" style="2" customWidth="1"/>
    <col min="46" max="46" width="37" style="2" customWidth="1"/>
    <col min="47" max="47" width="46" style="2" customWidth="1"/>
    <col min="48" max="50" width="15.109375" style="2" customWidth="1"/>
    <col min="51" max="51" width="26.6640625" style="2" customWidth="1"/>
    <col min="52" max="52" width="15.109375" style="2" customWidth="1"/>
    <col min="53" max="53" width="2.33203125" style="2" customWidth="1"/>
    <col min="54" max="54" width="10" style="2" customWidth="1"/>
    <col min="55" max="55" width="12.5546875" style="2"/>
    <col min="56" max="56" width="39.5546875" style="2" customWidth="1"/>
    <col min="57" max="57" width="16.44140625" style="2" customWidth="1"/>
    <col min="58" max="60" width="20.33203125" style="2" customWidth="1"/>
    <col min="61" max="62" width="16.44140625" style="2" customWidth="1"/>
    <col min="63" max="63" width="26.6640625" style="2" customWidth="1"/>
    <col min="64" max="64" width="39.5546875" style="2" customWidth="1"/>
    <col min="65" max="65" width="12.5546875" style="2"/>
    <col min="66" max="66" width="16.44140625" style="2" customWidth="1"/>
    <col min="67" max="67" width="17.6640625" style="2" customWidth="1"/>
    <col min="68" max="16384" width="12.5546875" style="2"/>
  </cols>
  <sheetData>
    <row r="1" spans="1:67" ht="18" x14ac:dyDescent="0.35">
      <c r="A1" s="128" t="s">
        <v>47</v>
      </c>
      <c r="B1" s="129"/>
      <c r="C1" s="129"/>
      <c r="D1" s="129"/>
      <c r="E1" s="129"/>
      <c r="F1" s="129"/>
      <c r="G1" s="129"/>
      <c r="BN1" s="3"/>
      <c r="BO1" s="3"/>
    </row>
    <row r="2" spans="1:67" ht="18" x14ac:dyDescent="0.35">
      <c r="A2" s="128" t="s">
        <v>63</v>
      </c>
      <c r="B2" s="129"/>
      <c r="C2" s="129"/>
      <c r="D2" s="129"/>
      <c r="E2" s="129"/>
      <c r="F2" s="129"/>
      <c r="G2" s="129"/>
      <c r="BN2" s="3"/>
      <c r="BO2" s="3"/>
    </row>
    <row r="3" spans="1:67" ht="16.2" thickBot="1" x14ac:dyDescent="0.35">
      <c r="A3" s="4"/>
      <c r="B3" s="4"/>
      <c r="C3" s="4"/>
      <c r="D3" s="4"/>
      <c r="E3" s="4"/>
      <c r="F3" s="5"/>
      <c r="G3" s="4"/>
      <c r="BN3" s="3"/>
      <c r="BO3" s="3"/>
    </row>
    <row r="4" spans="1:67" x14ac:dyDescent="0.3">
      <c r="BN4" s="3"/>
      <c r="BO4" s="3"/>
    </row>
    <row r="5" spans="1:67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BN5" s="3"/>
      <c r="BO5" s="3"/>
    </row>
    <row r="6" spans="1:67" x14ac:dyDescent="0.3">
      <c r="A6" s="130" t="s">
        <v>52</v>
      </c>
      <c r="B6" s="131" t="s">
        <v>50</v>
      </c>
      <c r="C6" s="132"/>
      <c r="D6" s="7"/>
      <c r="E6" s="7"/>
      <c r="F6" s="7"/>
      <c r="G6" s="8" t="s">
        <v>46</v>
      </c>
    </row>
    <row r="7" spans="1:67" ht="17.399999999999999" x14ac:dyDescent="0.3">
      <c r="A7" s="130"/>
      <c r="B7" s="9" t="s">
        <v>51</v>
      </c>
      <c r="C7" s="9" t="s">
        <v>45</v>
      </c>
      <c r="D7" s="9" t="s">
        <v>53</v>
      </c>
      <c r="E7" s="9" t="s">
        <v>54</v>
      </c>
      <c r="F7" s="10" t="s">
        <v>57</v>
      </c>
      <c r="G7" s="11" t="s">
        <v>55</v>
      </c>
    </row>
    <row r="9" spans="1:67" x14ac:dyDescent="0.3">
      <c r="B9" s="127" t="s">
        <v>56</v>
      </c>
      <c r="C9" s="127"/>
      <c r="D9" s="127"/>
    </row>
    <row r="10" spans="1:67" x14ac:dyDescent="0.3">
      <c r="A10" s="13">
        <f>MAX(A9:A$9)+1</f>
        <v>1</v>
      </c>
      <c r="B10" s="13">
        <v>360</v>
      </c>
      <c r="C10" s="13">
        <v>3600</v>
      </c>
      <c r="D10" s="14" t="s">
        <v>19</v>
      </c>
      <c r="E10" s="27">
        <v>13811257.98</v>
      </c>
      <c r="F10" s="27"/>
      <c r="G10" s="16">
        <f>+E10+F10</f>
        <v>13811257.98</v>
      </c>
    </row>
    <row r="11" spans="1:67" x14ac:dyDescent="0.3">
      <c r="A11" s="13">
        <f>MAX(A$9:A10)+1</f>
        <v>2</v>
      </c>
      <c r="B11" s="13">
        <v>360</v>
      </c>
      <c r="C11" s="13">
        <v>3601</v>
      </c>
      <c r="D11" s="14" t="s">
        <v>20</v>
      </c>
      <c r="E11" s="18">
        <v>26233545.710000001</v>
      </c>
      <c r="F11" s="18"/>
      <c r="G11" s="15">
        <f t="shared" ref="G11:G33" si="0">+E11+F11</f>
        <v>26233545.710000001</v>
      </c>
    </row>
    <row r="12" spans="1:67" x14ac:dyDescent="0.3">
      <c r="A12" s="13">
        <f>MAX(A$9:A11)+1</f>
        <v>3</v>
      </c>
      <c r="B12" s="13">
        <v>361</v>
      </c>
      <c r="C12" s="13">
        <v>3610</v>
      </c>
      <c r="D12" s="14" t="s">
        <v>21</v>
      </c>
      <c r="E12" s="18">
        <v>17295205.030000001</v>
      </c>
      <c r="F12" s="18"/>
      <c r="G12" s="15">
        <f t="shared" si="0"/>
        <v>17295205.030000001</v>
      </c>
    </row>
    <row r="13" spans="1:67" x14ac:dyDescent="0.3">
      <c r="A13" s="13">
        <f>MAX(A$9:A12)+1</f>
        <v>4</v>
      </c>
      <c r="B13" s="13">
        <v>362</v>
      </c>
      <c r="C13" s="13">
        <v>3620</v>
      </c>
      <c r="D13" s="14" t="s">
        <v>22</v>
      </c>
      <c r="E13" s="18">
        <v>206982425.69999999</v>
      </c>
      <c r="F13" s="18">
        <v>-30848428</v>
      </c>
      <c r="G13" s="15">
        <f t="shared" si="0"/>
        <v>176133997.69999999</v>
      </c>
    </row>
    <row r="14" spans="1:67" x14ac:dyDescent="0.3">
      <c r="A14" s="13">
        <f>MAX(A$9:A13)+1</f>
        <v>5</v>
      </c>
      <c r="B14" s="13">
        <v>362</v>
      </c>
      <c r="C14" s="13">
        <v>3622</v>
      </c>
      <c r="D14" s="14" t="s">
        <v>23</v>
      </c>
      <c r="E14" s="18">
        <v>110602629.66</v>
      </c>
      <c r="F14" s="18">
        <v>-3617026</v>
      </c>
      <c r="G14" s="15">
        <f t="shared" si="0"/>
        <v>106985603.66</v>
      </c>
    </row>
    <row r="15" spans="1:67" x14ac:dyDescent="0.3">
      <c r="A15" s="13">
        <f>MAX(A$9:A14)+1</f>
        <v>6</v>
      </c>
      <c r="B15" s="13">
        <v>362</v>
      </c>
      <c r="C15" s="13">
        <v>3635</v>
      </c>
      <c r="D15" s="14" t="s">
        <v>24</v>
      </c>
      <c r="E15" s="18">
        <v>918431.52</v>
      </c>
      <c r="F15" s="18">
        <v>-917190</v>
      </c>
      <c r="G15" s="15">
        <f t="shared" si="0"/>
        <v>1241.5200000000186</v>
      </c>
    </row>
    <row r="16" spans="1:67" x14ac:dyDescent="0.3">
      <c r="A16" s="13">
        <f>MAX(A$9:A15)+1</f>
        <v>7</v>
      </c>
      <c r="B16" s="13">
        <v>364</v>
      </c>
      <c r="C16" s="13">
        <v>3640</v>
      </c>
      <c r="D16" s="14" t="s">
        <v>25</v>
      </c>
      <c r="E16" s="18">
        <v>285124441.00999999</v>
      </c>
      <c r="F16" s="18">
        <v>-3581655</v>
      </c>
      <c r="G16" s="15">
        <f t="shared" si="0"/>
        <v>281542786.00999999</v>
      </c>
    </row>
    <row r="17" spans="1:7" x14ac:dyDescent="0.3">
      <c r="A17" s="13">
        <f>MAX(A$9:A16)+1</f>
        <v>8</v>
      </c>
      <c r="B17" s="13">
        <v>365</v>
      </c>
      <c r="C17" s="13" t="s">
        <v>26</v>
      </c>
      <c r="D17" s="14" t="s">
        <v>27</v>
      </c>
      <c r="E17" s="18">
        <f>496532259.14+14966620.14</f>
        <v>511498879.27999997</v>
      </c>
      <c r="F17" s="18">
        <v>-28765939</v>
      </c>
      <c r="G17" s="15">
        <f t="shared" si="0"/>
        <v>482732940.27999997</v>
      </c>
    </row>
    <row r="18" spans="1:7" x14ac:dyDescent="0.3">
      <c r="A18" s="13">
        <f>MAX(A$9:A17)+1</f>
        <v>9</v>
      </c>
      <c r="B18" s="13">
        <v>366</v>
      </c>
      <c r="C18" s="13">
        <v>3660</v>
      </c>
      <c r="D18" s="14" t="s">
        <v>28</v>
      </c>
      <c r="E18" s="18">
        <v>99489609.010000005</v>
      </c>
      <c r="F18" s="18"/>
      <c r="G18" s="15">
        <f t="shared" si="0"/>
        <v>99489609.010000005</v>
      </c>
    </row>
    <row r="19" spans="1:7" x14ac:dyDescent="0.3">
      <c r="A19" s="13">
        <f>MAX(A$9:A18)+1</f>
        <v>10</v>
      </c>
      <c r="B19" s="13">
        <v>367</v>
      </c>
      <c r="C19" s="13">
        <v>3670</v>
      </c>
      <c r="D19" s="14" t="s">
        <v>29</v>
      </c>
      <c r="E19" s="18">
        <v>311123111.23000002</v>
      </c>
      <c r="F19" s="18"/>
      <c r="G19" s="15">
        <f t="shared" si="0"/>
        <v>311123111.23000002</v>
      </c>
    </row>
    <row r="20" spans="1:7" x14ac:dyDescent="0.3">
      <c r="A20" s="13">
        <f>MAX(A$9:A19)+1</f>
        <v>11</v>
      </c>
      <c r="B20" s="13">
        <v>368</v>
      </c>
      <c r="C20" s="13" t="s">
        <v>30</v>
      </c>
      <c r="D20" s="14" t="s">
        <v>31</v>
      </c>
      <c r="E20" s="18">
        <v>334454432.89999998</v>
      </c>
      <c r="F20" s="18"/>
      <c r="G20" s="15">
        <f t="shared" si="0"/>
        <v>334454432.89999998</v>
      </c>
    </row>
    <row r="21" spans="1:7" x14ac:dyDescent="0.3">
      <c r="A21" s="13">
        <f>MAX(A$9:A20)+1</f>
        <v>12</v>
      </c>
      <c r="B21" s="13">
        <v>368</v>
      </c>
      <c r="C21" s="13">
        <v>3682</v>
      </c>
      <c r="D21" s="14" t="s">
        <v>32</v>
      </c>
      <c r="E21" s="18">
        <v>5183057</v>
      </c>
      <c r="F21" s="18"/>
      <c r="G21" s="15">
        <f t="shared" si="0"/>
        <v>5183057</v>
      </c>
    </row>
    <row r="22" spans="1:7" x14ac:dyDescent="0.3">
      <c r="A22" s="13">
        <f>MAX(A$9:A21)+1</f>
        <v>13</v>
      </c>
      <c r="B22" s="13">
        <v>369</v>
      </c>
      <c r="C22" s="13">
        <v>3691</v>
      </c>
      <c r="D22" s="14" t="s">
        <v>33</v>
      </c>
      <c r="E22" s="18">
        <v>5923249.4800000004</v>
      </c>
      <c r="F22" s="18"/>
      <c r="G22" s="15">
        <f t="shared" si="0"/>
        <v>5923249.4800000004</v>
      </c>
    </row>
    <row r="23" spans="1:7" x14ac:dyDescent="0.3">
      <c r="A23" s="13">
        <f>MAX(A$9:A22)+1</f>
        <v>14</v>
      </c>
      <c r="B23" s="13">
        <v>369</v>
      </c>
      <c r="C23" s="13">
        <v>3692</v>
      </c>
      <c r="D23" s="14" t="s">
        <v>34</v>
      </c>
      <c r="E23" s="18">
        <v>76284822.540000007</v>
      </c>
      <c r="F23" s="18"/>
      <c r="G23" s="15">
        <f t="shared" si="0"/>
        <v>76284822.540000007</v>
      </c>
    </row>
    <row r="24" spans="1:7" x14ac:dyDescent="0.3">
      <c r="A24" s="13">
        <f>MAX(A$9:A23)+1</f>
        <v>15</v>
      </c>
      <c r="B24" s="13">
        <v>370</v>
      </c>
      <c r="C24" s="13">
        <v>3700</v>
      </c>
      <c r="D24" s="14" t="s">
        <v>35</v>
      </c>
      <c r="E24" s="18">
        <f>6038206.97+6485042.98</f>
        <v>12523249.949999999</v>
      </c>
      <c r="F24" s="18"/>
      <c r="G24" s="15">
        <f t="shared" si="0"/>
        <v>12523249.949999999</v>
      </c>
    </row>
    <row r="25" spans="1:7" x14ac:dyDescent="0.3">
      <c r="A25" s="13">
        <f>MAX(A$9:A24)+1</f>
        <v>16</v>
      </c>
      <c r="B25" s="13">
        <v>370</v>
      </c>
      <c r="C25" s="13">
        <v>3701</v>
      </c>
      <c r="D25" s="14" t="s">
        <v>36</v>
      </c>
      <c r="E25" s="18">
        <f>10217982.08+5983622.14</f>
        <v>16201604.219999999</v>
      </c>
      <c r="F25" s="18"/>
      <c r="G25" s="15">
        <f t="shared" si="0"/>
        <v>16201604.219999999</v>
      </c>
    </row>
    <row r="26" spans="1:7" x14ac:dyDescent="0.3">
      <c r="A26" s="13">
        <f>MAX(A$9:A25)+1</f>
        <v>17</v>
      </c>
      <c r="B26" s="13">
        <v>370</v>
      </c>
      <c r="C26" s="13">
        <v>3702</v>
      </c>
      <c r="D26" s="14" t="s">
        <v>37</v>
      </c>
      <c r="E26" s="18">
        <v>65188887.079999998</v>
      </c>
      <c r="F26" s="18">
        <f>-E26</f>
        <v>-65188887.079999998</v>
      </c>
      <c r="G26" s="15">
        <f t="shared" si="0"/>
        <v>0</v>
      </c>
    </row>
    <row r="27" spans="1:7" x14ac:dyDescent="0.3">
      <c r="A27" s="13">
        <f>MAX(A$9:A26)+1</f>
        <v>18</v>
      </c>
      <c r="B27" s="13">
        <v>371</v>
      </c>
      <c r="C27" s="13">
        <v>3710</v>
      </c>
      <c r="D27" s="14" t="s">
        <v>38</v>
      </c>
      <c r="E27" s="18">
        <v>4658801.83</v>
      </c>
      <c r="F27" s="18"/>
      <c r="G27" s="15">
        <f t="shared" si="0"/>
        <v>4658801.83</v>
      </c>
    </row>
    <row r="28" spans="1:7" x14ac:dyDescent="0.3">
      <c r="A28" s="13">
        <f>MAX(A$9:A27)+1</f>
        <v>19</v>
      </c>
      <c r="B28" s="13">
        <v>371</v>
      </c>
      <c r="C28" s="13">
        <v>3712</v>
      </c>
      <c r="D28" s="14" t="s">
        <v>48</v>
      </c>
      <c r="E28" s="18">
        <v>1016162.03</v>
      </c>
      <c r="F28" s="18">
        <f>-E28</f>
        <v>-1016162.03</v>
      </c>
      <c r="G28" s="15">
        <f t="shared" si="0"/>
        <v>0</v>
      </c>
    </row>
    <row r="29" spans="1:7" x14ac:dyDescent="0.3">
      <c r="A29" s="13">
        <f>MAX(A$9:A28)+1</f>
        <v>20</v>
      </c>
      <c r="B29" s="13">
        <v>372</v>
      </c>
      <c r="C29" s="13">
        <v>3720</v>
      </c>
      <c r="D29" s="14" t="s">
        <v>39</v>
      </c>
      <c r="E29" s="18">
        <v>102503</v>
      </c>
      <c r="F29" s="18"/>
      <c r="G29" s="15">
        <f t="shared" si="0"/>
        <v>102503</v>
      </c>
    </row>
    <row r="30" spans="1:7" x14ac:dyDescent="0.3">
      <c r="A30" s="13">
        <f>MAX(A$9:A29)+1</f>
        <v>21</v>
      </c>
      <c r="B30" s="13">
        <v>373</v>
      </c>
      <c r="C30" s="13" t="s">
        <v>40</v>
      </c>
      <c r="D30" s="14" t="s">
        <v>49</v>
      </c>
      <c r="E30" s="18">
        <f>4690589.43+15760319.02</f>
        <v>20450908.449999999</v>
      </c>
      <c r="F30" s="18"/>
      <c r="G30" s="15">
        <f t="shared" si="0"/>
        <v>20450908.449999999</v>
      </c>
    </row>
    <row r="31" spans="1:7" x14ac:dyDescent="0.3">
      <c r="A31" s="13">
        <f>MAX(A$9:A30)+1</f>
        <v>22</v>
      </c>
      <c r="B31" s="13">
        <v>373</v>
      </c>
      <c r="C31" s="13">
        <v>3732</v>
      </c>
      <c r="D31" s="14" t="s">
        <v>42</v>
      </c>
      <c r="E31" s="18">
        <v>27635978.190000001</v>
      </c>
      <c r="F31" s="18"/>
      <c r="G31" s="15">
        <f t="shared" si="0"/>
        <v>27635978.190000001</v>
      </c>
    </row>
    <row r="32" spans="1:7" x14ac:dyDescent="0.3">
      <c r="A32" s="13">
        <f>MAX(A$9:A31)+1</f>
        <v>23</v>
      </c>
      <c r="B32" s="13">
        <v>373</v>
      </c>
      <c r="C32" s="13">
        <v>3733</v>
      </c>
      <c r="D32" s="14" t="s">
        <v>43</v>
      </c>
      <c r="E32" s="18">
        <v>15084071.32</v>
      </c>
      <c r="F32" s="18"/>
      <c r="G32" s="15">
        <f t="shared" si="0"/>
        <v>15084071.32</v>
      </c>
    </row>
    <row r="33" spans="1:7" x14ac:dyDescent="0.3">
      <c r="A33" s="13">
        <f>MAX(A$9:A32)+1</f>
        <v>24</v>
      </c>
      <c r="B33" s="13">
        <v>373</v>
      </c>
      <c r="C33" s="13">
        <v>3734</v>
      </c>
      <c r="D33" s="14" t="s">
        <v>44</v>
      </c>
      <c r="E33" s="18">
        <v>6225676.25</v>
      </c>
      <c r="F33" s="18">
        <f>-E33</f>
        <v>-6225676.25</v>
      </c>
      <c r="G33" s="15">
        <f t="shared" si="0"/>
        <v>0</v>
      </c>
    </row>
    <row r="34" spans="1:7" x14ac:dyDescent="0.3">
      <c r="A34" s="13"/>
      <c r="B34" s="13"/>
      <c r="C34" s="13"/>
      <c r="D34" s="14"/>
      <c r="E34" s="48"/>
      <c r="F34" s="48"/>
      <c r="G34" s="48"/>
    </row>
    <row r="35" spans="1:7" ht="16.2" thickBot="1" x14ac:dyDescent="0.35">
      <c r="A35" s="13">
        <f>MAX(A$9:A33)+1</f>
        <v>25</v>
      </c>
      <c r="C35" s="12"/>
      <c r="D35" s="12"/>
      <c r="E35" s="22">
        <f>SUM(E10:E33)</f>
        <v>2174012940.3699999</v>
      </c>
      <c r="F35" s="22">
        <f>SUM(F10:F33)</f>
        <v>-140160963.36000001</v>
      </c>
      <c r="G35" s="22">
        <f>SUM(G10:G33)</f>
        <v>2033851977.0099998</v>
      </c>
    </row>
    <row r="36" spans="1:7" ht="16.2" thickTop="1" x14ac:dyDescent="0.3">
      <c r="A36" s="50"/>
      <c r="B36" s="50"/>
      <c r="C36" s="50"/>
      <c r="D36" s="50"/>
      <c r="E36" s="50"/>
      <c r="F36" s="50"/>
      <c r="G36" s="50"/>
    </row>
    <row r="37" spans="1:7" x14ac:dyDescent="0.3">
      <c r="A37" s="34"/>
    </row>
    <row r="38" spans="1:7" x14ac:dyDescent="0.3">
      <c r="B38" s="49" t="s">
        <v>70</v>
      </c>
    </row>
    <row r="187" spans="2:2" x14ac:dyDescent="0.3">
      <c r="B187" s="3"/>
    </row>
    <row r="188" spans="2:2" x14ac:dyDescent="0.3">
      <c r="B188" s="3"/>
    </row>
    <row r="189" spans="2:2" x14ac:dyDescent="0.3">
      <c r="B189" s="3"/>
    </row>
    <row r="190" spans="2:2" x14ac:dyDescent="0.3">
      <c r="B190" s="3"/>
    </row>
    <row r="191" spans="2:2" x14ac:dyDescent="0.3">
      <c r="B191" s="3"/>
    </row>
    <row r="192" spans="2:2" x14ac:dyDescent="0.3">
      <c r="B192" s="3"/>
    </row>
    <row r="193" spans="2:2" x14ac:dyDescent="0.3">
      <c r="B193" s="3"/>
    </row>
    <row r="194" spans="2:2" x14ac:dyDescent="0.3">
      <c r="B194" s="3"/>
    </row>
    <row r="195" spans="2:2" x14ac:dyDescent="0.3">
      <c r="B195" s="3"/>
    </row>
    <row r="196" spans="2:2" x14ac:dyDescent="0.3">
      <c r="B196" s="3"/>
    </row>
    <row r="197" spans="2:2" x14ac:dyDescent="0.3">
      <c r="B197" s="3"/>
    </row>
    <row r="198" spans="2:2" x14ac:dyDescent="0.3">
      <c r="B198" s="3"/>
    </row>
    <row r="199" spans="2:2" x14ac:dyDescent="0.3">
      <c r="B199" s="3"/>
    </row>
    <row r="200" spans="2:2" x14ac:dyDescent="0.3">
      <c r="B200" s="3"/>
    </row>
    <row r="201" spans="2:2" x14ac:dyDescent="0.3">
      <c r="B201" s="3"/>
    </row>
    <row r="202" spans="2:2" x14ac:dyDescent="0.3">
      <c r="B202" s="3"/>
    </row>
    <row r="203" spans="2:2" x14ac:dyDescent="0.3">
      <c r="B203" s="3"/>
    </row>
    <row r="204" spans="2:2" x14ac:dyDescent="0.3">
      <c r="B204" s="3"/>
    </row>
    <row r="205" spans="2:2" x14ac:dyDescent="0.3">
      <c r="B205" s="3"/>
    </row>
    <row r="206" spans="2:2" x14ac:dyDescent="0.3">
      <c r="B206" s="3"/>
    </row>
    <row r="207" spans="2:2" x14ac:dyDescent="0.3">
      <c r="B207" s="3"/>
    </row>
    <row r="208" spans="2:2" x14ac:dyDescent="0.3">
      <c r="B208" s="3"/>
    </row>
    <row r="209" spans="2:2" x14ac:dyDescent="0.3">
      <c r="B209" s="3"/>
    </row>
    <row r="210" spans="2:2" x14ac:dyDescent="0.3">
      <c r="B210" s="3"/>
    </row>
    <row r="211" spans="2:2" x14ac:dyDescent="0.3">
      <c r="B211" s="3"/>
    </row>
    <row r="212" spans="2:2" x14ac:dyDescent="0.3">
      <c r="B212" s="3"/>
    </row>
    <row r="213" spans="2:2" x14ac:dyDescent="0.3">
      <c r="B213" s="3"/>
    </row>
    <row r="214" spans="2:2" x14ac:dyDescent="0.3">
      <c r="B214" s="3"/>
    </row>
    <row r="215" spans="2:2" x14ac:dyDescent="0.3">
      <c r="B215" s="3"/>
    </row>
    <row r="216" spans="2:2" x14ac:dyDescent="0.3">
      <c r="B216" s="3"/>
    </row>
    <row r="217" spans="2:2" x14ac:dyDescent="0.3">
      <c r="B217" s="3"/>
    </row>
    <row r="218" spans="2:2" x14ac:dyDescent="0.3">
      <c r="B218" s="3"/>
    </row>
    <row r="219" spans="2:2" x14ac:dyDescent="0.3">
      <c r="B219" s="3"/>
    </row>
    <row r="220" spans="2:2" x14ac:dyDescent="0.3">
      <c r="B220" s="3"/>
    </row>
    <row r="221" spans="2:2" x14ac:dyDescent="0.3">
      <c r="B221" s="3"/>
    </row>
    <row r="222" spans="2:2" x14ac:dyDescent="0.3">
      <c r="B222" s="3"/>
    </row>
    <row r="223" spans="2:2" x14ac:dyDescent="0.3">
      <c r="B223" s="3"/>
    </row>
    <row r="225" spans="2:2" x14ac:dyDescent="0.3">
      <c r="B225" s="3"/>
    </row>
    <row r="226" spans="2:2" x14ac:dyDescent="0.3">
      <c r="B226" s="3"/>
    </row>
    <row r="227" spans="2:2" x14ac:dyDescent="0.3">
      <c r="B227" s="3"/>
    </row>
    <row r="228" spans="2:2" x14ac:dyDescent="0.3">
      <c r="B228" s="3"/>
    </row>
    <row r="229" spans="2:2" x14ac:dyDescent="0.3">
      <c r="B229" s="3"/>
    </row>
    <row r="230" spans="2:2" x14ac:dyDescent="0.3">
      <c r="B230" s="3"/>
    </row>
    <row r="231" spans="2:2" x14ac:dyDescent="0.3">
      <c r="B231" s="3"/>
    </row>
    <row r="232" spans="2:2" x14ac:dyDescent="0.3">
      <c r="B232" s="3"/>
    </row>
    <row r="233" spans="2:2" x14ac:dyDescent="0.3">
      <c r="B233" s="3"/>
    </row>
    <row r="234" spans="2:2" x14ac:dyDescent="0.3">
      <c r="B234" s="3"/>
    </row>
    <row r="235" spans="2:2" x14ac:dyDescent="0.3">
      <c r="B235" s="3"/>
    </row>
    <row r="236" spans="2:2" x14ac:dyDescent="0.3">
      <c r="B236" s="3"/>
    </row>
    <row r="245" spans="1:2" x14ac:dyDescent="0.3">
      <c r="A245" s="3" t="s">
        <v>1</v>
      </c>
      <c r="B245" s="3"/>
    </row>
    <row r="247" spans="1:2" x14ac:dyDescent="0.3">
      <c r="A247" s="3" t="s">
        <v>2</v>
      </c>
      <c r="B247" s="3"/>
    </row>
    <row r="249" spans="1:2" x14ac:dyDescent="0.3">
      <c r="A249" s="3" t="s">
        <v>3</v>
      </c>
      <c r="B249" s="3"/>
    </row>
    <row r="251" spans="1:2" x14ac:dyDescent="0.3">
      <c r="A251" s="3" t="s">
        <v>4</v>
      </c>
      <c r="B251" s="3"/>
    </row>
    <row r="252" spans="1:2" x14ac:dyDescent="0.3">
      <c r="B252" s="3"/>
    </row>
    <row r="253" spans="1:2" x14ac:dyDescent="0.3">
      <c r="B253" s="3"/>
    </row>
    <row r="254" spans="1:2" x14ac:dyDescent="0.3">
      <c r="B254" s="3"/>
    </row>
    <row r="255" spans="1:2" x14ac:dyDescent="0.3">
      <c r="B255" s="3"/>
    </row>
    <row r="258" spans="1:2" x14ac:dyDescent="0.3">
      <c r="A258" s="3" t="s">
        <v>5</v>
      </c>
      <c r="B258" s="3"/>
    </row>
    <row r="260" spans="1:2" x14ac:dyDescent="0.3">
      <c r="A260" s="3" t="s">
        <v>6</v>
      </c>
      <c r="B260" s="3"/>
    </row>
  </sheetData>
  <mergeCells count="5">
    <mergeCell ref="B9:D9"/>
    <mergeCell ref="A1:G1"/>
    <mergeCell ref="A2:G2"/>
    <mergeCell ref="A6:A7"/>
    <mergeCell ref="B6:C6"/>
  </mergeCells>
  <pageMargins left="0.2" right="0.2" top="0.75" bottom="0.75" header="0.3" footer="0.3"/>
  <pageSetup scale="85" orientation="landscape" r:id="rId1"/>
  <headerFooter>
    <oddHeader>&amp;RPUCO CaseNo. 15-795-EL-RDR
Attachment B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5"/>
  <sheetViews>
    <sheetView topLeftCell="A31" zoomScaleNormal="100" workbookViewId="0">
      <selection activeCell="G32" sqref="G32"/>
    </sheetView>
  </sheetViews>
  <sheetFormatPr defaultColWidth="12.5546875" defaultRowHeight="15.6" x14ac:dyDescent="0.3"/>
  <cols>
    <col min="1" max="1" width="7.5546875" style="2" customWidth="1"/>
    <col min="2" max="3" width="15.6640625" style="2" customWidth="1"/>
    <col min="4" max="4" width="44.88671875" style="2" customWidth="1"/>
    <col min="5" max="7" width="18.6640625" style="2" customWidth="1"/>
    <col min="8" max="8" width="20.33203125" style="2" customWidth="1"/>
    <col min="9" max="9" width="2.33203125" style="2" customWidth="1"/>
    <col min="10" max="10" width="12.5546875" style="2"/>
    <col min="11" max="11" width="15.109375" style="2" customWidth="1"/>
    <col min="12" max="12" width="12.5546875" style="2"/>
    <col min="13" max="13" width="65.33203125" style="2" customWidth="1"/>
    <col min="14" max="18" width="20.33203125" style="2" customWidth="1"/>
    <col min="19" max="19" width="33.109375" style="2" customWidth="1"/>
    <col min="20" max="20" width="20.33203125" style="2" customWidth="1"/>
    <col min="21" max="21" width="2.33203125" style="2" customWidth="1"/>
    <col min="22" max="22" width="15.109375" style="2" customWidth="1"/>
    <col min="23" max="28" width="22.88671875" style="2" customWidth="1"/>
    <col min="29" max="29" width="26.6640625" style="2" customWidth="1"/>
    <col min="30" max="30" width="22.88671875" style="2" customWidth="1"/>
    <col min="31" max="31" width="20.33203125" style="2" customWidth="1"/>
    <col min="32" max="32" width="2.33203125" style="2" customWidth="1"/>
    <col min="33" max="33" width="26.6640625" style="2" customWidth="1"/>
    <col min="34" max="34" width="37" style="2" customWidth="1"/>
    <col min="35" max="35" width="46" style="2" customWidth="1"/>
    <col min="36" max="38" width="15.109375" style="2" customWidth="1"/>
    <col min="39" max="39" width="26.6640625" style="2" customWidth="1"/>
    <col min="40" max="40" width="15.109375" style="2" customWidth="1"/>
    <col min="41" max="41" width="2.33203125" style="2" customWidth="1"/>
    <col min="42" max="42" width="10" style="2" customWidth="1"/>
    <col min="43" max="43" width="12.5546875" style="2"/>
    <col min="44" max="44" width="39.5546875" style="2" customWidth="1"/>
    <col min="45" max="45" width="16.44140625" style="2" customWidth="1"/>
    <col min="46" max="48" width="20.33203125" style="2" customWidth="1"/>
    <col min="49" max="50" width="16.44140625" style="2" customWidth="1"/>
    <col min="51" max="51" width="26.6640625" style="2" customWidth="1"/>
    <col min="52" max="52" width="39.5546875" style="2" customWidth="1"/>
    <col min="53" max="53" width="12.5546875" style="2"/>
    <col min="54" max="54" width="16.44140625" style="2" customWidth="1"/>
    <col min="55" max="55" width="17.6640625" style="2" customWidth="1"/>
    <col min="56" max="16384" width="12.5546875" style="2"/>
  </cols>
  <sheetData>
    <row r="1" spans="1:7" x14ac:dyDescent="0.3">
      <c r="A1" s="133" t="s">
        <v>47</v>
      </c>
      <c r="B1" s="127"/>
      <c r="C1" s="127"/>
      <c r="D1" s="127"/>
      <c r="E1" s="127"/>
      <c r="F1" s="127"/>
      <c r="G1" s="127"/>
    </row>
    <row r="2" spans="1:7" x14ac:dyDescent="0.3">
      <c r="A2" s="133" t="s">
        <v>64</v>
      </c>
      <c r="B2" s="127"/>
      <c r="C2" s="127"/>
      <c r="D2" s="127"/>
      <c r="E2" s="127"/>
      <c r="F2" s="127"/>
      <c r="G2" s="127"/>
    </row>
    <row r="3" spans="1:7" ht="16.2" thickBot="1" x14ac:dyDescent="0.35">
      <c r="A3" s="4"/>
      <c r="B3" s="4"/>
      <c r="C3" s="4"/>
      <c r="D3" s="4"/>
      <c r="E3" s="4"/>
      <c r="F3" s="5"/>
      <c r="G3" s="4"/>
    </row>
    <row r="5" spans="1:7" x14ac:dyDescent="0.3">
      <c r="A5" s="130" t="s">
        <v>52</v>
      </c>
      <c r="B5" s="131" t="s">
        <v>50</v>
      </c>
      <c r="C5" s="132"/>
      <c r="D5" s="7"/>
      <c r="E5" s="7"/>
      <c r="F5" s="7"/>
      <c r="G5" s="8" t="s">
        <v>46</v>
      </c>
    </row>
    <row r="6" spans="1:7" ht="17.399999999999999" x14ac:dyDescent="0.3">
      <c r="A6" s="130"/>
      <c r="B6" s="9" t="s">
        <v>51</v>
      </c>
      <c r="C6" s="9" t="s">
        <v>45</v>
      </c>
      <c r="D6" s="9" t="s">
        <v>53</v>
      </c>
      <c r="E6" s="9" t="s">
        <v>54</v>
      </c>
      <c r="F6" s="10" t="s">
        <v>57</v>
      </c>
      <c r="G6" s="11" t="s">
        <v>55</v>
      </c>
    </row>
    <row r="8" spans="1:7" x14ac:dyDescent="0.3">
      <c r="B8" s="127" t="s">
        <v>56</v>
      </c>
      <c r="C8" s="127"/>
      <c r="D8" s="127"/>
    </row>
    <row r="9" spans="1:7" x14ac:dyDescent="0.3">
      <c r="A9" s="13">
        <f>MAX(A$8:A8)+1</f>
        <v>1</v>
      </c>
      <c r="B9" s="13">
        <v>360</v>
      </c>
      <c r="C9" s="13">
        <v>3600</v>
      </c>
      <c r="D9" s="14" t="s">
        <v>19</v>
      </c>
      <c r="E9" s="28">
        <v>2772.11</v>
      </c>
      <c r="F9" s="28"/>
      <c r="G9" s="16">
        <f>+E9+F9</f>
        <v>2772.11</v>
      </c>
    </row>
    <row r="10" spans="1:7" x14ac:dyDescent="0.3">
      <c r="A10" s="13">
        <f>MAX(A$8:A9)+1</f>
        <v>2</v>
      </c>
      <c r="B10" s="13">
        <v>360</v>
      </c>
      <c r="C10" s="13">
        <v>3601</v>
      </c>
      <c r="D10" s="14" t="s">
        <v>20</v>
      </c>
      <c r="E10" s="29">
        <v>3564848.22</v>
      </c>
      <c r="F10" s="29"/>
      <c r="G10" s="15">
        <f t="shared" ref="G10:G33" si="0">+E10+F10</f>
        <v>3564848.22</v>
      </c>
    </row>
    <row r="11" spans="1:7" x14ac:dyDescent="0.3">
      <c r="A11" s="13">
        <f>MAX(A$8:A10)+1</f>
        <v>3</v>
      </c>
      <c r="B11" s="13">
        <v>361</v>
      </c>
      <c r="C11" s="13">
        <v>3610</v>
      </c>
      <c r="D11" s="14" t="s">
        <v>21</v>
      </c>
      <c r="E11" s="29">
        <v>4324903.45</v>
      </c>
      <c r="F11" s="29"/>
      <c r="G11" s="15">
        <f t="shared" si="0"/>
        <v>4324903.45</v>
      </c>
    </row>
    <row r="12" spans="1:7" x14ac:dyDescent="0.3">
      <c r="A12" s="13">
        <f>MAX(A$8:A11)+1</f>
        <v>4</v>
      </c>
      <c r="B12" s="13">
        <v>362</v>
      </c>
      <c r="C12" s="13">
        <v>3620</v>
      </c>
      <c r="D12" s="14" t="s">
        <v>22</v>
      </c>
      <c r="E12" s="29">
        <v>77946165.700000003</v>
      </c>
      <c r="F12" s="29">
        <v>-2298117</v>
      </c>
      <c r="G12" s="15">
        <f t="shared" si="0"/>
        <v>75648048.700000003</v>
      </c>
    </row>
    <row r="13" spans="1:7" x14ac:dyDescent="0.3">
      <c r="A13" s="13">
        <f>MAX(A$8:A12)+1</f>
        <v>5</v>
      </c>
      <c r="B13" s="13">
        <v>362</v>
      </c>
      <c r="C13" s="13">
        <v>3622</v>
      </c>
      <c r="D13" s="14" t="s">
        <v>23</v>
      </c>
      <c r="E13" s="29">
        <v>42852707.740000002</v>
      </c>
      <c r="F13" s="29">
        <v>-276191</v>
      </c>
      <c r="G13" s="15">
        <f t="shared" si="0"/>
        <v>42576516.740000002</v>
      </c>
    </row>
    <row r="14" spans="1:7" x14ac:dyDescent="0.3">
      <c r="A14" s="13">
        <f>MAX(A$8:A13)+1</f>
        <v>6</v>
      </c>
      <c r="B14" s="13">
        <v>363</v>
      </c>
      <c r="C14" s="13">
        <v>3635</v>
      </c>
      <c r="D14" s="14" t="s">
        <v>60</v>
      </c>
      <c r="E14" s="29">
        <v>112771.68</v>
      </c>
      <c r="F14" s="29">
        <v>-112502</v>
      </c>
      <c r="G14" s="15">
        <f t="shared" si="0"/>
        <v>269.67999999999302</v>
      </c>
    </row>
    <row r="15" spans="1:7" x14ac:dyDescent="0.3">
      <c r="A15" s="13">
        <f>MAX(A$8:A14)+1</f>
        <v>7</v>
      </c>
      <c r="B15" s="13">
        <v>364</v>
      </c>
      <c r="C15" s="13">
        <v>3640</v>
      </c>
      <c r="D15" s="14" t="s">
        <v>25</v>
      </c>
      <c r="E15" s="29">
        <v>117411737.70999999</v>
      </c>
      <c r="F15" s="29">
        <v>-184693</v>
      </c>
      <c r="G15" s="15">
        <f t="shared" si="0"/>
        <v>117227044.70999999</v>
      </c>
    </row>
    <row r="16" spans="1:7" x14ac:dyDescent="0.3">
      <c r="A16" s="13">
        <f>MAX(A$8:A15)+1</f>
        <v>8</v>
      </c>
      <c r="B16" s="13">
        <v>365</v>
      </c>
      <c r="C16" s="13" t="s">
        <v>26</v>
      </c>
      <c r="D16" s="14" t="s">
        <v>27</v>
      </c>
      <c r="E16" s="29">
        <f>109874194.44+712550.75</f>
        <v>110586745.19</v>
      </c>
      <c r="F16" s="29">
        <v>-2264372</v>
      </c>
      <c r="G16" s="15">
        <f t="shared" si="0"/>
        <v>108322373.19</v>
      </c>
    </row>
    <row r="17" spans="1:7" x14ac:dyDescent="0.3">
      <c r="A17" s="13">
        <f>MAX(A$8:A16)+1</f>
        <v>9</v>
      </c>
      <c r="B17" s="13">
        <v>366</v>
      </c>
      <c r="C17" s="13">
        <v>3660</v>
      </c>
      <c r="D17" s="14" t="s">
        <v>28</v>
      </c>
      <c r="E17" s="29">
        <v>40934953.549999997</v>
      </c>
      <c r="F17" s="29"/>
      <c r="G17" s="15">
        <f t="shared" si="0"/>
        <v>40934953.549999997</v>
      </c>
    </row>
    <row r="18" spans="1:7" x14ac:dyDescent="0.3">
      <c r="A18" s="13">
        <f>MAX(A$8:A17)+1</f>
        <v>10</v>
      </c>
      <c r="B18" s="13">
        <v>367</v>
      </c>
      <c r="C18" s="13">
        <v>3670</v>
      </c>
      <c r="D18" s="14" t="s">
        <v>29</v>
      </c>
      <c r="E18" s="29">
        <v>86291016.260000005</v>
      </c>
      <c r="F18" s="29"/>
      <c r="G18" s="15">
        <f t="shared" si="0"/>
        <v>86291016.260000005</v>
      </c>
    </row>
    <row r="19" spans="1:7" x14ac:dyDescent="0.3">
      <c r="A19" s="13">
        <f>MAX(A$8:A18)+1</f>
        <v>11</v>
      </c>
      <c r="B19" s="13">
        <v>368</v>
      </c>
      <c r="C19" s="13" t="s">
        <v>30</v>
      </c>
      <c r="D19" s="14" t="s">
        <v>31</v>
      </c>
      <c r="E19" s="29">
        <f>143389307.33+304.09</f>
        <v>143389611.42000002</v>
      </c>
      <c r="F19" s="29"/>
      <c r="G19" s="15">
        <f t="shared" si="0"/>
        <v>143389611.42000002</v>
      </c>
    </row>
    <row r="20" spans="1:7" x14ac:dyDescent="0.3">
      <c r="A20" s="13">
        <f>MAX(A$8:A19)+1</f>
        <v>12</v>
      </c>
      <c r="B20" s="13">
        <v>368</v>
      </c>
      <c r="C20" s="13">
        <v>3682</v>
      </c>
      <c r="D20" s="14" t="s">
        <v>32</v>
      </c>
      <c r="E20" s="29">
        <v>2991332.88</v>
      </c>
      <c r="F20" s="29"/>
      <c r="G20" s="15">
        <f t="shared" si="0"/>
        <v>2991332.88</v>
      </c>
    </row>
    <row r="21" spans="1:7" x14ac:dyDescent="0.3">
      <c r="A21" s="13">
        <f>MAX(A$8:A20)+1</f>
        <v>13</v>
      </c>
      <c r="B21" s="13">
        <v>369</v>
      </c>
      <c r="C21" s="13">
        <v>3691</v>
      </c>
      <c r="D21" s="14" t="s">
        <v>33</v>
      </c>
      <c r="E21" s="29">
        <v>2446029.7000000002</v>
      </c>
      <c r="F21" s="29"/>
      <c r="G21" s="15">
        <f t="shared" si="0"/>
        <v>2446029.7000000002</v>
      </c>
    </row>
    <row r="22" spans="1:7" x14ac:dyDescent="0.3">
      <c r="A22" s="13">
        <f>MAX(A$8:A21)+1</f>
        <v>14</v>
      </c>
      <c r="B22" s="13">
        <v>369</v>
      </c>
      <c r="C22" s="13">
        <v>3692</v>
      </c>
      <c r="D22" s="14" t="s">
        <v>34</v>
      </c>
      <c r="E22" s="29">
        <v>43450562.579999998</v>
      </c>
      <c r="F22" s="29"/>
      <c r="G22" s="15">
        <f t="shared" si="0"/>
        <v>43450562.579999998</v>
      </c>
    </row>
    <row r="23" spans="1:7" x14ac:dyDescent="0.3">
      <c r="A23" s="13">
        <f>MAX(A$8:A22)+1</f>
        <v>15</v>
      </c>
      <c r="B23" s="13">
        <v>370</v>
      </c>
      <c r="C23" s="13">
        <v>3700</v>
      </c>
      <c r="D23" s="14" t="s">
        <v>35</v>
      </c>
      <c r="E23" s="29">
        <f>-6593279.28+1580648.53</f>
        <v>-5012630.75</v>
      </c>
      <c r="F23" s="29"/>
      <c r="G23" s="15">
        <f t="shared" si="0"/>
        <v>-5012630.75</v>
      </c>
    </row>
    <row r="24" spans="1:7" x14ac:dyDescent="0.3">
      <c r="A24" s="13">
        <f>MAX(A$8:A23)+1</f>
        <v>16</v>
      </c>
      <c r="B24" s="13">
        <v>370</v>
      </c>
      <c r="C24" s="13">
        <v>3701</v>
      </c>
      <c r="D24" s="14" t="s">
        <v>36</v>
      </c>
      <c r="E24" s="29">
        <f>6137687.03+1095203.96</f>
        <v>7232890.9900000002</v>
      </c>
      <c r="F24" s="29"/>
      <c r="G24" s="15">
        <f t="shared" si="0"/>
        <v>7232890.9900000002</v>
      </c>
    </row>
    <row r="25" spans="1:7" x14ac:dyDescent="0.3">
      <c r="A25" s="13">
        <f>MAX(A$8:A24)+1</f>
        <v>17</v>
      </c>
      <c r="B25" s="13">
        <v>370</v>
      </c>
      <c r="C25" s="13">
        <v>3702</v>
      </c>
      <c r="D25" s="14" t="s">
        <v>37</v>
      </c>
      <c r="E25" s="29">
        <v>13849049.76</v>
      </c>
      <c r="F25" s="29">
        <f>-E25</f>
        <v>-13849049.76</v>
      </c>
      <c r="G25" s="15">
        <f t="shared" si="0"/>
        <v>0</v>
      </c>
    </row>
    <row r="26" spans="1:7" x14ac:dyDescent="0.3">
      <c r="A26" s="13">
        <f>MAX(A$8:A25)+1</f>
        <v>18</v>
      </c>
      <c r="B26" s="13">
        <v>371</v>
      </c>
      <c r="C26" s="13">
        <v>3710</v>
      </c>
      <c r="D26" s="14" t="s">
        <v>38</v>
      </c>
      <c r="E26" s="29">
        <v>304909.43</v>
      </c>
      <c r="F26" s="29"/>
      <c r="G26" s="15">
        <f t="shared" si="0"/>
        <v>304909.43</v>
      </c>
    </row>
    <row r="27" spans="1:7" x14ac:dyDescent="0.3">
      <c r="A27" s="13">
        <f>MAX(A$8:A26)+1</f>
        <v>19</v>
      </c>
      <c r="B27" s="13">
        <v>371</v>
      </c>
      <c r="C27" s="13">
        <v>3712</v>
      </c>
      <c r="D27" s="14" t="s">
        <v>48</v>
      </c>
      <c r="E27" s="29">
        <v>-819947.74</v>
      </c>
      <c r="F27" s="29">
        <f>-E27</f>
        <v>819947.74</v>
      </c>
      <c r="G27" s="15">
        <f t="shared" si="0"/>
        <v>0</v>
      </c>
    </row>
    <row r="28" spans="1:7" x14ac:dyDescent="0.3">
      <c r="A28" s="13">
        <f>MAX(A$8:A27)+1</f>
        <v>20</v>
      </c>
      <c r="B28" s="13">
        <v>372</v>
      </c>
      <c r="C28" s="13">
        <v>3720</v>
      </c>
      <c r="D28" s="14" t="s">
        <v>39</v>
      </c>
      <c r="E28" s="29">
        <v>-63514.74</v>
      </c>
      <c r="F28" s="29"/>
      <c r="G28" s="15">
        <f t="shared" si="0"/>
        <v>-63514.74</v>
      </c>
    </row>
    <row r="29" spans="1:7" x14ac:dyDescent="0.3">
      <c r="A29" s="13">
        <f>MAX(A$8:A28)+1</f>
        <v>21</v>
      </c>
      <c r="B29" s="13">
        <v>373</v>
      </c>
      <c r="C29" s="13" t="s">
        <v>40</v>
      </c>
      <c r="D29" s="14" t="s">
        <v>41</v>
      </c>
      <c r="E29" s="29">
        <f>-1614384.9+11740642.47</f>
        <v>10126257.57</v>
      </c>
      <c r="F29" s="29"/>
      <c r="G29" s="15">
        <f t="shared" si="0"/>
        <v>10126257.57</v>
      </c>
    </row>
    <row r="30" spans="1:7" x14ac:dyDescent="0.3">
      <c r="A30" s="13">
        <f>MAX(A$8:A29)+1</f>
        <v>22</v>
      </c>
      <c r="B30" s="13">
        <v>373</v>
      </c>
      <c r="C30" s="13">
        <v>3732</v>
      </c>
      <c r="D30" s="14" t="s">
        <v>42</v>
      </c>
      <c r="E30" s="29">
        <v>7891550.1299999999</v>
      </c>
      <c r="F30" s="29"/>
      <c r="G30" s="15">
        <f t="shared" si="0"/>
        <v>7891550.1299999999</v>
      </c>
    </row>
    <row r="31" spans="1:7" x14ac:dyDescent="0.3">
      <c r="A31" s="13">
        <f>MAX(A$8:A30)+1</f>
        <v>23</v>
      </c>
      <c r="B31" s="13">
        <v>373</v>
      </c>
      <c r="C31" s="13">
        <v>3733</v>
      </c>
      <c r="D31" s="14" t="s">
        <v>43</v>
      </c>
      <c r="E31" s="29">
        <v>7428638.8499999996</v>
      </c>
      <c r="F31" s="29"/>
      <c r="G31" s="15">
        <f t="shared" si="0"/>
        <v>7428638.8499999996</v>
      </c>
    </row>
    <row r="32" spans="1:7" x14ac:dyDescent="0.3">
      <c r="A32" s="13">
        <f>MAX(A$8:A31)+1</f>
        <v>24</v>
      </c>
      <c r="B32" s="13">
        <v>373</v>
      </c>
      <c r="C32" s="13">
        <v>3734</v>
      </c>
      <c r="D32" s="14" t="s">
        <v>44</v>
      </c>
      <c r="E32" s="29">
        <v>-115827.84</v>
      </c>
      <c r="F32" s="29">
        <f>-E32</f>
        <v>115827.84</v>
      </c>
      <c r="G32" s="15">
        <f t="shared" si="0"/>
        <v>0</v>
      </c>
    </row>
    <row r="33" spans="1:7" x14ac:dyDescent="0.3">
      <c r="A33" s="13">
        <f>MAX(A$8:A32)+1</f>
        <v>25</v>
      </c>
      <c r="C33" s="13">
        <v>108</v>
      </c>
      <c r="D33" s="2" t="s">
        <v>61</v>
      </c>
      <c r="E33" s="29">
        <f>-13910.32-2241620.27</f>
        <v>-2255530.59</v>
      </c>
      <c r="F33" s="29"/>
      <c r="G33" s="15">
        <f t="shared" si="0"/>
        <v>-2255530.59</v>
      </c>
    </row>
    <row r="34" spans="1:7" x14ac:dyDescent="0.3">
      <c r="C34" s="12"/>
      <c r="D34" s="12"/>
      <c r="E34" s="48"/>
      <c r="F34" s="48"/>
      <c r="G34" s="48"/>
    </row>
    <row r="35" spans="1:7" x14ac:dyDescent="0.3">
      <c r="A35" s="13">
        <f>MAX(A$8:A33)+1</f>
        <v>26</v>
      </c>
      <c r="C35" s="12"/>
      <c r="D35" s="12"/>
      <c r="E35" s="30">
        <f>SUM(E9:E33)</f>
        <v>714872003.25999999</v>
      </c>
      <c r="F35" s="30">
        <f>SUM(F9:F33)</f>
        <v>-18049149.18</v>
      </c>
      <c r="G35" s="30">
        <f>SUM(G9:G33)</f>
        <v>696822854.08000004</v>
      </c>
    </row>
    <row r="36" spans="1:7" x14ac:dyDescent="0.3">
      <c r="A36" s="50"/>
      <c r="B36" s="50"/>
      <c r="C36" s="50"/>
      <c r="D36" s="50"/>
      <c r="E36" s="50"/>
      <c r="F36" s="50"/>
      <c r="G36" s="50"/>
    </row>
    <row r="37" spans="1:7" x14ac:dyDescent="0.3">
      <c r="A37" s="3"/>
      <c r="B37" s="3"/>
      <c r="C37" s="13"/>
      <c r="D37" s="14"/>
      <c r="E37" s="28"/>
      <c r="F37" s="28"/>
      <c r="G37" s="16"/>
    </row>
    <row r="38" spans="1:7" x14ac:dyDescent="0.3">
      <c r="A38" s="13"/>
      <c r="B38" s="49" t="s">
        <v>70</v>
      </c>
      <c r="C38" s="13"/>
      <c r="D38" s="14"/>
      <c r="E38" s="29"/>
      <c r="F38" s="29"/>
      <c r="G38" s="16"/>
    </row>
    <row r="39" spans="1:7" x14ac:dyDescent="0.3">
      <c r="A39" s="13"/>
      <c r="B39" s="13"/>
      <c r="C39" s="13"/>
      <c r="D39" s="14"/>
      <c r="E39" s="29"/>
      <c r="F39" s="29"/>
      <c r="G39" s="16"/>
    </row>
    <row r="40" spans="1:7" x14ac:dyDescent="0.3">
      <c r="A40" s="13"/>
      <c r="B40" s="13"/>
      <c r="C40" s="13"/>
      <c r="D40" s="14"/>
      <c r="E40" s="29"/>
      <c r="F40" s="29"/>
      <c r="G40" s="16"/>
    </row>
    <row r="41" spans="1:7" x14ac:dyDescent="0.3">
      <c r="A41" s="13"/>
      <c r="B41" s="13"/>
      <c r="C41" s="13"/>
      <c r="D41" s="14"/>
      <c r="E41" s="29"/>
      <c r="F41" s="29"/>
      <c r="G41" s="16"/>
    </row>
    <row r="42" spans="1:7" x14ac:dyDescent="0.3">
      <c r="A42" s="13"/>
      <c r="B42" s="13"/>
      <c r="C42" s="13"/>
      <c r="D42" s="14"/>
      <c r="E42" s="29"/>
      <c r="F42" s="29"/>
      <c r="G42" s="16"/>
    </row>
    <row r="43" spans="1:7" x14ac:dyDescent="0.3">
      <c r="A43" s="13"/>
      <c r="B43" s="13"/>
      <c r="C43" s="13"/>
      <c r="D43" s="14"/>
      <c r="E43" s="29"/>
      <c r="F43" s="29"/>
      <c r="G43" s="16"/>
    </row>
    <row r="44" spans="1:7" x14ac:dyDescent="0.3">
      <c r="A44" s="13"/>
      <c r="B44" s="13"/>
      <c r="C44" s="13"/>
      <c r="D44" s="14"/>
      <c r="E44" s="29"/>
      <c r="F44" s="29"/>
      <c r="G44" s="16"/>
    </row>
    <row r="45" spans="1:7" x14ac:dyDescent="0.3">
      <c r="A45" s="13"/>
      <c r="B45" s="13"/>
      <c r="C45" s="13"/>
      <c r="D45" s="14"/>
      <c r="E45" s="29"/>
      <c r="F45" s="29"/>
      <c r="G45" s="16"/>
    </row>
    <row r="46" spans="1:7" x14ac:dyDescent="0.3">
      <c r="A46" s="13"/>
      <c r="B46" s="13"/>
      <c r="C46" s="13"/>
      <c r="D46" s="14"/>
      <c r="E46" s="29"/>
      <c r="F46" s="29"/>
      <c r="G46" s="16"/>
    </row>
    <row r="47" spans="1:7" x14ac:dyDescent="0.3">
      <c r="A47" s="13"/>
      <c r="B47" s="13"/>
      <c r="C47" s="13"/>
      <c r="D47" s="14"/>
      <c r="E47" s="29"/>
      <c r="F47" s="29"/>
      <c r="G47" s="16"/>
    </row>
    <row r="48" spans="1:7" x14ac:dyDescent="0.3">
      <c r="A48" s="13"/>
      <c r="B48" s="13"/>
      <c r="C48" s="13"/>
      <c r="D48" s="14"/>
      <c r="E48" s="29"/>
      <c r="F48" s="29"/>
      <c r="G48" s="16"/>
    </row>
    <row r="49" spans="1:7" x14ac:dyDescent="0.3">
      <c r="A49" s="13"/>
      <c r="B49" s="13"/>
      <c r="C49" s="13"/>
      <c r="D49" s="14"/>
      <c r="E49" s="29"/>
      <c r="F49" s="29"/>
      <c r="G49" s="16"/>
    </row>
    <row r="50" spans="1:7" x14ac:dyDescent="0.3">
      <c r="A50" s="13"/>
      <c r="B50" s="13"/>
      <c r="C50" s="13"/>
      <c r="D50" s="14"/>
      <c r="E50" s="29"/>
      <c r="F50" s="29"/>
      <c r="G50" s="16"/>
    </row>
    <row r="51" spans="1:7" x14ac:dyDescent="0.3">
      <c r="A51" s="13"/>
      <c r="B51" s="13"/>
      <c r="C51" s="13"/>
      <c r="D51" s="14"/>
      <c r="E51" s="29"/>
      <c r="F51" s="29"/>
      <c r="G51" s="16"/>
    </row>
    <row r="52" spans="1:7" x14ac:dyDescent="0.3">
      <c r="A52" s="13"/>
      <c r="B52" s="13"/>
      <c r="C52" s="13"/>
      <c r="D52" s="14"/>
      <c r="E52" s="29"/>
      <c r="F52" s="29"/>
      <c r="G52" s="16"/>
    </row>
    <row r="53" spans="1:7" x14ac:dyDescent="0.3">
      <c r="A53" s="13"/>
      <c r="B53" s="13"/>
      <c r="E53" s="29"/>
      <c r="F53" s="29"/>
      <c r="G53" s="16"/>
    </row>
    <row r="54" spans="1:7" x14ac:dyDescent="0.3">
      <c r="A54" s="13"/>
      <c r="B54" s="13"/>
      <c r="C54" s="13"/>
      <c r="D54" s="14"/>
      <c r="E54" s="16"/>
      <c r="F54" s="16"/>
      <c r="G54" s="16"/>
    </row>
    <row r="55" spans="1:7" x14ac:dyDescent="0.3">
      <c r="C55" s="12"/>
      <c r="D55" s="12"/>
      <c r="E55" s="12"/>
    </row>
    <row r="56" spans="1:7" x14ac:dyDescent="0.3">
      <c r="A56" s="13"/>
      <c r="B56" s="13"/>
      <c r="C56" s="13"/>
      <c r="D56" s="14"/>
      <c r="E56" s="28"/>
      <c r="F56" s="28"/>
      <c r="G56" s="16"/>
    </row>
    <row r="57" spans="1:7" x14ac:dyDescent="0.3">
      <c r="A57" s="13"/>
      <c r="B57" s="13"/>
      <c r="C57" s="13"/>
      <c r="D57" s="14"/>
      <c r="E57" s="29"/>
      <c r="F57" s="29"/>
      <c r="G57" s="15"/>
    </row>
    <row r="58" spans="1:7" x14ac:dyDescent="0.3">
      <c r="A58" s="13"/>
      <c r="B58" s="13"/>
      <c r="C58" s="13"/>
      <c r="D58" s="14"/>
      <c r="E58" s="29"/>
      <c r="F58" s="29"/>
      <c r="G58" s="15"/>
    </row>
    <row r="59" spans="1:7" x14ac:dyDescent="0.3">
      <c r="A59" s="13"/>
      <c r="B59" s="13"/>
      <c r="C59" s="13"/>
      <c r="D59" s="14"/>
      <c r="E59" s="29"/>
      <c r="F59" s="29"/>
      <c r="G59" s="15"/>
    </row>
    <row r="60" spans="1:7" x14ac:dyDescent="0.3">
      <c r="A60" s="13"/>
      <c r="B60" s="13"/>
      <c r="C60" s="13"/>
      <c r="D60" s="14"/>
      <c r="E60" s="29"/>
      <c r="F60" s="29"/>
      <c r="G60" s="15"/>
    </row>
    <row r="61" spans="1:7" x14ac:dyDescent="0.3">
      <c r="A61" s="13"/>
      <c r="B61" s="13"/>
      <c r="C61" s="13"/>
      <c r="D61" s="14"/>
      <c r="E61" s="29"/>
      <c r="F61" s="29"/>
      <c r="G61" s="15"/>
    </row>
    <row r="62" spans="1:7" x14ac:dyDescent="0.3">
      <c r="A62" s="13"/>
      <c r="B62" s="13"/>
      <c r="C62" s="13"/>
      <c r="D62" s="14"/>
      <c r="E62" s="29"/>
      <c r="F62" s="29"/>
      <c r="G62" s="15"/>
    </row>
    <row r="63" spans="1:7" x14ac:dyDescent="0.3">
      <c r="A63" s="13"/>
      <c r="B63" s="13"/>
      <c r="C63" s="13"/>
      <c r="D63" s="14"/>
      <c r="E63" s="29"/>
      <c r="F63" s="29"/>
      <c r="G63" s="15"/>
    </row>
    <row r="64" spans="1:7" x14ac:dyDescent="0.3">
      <c r="A64" s="13"/>
      <c r="B64" s="13"/>
      <c r="C64" s="13"/>
      <c r="D64" s="14"/>
      <c r="E64" s="29"/>
      <c r="F64" s="29"/>
      <c r="G64" s="15"/>
    </row>
    <row r="65" spans="1:7" x14ac:dyDescent="0.3">
      <c r="A65" s="13"/>
      <c r="B65" s="13"/>
      <c r="C65" s="13"/>
      <c r="D65" s="14"/>
      <c r="E65" s="29"/>
      <c r="F65" s="29"/>
      <c r="G65" s="15"/>
    </row>
    <row r="66" spans="1:7" x14ac:dyDescent="0.3">
      <c r="A66" s="13"/>
      <c r="B66" s="13"/>
      <c r="C66" s="13"/>
      <c r="D66" s="14"/>
      <c r="E66" s="29"/>
      <c r="F66" s="29"/>
      <c r="G66" s="15"/>
    </row>
    <row r="67" spans="1:7" x14ac:dyDescent="0.3">
      <c r="A67" s="13"/>
      <c r="B67" s="13"/>
      <c r="C67" s="13"/>
      <c r="D67" s="14"/>
      <c r="E67" s="29"/>
      <c r="F67" s="29"/>
      <c r="G67" s="15"/>
    </row>
    <row r="68" spans="1:7" x14ac:dyDescent="0.3">
      <c r="A68" s="13"/>
      <c r="B68" s="13"/>
      <c r="C68" s="13"/>
      <c r="D68" s="14"/>
      <c r="E68" s="29"/>
      <c r="F68" s="29"/>
      <c r="G68" s="15"/>
    </row>
    <row r="69" spans="1:7" x14ac:dyDescent="0.3">
      <c r="A69" s="13"/>
      <c r="B69" s="13"/>
      <c r="C69" s="13"/>
      <c r="D69" s="14"/>
      <c r="E69" s="29"/>
      <c r="F69" s="29"/>
      <c r="G69" s="15"/>
    </row>
    <row r="70" spans="1:7" x14ac:dyDescent="0.3">
      <c r="A70" s="13"/>
      <c r="B70" s="13"/>
      <c r="C70" s="13"/>
      <c r="D70" s="14"/>
      <c r="E70" s="29"/>
      <c r="F70" s="29"/>
      <c r="G70" s="15"/>
    </row>
    <row r="71" spans="1:7" x14ac:dyDescent="0.3">
      <c r="A71" s="13"/>
      <c r="B71" s="13"/>
      <c r="C71" s="13"/>
      <c r="D71" s="14"/>
      <c r="E71" s="29"/>
      <c r="F71" s="29"/>
      <c r="G71" s="15"/>
    </row>
    <row r="72" spans="1:7" x14ac:dyDescent="0.3">
      <c r="A72" s="13"/>
      <c r="B72" s="13"/>
      <c r="C72" s="13"/>
      <c r="D72" s="14"/>
      <c r="E72" s="29"/>
      <c r="F72" s="29"/>
      <c r="G72" s="15"/>
    </row>
    <row r="73" spans="1:7" x14ac:dyDescent="0.3">
      <c r="A73" s="13"/>
      <c r="C73" s="32"/>
      <c r="D73" s="12"/>
      <c r="E73" s="29"/>
      <c r="F73" s="29"/>
      <c r="G73" s="15"/>
    </row>
    <row r="74" spans="1:7" x14ac:dyDescent="0.3">
      <c r="A74" s="13"/>
      <c r="C74" s="32"/>
      <c r="D74" s="12"/>
      <c r="E74" s="29"/>
      <c r="F74" s="29"/>
      <c r="G74" s="15"/>
    </row>
    <row r="75" spans="1:7" x14ac:dyDescent="0.3">
      <c r="A75" s="13"/>
      <c r="C75" s="32"/>
      <c r="D75" s="12"/>
      <c r="E75" s="29"/>
      <c r="F75" s="29"/>
      <c r="G75" s="15"/>
    </row>
    <row r="76" spans="1:7" x14ac:dyDescent="0.3">
      <c r="A76" s="13"/>
      <c r="C76" s="32"/>
      <c r="D76" s="12"/>
      <c r="E76" s="29"/>
      <c r="F76" s="29"/>
      <c r="G76" s="15"/>
    </row>
    <row r="77" spans="1:7" x14ac:dyDescent="0.3">
      <c r="A77" s="13"/>
      <c r="E77" s="29"/>
      <c r="F77" s="29"/>
      <c r="G77" s="15"/>
    </row>
    <row r="78" spans="1:7" x14ac:dyDescent="0.3">
      <c r="E78" s="16"/>
      <c r="F78" s="16"/>
      <c r="G78" s="16"/>
    </row>
    <row r="79" spans="1:7" x14ac:dyDescent="0.3">
      <c r="E79" s="16"/>
      <c r="F79" s="16"/>
      <c r="G79" s="16"/>
    </row>
    <row r="80" spans="1:7" x14ac:dyDescent="0.3">
      <c r="A80" s="13"/>
      <c r="C80" s="33"/>
      <c r="D80"/>
      <c r="E80" s="30"/>
      <c r="F80" s="30"/>
      <c r="G80" s="30"/>
    </row>
    <row r="81" spans="1:7" x14ac:dyDescent="0.3">
      <c r="C81" s="12"/>
      <c r="D81" s="12"/>
      <c r="E81" s="12"/>
      <c r="G81" s="16"/>
    </row>
    <row r="82" spans="1:7" x14ac:dyDescent="0.3">
      <c r="A82" s="13"/>
      <c r="C82" s="12"/>
      <c r="D82" s="20"/>
      <c r="E82" s="30"/>
      <c r="F82" s="30"/>
      <c r="G82" s="30"/>
    </row>
    <row r="85" spans="1:7" x14ac:dyDescent="0.3">
      <c r="E85" s="30"/>
    </row>
  </sheetData>
  <mergeCells count="5">
    <mergeCell ref="B8:D8"/>
    <mergeCell ref="A1:G1"/>
    <mergeCell ref="A2:G2"/>
    <mergeCell ref="A5:A6"/>
    <mergeCell ref="B5:C5"/>
  </mergeCells>
  <pageMargins left="0.2" right="0.2" top="0.75" bottom="0.75" header="0.3" footer="0.3"/>
  <pageSetup scale="86" orientation="landscape" r:id="rId1"/>
  <headerFooter>
    <oddHeader>&amp;RPUCO CaseNo. 15-795-EL-RDR
Attachment B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P28"/>
  <sheetViews>
    <sheetView topLeftCell="A19" zoomScaleNormal="100" workbookViewId="0">
      <selection activeCell="G32" sqref="G32"/>
    </sheetView>
  </sheetViews>
  <sheetFormatPr defaultColWidth="12.5546875" defaultRowHeight="15.6" x14ac:dyDescent="0.3"/>
  <cols>
    <col min="1" max="1" width="8" style="2" customWidth="1"/>
    <col min="2" max="3" width="15.6640625" style="2" customWidth="1"/>
    <col min="4" max="4" width="37.88671875" style="2" customWidth="1"/>
    <col min="5" max="6" width="18.6640625" style="2" customWidth="1"/>
    <col min="7" max="7" width="6.44140625" style="2" customWidth="1"/>
    <col min="8" max="8" width="18.6640625" style="2" customWidth="1"/>
    <col min="9" max="13" width="20.33203125" style="2" customWidth="1"/>
    <col min="14" max="14" width="2.33203125" style="2" customWidth="1"/>
    <col min="15" max="15" width="12.5546875" style="2"/>
    <col min="16" max="16" width="15.109375" style="2" customWidth="1"/>
    <col min="17" max="17" width="12.5546875" style="2"/>
    <col min="18" max="18" width="52.44140625" style="2" customWidth="1"/>
    <col min="19" max="21" width="20.33203125" style="2" customWidth="1"/>
    <col min="22" max="22" width="2.33203125" style="2" customWidth="1"/>
    <col min="23" max="23" width="12.5546875" style="2"/>
    <col min="24" max="24" width="15.109375" style="2" customWidth="1"/>
    <col min="25" max="25" width="12.5546875" style="2"/>
    <col min="26" max="26" width="65.33203125" style="2" customWidth="1"/>
    <col min="27" max="31" width="20.33203125" style="2" customWidth="1"/>
    <col min="32" max="32" width="33.109375" style="2" customWidth="1"/>
    <col min="33" max="33" width="20.33203125" style="2" customWidth="1"/>
    <col min="34" max="34" width="2.33203125" style="2" customWidth="1"/>
    <col min="35" max="35" width="15.109375" style="2" customWidth="1"/>
    <col min="36" max="41" width="22.88671875" style="2" customWidth="1"/>
    <col min="42" max="42" width="26.6640625" style="2" customWidth="1"/>
    <col min="43" max="43" width="22.88671875" style="2" customWidth="1"/>
    <col min="44" max="44" width="20.33203125" style="2" customWidth="1"/>
    <col min="45" max="45" width="2.33203125" style="2" customWidth="1"/>
    <col min="46" max="46" width="26.6640625" style="2" customWidth="1"/>
    <col min="47" max="47" width="37" style="2" customWidth="1"/>
    <col min="48" max="48" width="46" style="2" customWidth="1"/>
    <col min="49" max="51" width="15.109375" style="2" customWidth="1"/>
    <col min="52" max="52" width="26.6640625" style="2" customWidth="1"/>
    <col min="53" max="53" width="15.109375" style="2" customWidth="1"/>
    <col min="54" max="54" width="2.33203125" style="2" customWidth="1"/>
    <col min="55" max="55" width="10" style="2" customWidth="1"/>
    <col min="56" max="56" width="12.5546875" style="2"/>
    <col min="57" max="57" width="39.5546875" style="2" customWidth="1"/>
    <col min="58" max="58" width="16.44140625" style="2" customWidth="1"/>
    <col min="59" max="61" width="20.33203125" style="2" customWidth="1"/>
    <col min="62" max="63" width="16.44140625" style="2" customWidth="1"/>
    <col min="64" max="64" width="26.6640625" style="2" customWidth="1"/>
    <col min="65" max="65" width="39.5546875" style="2" customWidth="1"/>
    <col min="66" max="66" width="12.5546875" style="2"/>
    <col min="67" max="67" width="16.44140625" style="2" customWidth="1"/>
    <col min="68" max="68" width="17.6640625" style="2" customWidth="1"/>
    <col min="69" max="16384" width="12.5546875" style="2"/>
  </cols>
  <sheetData>
    <row r="1" spans="1:68" ht="18" x14ac:dyDescent="0.35">
      <c r="A1" s="129" t="s">
        <v>47</v>
      </c>
      <c r="B1" s="129"/>
      <c r="C1" s="129"/>
      <c r="D1" s="129"/>
      <c r="E1" s="129"/>
      <c r="F1" s="129"/>
      <c r="G1" s="129"/>
      <c r="H1" s="129"/>
      <c r="BO1" s="3"/>
      <c r="BP1" s="3"/>
    </row>
    <row r="2" spans="1:68" ht="18" x14ac:dyDescent="0.35">
      <c r="A2" s="128" t="s">
        <v>65</v>
      </c>
      <c r="B2" s="129"/>
      <c r="C2" s="129"/>
      <c r="D2" s="129"/>
      <c r="E2" s="129"/>
      <c r="F2" s="129"/>
      <c r="G2" s="129"/>
      <c r="H2" s="129"/>
      <c r="BO2" s="3"/>
      <c r="BP2" s="3"/>
    </row>
    <row r="3" spans="1:68" ht="16.2" thickBot="1" x14ac:dyDescent="0.35">
      <c r="A3" s="4"/>
      <c r="B3" s="4"/>
      <c r="C3" s="4"/>
      <c r="D3" s="4"/>
      <c r="E3" s="4"/>
      <c r="F3" s="5"/>
      <c r="G3" s="5"/>
      <c r="H3" s="4"/>
      <c r="BO3" s="3"/>
      <c r="BP3" s="3"/>
    </row>
    <row r="4" spans="1:68" x14ac:dyDescent="0.3">
      <c r="BO4" s="3"/>
      <c r="BP4" s="3"/>
    </row>
    <row r="5" spans="1:68" x14ac:dyDescent="0.3">
      <c r="A5" s="130" t="s">
        <v>52</v>
      </c>
      <c r="B5" s="131" t="s">
        <v>50</v>
      </c>
      <c r="C5" s="132"/>
      <c r="D5" s="7"/>
      <c r="E5" s="7"/>
      <c r="F5" s="7"/>
      <c r="G5" s="7"/>
      <c r="H5" s="8" t="s">
        <v>46</v>
      </c>
    </row>
    <row r="6" spans="1:68" x14ac:dyDescent="0.3">
      <c r="A6" s="130"/>
      <c r="B6" s="9" t="s">
        <v>51</v>
      </c>
      <c r="C6" s="9" t="s">
        <v>45</v>
      </c>
      <c r="D6" s="9" t="s">
        <v>53</v>
      </c>
      <c r="E6" s="9" t="s">
        <v>54</v>
      </c>
      <c r="F6" s="10" t="s">
        <v>67</v>
      </c>
      <c r="G6" s="36"/>
      <c r="H6" s="11" t="s">
        <v>55</v>
      </c>
    </row>
    <row r="8" spans="1:68" x14ac:dyDescent="0.3">
      <c r="B8" s="127" t="s">
        <v>7</v>
      </c>
      <c r="C8" s="127"/>
      <c r="D8" s="127"/>
    </row>
    <row r="9" spans="1:68" x14ac:dyDescent="0.3">
      <c r="A9" s="13">
        <f>MAX(A8:A$8)+1</f>
        <v>1</v>
      </c>
      <c r="B9" s="13">
        <v>282</v>
      </c>
      <c r="C9" s="13" t="s">
        <v>58</v>
      </c>
      <c r="D9" s="14" t="s">
        <v>8</v>
      </c>
      <c r="E9" s="31">
        <v>-42048747.796507388</v>
      </c>
      <c r="F9" s="28">
        <v>0</v>
      </c>
      <c r="G9" s="28"/>
      <c r="H9" s="16">
        <f>+E9+F9</f>
        <v>-42048747.796507388</v>
      </c>
    </row>
    <row r="10" spans="1:68" x14ac:dyDescent="0.3">
      <c r="A10" s="13">
        <f>MAX(A$8:A9)+1</f>
        <v>2</v>
      </c>
      <c r="B10" s="13">
        <v>282</v>
      </c>
      <c r="C10" s="13" t="s">
        <v>58</v>
      </c>
      <c r="D10" s="14" t="s">
        <v>9</v>
      </c>
      <c r="E10" s="29">
        <v>-2061213.1272797743</v>
      </c>
      <c r="F10" s="29">
        <v>0</v>
      </c>
      <c r="G10" s="29"/>
      <c r="H10" s="15">
        <f t="shared" ref="H10:H20" si="0">+E10+F10</f>
        <v>-2061213.1272797743</v>
      </c>
    </row>
    <row r="11" spans="1:68" x14ac:dyDescent="0.3">
      <c r="A11" s="13">
        <f>MAX(A$8:A10)+1</f>
        <v>3</v>
      </c>
      <c r="B11" s="13">
        <v>282</v>
      </c>
      <c r="C11" s="13" t="s">
        <v>58</v>
      </c>
      <c r="D11" s="14" t="s">
        <v>10</v>
      </c>
      <c r="E11" s="29">
        <v>-14304819.103321634</v>
      </c>
      <c r="F11" s="29">
        <v>0</v>
      </c>
      <c r="G11" s="29"/>
      <c r="H11" s="15">
        <f t="shared" si="0"/>
        <v>-14304819.103321634</v>
      </c>
    </row>
    <row r="12" spans="1:68" x14ac:dyDescent="0.3">
      <c r="A12" s="13">
        <f>MAX(A$8:A11)+1</f>
        <v>4</v>
      </c>
      <c r="B12" s="13">
        <v>282</v>
      </c>
      <c r="C12" s="13" t="s">
        <v>58</v>
      </c>
      <c r="D12" s="14" t="s">
        <v>11</v>
      </c>
      <c r="E12" s="29">
        <v>16695826.330966173</v>
      </c>
      <c r="F12" s="29">
        <v>0</v>
      </c>
      <c r="G12" s="29"/>
      <c r="H12" s="15">
        <f t="shared" si="0"/>
        <v>16695826.330966173</v>
      </c>
    </row>
    <row r="13" spans="1:68" x14ac:dyDescent="0.3">
      <c r="A13" s="13">
        <f>MAX(A$8:A12)+1</f>
        <v>5</v>
      </c>
      <c r="B13" s="13">
        <v>282</v>
      </c>
      <c r="C13" s="13" t="s">
        <v>58</v>
      </c>
      <c r="D13" s="14" t="s">
        <v>12</v>
      </c>
      <c r="E13" s="29">
        <v>1236727.8763678644</v>
      </c>
      <c r="F13" s="29">
        <v>0</v>
      </c>
      <c r="G13" s="29"/>
      <c r="H13" s="15">
        <f t="shared" si="0"/>
        <v>1236727.8763678644</v>
      </c>
    </row>
    <row r="14" spans="1:68" x14ac:dyDescent="0.3">
      <c r="A14" s="13">
        <f>MAX(A$8:A13)+1</f>
        <v>6</v>
      </c>
      <c r="B14" s="13">
        <v>282</v>
      </c>
      <c r="C14" s="13" t="s">
        <v>58</v>
      </c>
      <c r="D14" s="14" t="s">
        <v>13</v>
      </c>
      <c r="E14" s="29">
        <v>-36318575.302669622</v>
      </c>
      <c r="F14" s="29">
        <f>-E14</f>
        <v>36318575.302669622</v>
      </c>
      <c r="G14" s="29"/>
      <c r="H14" s="15">
        <f t="shared" si="0"/>
        <v>0</v>
      </c>
    </row>
    <row r="15" spans="1:68" x14ac:dyDescent="0.3">
      <c r="A15" s="13">
        <f>MAX(A$8:A14)+1</f>
        <v>7</v>
      </c>
      <c r="B15" s="13">
        <v>282</v>
      </c>
      <c r="C15" s="13" t="s">
        <v>58</v>
      </c>
      <c r="D15" s="14" t="s">
        <v>14</v>
      </c>
      <c r="E15" s="29">
        <v>3421613.7912844252</v>
      </c>
      <c r="F15" s="29">
        <v>0</v>
      </c>
      <c r="G15" s="29"/>
      <c r="H15" s="15">
        <f t="shared" si="0"/>
        <v>3421613.7912844252</v>
      </c>
    </row>
    <row r="16" spans="1:68" x14ac:dyDescent="0.3">
      <c r="A16" s="13">
        <f>MAX(A$8:A15)+1</f>
        <v>8</v>
      </c>
      <c r="B16" s="13">
        <v>282</v>
      </c>
      <c r="C16" s="13" t="s">
        <v>58</v>
      </c>
      <c r="D16" s="19" t="s">
        <v>15</v>
      </c>
      <c r="E16" s="29">
        <v>21519065.048800845</v>
      </c>
      <c r="F16" s="29">
        <v>0</v>
      </c>
      <c r="G16" s="29"/>
      <c r="H16" s="15">
        <f t="shared" si="0"/>
        <v>21519065.048800845</v>
      </c>
    </row>
    <row r="17" spans="1:8" x14ac:dyDescent="0.3">
      <c r="A17" s="13">
        <f>MAX(A$8:A16)+1</f>
        <v>9</v>
      </c>
      <c r="B17" s="13">
        <v>282</v>
      </c>
      <c r="C17" s="13" t="s">
        <v>58</v>
      </c>
      <c r="D17" s="14" t="s">
        <v>16</v>
      </c>
      <c r="E17" s="29">
        <v>-288569.8378191684</v>
      </c>
      <c r="F17" s="29">
        <f>-E17</f>
        <v>288569.8378191684</v>
      </c>
      <c r="G17" s="29"/>
      <c r="H17" s="15">
        <f t="shared" si="0"/>
        <v>0</v>
      </c>
    </row>
    <row r="18" spans="1:8" x14ac:dyDescent="0.3">
      <c r="A18" s="13">
        <f>MAX(A$8:A17)+1</f>
        <v>10</v>
      </c>
      <c r="B18" s="13">
        <v>282</v>
      </c>
      <c r="C18" s="13" t="s">
        <v>58</v>
      </c>
      <c r="D18" s="14" t="s">
        <v>17</v>
      </c>
      <c r="E18" s="29">
        <v>0</v>
      </c>
      <c r="F18" s="29">
        <v>0</v>
      </c>
      <c r="G18" s="29"/>
      <c r="H18" s="15">
        <f t="shared" si="0"/>
        <v>0</v>
      </c>
    </row>
    <row r="19" spans="1:8" x14ac:dyDescent="0.3">
      <c r="A19" s="13">
        <f>MAX(A$8:A18)+1</f>
        <v>11</v>
      </c>
      <c r="B19" s="13">
        <v>282</v>
      </c>
      <c r="C19" s="13" t="s">
        <v>58</v>
      </c>
      <c r="D19" s="14" t="s">
        <v>18</v>
      </c>
      <c r="E19" s="29">
        <v>-364175135.3277905</v>
      </c>
      <c r="F19" s="29">
        <v>63020426</v>
      </c>
      <c r="G19" s="37" t="s">
        <v>66</v>
      </c>
      <c r="H19" s="15">
        <f t="shared" si="0"/>
        <v>-301154709.3277905</v>
      </c>
    </row>
    <row r="20" spans="1:8" x14ac:dyDescent="0.3">
      <c r="A20" s="13">
        <f>MAX(A$8:A19)+1</f>
        <v>12</v>
      </c>
      <c r="B20" s="13">
        <v>282</v>
      </c>
      <c r="C20" s="13" t="s">
        <v>58</v>
      </c>
      <c r="D20" s="14" t="s">
        <v>62</v>
      </c>
      <c r="E20" s="29">
        <v>4039977.7294683573</v>
      </c>
      <c r="F20" s="29">
        <v>0</v>
      </c>
      <c r="G20" s="29"/>
      <c r="H20" s="15">
        <f t="shared" si="0"/>
        <v>4039977.7294683573</v>
      </c>
    </row>
    <row r="21" spans="1:8" x14ac:dyDescent="0.3">
      <c r="A21" s="13"/>
      <c r="B21" s="13"/>
      <c r="C21" s="13"/>
      <c r="D21" s="14"/>
      <c r="E21" s="17"/>
      <c r="F21" s="17"/>
      <c r="G21" s="16"/>
      <c r="H21" s="17"/>
    </row>
    <row r="22" spans="1:8" ht="16.2" thickBot="1" x14ac:dyDescent="0.35">
      <c r="A22" s="13">
        <f>MAX(A$8:A20)+1</f>
        <v>13</v>
      </c>
      <c r="C22" s="20" t="s">
        <v>59</v>
      </c>
      <c r="E22" s="35">
        <f>SUM(E9:E21)</f>
        <v>-412283849.71850044</v>
      </c>
      <c r="F22" s="35">
        <f>SUM(F9:F21)</f>
        <v>99627571.140488788</v>
      </c>
      <c r="G22" s="35"/>
      <c r="H22" s="35">
        <f>SUM(H9:H21)</f>
        <v>-312656278.57801163</v>
      </c>
    </row>
    <row r="23" spans="1:8" ht="16.2" thickTop="1" x14ac:dyDescent="0.3">
      <c r="A23" s="50"/>
      <c r="B23" s="50"/>
      <c r="C23" s="51"/>
      <c r="D23" s="51"/>
      <c r="E23" s="51"/>
      <c r="F23" s="50"/>
      <c r="G23" s="50"/>
      <c r="H23" s="50"/>
    </row>
    <row r="24" spans="1:8" x14ac:dyDescent="0.3">
      <c r="C24" s="12"/>
      <c r="D24" s="12"/>
      <c r="E24" s="12"/>
    </row>
    <row r="25" spans="1:8" x14ac:dyDescent="0.3">
      <c r="B25" s="49" t="s">
        <v>70</v>
      </c>
      <c r="C25" s="12"/>
      <c r="D25" s="12"/>
      <c r="E25" s="12"/>
    </row>
    <row r="26" spans="1:8" x14ac:dyDescent="0.3">
      <c r="C26" s="12"/>
      <c r="D26" s="12"/>
      <c r="E26" s="12"/>
    </row>
    <row r="27" spans="1:8" x14ac:dyDescent="0.3">
      <c r="C27" s="12"/>
      <c r="D27" s="12"/>
      <c r="E27" s="12"/>
    </row>
    <row r="28" spans="1:8" x14ac:dyDescent="0.3">
      <c r="C28" s="12"/>
      <c r="D28" s="12"/>
      <c r="E28" s="12"/>
    </row>
  </sheetData>
  <mergeCells count="5">
    <mergeCell ref="B8:D8"/>
    <mergeCell ref="A1:H1"/>
    <mergeCell ref="A2:H2"/>
    <mergeCell ref="A5:A6"/>
    <mergeCell ref="B5:C5"/>
  </mergeCells>
  <pageMargins left="0.2" right="0.2" top="0.75" bottom="0.75" header="0.3" footer="0.3"/>
  <pageSetup scale="96" orientation="landscape" r:id="rId1"/>
  <headerFooter>
    <oddHeader>&amp;RPUCO CaseNo. 15-795-EL-RDR
Attachment B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1244981c-c363-4a81-9e8a-51c707ce5d2b">
      <UserInfo>
        <DisplayName/>
        <AccountId xsi:nil="true"/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EC0F9797D654290E1FD5655EA378F" ma:contentTypeVersion="5" ma:contentTypeDescription="Create a new document." ma:contentTypeScope="" ma:versionID="944c881ce720f7493389961db58a683c">
  <xsd:schema xmlns:xsd="http://www.w3.org/2001/XMLSchema" xmlns:xs="http://www.w3.org/2001/XMLSchema" xmlns:p="http://schemas.microsoft.com/office/2006/metadata/properties" xmlns:ns2="1244981c-c363-4a81-9e8a-51c707ce5d2b" targetNamespace="http://schemas.microsoft.com/office/2006/metadata/properties" ma:root="true" ma:fieldsID="f514c8e2391effa57c87696853e52511" ns2:_="">
    <xsd:import namespace="1244981c-c363-4a81-9e8a-51c707ce5d2b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4981c-c363-4a81-9e8a-51c707ce5d2b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C3E24-2687-4B81-B2BB-20CB1E0720D9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244981c-c363-4a81-9e8a-51c707ce5d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ABE00E-FF97-4552-BDD9-F8A32851B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42ED2-97E3-453A-AF9D-803101910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4981c-c363-4a81-9e8a-51c707ce5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Rev Req Summary</vt:lpstr>
      <vt:lpstr>Depr and ADIT</vt:lpstr>
      <vt:lpstr>Plant Data (Mar15)</vt:lpstr>
      <vt:lpstr>Accum Depr (Mar15)</vt:lpstr>
      <vt:lpstr>Accum Def Inc Tax (Mar15)</vt:lpstr>
      <vt:lpstr>'Plant Data (Mar15)'!Print_Area</vt:lpstr>
      <vt:lpstr>'Rev Req Summary'!Print_Area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T19577</dc:creator>
  <cp:lastModifiedBy>Sunderman, Minna</cp:lastModifiedBy>
  <cp:lastPrinted>2026-07-13T19:41:31Z</cp:lastPrinted>
  <dcterms:created xsi:type="dcterms:W3CDTF">2013-09-30T17:41:08Z</dcterms:created>
  <dcterms:modified xsi:type="dcterms:W3CDTF">2026-07-13T19:41:37Z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0x010100D98EC0F9797D654290E1FD5655EA378F</vt:lpwstr>
  </property>
  <property fmtid="{D5CDD505-2E9C-101B-9397-08002B2CF9AE}" pid="3" name="MSIP_Label_662cb729-ddbd-42d6-997e-2658e5557404_Enabled">
    <vt:lpwstr>true</vt:lpwstr>
  </property>
  <property fmtid="{D5CDD505-2E9C-101B-9397-08002B2CF9AE}" pid="4" name="MSIP_Label_662cb729-ddbd-42d6-997e-2658e5557404_SetDate">
    <vt:lpwstr>2026-06-12T13:04:22Z</vt:lpwstr>
  </property>
  <property fmtid="{D5CDD505-2E9C-101B-9397-08002B2CF9AE}" pid="5" name="MSIP_Label_662cb729-ddbd-42d6-997e-2658e5557404_Method">
    <vt:lpwstr>Standard</vt:lpwstr>
  </property>
  <property fmtid="{D5CDD505-2E9C-101B-9397-08002B2CF9AE}" pid="6" name="MSIP_Label_662cb729-ddbd-42d6-997e-2658e5557404_Name">
    <vt:lpwstr>INTERNAL – NO MARKING</vt:lpwstr>
  </property>
  <property fmtid="{D5CDD505-2E9C-101B-9397-08002B2CF9AE}" pid="7" name="MSIP_Label_662cb729-ddbd-42d6-997e-2658e5557404_SiteId">
    <vt:lpwstr>2ede383a-7e1f-4357-a846-85886b2c0c4d</vt:lpwstr>
  </property>
  <property fmtid="{D5CDD505-2E9C-101B-9397-08002B2CF9AE}" pid="8" name="MSIP_Label_662cb729-ddbd-42d6-997e-2658e5557404_ActionId">
    <vt:lpwstr>0bf2848f-94ef-4037-85b5-6f12beb462cc</vt:lpwstr>
  </property>
  <property fmtid="{D5CDD505-2E9C-101B-9397-08002B2CF9AE}" pid="9" name="MSIP_Label_662cb729-ddbd-42d6-997e-2658e5557404_ContentBits">
    <vt:lpwstr>0</vt:lpwstr>
  </property>
  <property fmtid="{D5CDD505-2E9C-101B-9397-08002B2CF9AE}" pid="10" name="MSIP_Label_662cb729-ddbd-42d6-997e-2658e5557404_Tag">
    <vt:lpwstr>10, 3, 0, 1</vt:lpwstr>
  </property>
</Properties>
</file>