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89f3ba4d81d9904/Desktop/Sue files/Fountain Run Wtr/"/>
    </mc:Choice>
  </mc:AlternateContent>
  <xr:revisionPtr revIDLastSave="0" documentId="8_{B4966F5E-BF47-4996-B06A-0C77C978E077}" xr6:coauthVersionLast="47" xr6:coauthVersionMax="47" xr10:uidLastSave="{00000000-0000-0000-0000-000000000000}"/>
  <bookViews>
    <workbookView xWindow="510" yWindow="180" windowWidth="19650" windowHeight="10575" tabRatio="641" xr2:uid="{00000000-000D-0000-FFFF-FFFF00000000}"/>
  </bookViews>
  <sheets>
    <sheet name="SAO" sheetId="6" r:id="rId1"/>
    <sheet name="Revenue Requirement" sheetId="67" r:id="rId2"/>
    <sheet name="Notes" sheetId="76" state="hidden" r:id="rId3"/>
    <sheet name="Wages and Benefits" sheetId="55" r:id="rId4"/>
    <sheet name="Medical" sheetId="74" state="hidden" r:id="rId5"/>
    <sheet name="Water Loss" sheetId="68" r:id="rId6"/>
    <sheet name="Depreciation" sheetId="69" r:id="rId7"/>
    <sheet name="Debt Service" sheetId="50" r:id="rId8"/>
    <sheet name="Tap Fees" sheetId="71" r:id="rId9"/>
    <sheet name="Rate Case Expenses" sheetId="70" r:id="rId10"/>
    <sheet name="Rates" sheetId="2" r:id="rId11"/>
    <sheet name="Bills" sheetId="42" r:id="rId12"/>
    <sheet name="Existing Billing Analysis" sheetId="63" r:id="rId13"/>
    <sheet name="Proposed Billing Analysis" sheetId="65" r:id="rId14"/>
    <sheet name="Analysis by county" sheetId="77" r:id="rId15"/>
  </sheets>
  <definedNames>
    <definedName name="AHV">#REF!</definedName>
    <definedName name="_xlnm.Print_Area" localSheetId="11">Bills!$A$1:$K$31</definedName>
    <definedName name="_xlnm.Print_Area" localSheetId="7">'Debt Service'!$A$1:$O$23</definedName>
    <definedName name="_xlnm.Print_Area" localSheetId="6">Depreciation!$A$1:$M$44</definedName>
    <definedName name="_xlnm.Print_Area" localSheetId="12">'Existing Billing Analysis'!$A$1:$O$75</definedName>
    <definedName name="_xlnm.Print_Area" localSheetId="13">'Proposed Billing Analysis'!$A$1:$N$113</definedName>
    <definedName name="_xlnm.Print_Area" localSheetId="10">Rates!$A$1:$I$34</definedName>
    <definedName name="_xlnm.Print_Area" localSheetId="1">'Revenue Requirement'!$A$1:$H$19</definedName>
    <definedName name="_xlnm.Print_Area" localSheetId="0">SAO!$A$1:$G$42</definedName>
    <definedName name="_xlnm.Print_Area" localSheetId="5">'Water Loss'!$C$3:$H$38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E18" i="2"/>
  <c r="D18" i="6"/>
  <c r="D12" i="6" l="1"/>
  <c r="C12" i="71"/>
  <c r="C11" i="71"/>
  <c r="D6" i="71" l="1"/>
  <c r="D5" i="71"/>
  <c r="D4" i="71"/>
  <c r="E60" i="65"/>
  <c r="F61" i="65"/>
  <c r="F60" i="65"/>
  <c r="D16" i="68" l="1"/>
  <c r="F61" i="63" l="1"/>
  <c r="R30" i="77"/>
  <c r="Q30" i="77"/>
  <c r="R22" i="77"/>
  <c r="Q22" i="77"/>
  <c r="R11" i="77"/>
  <c r="E22" i="77"/>
  <c r="E36" i="77" s="1"/>
  <c r="F22" i="77"/>
  <c r="H11" i="77"/>
  <c r="I11" i="77"/>
  <c r="K11" i="77"/>
  <c r="L11" i="77"/>
  <c r="N11" i="77"/>
  <c r="O11" i="77"/>
  <c r="O30" i="77"/>
  <c r="N30" i="77"/>
  <c r="L30" i="77"/>
  <c r="K30" i="77"/>
  <c r="O22" i="77"/>
  <c r="N22" i="77"/>
  <c r="L22" i="77"/>
  <c r="K22" i="77"/>
  <c r="I22" i="77"/>
  <c r="I36" i="77" s="1"/>
  <c r="H22" i="77"/>
  <c r="F36" i="77"/>
  <c r="C11" i="77"/>
  <c r="C36" i="77" s="1"/>
  <c r="B11" i="77"/>
  <c r="B36" i="77" s="1"/>
  <c r="D12" i="50"/>
  <c r="L13" i="50"/>
  <c r="J13" i="50"/>
  <c r="H13" i="50"/>
  <c r="F13" i="50"/>
  <c r="D13" i="50"/>
  <c r="H36" i="77" l="1"/>
  <c r="O36" i="77"/>
  <c r="Q11" i="77"/>
  <c r="N36" i="77"/>
  <c r="N38" i="77" s="1"/>
  <c r="L36" i="77"/>
  <c r="K36" i="77"/>
  <c r="F29" i="69"/>
  <c r="F30" i="69"/>
  <c r="F28" i="69"/>
  <c r="F35" i="69"/>
  <c r="O21" i="69"/>
  <c r="O38" i="77" l="1"/>
  <c r="K28" i="69"/>
  <c r="F18" i="6" l="1"/>
  <c r="G55" i="65" l="1"/>
  <c r="H55" i="65" s="1"/>
  <c r="I21" i="65"/>
  <c r="H21" i="65"/>
  <c r="H20" i="65"/>
  <c r="E62" i="65"/>
  <c r="I39" i="65" l="1"/>
  <c r="H39" i="65"/>
  <c r="H38" i="65"/>
  <c r="H53" i="65" l="1"/>
  <c r="H52" i="65"/>
  <c r="G53" i="65"/>
  <c r="G52" i="65"/>
  <c r="F56" i="65"/>
  <c r="I35" i="65"/>
  <c r="H35" i="65"/>
  <c r="J34" i="65"/>
  <c r="J16" i="65"/>
  <c r="I16" i="65"/>
  <c r="H16" i="65"/>
  <c r="G55" i="63"/>
  <c r="H55" i="63" s="1"/>
  <c r="G54" i="63"/>
  <c r="H53" i="63"/>
  <c r="G53" i="63"/>
  <c r="H52" i="63"/>
  <c r="G52" i="63"/>
  <c r="C47" i="63"/>
  <c r="I39" i="63"/>
  <c r="J39" i="63" s="1"/>
  <c r="H39" i="63"/>
  <c r="G39" i="63"/>
  <c r="G38" i="63"/>
  <c r="I38" i="63" s="1"/>
  <c r="H38" i="63"/>
  <c r="G37" i="63"/>
  <c r="H37" i="63" s="1"/>
  <c r="H35" i="63"/>
  <c r="I35" i="63"/>
  <c r="J35" i="63"/>
  <c r="G36" i="63" l="1"/>
  <c r="C29" i="63"/>
  <c r="J34" i="63"/>
  <c r="I34" i="63"/>
  <c r="H34" i="63"/>
  <c r="J16" i="63"/>
  <c r="I16" i="63"/>
  <c r="H16" i="63"/>
  <c r="I21" i="63"/>
  <c r="J21" i="63" s="1"/>
  <c r="H21" i="63"/>
  <c r="G21" i="63"/>
  <c r="H20" i="63"/>
  <c r="G20" i="63"/>
  <c r="I20" i="63" s="1"/>
  <c r="H19" i="63"/>
  <c r="G19" i="63"/>
  <c r="J17" i="65" l="1"/>
  <c r="I17" i="65"/>
  <c r="H17" i="65"/>
  <c r="F56" i="63"/>
  <c r="K22" i="63"/>
  <c r="K23" i="63"/>
  <c r="L41" i="63"/>
  <c r="J17" i="63"/>
  <c r="I17" i="63"/>
  <c r="H17" i="63"/>
  <c r="F20" i="6" l="1"/>
  <c r="F62" i="65"/>
  <c r="F60" i="63"/>
  <c r="H56" i="65"/>
  <c r="E56" i="65"/>
  <c r="P56" i="65" s="1"/>
  <c r="L55" i="65"/>
  <c r="L16" i="65"/>
  <c r="F62" i="63" l="1"/>
  <c r="G61" i="63"/>
  <c r="I61" i="63" s="1"/>
  <c r="G60" i="63"/>
  <c r="G44" i="63"/>
  <c r="M55" i="63"/>
  <c r="M54" i="63"/>
  <c r="H56" i="63"/>
  <c r="G56" i="63"/>
  <c r="E56" i="63"/>
  <c r="C55" i="63"/>
  <c r="H41" i="63"/>
  <c r="F45" i="63" s="1"/>
  <c r="H23" i="63"/>
  <c r="F27" i="63" s="1"/>
  <c r="F22" i="42"/>
  <c r="F21" i="42"/>
  <c r="F19" i="42"/>
  <c r="F18" i="42"/>
  <c r="F17" i="42"/>
  <c r="F16" i="42"/>
  <c r="F14" i="42"/>
  <c r="F13" i="42"/>
  <c r="E60" i="63" l="1"/>
  <c r="Q56" i="63"/>
  <c r="M56" i="63"/>
  <c r="I60" i="63" l="1"/>
  <c r="I62" i="63" s="1"/>
  <c r="E62" i="63"/>
  <c r="F12" i="42"/>
  <c r="C5" i="42" l="1"/>
  <c r="B5" i="63"/>
  <c r="B5" i="65"/>
  <c r="B5" i="50"/>
  <c r="A2" i="67"/>
  <c r="J39" i="69"/>
  <c r="U18" i="55"/>
  <c r="T18" i="55"/>
  <c r="S18" i="55"/>
  <c r="R18" i="55"/>
  <c r="Q18" i="55"/>
  <c r="O18" i="55"/>
  <c r="N18" i="55"/>
  <c r="J36" i="69"/>
  <c r="K36" i="69" s="1"/>
  <c r="M16" i="50"/>
  <c r="E18" i="55" l="1"/>
  <c r="F27" i="6"/>
  <c r="D27" i="6"/>
  <c r="G9" i="65"/>
  <c r="G11" i="63"/>
  <c r="G17" i="50" l="1"/>
  <c r="F17" i="50"/>
  <c r="D17" i="50"/>
  <c r="C17" i="50"/>
  <c r="F18" i="55"/>
  <c r="D60" i="65"/>
  <c r="G54" i="65"/>
  <c r="D46" i="65"/>
  <c r="C46" i="65"/>
  <c r="D45" i="65"/>
  <c r="C45" i="65"/>
  <c r="D44" i="65"/>
  <c r="C44" i="65"/>
  <c r="K35" i="65"/>
  <c r="J35" i="65"/>
  <c r="G35" i="65"/>
  <c r="K34" i="65"/>
  <c r="I34" i="65"/>
  <c r="H34" i="65"/>
  <c r="G34" i="65"/>
  <c r="D29" i="65"/>
  <c r="C29" i="65"/>
  <c r="D28" i="65"/>
  <c r="C28" i="65"/>
  <c r="D27" i="65"/>
  <c r="C27" i="65"/>
  <c r="D26" i="65"/>
  <c r="C26" i="65"/>
  <c r="F23" i="65"/>
  <c r="F40" i="65" s="1"/>
  <c r="E23" i="65"/>
  <c r="I22" i="65"/>
  <c r="G21" i="65"/>
  <c r="J21" i="65" s="1"/>
  <c r="G20" i="65"/>
  <c r="I20" i="65" s="1"/>
  <c r="G19" i="65"/>
  <c r="H19" i="65" s="1"/>
  <c r="G17" i="65"/>
  <c r="G16" i="65"/>
  <c r="G48" i="63"/>
  <c r="G47" i="63"/>
  <c r="G46" i="63"/>
  <c r="G45" i="63"/>
  <c r="D29" i="63"/>
  <c r="D46" i="63"/>
  <c r="C46" i="63"/>
  <c r="D45" i="63"/>
  <c r="C45" i="63"/>
  <c r="D44" i="63"/>
  <c r="C44" i="63"/>
  <c r="G35" i="63"/>
  <c r="G34" i="63"/>
  <c r="P23" i="65" l="1"/>
  <c r="G56" i="65"/>
  <c r="L54" i="65"/>
  <c r="L56" i="65" s="1"/>
  <c r="G36" i="65"/>
  <c r="E40" i="65"/>
  <c r="I40" i="65" s="1"/>
  <c r="G39" i="65"/>
  <c r="J39" i="65" s="1"/>
  <c r="L19" i="65"/>
  <c r="E26" i="65"/>
  <c r="I23" i="65"/>
  <c r="F28" i="65" s="1"/>
  <c r="H22" i="65"/>
  <c r="J22" i="65"/>
  <c r="L21" i="65"/>
  <c r="G37" i="65"/>
  <c r="H37" i="65" s="1"/>
  <c r="G22" i="65"/>
  <c r="G18" i="65"/>
  <c r="C20" i="74"/>
  <c r="B20" i="74"/>
  <c r="D19" i="74"/>
  <c r="G19" i="74" s="1"/>
  <c r="D8" i="74"/>
  <c r="G8" i="74" s="1"/>
  <c r="D7" i="74"/>
  <c r="G7" i="74" s="1"/>
  <c r="D6" i="74"/>
  <c r="G6" i="74" s="1"/>
  <c r="B9" i="74"/>
  <c r="J28" i="55"/>
  <c r="J22" i="55"/>
  <c r="D3" i="71"/>
  <c r="J34" i="69"/>
  <c r="K34" i="69" s="1"/>
  <c r="J33" i="69"/>
  <c r="K33" i="69" s="1"/>
  <c r="J32" i="69"/>
  <c r="K32" i="69" s="1"/>
  <c r="J24" i="69"/>
  <c r="K24" i="69" s="1"/>
  <c r="J23" i="69"/>
  <c r="K23" i="69" s="1"/>
  <c r="J20" i="69"/>
  <c r="K20" i="69" s="1"/>
  <c r="J19" i="69"/>
  <c r="K19" i="69" s="1"/>
  <c r="J16" i="69"/>
  <c r="K16" i="69" s="1"/>
  <c r="J15" i="69"/>
  <c r="K15" i="69" s="1"/>
  <c r="J14" i="69"/>
  <c r="K14" i="69" s="1"/>
  <c r="J13" i="69"/>
  <c r="K13" i="69" s="1"/>
  <c r="M14" i="50"/>
  <c r="M13" i="50"/>
  <c r="C26" i="63"/>
  <c r="D26" i="63"/>
  <c r="G26" i="63"/>
  <c r="C27" i="63"/>
  <c r="G27" i="63"/>
  <c r="C28" i="63"/>
  <c r="G28" i="63"/>
  <c r="G29" i="63"/>
  <c r="H40" i="65" l="1"/>
  <c r="G40" i="65"/>
  <c r="J40" i="65"/>
  <c r="L37" i="65"/>
  <c r="H23" i="65"/>
  <c r="F27" i="65" s="1"/>
  <c r="J6" i="74"/>
  <c r="E31" i="65"/>
  <c r="L18" i="65"/>
  <c r="G23" i="65"/>
  <c r="F26" i="65" s="1"/>
  <c r="G38" i="65"/>
  <c r="I38" i="65" s="1"/>
  <c r="E41" i="65"/>
  <c r="K22" i="65"/>
  <c r="K23" i="65" s="1"/>
  <c r="F30" i="65" s="1"/>
  <c r="L20" i="65"/>
  <c r="L36" i="65"/>
  <c r="J23" i="65"/>
  <c r="F29" i="65" s="1"/>
  <c r="F41" i="65"/>
  <c r="M21" i="63"/>
  <c r="E19" i="74"/>
  <c r="H19" i="74" s="1"/>
  <c r="J19" i="74" s="1"/>
  <c r="D20" i="74"/>
  <c r="E6" i="74"/>
  <c r="H6" i="74" s="1"/>
  <c r="E8" i="74"/>
  <c r="H8" i="74" s="1"/>
  <c r="J8" i="74" s="1"/>
  <c r="E7" i="74"/>
  <c r="H7" i="74" s="1"/>
  <c r="J7" i="74" s="1"/>
  <c r="E44" i="65" l="1"/>
  <c r="P41" i="65"/>
  <c r="K40" i="65"/>
  <c r="K41" i="65" s="1"/>
  <c r="G41" i="65"/>
  <c r="F44" i="65" s="1"/>
  <c r="H41" i="65"/>
  <c r="F45" i="65" s="1"/>
  <c r="L39" i="65"/>
  <c r="J41" i="65"/>
  <c r="F47" i="65" s="1"/>
  <c r="I41" i="65"/>
  <c r="F46" i="65" s="1"/>
  <c r="E49" i="65"/>
  <c r="E8" i="65" s="1"/>
  <c r="F31" i="65"/>
  <c r="L22" i="65"/>
  <c r="L23" i="65" s="1"/>
  <c r="J20" i="74"/>
  <c r="C22" i="74" s="1"/>
  <c r="G20" i="74"/>
  <c r="H20" i="74"/>
  <c r="E20" i="74"/>
  <c r="L40" i="65" l="1"/>
  <c r="L38" i="65"/>
  <c r="F49" i="65"/>
  <c r="F8" i="65" s="1"/>
  <c r="J31" i="69"/>
  <c r="K31" i="69" s="1"/>
  <c r="F41" i="69"/>
  <c r="L41" i="65" l="1"/>
  <c r="C9" i="74"/>
  <c r="H9" i="74" l="1"/>
  <c r="E9" i="74"/>
  <c r="A7" i="55" l="1"/>
  <c r="A8" i="55" s="1"/>
  <c r="F48" i="69"/>
  <c r="K39" i="69"/>
  <c r="J35" i="69"/>
  <c r="K35" i="69" s="1"/>
  <c r="J30" i="69"/>
  <c r="K30" i="69" s="1"/>
  <c r="J29" i="69"/>
  <c r="K29" i="69" s="1"/>
  <c r="J28" i="69"/>
  <c r="J25" i="69"/>
  <c r="K25" i="69" s="1"/>
  <c r="H41" i="69"/>
  <c r="J12" i="69"/>
  <c r="K12" i="69" l="1"/>
  <c r="K41" i="69" l="1"/>
  <c r="J41" i="69"/>
  <c r="F47" i="69" s="1"/>
  <c r="F49" i="69" s="1"/>
  <c r="D32" i="6" s="1"/>
  <c r="B5" i="70" l="1"/>
  <c r="B7" i="70" s="1"/>
  <c r="L17" i="50"/>
  <c r="K17" i="50"/>
  <c r="J17" i="50"/>
  <c r="I17" i="50"/>
  <c r="H17" i="50"/>
  <c r="E17" i="50"/>
  <c r="M15" i="50"/>
  <c r="F35" i="68" l="1"/>
  <c r="C34" i="68"/>
  <c r="C33" i="68"/>
  <c r="G16" i="63" l="1"/>
  <c r="D60" i="63"/>
  <c r="J22" i="63"/>
  <c r="I22" i="63"/>
  <c r="G22" i="63"/>
  <c r="L22" i="63" s="1"/>
  <c r="L23" i="63" s="1"/>
  <c r="G18" i="63"/>
  <c r="D34" i="68" l="1"/>
  <c r="D33" i="68"/>
  <c r="E24" i="68"/>
  <c r="E17" i="68"/>
  <c r="E8" i="68"/>
  <c r="E25" i="68" l="1"/>
  <c r="F28" i="68"/>
  <c r="F30" i="68" s="1"/>
  <c r="F34" i="68" s="1"/>
  <c r="D36" i="68"/>
  <c r="F33" i="68" l="1"/>
  <c r="D16" i="6" s="1"/>
  <c r="D17" i="6"/>
  <c r="F36" i="68" l="1"/>
  <c r="B12" i="67" l="1"/>
  <c r="B6" i="67"/>
  <c r="B5" i="67"/>
  <c r="C47" i="6"/>
  <c r="C34" i="6"/>
  <c r="C39" i="6"/>
  <c r="D39" i="6"/>
  <c r="F38" i="6"/>
  <c r="F37" i="6"/>
  <c r="F32" i="6"/>
  <c r="F39" i="6" l="1"/>
  <c r="F13" i="67" s="1"/>
  <c r="F8" i="6" l="1"/>
  <c r="F12" i="67" s="1"/>
  <c r="F14" i="67" s="1"/>
  <c r="D23" i="6" l="1"/>
  <c r="D22" i="6"/>
  <c r="G30" i="63" l="1"/>
  <c r="J23" i="63"/>
  <c r="F29" i="63" s="1"/>
  <c r="I29" i="63" s="1"/>
  <c r="F30" i="63"/>
  <c r="M20" i="63"/>
  <c r="M22" i="63"/>
  <c r="F19" i="6"/>
  <c r="F21" i="6"/>
  <c r="F22" i="6"/>
  <c r="F23" i="6"/>
  <c r="F24" i="6"/>
  <c r="F25" i="6"/>
  <c r="F26" i="6"/>
  <c r="I30" i="63" l="1"/>
  <c r="F23" i="63"/>
  <c r="E23" i="63"/>
  <c r="G17" i="63"/>
  <c r="C29" i="6"/>
  <c r="F28" i="6"/>
  <c r="F17" i="6"/>
  <c r="F16" i="6"/>
  <c r="F14" i="6"/>
  <c r="C9" i="6"/>
  <c r="Q23" i="63" l="1"/>
  <c r="F40" i="63"/>
  <c r="E26" i="63"/>
  <c r="I26" i="63" s="1"/>
  <c r="E40" i="63"/>
  <c r="K40" i="63" s="1"/>
  <c r="K41" i="63" s="1"/>
  <c r="C41" i="6"/>
  <c r="M18" i="63"/>
  <c r="G23" i="63"/>
  <c r="F26" i="63" s="1"/>
  <c r="F41" i="63" l="1"/>
  <c r="M36" i="63"/>
  <c r="E41" i="63"/>
  <c r="G40" i="63"/>
  <c r="D47" i="6"/>
  <c r="E31" i="63"/>
  <c r="F11" i="42"/>
  <c r="E44" i="63" l="1"/>
  <c r="I44" i="63" s="1"/>
  <c r="Q41" i="63"/>
  <c r="J41" i="63"/>
  <c r="F48" i="63"/>
  <c r="I48" i="63" s="1"/>
  <c r="M37" i="63"/>
  <c r="I41" i="63"/>
  <c r="G41" i="63"/>
  <c r="F44" i="63" s="1"/>
  <c r="M12" i="50"/>
  <c r="M17" i="50" s="1"/>
  <c r="E49" i="63" l="1"/>
  <c r="E8" i="63" s="1"/>
  <c r="F47" i="63"/>
  <c r="I47" i="63" s="1"/>
  <c r="I45" i="63"/>
  <c r="F46" i="63"/>
  <c r="I46" i="63" s="1"/>
  <c r="M38" i="63"/>
  <c r="M39" i="63"/>
  <c r="M40" i="63"/>
  <c r="M19" i="50"/>
  <c r="F7" i="67" s="1"/>
  <c r="F49" i="63" l="1"/>
  <c r="I49" i="63"/>
  <c r="M41" i="63"/>
  <c r="M21" i="50"/>
  <c r="F8" i="67" s="1"/>
  <c r="H6" i="55" l="1"/>
  <c r="I8" i="55" l="1"/>
  <c r="H8" i="55"/>
  <c r="I7" i="55"/>
  <c r="H7" i="55"/>
  <c r="K7" i="55" s="1"/>
  <c r="I6" i="55"/>
  <c r="K6" i="55" s="1"/>
  <c r="K8" i="55" l="1"/>
  <c r="H18" i="55"/>
  <c r="J7" i="55"/>
  <c r="M7" i="55" s="1"/>
  <c r="J8" i="55"/>
  <c r="M8" i="55" s="1"/>
  <c r="I18" i="55" l="1"/>
  <c r="J6" i="55"/>
  <c r="J18" i="55" l="1"/>
  <c r="M6" i="55"/>
  <c r="M18" i="55" s="1"/>
  <c r="K18" i="55" l="1"/>
  <c r="J31" i="55" s="1"/>
  <c r="J33" i="55" s="1"/>
  <c r="J21" i="55"/>
  <c r="J25" i="55"/>
  <c r="J27" i="55" s="1"/>
  <c r="J23" i="55" l="1"/>
  <c r="D13" i="6" s="1"/>
  <c r="F13" i="6" s="1"/>
  <c r="J29" i="55"/>
  <c r="D33" i="6" s="1"/>
  <c r="J35" i="55"/>
  <c r="D15" i="6" s="1"/>
  <c r="I23" i="63"/>
  <c r="M19" i="63"/>
  <c r="M23" i="63" s="1"/>
  <c r="M62" i="63" l="1"/>
  <c r="I27" i="63"/>
  <c r="F28" i="63"/>
  <c r="I28" i="63" s="1"/>
  <c r="F33" i="6"/>
  <c r="F34" i="6" s="1"/>
  <c r="F6" i="67" s="1"/>
  <c r="D34" i="6"/>
  <c r="I31" i="63" l="1"/>
  <c r="G8" i="63" s="1"/>
  <c r="G10" i="63" s="1"/>
  <c r="G12" i="63" s="1"/>
  <c r="G13" i="63" s="1"/>
  <c r="F31" i="63"/>
  <c r="F8" i="63" s="1"/>
  <c r="D7" i="6" l="1"/>
  <c r="F7" i="6" l="1"/>
  <c r="F17" i="67" s="1"/>
  <c r="D9" i="6"/>
  <c r="F9" i="6" l="1"/>
  <c r="D9" i="74"/>
  <c r="G9" i="74" l="1"/>
  <c r="J9" i="74"/>
  <c r="C11" i="74" s="1"/>
  <c r="C13" i="74" s="1"/>
  <c r="C24" i="74" l="1"/>
  <c r="C26" i="74" s="1"/>
  <c r="F29" i="6" l="1"/>
  <c r="D29" i="6"/>
  <c r="D41" i="6" s="1"/>
  <c r="F5" i="67" l="1"/>
  <c r="F9" i="67" s="1"/>
  <c r="F16" i="67" s="1"/>
  <c r="F18" i="67" s="1"/>
  <c r="F41" i="6"/>
  <c r="F19" i="67" l="1"/>
  <c r="G11" i="65"/>
  <c r="E13" i="2" l="1"/>
  <c r="E12" i="2"/>
  <c r="E20" i="2"/>
  <c r="E24" i="2"/>
  <c r="E23" i="2"/>
  <c r="G12" i="42"/>
  <c r="F11" i="2"/>
  <c r="G11" i="2" s="1"/>
  <c r="E10" i="2"/>
  <c r="G18" i="42"/>
  <c r="G13" i="42"/>
  <c r="G29" i="65"/>
  <c r="H29" i="65" s="1"/>
  <c r="G17" i="42"/>
  <c r="G16" i="42"/>
  <c r="G14" i="42"/>
  <c r="E19" i="2"/>
  <c r="E17" i="2"/>
  <c r="G22" i="42"/>
  <c r="G21" i="42"/>
  <c r="G19" i="42"/>
  <c r="G30" i="65"/>
  <c r="H30" i="65" s="1"/>
  <c r="G26" i="65" l="1"/>
  <c r="H26" i="65" s="1"/>
  <c r="F17" i="2"/>
  <c r="G17" i="2" s="1"/>
  <c r="G44" i="65"/>
  <c r="H44" i="65" s="1"/>
  <c r="F24" i="2"/>
  <c r="G24" i="2" s="1"/>
  <c r="G61" i="65"/>
  <c r="H61" i="65" s="1"/>
  <c r="F19" i="2"/>
  <c r="G19" i="2" s="1"/>
  <c r="G46" i="65"/>
  <c r="H46" i="65" s="1"/>
  <c r="F20" i="2"/>
  <c r="G20" i="2" s="1"/>
  <c r="G47" i="65"/>
  <c r="H47" i="65" s="1"/>
  <c r="F18" i="2"/>
  <c r="G18" i="2" s="1"/>
  <c r="G45" i="65"/>
  <c r="H45" i="65" s="1"/>
  <c r="F23" i="2"/>
  <c r="G23" i="2" s="1"/>
  <c r="G60" i="65"/>
  <c r="H60" i="65" s="1"/>
  <c r="G11" i="42"/>
  <c r="H11" i="42" s="1"/>
  <c r="I11" i="42" s="1"/>
  <c r="H14" i="42"/>
  <c r="I14" i="42" s="1"/>
  <c r="G28" i="65"/>
  <c r="H28" i="65" s="1"/>
  <c r="F12" i="2"/>
  <c r="G12" i="2" s="1"/>
  <c r="G27" i="65"/>
  <c r="H27" i="65" s="1"/>
  <c r="H12" i="42"/>
  <c r="I12" i="42" s="1"/>
  <c r="F10" i="2"/>
  <c r="G10" i="2" s="1"/>
  <c r="F13" i="2"/>
  <c r="G13" i="2" s="1"/>
  <c r="H13" i="42"/>
  <c r="I13" i="42" s="1"/>
  <c r="H21" i="42"/>
  <c r="I21" i="42" s="1"/>
  <c r="H16" i="42"/>
  <c r="I16" i="42" s="1"/>
  <c r="H19" i="42"/>
  <c r="I19" i="42" s="1"/>
  <c r="H22" i="42"/>
  <c r="I22" i="42" s="1"/>
  <c r="H17" i="42"/>
  <c r="I17" i="42" s="1"/>
  <c r="H18" i="42"/>
  <c r="I18" i="42" s="1"/>
  <c r="H62" i="65" l="1"/>
  <c r="H49" i="65"/>
  <c r="H31" i="65"/>
  <c r="G8" i="65" l="1"/>
  <c r="G10" i="65" s="1"/>
  <c r="G12" i="65" s="1"/>
  <c r="G13" i="65" s="1"/>
</calcChain>
</file>

<file path=xl/sharedStrings.xml><?xml version="1.0" encoding="utf-8"?>
<sst xmlns="http://schemas.openxmlformats.org/spreadsheetml/2006/main" count="586" uniqueCount="317">
  <si>
    <t>Proposed</t>
  </si>
  <si>
    <t>Total</t>
  </si>
  <si>
    <t>Gallons</t>
  </si>
  <si>
    <t>Less:</t>
  </si>
  <si>
    <t>Existing</t>
  </si>
  <si>
    <t>Change</t>
  </si>
  <si>
    <t>Table A</t>
  </si>
  <si>
    <t>Test Year</t>
  </si>
  <si>
    <t>Adjustments</t>
  </si>
  <si>
    <t>Proforma</t>
  </si>
  <si>
    <t>BILLS</t>
  </si>
  <si>
    <t>RATE</t>
  </si>
  <si>
    <t>CURRENT AND PROPOSED RATES</t>
  </si>
  <si>
    <t>Current</t>
  </si>
  <si>
    <t>Revenue from Sales with Present Rates</t>
  </si>
  <si>
    <t>Total Revenue Requirement</t>
  </si>
  <si>
    <t>Required Revenue Increase</t>
  </si>
  <si>
    <t>Difference</t>
  </si>
  <si>
    <t>Bill</t>
  </si>
  <si>
    <t>Percentage</t>
  </si>
  <si>
    <t>TOTALS</t>
  </si>
  <si>
    <t>Salaries &amp; Wages and Associated Adjustments</t>
  </si>
  <si>
    <t>Pro Forma</t>
  </si>
  <si>
    <t xml:space="preserve">Pro Forma </t>
  </si>
  <si>
    <t>Employee</t>
  </si>
  <si>
    <t>Reg. Hrs</t>
  </si>
  <si>
    <t>O. T. Hours</t>
  </si>
  <si>
    <t>Wage Rate</t>
  </si>
  <si>
    <t>Reg. Wages</t>
  </si>
  <si>
    <t>O. T. Wages</t>
  </si>
  <si>
    <t>Wages</t>
  </si>
  <si>
    <t>Pro Forma Salaries &amp; Wages Expense</t>
  </si>
  <si>
    <t>Less: Test Year Salaries &amp; Wages Exp</t>
  </si>
  <si>
    <t>Pro Forma Salaries &amp; Wages Adj'mt</t>
  </si>
  <si>
    <t xml:space="preserve"> </t>
  </si>
  <si>
    <t>Pro Forma Salaries and Wages Expense</t>
  </si>
  <si>
    <t>Times: 7.65 Percent FICA Rate</t>
  </si>
  <si>
    <t>Pro Forma Payroll Taxes</t>
  </si>
  <si>
    <t>Less: Test Year Payroll Taxes</t>
  </si>
  <si>
    <t>Payroll Tax Adjustment</t>
  </si>
  <si>
    <t>Total Pro Forma Pension Contribution</t>
  </si>
  <si>
    <t>Less: Test Year Pension Contribution</t>
  </si>
  <si>
    <t>Pension &amp; Benefits Adjustment</t>
  </si>
  <si>
    <t>Average Annual Principal and Interest Payments</t>
  </si>
  <si>
    <t>DEBT SERVICE SCHDULE</t>
  </si>
  <si>
    <t>Interest</t>
  </si>
  <si>
    <t>Principal</t>
  </si>
  <si>
    <t>&amp; Fees</t>
  </si>
  <si>
    <t>Average Annual Principal &amp; Interest</t>
  </si>
  <si>
    <t>Average Annual Coverage</t>
  </si>
  <si>
    <t>Total Gross Wages</t>
  </si>
  <si>
    <t>Pension</t>
  </si>
  <si>
    <t>Eligible</t>
  </si>
  <si>
    <t>TABLE D</t>
  </si>
  <si>
    <t>CURRENT AND PROPOSED BILLS</t>
  </si>
  <si>
    <t>CERS</t>
  </si>
  <si>
    <t>per Month</t>
  </si>
  <si>
    <t>Input Coverage Percent</t>
  </si>
  <si>
    <t xml:space="preserve">Overall Percent Increase </t>
  </si>
  <si>
    <t>Pro Forma Expenses</t>
  </si>
  <si>
    <t xml:space="preserve"> COMPONENT </t>
  </si>
  <si>
    <t>GALLONS</t>
  </si>
  <si>
    <t xml:space="preserve"> REVENUE </t>
  </si>
  <si>
    <t>Adjustment to SAO Billed Revenues</t>
  </si>
  <si>
    <t>CONSUMPTION BY RATE INCREMENT</t>
  </si>
  <si>
    <t>First</t>
  </si>
  <si>
    <t>Over</t>
  </si>
  <si>
    <t xml:space="preserve"> USAGE </t>
  </si>
  <si>
    <t xml:space="preserve"> Total </t>
  </si>
  <si>
    <t>REVENUE BY RATE INCREMENT</t>
  </si>
  <si>
    <t>First 2,000 Gallons (Minimum Bill)</t>
  </si>
  <si>
    <t>Revenue Required From Sales of Water</t>
  </si>
  <si>
    <t>Debt Service Coverage</t>
  </si>
  <si>
    <t>Operating Expenses</t>
  </si>
  <si>
    <t>Next</t>
  </si>
  <si>
    <t>Description of Adjustments</t>
  </si>
  <si>
    <t>Salaries and Wages-Employees</t>
  </si>
  <si>
    <t>Employee Pensions and Benefits</t>
  </si>
  <si>
    <t>Purchased Water</t>
  </si>
  <si>
    <t>Transportation</t>
  </si>
  <si>
    <t>Purchased Power</t>
  </si>
  <si>
    <t>Depreciation</t>
  </si>
  <si>
    <t>Operating Revenues</t>
  </si>
  <si>
    <t>Total Operating Revenues</t>
  </si>
  <si>
    <t>Total Operating Expenses</t>
  </si>
  <si>
    <t>Taxes</t>
  </si>
  <si>
    <t>Other Expenses</t>
  </si>
  <si>
    <t>Total Other Expenses</t>
  </si>
  <si>
    <t>Other Income</t>
  </si>
  <si>
    <t>Non-Utility Income</t>
  </si>
  <si>
    <t>Interest Income</t>
  </si>
  <si>
    <t>Total Other Income</t>
  </si>
  <si>
    <t>Net Income</t>
  </si>
  <si>
    <t>Check Total</t>
  </si>
  <si>
    <t>Net Income from Annual Report</t>
  </si>
  <si>
    <t>Plus: Interest Expense</t>
  </si>
  <si>
    <t>Less: Gain From Disposition of Property</t>
  </si>
  <si>
    <t>Exclusions from Revenue Requirement</t>
  </si>
  <si>
    <t>Total Exclusions from Revenue Requirement</t>
  </si>
  <si>
    <t>Table B</t>
  </si>
  <si>
    <t>Water Loss Adjustment</t>
  </si>
  <si>
    <t>Produced</t>
  </si>
  <si>
    <t>Purchased</t>
  </si>
  <si>
    <t>Total Produced and Purchased</t>
  </si>
  <si>
    <t>Sold</t>
  </si>
  <si>
    <t>Uses:</t>
  </si>
  <si>
    <t xml:space="preserve">   WTP</t>
  </si>
  <si>
    <t xml:space="preserve">   Flushing</t>
  </si>
  <si>
    <t xml:space="preserve">   Fire</t>
  </si>
  <si>
    <t xml:space="preserve">   Other</t>
  </si>
  <si>
    <t>Total Other Water Used</t>
  </si>
  <si>
    <t>Losses:</t>
  </si>
  <si>
    <t xml:space="preserve">   Tank Overflows</t>
  </si>
  <si>
    <t xml:space="preserve">   Line Breaks</t>
  </si>
  <si>
    <t xml:space="preserve">   Line Leaks</t>
  </si>
  <si>
    <t xml:space="preserve">   Unknown</t>
  </si>
  <si>
    <t>Total Losses:</t>
  </si>
  <si>
    <t>Sold, Used, and Lost</t>
  </si>
  <si>
    <t xml:space="preserve">  water loss percentage</t>
  </si>
  <si>
    <t xml:space="preserve">  allowable in rates</t>
  </si>
  <si>
    <t xml:space="preserve">  adjustment percentage</t>
  </si>
  <si>
    <t>Costs Subject to Water Loss Adjustment</t>
  </si>
  <si>
    <t>Adjustment</t>
  </si>
  <si>
    <t xml:space="preserve">Difference </t>
  </si>
  <si>
    <t xml:space="preserve">Total   </t>
  </si>
  <si>
    <t xml:space="preserve">Less Adjustments </t>
  </si>
  <si>
    <t xml:space="preserve">Total Sales </t>
  </si>
  <si>
    <t>Chemicals</t>
  </si>
  <si>
    <t>Rate Case Expenses</t>
  </si>
  <si>
    <t>KRWA</t>
  </si>
  <si>
    <t>Amortization Years</t>
  </si>
  <si>
    <t>Annual Expense</t>
  </si>
  <si>
    <t>Total Tap Fees Collected</t>
  </si>
  <si>
    <t>Average</t>
  </si>
  <si>
    <t>DEPRECIATION EXPENSE ADJUSTMENTS</t>
  </si>
  <si>
    <t>Date in</t>
  </si>
  <si>
    <t>Expense</t>
  </si>
  <si>
    <t>Service</t>
  </si>
  <si>
    <t>Depr. Exp.</t>
  </si>
  <si>
    <t>General Plant</t>
  </si>
  <si>
    <t>Structures &amp; Improvements</t>
  </si>
  <si>
    <t>Communication &amp; Computer Eqmt.</t>
  </si>
  <si>
    <t>Office Furniture &amp; Equipment</t>
  </si>
  <si>
    <t>Power Operated Equipment</t>
  </si>
  <si>
    <t>Tools, Shop, &amp; Garage Equipment</t>
  </si>
  <si>
    <t>Source of Supply Plant</t>
  </si>
  <si>
    <t>Collecting &amp; Impounding Reservoirs</t>
  </si>
  <si>
    <t>Supply Mains</t>
  </si>
  <si>
    <t>Pumping Plant</t>
  </si>
  <si>
    <t>Telemetry</t>
  </si>
  <si>
    <t>Pumping Equipment</t>
  </si>
  <si>
    <t>Transmission &amp; Distribution Plant</t>
  </si>
  <si>
    <t>Hydrants</t>
  </si>
  <si>
    <t>Transmission &amp; Distribution Mains</t>
  </si>
  <si>
    <t>Meters</t>
  </si>
  <si>
    <t>Pump Equipment</t>
  </si>
  <si>
    <t>Tank Fence</t>
  </si>
  <si>
    <t>Services</t>
  </si>
  <si>
    <t>Reservoirs &amp; Tanks</t>
  </si>
  <si>
    <t>Transportation Equipment</t>
  </si>
  <si>
    <t>Entire Group</t>
  </si>
  <si>
    <t xml:space="preserve">              *  Includes only costs associated with assets that contributed to depreciation expense in the test year.</t>
  </si>
  <si>
    <t>Allowed Depreciation</t>
  </si>
  <si>
    <t>Less: Reported Depreciation</t>
  </si>
  <si>
    <t>Adjustment to Allowed Depreciation</t>
  </si>
  <si>
    <t>Original</t>
  </si>
  <si>
    <t>Reported</t>
  </si>
  <si>
    <t>Asset</t>
  </si>
  <si>
    <t>Life</t>
  </si>
  <si>
    <t>Cost *</t>
  </si>
  <si>
    <t>Employee ID</t>
  </si>
  <si>
    <t>2025 Name</t>
  </si>
  <si>
    <t># of Empl</t>
  </si>
  <si>
    <t>Annual</t>
  </si>
  <si>
    <t xml:space="preserve"> Coverage Types</t>
  </si>
  <si>
    <t>Covered</t>
  </si>
  <si>
    <t>Monthly Rates</t>
  </si>
  <si>
    <t>District</t>
  </si>
  <si>
    <t>Meter Installations</t>
  </si>
  <si>
    <t>Times: CERS Contribution Rate</t>
  </si>
  <si>
    <t>Pro Forma Pension Eligible Expense</t>
  </si>
  <si>
    <t>Effective July 1, 2025</t>
  </si>
  <si>
    <t>Health Insurance Benefits</t>
  </si>
  <si>
    <t>Employee Medical</t>
  </si>
  <si>
    <t xml:space="preserve">Eligible </t>
  </si>
  <si>
    <t>Percent</t>
  </si>
  <si>
    <t>Amount</t>
  </si>
  <si>
    <t>Eligible Amount</t>
  </si>
  <si>
    <t>Less Test Year Amount</t>
  </si>
  <si>
    <t>Table F</t>
  </si>
  <si>
    <t>TABLE C</t>
  </si>
  <si>
    <t>Description</t>
  </si>
  <si>
    <t>Gross Test Year Wages</t>
  </si>
  <si>
    <t>Charged to Tap Fees/Capitalized ()</t>
  </si>
  <si>
    <t>Reported Test Year Wages</t>
  </si>
  <si>
    <t>Wage Rate Inflation</t>
  </si>
  <si>
    <t>Merit/Promotional Increases</t>
  </si>
  <si>
    <t>Turnover During Test Year</t>
  </si>
  <si>
    <t>Pro Forma Wages</t>
  </si>
  <si>
    <t>Positions Added Since Beginning of Test Year</t>
  </si>
  <si>
    <t xml:space="preserve">Positions Converted from Part-Time to Full-Time </t>
  </si>
  <si>
    <t>Positions Deleted Since Beginning of Test Year</t>
  </si>
  <si>
    <t>Schedule of Adjusted Operations</t>
  </si>
  <si>
    <t>Schedule of Revenue Requirements</t>
  </si>
  <si>
    <t>Attorney</t>
  </si>
  <si>
    <t>Next 10,000 gallons per gallon</t>
  </si>
  <si>
    <t>Total Sales of Water</t>
  </si>
  <si>
    <t>Other Water Revenues</t>
  </si>
  <si>
    <t>3/4-Inch Taps</t>
  </si>
  <si>
    <t>1-Inch Taps</t>
  </si>
  <si>
    <t>Count</t>
  </si>
  <si>
    <t>Rate</t>
  </si>
  <si>
    <t>Employees over 2080 hours sold vacation.</t>
  </si>
  <si>
    <t>Single</t>
  </si>
  <si>
    <t>Single buy-up</t>
  </si>
  <si>
    <t>Family buy up</t>
  </si>
  <si>
    <t>Employee Dental</t>
  </si>
  <si>
    <t>Medical Eligible Amount</t>
  </si>
  <si>
    <t>SAO Adjustment Medical</t>
  </si>
  <si>
    <t>From Trial Balance Account 604.8.2 Administrative &amp; General (.8):Employee Pensions and Benefits:Group Health Insurance</t>
  </si>
  <si>
    <t>SAO Adjustment Dental</t>
  </si>
  <si>
    <t>Total SAO Adjustment</t>
  </si>
  <si>
    <t>Adjust to current employees and wage rates</t>
  </si>
  <si>
    <t>Adjust to allowable useful lives</t>
  </si>
  <si>
    <t>Average principal and interest</t>
  </si>
  <si>
    <t>Average debt service coverage</t>
  </si>
  <si>
    <t>Revenue Requirement</t>
  </si>
  <si>
    <t>A</t>
  </si>
  <si>
    <t>B</t>
  </si>
  <si>
    <t>C</t>
  </si>
  <si>
    <t>D</t>
  </si>
  <si>
    <t>E</t>
  </si>
  <si>
    <t>F</t>
  </si>
  <si>
    <t>G</t>
  </si>
  <si>
    <t xml:space="preserve">Annual Report </t>
  </si>
  <si>
    <t>Rate Case Expense</t>
  </si>
  <si>
    <t>Table E</t>
  </si>
  <si>
    <t>Monthly Water Rates</t>
  </si>
  <si>
    <t>2023 Water System Improvements Project</t>
  </si>
  <si>
    <t>Amortize over three years</t>
  </si>
  <si>
    <t>Job Title</t>
  </si>
  <si>
    <t>CSR</t>
  </si>
  <si>
    <t>FICA</t>
  </si>
  <si>
    <t>Employer</t>
  </si>
  <si>
    <t>Health</t>
  </si>
  <si>
    <t>Insurance</t>
  </si>
  <si>
    <t>Coverage</t>
  </si>
  <si>
    <t>Dental</t>
  </si>
  <si>
    <t>Emplyee</t>
  </si>
  <si>
    <t>Retirement</t>
  </si>
  <si>
    <t>Uniforms</t>
  </si>
  <si>
    <t>Operator</t>
  </si>
  <si>
    <t>Fountain Run Water District #1</t>
  </si>
  <si>
    <t>Next 8,000 gallons per gallon</t>
  </si>
  <si>
    <t>Over 20,000 gallons per gallon</t>
  </si>
  <si>
    <t>Monthly Charge 5/8" x 3/4" Meter</t>
  </si>
  <si>
    <t>Miscellaneous Intangibles</t>
  </si>
  <si>
    <t>Land</t>
  </si>
  <si>
    <t>NONE</t>
  </si>
  <si>
    <t>Manager</t>
  </si>
  <si>
    <t>1988 Series Bond</t>
  </si>
  <si>
    <t>2009  Series Bond</t>
  </si>
  <si>
    <t>over</t>
  </si>
  <si>
    <t>No new meters set in 2024</t>
  </si>
  <si>
    <t xml:space="preserve">District pays no employee pensions or health insurance </t>
  </si>
  <si>
    <t>Meter</t>
  </si>
  <si>
    <t>Size</t>
  </si>
  <si>
    <t>5/8"</t>
  </si>
  <si>
    <t>1"</t>
  </si>
  <si>
    <t>2"</t>
  </si>
  <si>
    <t>Monthly Charge 1" Meter</t>
  </si>
  <si>
    <t>First 5,000 Gallons  (Minimum bill)</t>
  </si>
  <si>
    <t>Next 5,000 Gallons per gallon</t>
  </si>
  <si>
    <t>Monthly Charge 2" Meter</t>
  </si>
  <si>
    <t>First 20,000 Gallons  (Minimum bill)</t>
  </si>
  <si>
    <t>5/8 x 3/4 Meters</t>
  </si>
  <si>
    <t>1" Meters</t>
  </si>
  <si>
    <t>2" Meters</t>
  </si>
  <si>
    <t>Water loss adjustment</t>
  </si>
  <si>
    <t>Miscellanous Expense</t>
  </si>
  <si>
    <t>Total Consumption</t>
  </si>
  <si>
    <t>psc report</t>
  </si>
  <si>
    <t>various</t>
  </si>
  <si>
    <t>varies</t>
  </si>
  <si>
    <t>NA</t>
  </si>
  <si>
    <t>General Manager</t>
  </si>
  <si>
    <t>Office Manager</t>
  </si>
  <si>
    <t>Description of Adjustments Needed</t>
  </si>
  <si>
    <t>H</t>
  </si>
  <si>
    <t>Adjustment to revenues to match billing analysis with current rates.</t>
  </si>
  <si>
    <t>Office Expense</t>
  </si>
  <si>
    <t>Professional Fees</t>
  </si>
  <si>
    <t>Analysis Fees</t>
  </si>
  <si>
    <t>Bad Debt</t>
  </si>
  <si>
    <t>Repairs and Maintenance</t>
  </si>
  <si>
    <t>Salaries and Wages-Commissioners</t>
  </si>
  <si>
    <t>FY 2027 - 2031</t>
  </si>
  <si>
    <t>Billing Analysis With 2025 Usage and Existing Rates</t>
  </si>
  <si>
    <t>Billing Analysis With 2025 Usage and Proposed Rates</t>
  </si>
  <si>
    <t>Allen</t>
  </si>
  <si>
    <t>Barren</t>
  </si>
  <si>
    <t>Monroe</t>
  </si>
  <si>
    <t>meters</t>
  </si>
  <si>
    <t>consump</t>
  </si>
  <si>
    <t>over 20,000</t>
  </si>
  <si>
    <t>Grand Totals</t>
  </si>
  <si>
    <t xml:space="preserve">  Total</t>
  </si>
  <si>
    <t>per report</t>
  </si>
  <si>
    <t>Meters Set in 2025</t>
  </si>
  <si>
    <t>2-Inch Taps</t>
  </si>
  <si>
    <t>Per GM two 2" meters set in 2025 for some chicken houses (per email)</t>
  </si>
  <si>
    <t xml:space="preserve">Labor </t>
  </si>
  <si>
    <t xml:space="preserve">Materials </t>
  </si>
  <si>
    <t>Adjust  to capitalize materials for meter tap fees</t>
  </si>
  <si>
    <t>I</t>
  </si>
  <si>
    <t>Adjust labor to capitalize for meter tap fees</t>
  </si>
  <si>
    <t>2025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</si>
</sst>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&quot;$&quot;* #,##0.00000_);_(&quot;$&quot;* \(#,##0.00000\);_(&quot;$&quot;* &quot;-&quot;??_);_(@_)"/>
    <numFmt numFmtId="168" formatCode="_(* #,##0.0_);_(* \(#,##0.0\);_(* &quot;-&quot;??_);_(@_)"/>
    <numFmt numFmtId="169" formatCode="mm/dd/yy;@"/>
    <numFmt numFmtId="170" formatCode="_([$$-409]* #,##0_);_([$$-409]* \(#,##0\);_([$$-409]* &quot;-&quot;??_);_(@_)"/>
    <numFmt numFmtId="171" formatCode="[$$-409]#,##0"/>
  </numFmts>
  <fonts count="38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b/>
      <i/>
      <u/>
      <sz val="14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4"/>
      <name val="Calibri"/>
      <family val="2"/>
    </font>
    <font>
      <b/>
      <u/>
      <sz val="14"/>
      <name val="Calibri"/>
      <family val="2"/>
    </font>
    <font>
      <b/>
      <u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u val="singleAccounting"/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u val="singleAccounting"/>
      <sz val="11"/>
      <name val="Calibri"/>
      <family val="2"/>
    </font>
    <font>
      <b/>
      <sz val="11"/>
      <color rgb="FF000000"/>
      <name val="Calibri"/>
      <family val="2"/>
    </font>
    <font>
      <b/>
      <sz val="16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sz val="11"/>
      <color rgb="FF000000"/>
      <name val="Aptos Narrow"/>
      <family val="2"/>
    </font>
    <font>
      <b/>
      <i/>
      <u/>
      <sz val="16"/>
      <name val="Calibri"/>
      <family val="2"/>
      <scheme val="minor"/>
    </font>
    <font>
      <sz val="9"/>
      <name val="Calibri"/>
      <family val="2"/>
    </font>
    <font>
      <u val="singleAccounting"/>
      <sz val="11"/>
      <color rgb="FF000000"/>
      <name val="Calibri"/>
      <family val="2"/>
      <scheme val="minor"/>
    </font>
    <font>
      <b/>
      <sz val="12"/>
      <name val="Arial"/>
      <family val="2"/>
    </font>
    <font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</cellStyleXfs>
  <cellXfs count="486">
    <xf numFmtId="0" fontId="0" fillId="0" borderId="0" xfId="0"/>
    <xf numFmtId="0" fontId="4" fillId="0" borderId="0" xfId="0" applyFont="1"/>
    <xf numFmtId="165" fontId="4" fillId="0" borderId="1" xfId="1" applyNumberFormat="1" applyFont="1" applyBorder="1"/>
    <xf numFmtId="165" fontId="4" fillId="0" borderId="0" xfId="1" applyNumberFormat="1" applyFont="1" applyBorder="1"/>
    <xf numFmtId="165" fontId="4" fillId="0" borderId="0" xfId="1" applyNumberFormat="1" applyFont="1"/>
    <xf numFmtId="165" fontId="4" fillId="0" borderId="7" xfId="1" applyNumberFormat="1" applyFont="1" applyBorder="1"/>
    <xf numFmtId="165" fontId="4" fillId="0" borderId="8" xfId="1" applyNumberFormat="1" applyFont="1" applyBorder="1"/>
    <xf numFmtId="43" fontId="4" fillId="0" borderId="0" xfId="1" applyFont="1"/>
    <xf numFmtId="165" fontId="10" fillId="0" borderId="0" xfId="1" applyNumberFormat="1" applyFont="1" applyBorder="1" applyAlignment="1">
      <alignment horizontal="center"/>
    </xf>
    <xf numFmtId="43" fontId="4" fillId="0" borderId="0" xfId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65" fontId="4" fillId="0" borderId="0" xfId="5" applyNumberFormat="1" applyFont="1" applyBorder="1"/>
    <xf numFmtId="43" fontId="4" fillId="0" borderId="0" xfId="1" applyFont="1" applyBorder="1" applyAlignment="1"/>
    <xf numFmtId="43" fontId="10" fillId="0" borderId="0" xfId="1" applyFont="1" applyBorder="1" applyAlignment="1">
      <alignment horizontal="center"/>
    </xf>
    <xf numFmtId="44" fontId="4" fillId="0" borderId="0" xfId="2" applyFont="1" applyBorder="1" applyAlignment="1"/>
    <xf numFmtId="165" fontId="7" fillId="0" borderId="0" xfId="1" applyNumberFormat="1" applyFont="1"/>
    <xf numFmtId="165" fontId="10" fillId="0" borderId="8" xfId="1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166" fontId="4" fillId="0" borderId="8" xfId="3" applyNumberFormat="1" applyFont="1" applyBorder="1"/>
    <xf numFmtId="165" fontId="12" fillId="0" borderId="0" xfId="1" applyNumberFormat="1" applyFont="1"/>
    <xf numFmtId="44" fontId="4" fillId="0" borderId="0" xfId="2" applyFont="1" applyBorder="1"/>
    <xf numFmtId="43" fontId="4" fillId="0" borderId="0" xfId="1" applyFont="1" applyBorder="1" applyAlignment="1">
      <alignment horizontal="center"/>
    </xf>
    <xf numFmtId="165" fontId="4" fillId="0" borderId="0" xfId="1" applyNumberFormat="1" applyFont="1" applyAlignment="1">
      <alignment vertical="center"/>
    </xf>
    <xf numFmtId="165" fontId="9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5" fontId="8" fillId="0" borderId="0" xfId="1" applyNumberFormat="1" applyFont="1" applyAlignment="1">
      <alignment vertical="center"/>
    </xf>
    <xf numFmtId="165" fontId="4" fillId="0" borderId="0" xfId="1" applyNumberFormat="1" applyFont="1" applyAlignment="1"/>
    <xf numFmtId="10" fontId="4" fillId="0" borderId="0" xfId="3" applyNumberFormat="1" applyFont="1" applyBorder="1"/>
    <xf numFmtId="43" fontId="4" fillId="0" borderId="0" xfId="1" applyFont="1" applyAlignment="1">
      <alignment horizontal="right"/>
    </xf>
    <xf numFmtId="44" fontId="4" fillId="0" borderId="0" xfId="5" applyNumberFormat="1" applyFont="1" applyBorder="1"/>
    <xf numFmtId="10" fontId="4" fillId="0" borderId="0" xfId="3" applyNumberFormat="1" applyFont="1" applyBorder="1" applyAlignment="1"/>
    <xf numFmtId="43" fontId="4" fillId="0" borderId="7" xfId="1" applyFont="1" applyBorder="1" applyAlignment="1"/>
    <xf numFmtId="43" fontId="4" fillId="0" borderId="8" xfId="1" applyFont="1" applyBorder="1" applyAlignment="1"/>
    <xf numFmtId="44" fontId="4" fillId="0" borderId="0" xfId="2" applyFont="1"/>
    <xf numFmtId="44" fontId="15" fillId="0" borderId="8" xfId="2" applyFont="1" applyBorder="1" applyAlignment="1">
      <alignment horizontal="center"/>
    </xf>
    <xf numFmtId="0" fontId="16" fillId="0" borderId="0" xfId="0" applyFont="1"/>
    <xf numFmtId="165" fontId="4" fillId="0" borderId="0" xfId="1" applyNumberFormat="1" applyFont="1" applyFill="1"/>
    <xf numFmtId="44" fontId="4" fillId="0" borderId="0" xfId="2" applyFont="1" applyFill="1"/>
    <xf numFmtId="44" fontId="4" fillId="0" borderId="0" xfId="3" applyNumberFormat="1" applyFont="1" applyBorder="1" applyAlignment="1"/>
    <xf numFmtId="10" fontId="4" fillId="0" borderId="0" xfId="3" applyNumberFormat="1" applyFont="1" applyBorder="1" applyAlignment="1">
      <alignment horizontal="right"/>
    </xf>
    <xf numFmtId="164" fontId="4" fillId="0" borderId="0" xfId="5" applyNumberFormat="1" applyFont="1" applyBorder="1"/>
    <xf numFmtId="165" fontId="4" fillId="0" borderId="1" xfId="5" applyNumberFormat="1" applyFont="1" applyBorder="1"/>
    <xf numFmtId="0" fontId="17" fillId="0" borderId="0" xfId="0" applyFont="1"/>
    <xf numFmtId="43" fontId="4" fillId="0" borderId="1" xfId="1" applyFont="1" applyFill="1" applyBorder="1"/>
    <xf numFmtId="165" fontId="9" fillId="0" borderId="0" xfId="1" applyNumberFormat="1" applyFont="1" applyAlignment="1">
      <alignment vertical="center"/>
    </xf>
    <xf numFmtId="0" fontId="18" fillId="0" borderId="0" xfId="0" applyFont="1"/>
    <xf numFmtId="165" fontId="4" fillId="0" borderId="1" xfId="1" applyNumberFormat="1" applyFont="1" applyFill="1" applyBorder="1" applyAlignment="1">
      <alignment vertical="center"/>
    </xf>
    <xf numFmtId="165" fontId="16" fillId="0" borderId="0" xfId="5" applyNumberFormat="1" applyFont="1" applyFill="1" applyBorder="1"/>
    <xf numFmtId="165" fontId="16" fillId="0" borderId="0" xfId="5" applyNumberFormat="1" applyFont="1" applyFill="1" applyBorder="1" applyAlignment="1">
      <alignment horizontal="right"/>
    </xf>
    <xf numFmtId="165" fontId="16" fillId="0" borderId="3" xfId="5" applyNumberFormat="1" applyFont="1" applyFill="1" applyBorder="1"/>
    <xf numFmtId="165" fontId="16" fillId="0" borderId="2" xfId="5" applyNumberFormat="1" applyFont="1" applyFill="1" applyBorder="1" applyAlignment="1">
      <alignment horizontal="right"/>
    </xf>
    <xf numFmtId="165" fontId="16" fillId="0" borderId="4" xfId="5" applyNumberFormat="1" applyFont="1" applyFill="1" applyBorder="1"/>
    <xf numFmtId="165" fontId="17" fillId="0" borderId="0" xfId="5" applyNumberFormat="1" applyFont="1" applyFill="1" applyBorder="1" applyAlignment="1">
      <alignment horizontal="right"/>
    </xf>
    <xf numFmtId="165" fontId="16" fillId="0" borderId="8" xfId="5" applyNumberFormat="1" applyFont="1" applyFill="1" applyBorder="1"/>
    <xf numFmtId="165" fontId="21" fillId="0" borderId="0" xfId="5" applyNumberFormat="1" applyFont="1" applyFill="1" applyBorder="1" applyAlignment="1">
      <alignment horizontal="right"/>
    </xf>
    <xf numFmtId="165" fontId="16" fillId="0" borderId="7" xfId="5" applyNumberFormat="1" applyFont="1" applyFill="1" applyBorder="1" applyAlignment="1">
      <alignment horizontal="centerContinuous"/>
    </xf>
    <xf numFmtId="165" fontId="16" fillId="0" borderId="3" xfId="5" applyNumberFormat="1" applyFont="1" applyFill="1" applyBorder="1" applyAlignment="1">
      <alignment horizontal="right"/>
    </xf>
    <xf numFmtId="165" fontId="16" fillId="0" borderId="4" xfId="5" applyNumberFormat="1" applyFont="1" applyFill="1" applyBorder="1" applyAlignment="1">
      <alignment horizontal="right"/>
    </xf>
    <xf numFmtId="165" fontId="16" fillId="0" borderId="9" xfId="5" applyNumberFormat="1" applyFont="1" applyFill="1" applyBorder="1"/>
    <xf numFmtId="165" fontId="24" fillId="0" borderId="0" xfId="5" applyNumberFormat="1" applyFont="1" applyFill="1" applyBorder="1" applyAlignment="1">
      <alignment horizontal="right" vertical="center"/>
    </xf>
    <xf numFmtId="165" fontId="17" fillId="0" borderId="8" xfId="5" applyNumberFormat="1" applyFont="1" applyFill="1" applyBorder="1" applyAlignment="1">
      <alignment horizontal="right" vertical="center"/>
    </xf>
    <xf numFmtId="165" fontId="17" fillId="0" borderId="0" xfId="5" applyNumberFormat="1" applyFont="1" applyFill="1" applyBorder="1" applyAlignment="1">
      <alignment horizontal="right" vertical="center"/>
    </xf>
    <xf numFmtId="165" fontId="16" fillId="0" borderId="9" xfId="5" applyNumberFormat="1" applyFont="1" applyFill="1" applyBorder="1" applyAlignment="1">
      <alignment horizontal="left"/>
    </xf>
    <xf numFmtId="37" fontId="16" fillId="0" borderId="0" xfId="5" quotePrefix="1" applyNumberFormat="1" applyFont="1" applyFill="1" applyBorder="1" applyAlignment="1">
      <alignment horizontal="right"/>
    </xf>
    <xf numFmtId="165" fontId="16" fillId="0" borderId="6" xfId="5" applyNumberFormat="1" applyFont="1" applyFill="1" applyBorder="1"/>
    <xf numFmtId="165" fontId="17" fillId="0" borderId="7" xfId="5" applyNumberFormat="1" applyFont="1" applyFill="1" applyBorder="1" applyAlignment="1">
      <alignment horizontal="right"/>
    </xf>
    <xf numFmtId="165" fontId="17" fillId="0" borderId="2" xfId="5" applyNumberFormat="1" applyFont="1" applyFill="1" applyBorder="1" applyAlignment="1">
      <alignment horizontal="right"/>
    </xf>
    <xf numFmtId="165" fontId="17" fillId="0" borderId="7" xfId="5" applyNumberFormat="1" applyFont="1" applyFill="1" applyBorder="1"/>
    <xf numFmtId="164" fontId="17" fillId="0" borderId="0" xfId="6" applyNumberFormat="1" applyFont="1" applyFill="1" applyBorder="1" applyAlignment="1">
      <alignment horizontal="right"/>
    </xf>
    <xf numFmtId="165" fontId="16" fillId="0" borderId="7" xfId="5" applyNumberFormat="1" applyFont="1" applyFill="1" applyBorder="1"/>
    <xf numFmtId="164" fontId="16" fillId="0" borderId="0" xfId="6" applyNumberFormat="1" applyFont="1" applyFill="1" applyBorder="1" applyAlignment="1">
      <alignment horizontal="right"/>
    </xf>
    <xf numFmtId="165" fontId="16" fillId="0" borderId="5" xfId="5" applyNumberFormat="1" applyFont="1" applyFill="1" applyBorder="1" applyAlignment="1">
      <alignment horizontal="center"/>
    </xf>
    <xf numFmtId="165" fontId="16" fillId="0" borderId="1" xfId="5" applyNumberFormat="1" applyFont="1" applyFill="1" applyBorder="1" applyAlignment="1">
      <alignment horizontal="right"/>
    </xf>
    <xf numFmtId="0" fontId="18" fillId="0" borderId="0" xfId="0" applyFont="1" applyAlignment="1">
      <alignment horizontal="right"/>
    </xf>
    <xf numFmtId="37" fontId="18" fillId="0" borderId="0" xfId="0" applyNumberFormat="1" applyFont="1" applyAlignment="1">
      <alignment horizontal="right"/>
    </xf>
    <xf numFmtId="9" fontId="18" fillId="0" borderId="0" xfId="3" applyFont="1" applyFill="1" applyBorder="1" applyAlignment="1">
      <alignment horizontal="left"/>
    </xf>
    <xf numFmtId="44" fontId="10" fillId="0" borderId="0" xfId="2" applyFont="1" applyBorder="1" applyAlignment="1">
      <alignment horizontal="right"/>
    </xf>
    <xf numFmtId="43" fontId="4" fillId="0" borderId="3" xfId="1" applyFont="1" applyBorder="1" applyAlignment="1"/>
    <xf numFmtId="43" fontId="4" fillId="0" borderId="4" xfId="1" applyFont="1" applyBorder="1" applyAlignment="1"/>
    <xf numFmtId="43" fontId="4" fillId="0" borderId="2" xfId="1" applyFont="1" applyBorder="1" applyAlignment="1">
      <alignment horizontal="center"/>
    </xf>
    <xf numFmtId="44" fontId="4" fillId="0" borderId="2" xfId="2" applyFont="1" applyBorder="1" applyAlignment="1"/>
    <xf numFmtId="165" fontId="11" fillId="0" borderId="0" xfId="1" applyNumberFormat="1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right"/>
    </xf>
    <xf numFmtId="165" fontId="16" fillId="0" borderId="0" xfId="1" applyNumberFormat="1" applyFont="1" applyAlignment="1">
      <alignment horizontal="right"/>
    </xf>
    <xf numFmtId="165" fontId="16" fillId="0" borderId="0" xfId="1" applyNumberFormat="1" applyFont="1" applyBorder="1" applyAlignment="1">
      <alignment horizontal="right"/>
    </xf>
    <xf numFmtId="165" fontId="4" fillId="0" borderId="0" xfId="1" applyNumberFormat="1" applyFont="1" applyFill="1" applyAlignment="1">
      <alignment vertical="center"/>
    </xf>
    <xf numFmtId="43" fontId="4" fillId="0" borderId="0" xfId="1" applyFont="1" applyFill="1" applyBorder="1"/>
    <xf numFmtId="43" fontId="4" fillId="0" borderId="7" xfId="1" applyFont="1" applyFill="1" applyBorder="1" applyAlignment="1"/>
    <xf numFmtId="43" fontId="4" fillId="0" borderId="0" xfId="1" applyFont="1" applyFill="1" applyBorder="1" applyAlignment="1">
      <alignment horizontal="center"/>
    </xf>
    <xf numFmtId="44" fontId="4" fillId="0" borderId="0" xfId="2" applyFont="1" applyFill="1" applyBorder="1" applyAlignment="1">
      <alignment horizontal="center"/>
    </xf>
    <xf numFmtId="44" fontId="4" fillId="0" borderId="0" xfId="2" applyFont="1" applyFill="1" applyBorder="1" applyAlignment="1">
      <alignment vertical="center"/>
    </xf>
    <xf numFmtId="10" fontId="4" fillId="0" borderId="0" xfId="3" applyNumberFormat="1" applyFont="1" applyFill="1" applyBorder="1" applyAlignment="1">
      <alignment horizontal="center"/>
    </xf>
    <xf numFmtId="44" fontId="15" fillId="0" borderId="8" xfId="2" applyFont="1" applyFill="1" applyBorder="1" applyAlignment="1">
      <alignment horizontal="center"/>
    </xf>
    <xf numFmtId="44" fontId="4" fillId="0" borderId="5" xfId="2" applyFont="1" applyFill="1" applyBorder="1" applyAlignment="1">
      <alignment horizontal="right"/>
    </xf>
    <xf numFmtId="44" fontId="4" fillId="0" borderId="1" xfId="2" applyFont="1" applyFill="1" applyBorder="1" applyAlignment="1">
      <alignment horizontal="center"/>
    </xf>
    <xf numFmtId="44" fontId="4" fillId="0" borderId="1" xfId="2" applyFont="1" applyFill="1" applyBorder="1" applyAlignment="1">
      <alignment vertical="center"/>
    </xf>
    <xf numFmtId="10" fontId="4" fillId="0" borderId="1" xfId="3" applyNumberFormat="1" applyFont="1" applyFill="1" applyBorder="1" applyAlignment="1">
      <alignment horizontal="center"/>
    </xf>
    <xf numFmtId="44" fontId="15" fillId="0" borderId="6" xfId="2" applyFont="1" applyFill="1" applyBorder="1" applyAlignment="1">
      <alignment horizontal="center"/>
    </xf>
    <xf numFmtId="44" fontId="4" fillId="0" borderId="7" xfId="2" applyFont="1" applyFill="1" applyBorder="1" applyAlignment="1">
      <alignment horizontal="right"/>
    </xf>
    <xf numFmtId="44" fontId="15" fillId="0" borderId="7" xfId="2" applyFont="1" applyFill="1" applyBorder="1" applyAlignment="1">
      <alignment horizontal="center"/>
    </xf>
    <xf numFmtId="44" fontId="15" fillId="0" borderId="0" xfId="2" applyFont="1" applyFill="1" applyBorder="1" applyAlignment="1">
      <alignment horizontal="center"/>
    </xf>
    <xf numFmtId="43" fontId="10" fillId="0" borderId="0" xfId="1" applyFont="1" applyFill="1" applyBorder="1" applyAlignment="1">
      <alignment horizontal="center"/>
    </xf>
    <xf numFmtId="44" fontId="10" fillId="0" borderId="0" xfId="2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43" fontId="16" fillId="0" borderId="0" xfId="1" applyFont="1" applyAlignment="1">
      <alignment horizontal="right"/>
    </xf>
    <xf numFmtId="0" fontId="16" fillId="0" borderId="0" xfId="1" applyNumberFormat="1" applyFont="1" applyAlignment="1">
      <alignment horizontal="right"/>
    </xf>
    <xf numFmtId="165" fontId="8" fillId="0" borderId="0" xfId="1" applyNumberFormat="1" applyFont="1"/>
    <xf numFmtId="43" fontId="16" fillId="0" borderId="0" xfId="1" applyFont="1" applyBorder="1" applyAlignment="1">
      <alignment horizontal="right"/>
    </xf>
    <xf numFmtId="44" fontId="16" fillId="0" borderId="0" xfId="1" applyNumberFormat="1" applyFont="1" applyBorder="1" applyAlignment="1">
      <alignment horizontal="right"/>
    </xf>
    <xf numFmtId="0" fontId="16" fillId="0" borderId="0" xfId="1" applyNumberFormat="1" applyFont="1" applyBorder="1" applyAlignment="1">
      <alignment horizontal="right"/>
    </xf>
    <xf numFmtId="44" fontId="16" fillId="0" borderId="0" xfId="3" applyNumberFormat="1" applyFont="1" applyBorder="1"/>
    <xf numFmtId="165" fontId="4" fillId="0" borderId="0" xfId="1" applyNumberFormat="1" applyFont="1" applyAlignment="1">
      <alignment horizontal="right" vertical="center" wrapText="1"/>
    </xf>
    <xf numFmtId="165" fontId="9" fillId="0" borderId="0" xfId="1" applyNumberFormat="1" applyFont="1" applyAlignment="1">
      <alignment horizontal="right" vertical="center" wrapText="1"/>
    </xf>
    <xf numFmtId="165" fontId="4" fillId="0" borderId="0" xfId="1" applyNumberFormat="1" applyFont="1" applyAlignment="1">
      <alignment horizontal="right" wrapText="1"/>
    </xf>
    <xf numFmtId="165" fontId="4" fillId="0" borderId="1" xfId="1" applyNumberFormat="1" applyFont="1" applyBorder="1" applyAlignment="1">
      <alignment horizontal="right" wrapText="1"/>
    </xf>
    <xf numFmtId="165" fontId="4" fillId="0" borderId="1" xfId="1" applyNumberFormat="1" applyFont="1" applyFill="1" applyBorder="1" applyAlignment="1">
      <alignment horizontal="right" wrapText="1"/>
    </xf>
    <xf numFmtId="44" fontId="16" fillId="0" borderId="0" xfId="0" applyNumberFormat="1" applyFont="1" applyAlignment="1">
      <alignment horizontal="right"/>
    </xf>
    <xf numFmtId="165" fontId="16" fillId="0" borderId="0" xfId="1" applyNumberFormat="1" applyFont="1" applyBorder="1"/>
    <xf numFmtId="0" fontId="21" fillId="0" borderId="0" xfId="1" applyNumberFormat="1" applyFont="1" applyBorder="1" applyAlignment="1">
      <alignment horizontal="center"/>
    </xf>
    <xf numFmtId="165" fontId="4" fillId="0" borderId="0" xfId="1" applyNumberFormat="1" applyFont="1" applyAlignment="1">
      <alignment horizontal="right" vertical="center"/>
    </xf>
    <xf numFmtId="165" fontId="4" fillId="0" borderId="1" xfId="1" applyNumberFormat="1" applyFont="1" applyBorder="1" applyAlignment="1">
      <alignment horizontal="right" vertical="center"/>
    </xf>
    <xf numFmtId="165" fontId="4" fillId="0" borderId="0" xfId="1" applyNumberFormat="1" applyFont="1" applyFill="1" applyAlignment="1"/>
    <xf numFmtId="164" fontId="16" fillId="0" borderId="1" xfId="2" applyNumberFormat="1" applyFont="1" applyBorder="1" applyAlignment="1">
      <alignment horizontal="right"/>
    </xf>
    <xf numFmtId="164" fontId="16" fillId="0" borderId="1" xfId="2" applyNumberFormat="1" applyFont="1" applyFill="1" applyBorder="1" applyAlignment="1">
      <alignment horizontal="right"/>
    </xf>
    <xf numFmtId="44" fontId="11" fillId="0" borderId="0" xfId="2" applyFont="1" applyAlignment="1">
      <alignment horizontal="center" vertical="center"/>
    </xf>
    <xf numFmtId="44" fontId="10" fillId="0" borderId="0" xfId="2" applyFont="1" applyBorder="1" applyAlignment="1">
      <alignment horizontal="center"/>
    </xf>
    <xf numFmtId="164" fontId="16" fillId="0" borderId="0" xfId="2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right" wrapText="1"/>
    </xf>
    <xf numFmtId="165" fontId="4" fillId="0" borderId="2" xfId="1" applyNumberFormat="1" applyFont="1" applyBorder="1"/>
    <xf numFmtId="0" fontId="0" fillId="0" borderId="2" xfId="0" applyBorder="1"/>
    <xf numFmtId="44" fontId="4" fillId="0" borderId="2" xfId="2" applyFont="1" applyBorder="1"/>
    <xf numFmtId="165" fontId="25" fillId="0" borderId="0" xfId="1" applyNumberFormat="1" applyFont="1" applyAlignment="1">
      <alignment vertical="center"/>
    </xf>
    <xf numFmtId="49" fontId="26" fillId="0" borderId="0" xfId="0" applyNumberFormat="1" applyFont="1" applyAlignment="1">
      <alignment horizontal="left"/>
    </xf>
    <xf numFmtId="165" fontId="26" fillId="0" borderId="0" xfId="1" applyNumberFormat="1" applyFont="1" applyAlignment="1">
      <alignment horizontal="right"/>
    </xf>
    <xf numFmtId="165" fontId="4" fillId="0" borderId="1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right"/>
    </xf>
    <xf numFmtId="0" fontId="4" fillId="0" borderId="0" xfId="1" applyNumberFormat="1" applyFont="1" applyAlignment="1">
      <alignment vertical="center"/>
    </xf>
    <xf numFmtId="10" fontId="4" fillId="0" borderId="0" xfId="3" applyNumberFormat="1" applyFont="1" applyFill="1" applyAlignment="1">
      <alignment horizontal="right" vertical="center" wrapText="1"/>
    </xf>
    <xf numFmtId="165" fontId="27" fillId="0" borderId="0" xfId="5" applyNumberFormat="1" applyFont="1"/>
    <xf numFmtId="0" fontId="27" fillId="0" borderId="0" xfId="0" applyFont="1"/>
    <xf numFmtId="164" fontId="4" fillId="0" borderId="1" xfId="5" applyNumberFormat="1" applyFont="1" applyBorder="1"/>
    <xf numFmtId="165" fontId="27" fillId="0" borderId="0" xfId="5" applyNumberFormat="1" applyFont="1" applyBorder="1"/>
    <xf numFmtId="10" fontId="4" fillId="0" borderId="1" xfId="0" applyNumberFormat="1" applyFont="1" applyBorder="1"/>
    <xf numFmtId="165" fontId="4" fillId="0" borderId="11" xfId="1" applyNumberFormat="1" applyFont="1" applyBorder="1"/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44" fontId="16" fillId="0" borderId="0" xfId="0" applyNumberFormat="1" applyFont="1"/>
    <xf numFmtId="49" fontId="16" fillId="0" borderId="0" xfId="0" applyNumberFormat="1" applyFont="1" applyAlignment="1">
      <alignment horizontal="center"/>
    </xf>
    <xf numFmtId="10" fontId="16" fillId="0" borderId="0" xfId="0" applyNumberFormat="1" applyFont="1" applyAlignment="1">
      <alignment horizontal="right"/>
    </xf>
    <xf numFmtId="43" fontId="16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165" fontId="16" fillId="0" borderId="12" xfId="1" applyNumberFormat="1" applyFont="1" applyBorder="1" applyAlignment="1">
      <alignment horizontal="right"/>
    </xf>
    <xf numFmtId="165" fontId="16" fillId="0" borderId="12" xfId="1" applyNumberFormat="1" applyFont="1" applyBorder="1"/>
    <xf numFmtId="164" fontId="16" fillId="0" borderId="12" xfId="2" applyNumberFormat="1" applyFont="1" applyBorder="1" applyAlignment="1">
      <alignment horizontal="right"/>
    </xf>
    <xf numFmtId="0" fontId="16" fillId="0" borderId="12" xfId="0" applyFont="1" applyBorder="1" applyAlignment="1">
      <alignment horizontal="right"/>
    </xf>
    <xf numFmtId="3" fontId="16" fillId="0" borderId="12" xfId="1" applyNumberFormat="1" applyFont="1" applyBorder="1" applyAlignment="1">
      <alignment horizontal="right"/>
    </xf>
    <xf numFmtId="44" fontId="16" fillId="0" borderId="12" xfId="0" applyNumberFormat="1" applyFont="1" applyBorder="1" applyAlignment="1">
      <alignment horizontal="right"/>
    </xf>
    <xf numFmtId="0" fontId="16" fillId="0" borderId="12" xfId="1" applyNumberFormat="1" applyFont="1" applyBorder="1" applyAlignment="1">
      <alignment horizontal="right"/>
    </xf>
    <xf numFmtId="43" fontId="16" fillId="0" borderId="12" xfId="1" applyFont="1" applyBorder="1" applyAlignment="1">
      <alignment horizontal="right"/>
    </xf>
    <xf numFmtId="0" fontId="16" fillId="0" borderId="12" xfId="0" applyFont="1" applyBorder="1"/>
    <xf numFmtId="164" fontId="16" fillId="0" borderId="0" xfId="2" applyNumberFormat="1" applyFont="1" applyFill="1" applyBorder="1" applyAlignment="1">
      <alignment horizontal="right"/>
    </xf>
    <xf numFmtId="10" fontId="16" fillId="0" borderId="0" xfId="3" applyNumberFormat="1" applyFont="1" applyBorder="1" applyAlignment="1">
      <alignment horizontal="right"/>
    </xf>
    <xf numFmtId="0" fontId="16" fillId="0" borderId="13" xfId="0" applyFont="1" applyBorder="1" applyAlignment="1">
      <alignment horizontal="center"/>
    </xf>
    <xf numFmtId="0" fontId="16" fillId="0" borderId="14" xfId="0" applyFont="1" applyBorder="1"/>
    <xf numFmtId="43" fontId="16" fillId="0" borderId="14" xfId="1" applyFont="1" applyBorder="1" applyAlignment="1">
      <alignment horizontal="right"/>
    </xf>
    <xf numFmtId="165" fontId="16" fillId="0" borderId="14" xfId="1" applyNumberFormat="1" applyFont="1" applyBorder="1" applyAlignment="1">
      <alignment horizontal="right"/>
    </xf>
    <xf numFmtId="0" fontId="16" fillId="0" borderId="14" xfId="1" applyNumberFormat="1" applyFont="1" applyBorder="1" applyAlignment="1">
      <alignment horizontal="right"/>
    </xf>
    <xf numFmtId="0" fontId="16" fillId="0" borderId="15" xfId="0" applyFont="1" applyBorder="1"/>
    <xf numFmtId="0" fontId="16" fillId="0" borderId="17" xfId="0" applyFont="1" applyBorder="1"/>
    <xf numFmtId="0" fontId="16" fillId="0" borderId="16" xfId="0" applyFont="1" applyBorder="1" applyAlignment="1">
      <alignment horizontal="center"/>
    </xf>
    <xf numFmtId="10" fontId="16" fillId="0" borderId="17" xfId="3" applyNumberFormat="1" applyFont="1" applyBorder="1"/>
    <xf numFmtId="44" fontId="17" fillId="0" borderId="0" xfId="0" applyNumberFormat="1" applyFont="1"/>
    <xf numFmtId="165" fontId="16" fillId="0" borderId="0" xfId="0" applyNumberFormat="1" applyFont="1"/>
    <xf numFmtId="0" fontId="16" fillId="0" borderId="18" xfId="0" applyFont="1" applyBorder="1" applyAlignment="1">
      <alignment horizontal="center"/>
    </xf>
    <xf numFmtId="0" fontId="16" fillId="0" borderId="19" xfId="0" applyFont="1" applyBorder="1"/>
    <xf numFmtId="43" fontId="4" fillId="0" borderId="1" xfId="1" applyFont="1" applyBorder="1"/>
    <xf numFmtId="0" fontId="8" fillId="0" borderId="0" xfId="0" applyFont="1"/>
    <xf numFmtId="49" fontId="4" fillId="0" borderId="0" xfId="0" applyNumberFormat="1" applyFont="1"/>
    <xf numFmtId="0" fontId="27" fillId="0" borderId="13" xfId="0" applyFont="1" applyBorder="1"/>
    <xf numFmtId="0" fontId="27" fillId="0" borderId="14" xfId="0" applyFont="1" applyBorder="1"/>
    <xf numFmtId="165" fontId="27" fillId="0" borderId="14" xfId="5" applyNumberFormat="1" applyFont="1" applyBorder="1"/>
    <xf numFmtId="0" fontId="27" fillId="0" borderId="15" xfId="0" applyFont="1" applyBorder="1"/>
    <xf numFmtId="0" fontId="27" fillId="0" borderId="16" xfId="0" applyFont="1" applyBorder="1"/>
    <xf numFmtId="0" fontId="27" fillId="0" borderId="17" xfId="0" applyFont="1" applyBorder="1"/>
    <xf numFmtId="0" fontId="4" fillId="0" borderId="17" xfId="0" applyFont="1" applyBorder="1"/>
    <xf numFmtId="10" fontId="4" fillId="0" borderId="0" xfId="0" applyNumberFormat="1" applyFont="1"/>
    <xf numFmtId="0" fontId="4" fillId="0" borderId="17" xfId="0" applyFont="1" applyBorder="1" applyAlignment="1">
      <alignment horizontal="center"/>
    </xf>
    <xf numFmtId="0" fontId="27" fillId="0" borderId="18" xfId="0" applyFont="1" applyBorder="1"/>
    <xf numFmtId="0" fontId="27" fillId="0" borderId="12" xfId="0" applyFont="1" applyBorder="1"/>
    <xf numFmtId="165" fontId="27" fillId="0" borderId="12" xfId="5" applyNumberFormat="1" applyFont="1" applyBorder="1"/>
    <xf numFmtId="0" fontId="27" fillId="0" borderId="19" xfId="0" applyFont="1" applyBorder="1"/>
    <xf numFmtId="165" fontId="16" fillId="0" borderId="20" xfId="5" applyNumberFormat="1" applyFont="1" applyFill="1" applyBorder="1" applyAlignment="1">
      <alignment horizontal="left"/>
    </xf>
    <xf numFmtId="165" fontId="16" fillId="0" borderId="0" xfId="1" applyNumberFormat="1" applyFont="1" applyFill="1" applyBorder="1" applyAlignment="1">
      <alignment horizontal="right"/>
    </xf>
    <xf numFmtId="165" fontId="17" fillId="0" borderId="5" xfId="5" applyNumberFormat="1" applyFont="1" applyFill="1" applyBorder="1" applyAlignment="1">
      <alignment horizontal="right" vertical="center"/>
    </xf>
    <xf numFmtId="165" fontId="17" fillId="0" borderId="6" xfId="5" applyNumberFormat="1" applyFont="1" applyFill="1" applyBorder="1" applyAlignment="1">
      <alignment horizontal="right" vertical="center"/>
    </xf>
    <xf numFmtId="165" fontId="17" fillId="0" borderId="1" xfId="5" applyNumberFormat="1" applyFont="1" applyFill="1" applyBorder="1" applyAlignment="1">
      <alignment horizontal="right" vertical="center"/>
    </xf>
    <xf numFmtId="165" fontId="16" fillId="0" borderId="5" xfId="1" applyNumberFormat="1" applyFont="1" applyFill="1" applyBorder="1" applyAlignment="1">
      <alignment horizontal="right"/>
    </xf>
    <xf numFmtId="165" fontId="16" fillId="0" borderId="4" xfId="1" applyNumberFormat="1" applyFont="1" applyFill="1" applyBorder="1" applyAlignment="1">
      <alignment horizontal="right"/>
    </xf>
    <xf numFmtId="165" fontId="16" fillId="0" borderId="21" xfId="1" applyNumberFormat="1" applyFont="1" applyBorder="1"/>
    <xf numFmtId="165" fontId="16" fillId="0" borderId="10" xfId="1" applyNumberFormat="1" applyFont="1" applyFill="1" applyBorder="1"/>
    <xf numFmtId="37" fontId="16" fillId="0" borderId="21" xfId="5" quotePrefix="1" applyNumberFormat="1" applyFont="1" applyFill="1" applyBorder="1" applyAlignment="1">
      <alignment horizontal="right"/>
    </xf>
    <xf numFmtId="165" fontId="16" fillId="0" borderId="22" xfId="5" applyNumberFormat="1" applyFont="1" applyFill="1" applyBorder="1"/>
    <xf numFmtId="0" fontId="8" fillId="0" borderId="0" xfId="1" applyNumberFormat="1" applyFont="1" applyAlignment="1">
      <alignment horizontal="center" vertical="center"/>
    </xf>
    <xf numFmtId="43" fontId="16" fillId="0" borderId="0" xfId="1" applyFont="1"/>
    <xf numFmtId="165" fontId="16" fillId="0" borderId="1" xfId="1" applyNumberFormat="1" applyFont="1" applyBorder="1"/>
    <xf numFmtId="167" fontId="4" fillId="0" borderId="0" xfId="2" applyNumberFormat="1" applyFont="1" applyFill="1" applyBorder="1" applyAlignment="1">
      <alignment horizontal="center"/>
    </xf>
    <xf numFmtId="167" fontId="4" fillId="0" borderId="0" xfId="2" applyNumberFormat="1" applyFont="1" applyFill="1" applyBorder="1" applyAlignment="1">
      <alignment vertical="center"/>
    </xf>
    <xf numFmtId="167" fontId="16" fillId="0" borderId="0" xfId="1" applyNumberFormat="1" applyFont="1" applyBorder="1" applyAlignment="1">
      <alignment horizontal="right"/>
    </xf>
    <xf numFmtId="3" fontId="16" fillId="0" borderId="0" xfId="0" applyNumberFormat="1" applyFont="1"/>
    <xf numFmtId="164" fontId="16" fillId="0" borderId="0" xfId="0" applyNumberFormat="1" applyFont="1" applyAlignment="1">
      <alignment horizontal="right"/>
    </xf>
    <xf numFmtId="168" fontId="16" fillId="0" borderId="0" xfId="5" applyNumberFormat="1" applyFont="1" applyFill="1" applyBorder="1" applyAlignment="1"/>
    <xf numFmtId="0" fontId="2" fillId="0" borderId="0" xfId="0" applyFont="1"/>
    <xf numFmtId="0" fontId="16" fillId="0" borderId="3" xfId="0" applyFont="1" applyBorder="1"/>
    <xf numFmtId="3" fontId="16" fillId="0" borderId="2" xfId="0" applyNumberFormat="1" applyFont="1" applyBorder="1"/>
    <xf numFmtId="164" fontId="16" fillId="0" borderId="2" xfId="0" applyNumberFormat="1" applyFont="1" applyBorder="1" applyAlignment="1">
      <alignment horizontal="right"/>
    </xf>
    <xf numFmtId="168" fontId="16" fillId="0" borderId="2" xfId="5" applyNumberFormat="1" applyFont="1" applyFill="1" applyBorder="1"/>
    <xf numFmtId="3" fontId="16" fillId="0" borderId="2" xfId="0" applyNumberFormat="1" applyFont="1" applyBorder="1" applyAlignment="1">
      <alignment horizontal="right"/>
    </xf>
    <xf numFmtId="3" fontId="16" fillId="0" borderId="4" xfId="0" applyNumberFormat="1" applyFont="1" applyBorder="1"/>
    <xf numFmtId="3" fontId="16" fillId="0" borderId="7" xfId="0" applyNumberFormat="1" applyFont="1" applyBorder="1"/>
    <xf numFmtId="0" fontId="16" fillId="0" borderId="7" xfId="0" applyFont="1" applyBorder="1"/>
    <xf numFmtId="3" fontId="16" fillId="0" borderId="8" xfId="0" applyNumberFormat="1" applyFont="1" applyBorder="1"/>
    <xf numFmtId="3" fontId="22" fillId="0" borderId="0" xfId="0" applyNumberFormat="1" applyFont="1" applyAlignment="1">
      <alignment horizontal="center" vertical="center"/>
    </xf>
    <xf numFmtId="0" fontId="16" fillId="0" borderId="5" xfId="0" applyFont="1" applyBorder="1"/>
    <xf numFmtId="3" fontId="22" fillId="0" borderId="1" xfId="0" applyNumberFormat="1" applyFont="1" applyBorder="1" applyAlignment="1">
      <alignment horizontal="center" vertical="center"/>
    </xf>
    <xf numFmtId="3" fontId="16" fillId="0" borderId="6" xfId="0" applyNumberFormat="1" applyFont="1" applyBorder="1"/>
    <xf numFmtId="3" fontId="21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168" fontId="21" fillId="0" borderId="0" xfId="5" applyNumberFormat="1" applyFont="1" applyFill="1" applyBorder="1" applyAlignment="1">
      <alignment horizontal="center"/>
    </xf>
    <xf numFmtId="44" fontId="24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center"/>
    </xf>
    <xf numFmtId="3" fontId="21" fillId="0" borderId="0" xfId="0" applyNumberFormat="1" applyFont="1"/>
    <xf numFmtId="169" fontId="16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right"/>
    </xf>
    <xf numFmtId="164" fontId="16" fillId="0" borderId="0" xfId="5" applyNumberFormat="1" applyFont="1" applyFill="1" applyBorder="1" applyAlignment="1">
      <alignment horizontal="right"/>
    </xf>
    <xf numFmtId="165" fontId="16" fillId="0" borderId="0" xfId="5" applyNumberFormat="1" applyFont="1" applyFill="1" applyBorder="1" applyAlignment="1">
      <alignment horizontal="center"/>
    </xf>
    <xf numFmtId="164" fontId="21" fillId="0" borderId="0" xfId="0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168" fontId="16" fillId="0" borderId="0" xfId="5" applyNumberFormat="1" applyFont="1" applyFill="1" applyBorder="1" applyAlignment="1">
      <alignment horizontal="center"/>
    </xf>
    <xf numFmtId="168" fontId="16" fillId="0" borderId="0" xfId="5" quotePrefix="1" applyNumberFormat="1" applyFont="1" applyFill="1" applyBorder="1" applyAlignment="1">
      <alignment horizontal="center"/>
    </xf>
    <xf numFmtId="168" fontId="16" fillId="0" borderId="0" xfId="5" applyNumberFormat="1" applyFont="1" applyFill="1" applyBorder="1" applyAlignment="1">
      <alignment horizontal="right"/>
    </xf>
    <xf numFmtId="3" fontId="17" fillId="0" borderId="0" xfId="0" applyNumberFormat="1" applyFont="1"/>
    <xf numFmtId="170" fontId="17" fillId="0" borderId="0" xfId="0" applyNumberFormat="1" applyFont="1" applyAlignment="1">
      <alignment horizontal="right"/>
    </xf>
    <xf numFmtId="171" fontId="16" fillId="0" borderId="0" xfId="0" applyNumberFormat="1" applyFont="1"/>
    <xf numFmtId="170" fontId="17" fillId="0" borderId="0" xfId="0" applyNumberFormat="1" applyFont="1"/>
    <xf numFmtId="3" fontId="16" fillId="0" borderId="1" xfId="0" applyNumberFormat="1" applyFont="1" applyBorder="1"/>
    <xf numFmtId="164" fontId="16" fillId="0" borderId="1" xfId="0" applyNumberFormat="1" applyFont="1" applyBorder="1" applyAlignment="1">
      <alignment horizontal="right"/>
    </xf>
    <xf numFmtId="168" fontId="16" fillId="0" borderId="1" xfId="5" applyNumberFormat="1" applyFont="1" applyFill="1" applyBorder="1" applyAlignment="1">
      <alignment horizontal="right"/>
    </xf>
    <xf numFmtId="4" fontId="16" fillId="0" borderId="7" xfId="0" applyNumberFormat="1" applyFont="1" applyBorder="1"/>
    <xf numFmtId="0" fontId="2" fillId="0" borderId="0" xfId="0" applyFont="1" applyAlignment="1">
      <alignment horizontal="right"/>
    </xf>
    <xf numFmtId="164" fontId="28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5" fontId="4" fillId="0" borderId="1" xfId="1" applyNumberFormat="1" applyFont="1" applyFill="1" applyBorder="1"/>
    <xf numFmtId="0" fontId="4" fillId="0" borderId="1" xfId="0" applyFont="1" applyBorder="1"/>
    <xf numFmtId="43" fontId="4" fillId="0" borderId="1" xfId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8" fontId="4" fillId="0" borderId="0" xfId="1" applyNumberFormat="1" applyFont="1" applyFill="1"/>
    <xf numFmtId="43" fontId="16" fillId="0" borderId="1" xfId="1" applyFont="1" applyFill="1" applyBorder="1"/>
    <xf numFmtId="165" fontId="26" fillId="0" borderId="0" xfId="1" applyNumberFormat="1" applyFont="1" applyFill="1" applyAlignment="1">
      <alignment horizontal="right"/>
    </xf>
    <xf numFmtId="164" fontId="16" fillId="0" borderId="0" xfId="2" applyNumberFormat="1" applyFont="1" applyAlignment="1">
      <alignment horizontal="right"/>
    </xf>
    <xf numFmtId="165" fontId="26" fillId="0" borderId="1" xfId="1" applyNumberFormat="1" applyFont="1" applyFill="1" applyBorder="1" applyAlignment="1">
      <alignment horizontal="right"/>
    </xf>
    <xf numFmtId="43" fontId="4" fillId="0" borderId="0" xfId="0" applyNumberFormat="1" applyFont="1" applyAlignment="1">
      <alignment horizontal="right"/>
    </xf>
    <xf numFmtId="165" fontId="4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168" fontId="4" fillId="0" borderId="0" xfId="1" applyNumberFormat="1" applyFont="1" applyFill="1" applyBorder="1"/>
    <xf numFmtId="43" fontId="16" fillId="0" borderId="0" xfId="5" applyFont="1" applyFill="1" applyBorder="1"/>
    <xf numFmtId="0" fontId="17" fillId="0" borderId="9" xfId="0" applyFont="1" applyBorder="1" applyAlignment="1" applyProtection="1">
      <alignment horizontal="center"/>
      <protection locked="0"/>
    </xf>
    <xf numFmtId="0" fontId="17" fillId="0" borderId="23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43" fontId="16" fillId="0" borderId="24" xfId="5" applyFont="1" applyFill="1" applyBorder="1" applyAlignment="1" applyProtection="1">
      <protection locked="0"/>
    </xf>
    <xf numFmtId="0" fontId="16" fillId="0" borderId="9" xfId="0" applyFont="1" applyBorder="1" applyAlignment="1" applyProtection="1">
      <alignment horizontal="center"/>
      <protection locked="0"/>
    </xf>
    <xf numFmtId="43" fontId="16" fillId="0" borderId="9" xfId="5" applyFont="1" applyFill="1" applyBorder="1" applyAlignment="1" applyProtection="1">
      <protection locked="0"/>
    </xf>
    <xf numFmtId="0" fontId="16" fillId="0" borderId="23" xfId="0" applyFont="1" applyBorder="1" applyAlignment="1" applyProtection="1">
      <alignment horizontal="center"/>
      <protection locked="0"/>
    </xf>
    <xf numFmtId="43" fontId="16" fillId="0" borderId="23" xfId="5" applyFont="1" applyFill="1" applyBorder="1" applyAlignment="1" applyProtection="1">
      <protection locked="0"/>
    </xf>
    <xf numFmtId="43" fontId="16" fillId="0" borderId="1" xfId="5" applyFont="1" applyFill="1" applyBorder="1"/>
    <xf numFmtId="43" fontId="16" fillId="0" borderId="0" xfId="0" applyNumberFormat="1" applyFont="1"/>
    <xf numFmtId="165" fontId="16" fillId="0" borderId="0" xfId="5" applyNumberFormat="1" applyFont="1" applyFill="1" applyBorder="1" applyAlignment="1" applyProtection="1">
      <alignment horizontal="center"/>
      <protection locked="0"/>
    </xf>
    <xf numFmtId="43" fontId="16" fillId="0" borderId="5" xfId="5" applyFont="1" applyFill="1" applyBorder="1"/>
    <xf numFmtId="43" fontId="16" fillId="0" borderId="7" xfId="5" applyFont="1" applyFill="1" applyBorder="1"/>
    <xf numFmtId="43" fontId="17" fillId="0" borderId="10" xfId="5" applyFont="1" applyFill="1" applyBorder="1" applyAlignment="1">
      <alignment horizontal="center"/>
    </xf>
    <xf numFmtId="43" fontId="17" fillId="0" borderId="0" xfId="5" applyFont="1" applyFill="1" applyBorder="1" applyAlignment="1">
      <alignment horizontal="right"/>
    </xf>
    <xf numFmtId="43" fontId="17" fillId="0" borderId="1" xfId="5" applyFont="1" applyFill="1" applyBorder="1" applyAlignment="1">
      <alignment horizontal="right"/>
    </xf>
    <xf numFmtId="166" fontId="16" fillId="0" borderId="0" xfId="3" applyNumberFormat="1" applyFont="1" applyFill="1" applyBorder="1"/>
    <xf numFmtId="0" fontId="17" fillId="0" borderId="0" xfId="0" applyFont="1" applyAlignment="1">
      <alignment horizontal="right"/>
    </xf>
    <xf numFmtId="0" fontId="17" fillId="0" borderId="1" xfId="0" applyFont="1" applyBorder="1" applyAlignment="1">
      <alignment horizontal="right"/>
    </xf>
    <xf numFmtId="43" fontId="16" fillId="0" borderId="1" xfId="0" applyNumberFormat="1" applyFont="1" applyBorder="1"/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165" fontId="4" fillId="0" borderId="0" xfId="1" applyNumberFormat="1" applyFont="1" applyFill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5" fontId="4" fillId="0" borderId="0" xfId="1" applyNumberFormat="1" applyFont="1" applyBorder="1" applyAlignment="1">
      <alignment horizontal="center"/>
    </xf>
    <xf numFmtId="165" fontId="4" fillId="0" borderId="11" xfId="1" applyNumberFormat="1" applyFont="1" applyBorder="1" applyAlignment="1">
      <alignment horizontal="center"/>
    </xf>
    <xf numFmtId="165" fontId="4" fillId="0" borderId="0" xfId="1" applyNumberFormat="1" applyFont="1" applyFill="1" applyAlignment="1">
      <alignment horizontal="center" vertical="center"/>
    </xf>
    <xf numFmtId="43" fontId="4" fillId="0" borderId="0" xfId="1" applyFont="1" applyFill="1"/>
    <xf numFmtId="168" fontId="4" fillId="0" borderId="0" xfId="1" applyNumberFormat="1" applyFont="1" applyFill="1" applyAlignment="1">
      <alignment horizontal="right"/>
    </xf>
    <xf numFmtId="43" fontId="4" fillId="0" borderId="0" xfId="1" applyFont="1" applyFill="1" applyAlignment="1">
      <alignment horizontal="right"/>
    </xf>
    <xf numFmtId="168" fontId="4" fillId="0" borderId="1" xfId="1" applyNumberFormat="1" applyFont="1" applyFill="1" applyBorder="1" applyAlignment="1">
      <alignment horizontal="right"/>
    </xf>
    <xf numFmtId="43" fontId="4" fillId="0" borderId="1" xfId="1" applyFont="1" applyFill="1" applyBorder="1" applyAlignment="1">
      <alignment horizontal="right"/>
    </xf>
    <xf numFmtId="165" fontId="31" fillId="0" borderId="0" xfId="1" applyNumberFormat="1" applyFont="1" applyBorder="1" applyAlignment="1">
      <alignment vertical="center"/>
    </xf>
    <xf numFmtId="3" fontId="4" fillId="0" borderId="0" xfId="0" applyNumberFormat="1" applyFont="1"/>
    <xf numFmtId="43" fontId="4" fillId="0" borderId="1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44" fontId="11" fillId="0" borderId="1" xfId="2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165" fontId="16" fillId="0" borderId="8" xfId="1" applyNumberFormat="1" applyFont="1" applyFill="1" applyBorder="1" applyAlignment="1">
      <alignment horizontal="right"/>
    </xf>
    <xf numFmtId="165" fontId="16" fillId="0" borderId="7" xfId="1" applyNumberFormat="1" applyFont="1" applyFill="1" applyBorder="1" applyAlignment="1">
      <alignment horizontal="right"/>
    </xf>
    <xf numFmtId="44" fontId="16" fillId="0" borderId="0" xfId="2" applyFont="1"/>
    <xf numFmtId="44" fontId="16" fillId="0" borderId="0" xfId="2" applyFont="1" applyAlignment="1">
      <alignment horizontal="right"/>
    </xf>
    <xf numFmtId="0" fontId="7" fillId="0" borderId="0" xfId="0" applyFont="1"/>
    <xf numFmtId="0" fontId="16" fillId="0" borderId="24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0" fontId="16" fillId="0" borderId="1" xfId="0" applyFont="1" applyBorder="1"/>
    <xf numFmtId="44" fontId="4" fillId="0" borderId="0" xfId="2" applyFont="1" applyFill="1" applyBorder="1"/>
    <xf numFmtId="165" fontId="4" fillId="0" borderId="3" xfId="1" applyNumberFormat="1" applyFont="1" applyBorder="1"/>
    <xf numFmtId="165" fontId="4" fillId="0" borderId="4" xfId="1" applyNumberFormat="1" applyFont="1" applyBorder="1"/>
    <xf numFmtId="165" fontId="4" fillId="0" borderId="7" xfId="1" applyNumberFormat="1" applyFont="1" applyFill="1" applyBorder="1"/>
    <xf numFmtId="165" fontId="4" fillId="0" borderId="0" xfId="1" applyNumberFormat="1" applyFont="1" applyFill="1" applyBorder="1"/>
    <xf numFmtId="10" fontId="4" fillId="0" borderId="0" xfId="3" applyNumberFormat="1" applyFont="1" applyFill="1" applyBorder="1"/>
    <xf numFmtId="166" fontId="4" fillId="0" borderId="8" xfId="3" applyNumberFormat="1" applyFont="1" applyFill="1" applyBorder="1"/>
    <xf numFmtId="3" fontId="32" fillId="0" borderId="0" xfId="0" applyNumberFormat="1" applyFont="1"/>
    <xf numFmtId="165" fontId="16" fillId="0" borderId="0" xfId="1" applyNumberFormat="1" applyFont="1"/>
    <xf numFmtId="168" fontId="4" fillId="0" borderId="1" xfId="1" applyNumberFormat="1" applyFont="1" applyFill="1" applyBorder="1"/>
    <xf numFmtId="165" fontId="16" fillId="0" borderId="1" xfId="1" applyNumberFormat="1" applyFont="1" applyBorder="1" applyAlignment="1">
      <alignment horizontal="right"/>
    </xf>
    <xf numFmtId="0" fontId="16" fillId="0" borderId="25" xfId="0" applyFont="1" applyBorder="1" applyAlignment="1" applyProtection="1">
      <alignment horizontal="center"/>
      <protection locked="0"/>
    </xf>
    <xf numFmtId="0" fontId="16" fillId="0" borderId="25" xfId="0" applyFont="1" applyBorder="1" applyAlignment="1">
      <alignment horizontal="center"/>
    </xf>
    <xf numFmtId="43" fontId="16" fillId="0" borderId="25" xfId="5" applyFont="1" applyFill="1" applyBorder="1" applyAlignment="1" applyProtection="1">
      <protection locked="0"/>
    </xf>
    <xf numFmtId="166" fontId="16" fillId="0" borderId="1" xfId="3" applyNumberFormat="1" applyFont="1" applyFill="1" applyBorder="1"/>
    <xf numFmtId="10" fontId="4" fillId="0" borderId="1" xfId="3" applyNumberFormat="1" applyFont="1" applyFill="1" applyBorder="1"/>
    <xf numFmtId="43" fontId="18" fillId="0" borderId="1" xfId="0" applyNumberFormat="1" applyFont="1" applyBorder="1"/>
    <xf numFmtId="165" fontId="16" fillId="0" borderId="7" xfId="5" applyNumberFormat="1" applyFont="1" applyFill="1" applyBorder="1" applyAlignment="1">
      <alignment horizontal="left"/>
    </xf>
    <xf numFmtId="37" fontId="16" fillId="0" borderId="7" xfId="5" quotePrefix="1" applyNumberFormat="1" applyFont="1" applyFill="1" applyBorder="1" applyAlignment="1">
      <alignment horizontal="right"/>
    </xf>
    <xf numFmtId="0" fontId="18" fillId="0" borderId="7" xfId="0" applyFont="1" applyBorder="1"/>
    <xf numFmtId="165" fontId="16" fillId="0" borderId="22" xfId="1" applyNumberFormat="1" applyFont="1" applyBorder="1"/>
    <xf numFmtId="44" fontId="16" fillId="0" borderId="0" xfId="2" applyFont="1" applyFill="1"/>
    <xf numFmtId="44" fontId="28" fillId="0" borderId="0" xfId="2" applyFont="1" applyFill="1"/>
    <xf numFmtId="3" fontId="14" fillId="0" borderId="7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/>
    </xf>
    <xf numFmtId="3" fontId="14" fillId="0" borderId="8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/>
    </xf>
    <xf numFmtId="43" fontId="4" fillId="0" borderId="0" xfId="1" applyFont="1" applyBorder="1" applyAlignment="1">
      <alignment horizontal="right"/>
    </xf>
    <xf numFmtId="0" fontId="4" fillId="2" borderId="0" xfId="0" applyFont="1" applyFill="1" applyAlignment="1">
      <alignment horizontal="left"/>
    </xf>
    <xf numFmtId="43" fontId="4" fillId="0" borderId="0" xfId="5" applyFont="1" applyBorder="1"/>
    <xf numFmtId="43" fontId="10" fillId="0" borderId="0" xfId="5" applyFont="1" applyBorder="1" applyAlignment="1">
      <alignment horizontal="center"/>
    </xf>
    <xf numFmtId="44" fontId="10" fillId="0" borderId="0" xfId="5" applyNumberFormat="1" applyFont="1" applyBorder="1" applyAlignment="1">
      <alignment horizontal="center"/>
    </xf>
    <xf numFmtId="44" fontId="4" fillId="0" borderId="0" xfId="6" applyFont="1" applyBorder="1"/>
    <xf numFmtId="10" fontId="4" fillId="0" borderId="0" xfId="7" applyNumberFormat="1" applyFont="1" applyBorder="1"/>
    <xf numFmtId="43" fontId="4" fillId="0" borderId="0" xfId="5" applyFont="1"/>
    <xf numFmtId="44" fontId="4" fillId="0" borderId="0" xfId="5" applyNumberFormat="1" applyFont="1"/>
    <xf numFmtId="43" fontId="4" fillId="0" borderId="0" xfId="5" quotePrefix="1" applyFont="1"/>
    <xf numFmtId="43" fontId="4" fillId="0" borderId="0" xfId="1" applyFont="1" applyFill="1" applyBorder="1" applyAlignment="1"/>
    <xf numFmtId="10" fontId="4" fillId="0" borderId="0" xfId="3" applyNumberFormat="1" applyFont="1" applyFill="1" applyBorder="1" applyAlignment="1"/>
    <xf numFmtId="43" fontId="4" fillId="0" borderId="0" xfId="5" quotePrefix="1" applyFont="1" applyBorder="1" applyAlignment="1">
      <alignment horizontal="center"/>
    </xf>
    <xf numFmtId="3" fontId="16" fillId="0" borderId="1" xfId="1" applyNumberFormat="1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6" fillId="0" borderId="1" xfId="1" applyNumberFormat="1" applyFont="1" applyBorder="1" applyAlignment="1">
      <alignment horizontal="right"/>
    </xf>
    <xf numFmtId="164" fontId="16" fillId="0" borderId="0" xfId="1" applyNumberFormat="1" applyFont="1" applyBorder="1" applyAlignment="1">
      <alignment horizontal="right"/>
    </xf>
    <xf numFmtId="164" fontId="16" fillId="0" borderId="26" xfId="2" applyNumberFormat="1" applyFont="1" applyBorder="1" applyAlignment="1">
      <alignment horizontal="right"/>
    </xf>
    <xf numFmtId="44" fontId="11" fillId="0" borderId="0" xfId="0" applyNumberFormat="1" applyFont="1" applyAlignment="1">
      <alignment horizontal="center" vertical="center"/>
    </xf>
    <xf numFmtId="166" fontId="4" fillId="0" borderId="0" xfId="7" applyNumberFormat="1" applyFont="1" applyBorder="1"/>
    <xf numFmtId="44" fontId="4" fillId="0" borderId="0" xfId="5" quotePrefix="1" applyNumberFormat="1" applyFont="1" applyBorder="1"/>
    <xf numFmtId="43" fontId="4" fillId="0" borderId="0" xfId="5" quotePrefix="1" applyFont="1" applyFill="1" applyBorder="1" applyAlignment="1">
      <alignment horizontal="center"/>
    </xf>
    <xf numFmtId="44" fontId="4" fillId="0" borderId="0" xfId="5" quotePrefix="1" applyNumberFormat="1" applyFont="1" applyFill="1" applyBorder="1"/>
    <xf numFmtId="165" fontId="4" fillId="0" borderId="0" xfId="5" applyNumberFormat="1" applyFont="1" applyFill="1" applyBorder="1"/>
    <xf numFmtId="44" fontId="4" fillId="0" borderId="0" xfId="5" applyNumberFormat="1" applyFont="1" applyFill="1" applyBorder="1"/>
    <xf numFmtId="10" fontId="4" fillId="0" borderId="0" xfId="7" applyNumberFormat="1" applyFont="1" applyFill="1" applyBorder="1"/>
    <xf numFmtId="166" fontId="4" fillId="0" borderId="0" xfId="7" applyNumberFormat="1" applyFont="1" applyFill="1" applyBorder="1"/>
    <xf numFmtId="49" fontId="17" fillId="0" borderId="0" xfId="0" applyNumberFormat="1" applyFont="1" applyAlignment="1">
      <alignment horizontal="center"/>
    </xf>
    <xf numFmtId="165" fontId="32" fillId="0" borderId="0" xfId="1" applyNumberFormat="1" applyFont="1" applyBorder="1"/>
    <xf numFmtId="0" fontId="21" fillId="0" borderId="0" xfId="0" applyFont="1" applyAlignment="1">
      <alignment horizontal="center"/>
    </xf>
    <xf numFmtId="44" fontId="10" fillId="0" borderId="0" xfId="2" applyFont="1" applyFill="1" applyBorder="1" applyAlignment="1">
      <alignment horizontal="center"/>
    </xf>
    <xf numFmtId="44" fontId="11" fillId="0" borderId="1" xfId="2" applyFont="1" applyFill="1" applyBorder="1" applyAlignment="1">
      <alignment horizontal="center" vertical="center"/>
    </xf>
    <xf numFmtId="164" fontId="16" fillId="0" borderId="27" xfId="1" applyNumberFormat="1" applyFont="1" applyBorder="1" applyAlignment="1">
      <alignment horizontal="right"/>
    </xf>
    <xf numFmtId="165" fontId="16" fillId="0" borderId="1" xfId="0" applyNumberFormat="1" applyFont="1" applyBorder="1"/>
    <xf numFmtId="165" fontId="16" fillId="0" borderId="1" xfId="1" applyNumberFormat="1" applyFont="1" applyFill="1" applyBorder="1" applyAlignment="1">
      <alignment horizontal="right"/>
    </xf>
    <xf numFmtId="44" fontId="16" fillId="0" borderId="17" xfId="0" applyNumberFormat="1" applyFont="1" applyBorder="1" applyAlignment="1">
      <alignment horizontal="right"/>
    </xf>
    <xf numFmtId="0" fontId="34" fillId="0" borderId="0" xfId="1" applyNumberFormat="1" applyFont="1" applyBorder="1" applyAlignment="1">
      <alignment horizontal="right"/>
    </xf>
    <xf numFmtId="0" fontId="0" fillId="0" borderId="1" xfId="0" applyBorder="1"/>
    <xf numFmtId="44" fontId="11" fillId="0" borderId="0" xfId="2" applyFont="1" applyBorder="1" applyAlignment="1">
      <alignment horizontal="center" vertical="center"/>
    </xf>
    <xf numFmtId="44" fontId="4" fillId="0" borderId="1" xfId="2" applyFont="1" applyBorder="1"/>
    <xf numFmtId="165" fontId="10" fillId="0" borderId="7" xfId="1" applyNumberFormat="1" applyFont="1" applyBorder="1"/>
    <xf numFmtId="44" fontId="8" fillId="0" borderId="0" xfId="2" applyFont="1" applyBorder="1" applyAlignment="1"/>
    <xf numFmtId="165" fontId="16" fillId="0" borderId="11" xfId="1" applyNumberFormat="1" applyFont="1" applyFill="1" applyBorder="1" applyAlignment="1">
      <alignment horizontal="right"/>
    </xf>
    <xf numFmtId="3" fontId="16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165" fontId="4" fillId="0" borderId="0" xfId="1" applyNumberFormat="1" applyFont="1" applyFill="1" applyAlignment="1">
      <alignment horizontal="right" wrapText="1"/>
    </xf>
    <xf numFmtId="165" fontId="4" fillId="0" borderId="0" xfId="1" applyNumberFormat="1" applyFont="1" applyFill="1" applyAlignment="1">
      <alignment horizontal="right" vertical="center"/>
    </xf>
    <xf numFmtId="164" fontId="4" fillId="0" borderId="1" xfId="0" applyNumberFormat="1" applyFont="1" applyBorder="1"/>
    <xf numFmtId="165" fontId="35" fillId="0" borderId="0" xfId="1" applyNumberFormat="1" applyFont="1" applyAlignment="1">
      <alignment horizontal="right"/>
    </xf>
    <xf numFmtId="165" fontId="10" fillId="0" borderId="0" xfId="1" applyNumberFormat="1" applyFont="1" applyAlignment="1">
      <alignment horizontal="right" vertical="center"/>
    </xf>
    <xf numFmtId="165" fontId="0" fillId="0" borderId="0" xfId="1" applyNumberFormat="1" applyFont="1"/>
    <xf numFmtId="165" fontId="0" fillId="0" borderId="0" xfId="1" applyNumberFormat="1" applyFont="1" applyBorder="1"/>
    <xf numFmtId="165" fontId="0" fillId="0" borderId="1" xfId="1" applyNumberFormat="1" applyFont="1" applyBorder="1"/>
    <xf numFmtId="0" fontId="36" fillId="0" borderId="0" xfId="0" applyFont="1"/>
    <xf numFmtId="165" fontId="36" fillId="0" borderId="0" xfId="1" applyNumberFormat="1" applyFont="1"/>
    <xf numFmtId="0" fontId="37" fillId="0" borderId="0" xfId="0" applyFont="1"/>
    <xf numFmtId="165" fontId="0" fillId="0" borderId="0" xfId="0" applyNumberFormat="1"/>
    <xf numFmtId="165" fontId="36" fillId="0" borderId="0" xfId="0" applyNumberFormat="1" applyFont="1"/>
    <xf numFmtId="0" fontId="36" fillId="3" borderId="0" xfId="0" applyFont="1" applyFill="1"/>
    <xf numFmtId="0" fontId="0" fillId="3" borderId="0" xfId="0" applyFill="1"/>
    <xf numFmtId="165" fontId="36" fillId="3" borderId="0" xfId="0" applyNumberFormat="1" applyFont="1" applyFill="1"/>
    <xf numFmtId="9" fontId="4" fillId="0" borderId="0" xfId="0" applyNumberFormat="1" applyFont="1"/>
    <xf numFmtId="6" fontId="4" fillId="0" borderId="0" xfId="0" applyNumberFormat="1" applyFont="1"/>
    <xf numFmtId="43" fontId="4" fillId="0" borderId="0" xfId="5" applyFont="1" applyAlignment="1">
      <alignment vertical="center"/>
    </xf>
    <xf numFmtId="165" fontId="10" fillId="0" borderId="0" xfId="1" applyNumberFormat="1" applyFont="1" applyFill="1" applyBorder="1" applyAlignment="1">
      <alignment vertical="center"/>
    </xf>
    <xf numFmtId="165" fontId="5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43" fontId="17" fillId="0" borderId="1" xfId="5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  <xf numFmtId="3" fontId="22" fillId="0" borderId="0" xfId="0" applyNumberFormat="1" applyFont="1" applyAlignment="1">
      <alignment horizontal="center" vertical="center"/>
    </xf>
    <xf numFmtId="168" fontId="21" fillId="0" borderId="0" xfId="5" applyNumberFormat="1" applyFont="1" applyFill="1" applyBorder="1" applyAlignment="1">
      <alignment horizontal="center"/>
    </xf>
    <xf numFmtId="3" fontId="19" fillId="0" borderId="0" xfId="0" applyNumberFormat="1" applyFont="1" applyAlignment="1">
      <alignment horizontal="center"/>
    </xf>
    <xf numFmtId="3" fontId="20" fillId="0" borderId="0" xfId="0" applyNumberFormat="1" applyFont="1" applyAlignment="1">
      <alignment horizontal="center"/>
    </xf>
    <xf numFmtId="165" fontId="19" fillId="0" borderId="7" xfId="5" applyNumberFormat="1" applyFont="1" applyFill="1" applyBorder="1" applyAlignment="1">
      <alignment horizontal="center"/>
    </xf>
    <xf numFmtId="165" fontId="19" fillId="0" borderId="0" xfId="5" applyNumberFormat="1" applyFont="1" applyFill="1" applyBorder="1" applyAlignment="1">
      <alignment horizontal="center"/>
    </xf>
    <xf numFmtId="165" fontId="20" fillId="0" borderId="7" xfId="5" applyNumberFormat="1" applyFont="1" applyFill="1" applyBorder="1" applyAlignment="1">
      <alignment horizontal="center"/>
    </xf>
    <xf numFmtId="165" fontId="20" fillId="0" borderId="0" xfId="5" applyNumberFormat="1" applyFont="1" applyFill="1" applyBorder="1" applyAlignment="1">
      <alignment horizontal="center"/>
    </xf>
    <xf numFmtId="165" fontId="22" fillId="0" borderId="7" xfId="5" applyNumberFormat="1" applyFont="1" applyFill="1" applyBorder="1" applyAlignment="1">
      <alignment horizontal="center" vertical="center"/>
    </xf>
    <xf numFmtId="165" fontId="22" fillId="0" borderId="0" xfId="5" applyNumberFormat="1" applyFont="1" applyFill="1" applyBorder="1" applyAlignment="1">
      <alignment horizontal="center" vertical="center"/>
    </xf>
    <xf numFmtId="165" fontId="23" fillId="0" borderId="7" xfId="5" applyNumberFormat="1" applyFont="1" applyFill="1" applyBorder="1" applyAlignment="1">
      <alignment horizontal="center"/>
    </xf>
    <xf numFmtId="165" fontId="23" fillId="0" borderId="0" xfId="5" applyNumberFormat="1" applyFont="1" applyFill="1" applyBorder="1" applyAlignment="1">
      <alignment horizontal="center"/>
    </xf>
    <xf numFmtId="0" fontId="17" fillId="0" borderId="5" xfId="5" applyNumberFormat="1" applyFont="1" applyFill="1" applyBorder="1" applyAlignment="1">
      <alignment horizontal="center" vertical="center"/>
    </xf>
    <xf numFmtId="0" fontId="17" fillId="0" borderId="6" xfId="5" applyNumberFormat="1" applyFont="1" applyFill="1" applyBorder="1" applyAlignment="1">
      <alignment horizontal="center" vertical="center"/>
    </xf>
    <xf numFmtId="44" fontId="15" fillId="0" borderId="7" xfId="2" applyFont="1" applyFill="1" applyBorder="1" applyAlignment="1">
      <alignment horizontal="center"/>
    </xf>
    <xf numFmtId="44" fontId="15" fillId="0" borderId="0" xfId="2" applyFont="1" applyFill="1" applyBorder="1" applyAlignment="1">
      <alignment horizontal="center"/>
    </xf>
    <xf numFmtId="44" fontId="15" fillId="0" borderId="8" xfId="2" applyFont="1" applyFill="1" applyBorder="1" applyAlignment="1">
      <alignment horizontal="center"/>
    </xf>
    <xf numFmtId="43" fontId="10" fillId="0" borderId="0" xfId="1" applyFont="1" applyFill="1" applyBorder="1" applyAlignment="1">
      <alignment horizontal="center"/>
    </xf>
    <xf numFmtId="43" fontId="30" fillId="0" borderId="7" xfId="1" applyFont="1" applyBorder="1" applyAlignment="1">
      <alignment horizontal="center"/>
    </xf>
    <xf numFmtId="43" fontId="30" fillId="0" borderId="0" xfId="1" applyFont="1" applyBorder="1" applyAlignment="1">
      <alignment horizontal="center"/>
    </xf>
    <xf numFmtId="43" fontId="30" fillId="0" borderId="8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3" fontId="14" fillId="0" borderId="7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/>
    </xf>
    <xf numFmtId="3" fontId="14" fillId="0" borderId="8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165" fontId="5" fillId="0" borderId="7" xfId="1" applyNumberFormat="1" applyFont="1" applyBorder="1" applyAlignment="1">
      <alignment horizontal="center"/>
    </xf>
    <xf numFmtId="165" fontId="5" fillId="0" borderId="0" xfId="1" applyNumberFormat="1" applyFont="1" applyBorder="1" applyAlignment="1">
      <alignment horizontal="center"/>
    </xf>
    <xf numFmtId="165" fontId="5" fillId="0" borderId="8" xfId="1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11" fillId="0" borderId="8" xfId="0" applyNumberFormat="1" applyFont="1" applyBorder="1" applyAlignment="1">
      <alignment horizontal="center" vertical="center"/>
    </xf>
    <xf numFmtId="43" fontId="5" fillId="0" borderId="0" xfId="5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0" borderId="16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7" xfId="0" applyFont="1" applyBorder="1" applyAlignment="1">
      <alignment horizontal="center"/>
    </xf>
    <xf numFmtId="0" fontId="26" fillId="0" borderId="0" xfId="0" applyFont="1" applyBorder="1" applyAlignment="1">
      <alignment horizontal="right" vertical="center" wrapText="1"/>
    </xf>
    <xf numFmtId="6" fontId="26" fillId="0" borderId="0" xfId="0" applyNumberFormat="1" applyFont="1" applyBorder="1" applyAlignment="1">
      <alignment horizontal="right" vertical="center" wrapText="1"/>
    </xf>
    <xf numFmtId="0" fontId="26" fillId="0" borderId="0" xfId="0" applyFont="1" applyBorder="1" applyAlignment="1">
      <alignment vertical="center" wrapText="1"/>
    </xf>
    <xf numFmtId="3" fontId="26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 vertical="center" wrapText="1" indent="4"/>
    </xf>
    <xf numFmtId="0" fontId="26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165" fontId="26" fillId="0" borderId="0" xfId="0" applyNumberFormat="1" applyFont="1" applyBorder="1" applyAlignment="1">
      <alignment vertical="center" wrapText="1"/>
    </xf>
    <xf numFmtId="10" fontId="26" fillId="0" borderId="0" xfId="0" applyNumberFormat="1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 wrapText="1" indent="4"/>
    </xf>
    <xf numFmtId="165" fontId="26" fillId="0" borderId="0" xfId="0" applyNumberFormat="1" applyFont="1" applyBorder="1" applyAlignment="1">
      <alignment vertical="center" wrapText="1"/>
    </xf>
    <xf numFmtId="10" fontId="26" fillId="0" borderId="0" xfId="0" applyNumberFormat="1" applyFont="1" applyBorder="1" applyAlignment="1">
      <alignment horizontal="right" vertical="center" wrapText="1"/>
    </xf>
    <xf numFmtId="165" fontId="4" fillId="0" borderId="1" xfId="5" applyNumberFormat="1" applyFont="1" applyFill="1" applyBorder="1"/>
  </cellXfs>
  <cellStyles count="12">
    <cellStyle name="Comma" xfId="1" builtinId="3"/>
    <cellStyle name="Comma 2" xfId="5" xr:uid="{00000000-0005-0000-0000-000001000000}"/>
    <cellStyle name="Comma 3" xfId="9" xr:uid="{00000000-0005-0000-0000-000002000000}"/>
    <cellStyle name="Currency" xfId="2" builtinId="4"/>
    <cellStyle name="Currency 2" xfId="6" xr:uid="{00000000-0005-0000-0000-000004000000}"/>
    <cellStyle name="Currency 3" xfId="10" xr:uid="{00000000-0005-0000-0000-000005000000}"/>
    <cellStyle name="Normal" xfId="0" builtinId="0"/>
    <cellStyle name="Normal 2" xfId="4" xr:uid="{00000000-0005-0000-0000-000007000000}"/>
    <cellStyle name="Normal 3" xfId="8" xr:uid="{00000000-0005-0000-0000-000008000000}"/>
    <cellStyle name="Normal 4" xfId="11" xr:uid="{6AF0DF84-7C4F-46F1-AA3C-2A5B115098BC}"/>
    <cellStyle name="Percent" xfId="3" builtinId="5"/>
    <cellStyle name="Percent 2" xfId="7" xr:uid="{00000000-0005-0000-0000-00000A000000}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workbookViewId="0">
      <selection activeCell="H9" sqref="H9"/>
    </sheetView>
  </sheetViews>
  <sheetFormatPr defaultColWidth="8.77734375" defaultRowHeight="15" x14ac:dyDescent="0.25"/>
  <cols>
    <col min="1" max="1" width="4.5546875" style="4" customWidth="1"/>
    <col min="2" max="2" width="27.6640625" style="4" customWidth="1"/>
    <col min="3" max="3" width="12.5546875" style="4" customWidth="1"/>
    <col min="4" max="4" width="10.5546875" style="4" customWidth="1"/>
    <col min="5" max="5" width="3.5546875" style="294" customWidth="1"/>
    <col min="6" max="6" width="10.5546875" style="117" customWidth="1"/>
    <col min="7" max="7" width="1.5546875" style="4" customWidth="1"/>
    <col min="8" max="8" width="51.88671875" style="4" customWidth="1"/>
    <col min="9" max="10" width="11.33203125" style="4" customWidth="1"/>
    <col min="11" max="11" width="10.77734375" style="4" customWidth="1"/>
    <col min="12" max="16384" width="8.77734375" style="4"/>
  </cols>
  <sheetData>
    <row r="1" spans="1:11" ht="18.75" x14ac:dyDescent="0.25">
      <c r="A1" s="419" t="s">
        <v>202</v>
      </c>
      <c r="B1" s="419"/>
      <c r="C1" s="419"/>
      <c r="D1" s="419"/>
      <c r="E1" s="419"/>
      <c r="F1" s="419"/>
      <c r="G1" s="25"/>
      <c r="H1" s="25"/>
      <c r="I1" s="25"/>
      <c r="J1" s="25"/>
    </row>
    <row r="2" spans="1:11" ht="18.75" x14ac:dyDescent="0.25">
      <c r="A2" s="419" t="s">
        <v>252</v>
      </c>
      <c r="B2" s="419"/>
      <c r="C2" s="419"/>
      <c r="D2" s="419"/>
      <c r="E2" s="419"/>
      <c r="F2" s="419"/>
      <c r="G2" s="25"/>
      <c r="H2" s="25"/>
      <c r="I2" s="25"/>
      <c r="J2" s="25"/>
      <c r="K2" s="25"/>
    </row>
    <row r="3" spans="1:11" ht="15.75" x14ac:dyDescent="0.25">
      <c r="A3" s="84"/>
      <c r="B3" s="84"/>
      <c r="C3" s="84"/>
      <c r="D3" s="84"/>
      <c r="E3" s="291"/>
      <c r="F3" s="84"/>
      <c r="G3" s="25"/>
      <c r="H3" s="25"/>
      <c r="I3" s="25"/>
      <c r="J3" s="25"/>
      <c r="K3" s="25"/>
    </row>
    <row r="4" spans="1:11" x14ac:dyDescent="0.25">
      <c r="A4" s="22"/>
      <c r="B4" s="27"/>
      <c r="C4" s="207">
        <v>2025</v>
      </c>
      <c r="D4" s="85"/>
      <c r="E4" s="292"/>
      <c r="F4" s="115"/>
      <c r="G4" s="25"/>
      <c r="H4" s="25"/>
      <c r="I4" s="25"/>
      <c r="J4" s="25"/>
    </row>
    <row r="5" spans="1:11" ht="17.25" x14ac:dyDescent="0.25">
      <c r="A5" s="25"/>
      <c r="B5" s="25"/>
      <c r="C5" s="26" t="s">
        <v>7</v>
      </c>
      <c r="D5" s="26" t="s">
        <v>8</v>
      </c>
      <c r="E5" s="293"/>
      <c r="F5" s="116" t="s">
        <v>9</v>
      </c>
      <c r="G5" s="25"/>
      <c r="H5" s="306" t="s">
        <v>287</v>
      </c>
      <c r="I5" s="25"/>
      <c r="J5" s="25"/>
    </row>
    <row r="6" spans="1:11" x14ac:dyDescent="0.25">
      <c r="A6" s="47" t="s">
        <v>82</v>
      </c>
      <c r="B6" s="25"/>
      <c r="C6" s="25"/>
      <c r="F6" s="115"/>
      <c r="G6" s="25"/>
      <c r="I6" s="25"/>
      <c r="J6" s="25"/>
    </row>
    <row r="7" spans="1:11" x14ac:dyDescent="0.25">
      <c r="A7" s="25"/>
      <c r="B7" s="136" t="s">
        <v>206</v>
      </c>
      <c r="C7" s="4">
        <v>342454</v>
      </c>
      <c r="D7" s="89">
        <f>'Existing Billing Analysis'!G12</f>
        <v>7834.9830000000075</v>
      </c>
      <c r="E7" s="300" t="s">
        <v>227</v>
      </c>
      <c r="F7" s="123">
        <f>C7+D7</f>
        <v>350288.98300000001</v>
      </c>
      <c r="G7" s="135"/>
      <c r="H7" s="25" t="s">
        <v>289</v>
      </c>
      <c r="I7" s="25"/>
      <c r="J7" s="25"/>
    </row>
    <row r="8" spans="1:11" x14ac:dyDescent="0.25">
      <c r="A8" s="25"/>
      <c r="B8" s="136" t="s">
        <v>207</v>
      </c>
      <c r="C8" s="2">
        <v>9951</v>
      </c>
      <c r="D8" s="49">
        <v>0</v>
      </c>
      <c r="E8" s="296"/>
      <c r="F8" s="124">
        <f>C8+D8</f>
        <v>9951</v>
      </c>
      <c r="G8" s="25"/>
      <c r="H8" s="25"/>
      <c r="I8" s="25"/>
      <c r="J8" s="25"/>
    </row>
    <row r="9" spans="1:11" x14ac:dyDescent="0.25">
      <c r="A9" s="28" t="s">
        <v>83</v>
      </c>
      <c r="B9" s="25"/>
      <c r="C9" s="123">
        <f>SUM(C7:C8)</f>
        <v>352405</v>
      </c>
      <c r="D9" s="25">
        <f>SUM(D7:D8)</f>
        <v>7834.9830000000075</v>
      </c>
      <c r="F9" s="123">
        <f>SUM(F7:F8)</f>
        <v>360239.98300000001</v>
      </c>
      <c r="G9" s="25"/>
      <c r="I9" s="27"/>
      <c r="J9" s="25"/>
    </row>
    <row r="10" spans="1:11" x14ac:dyDescent="0.25">
      <c r="A10" s="25"/>
      <c r="B10" s="25"/>
      <c r="C10" s="25"/>
      <c r="D10" s="89"/>
      <c r="E10" s="295"/>
      <c r="F10" s="115"/>
      <c r="G10" s="25"/>
      <c r="H10" s="25"/>
      <c r="I10" s="25"/>
      <c r="J10" s="25"/>
    </row>
    <row r="11" spans="1:11" x14ac:dyDescent="0.25">
      <c r="A11" s="47" t="s">
        <v>73</v>
      </c>
      <c r="B11" s="25"/>
      <c r="C11" s="25"/>
      <c r="D11" s="89"/>
      <c r="E11" s="295"/>
      <c r="F11" s="115"/>
      <c r="G11" s="25"/>
      <c r="H11" s="25"/>
      <c r="I11" s="140"/>
      <c r="J11" s="25"/>
    </row>
    <row r="12" spans="1:11" x14ac:dyDescent="0.25">
      <c r="A12" s="25"/>
      <c r="B12" s="136" t="s">
        <v>76</v>
      </c>
      <c r="C12" s="4">
        <v>99347</v>
      </c>
      <c r="D12" s="89">
        <f>'Tap Fees'!C11*-1</f>
        <v>-99</v>
      </c>
      <c r="E12" s="295" t="s">
        <v>228</v>
      </c>
      <c r="F12" s="123"/>
      <c r="G12" s="135"/>
      <c r="H12" s="417" t="s">
        <v>315</v>
      </c>
      <c r="I12" s="25"/>
      <c r="J12" s="25"/>
    </row>
    <row r="13" spans="1:11" x14ac:dyDescent="0.25">
      <c r="A13" s="25"/>
      <c r="B13" s="136"/>
      <c r="D13" s="89">
        <f>'Wages and Benefits'!J23</f>
        <v>12294.399999999994</v>
      </c>
      <c r="E13" s="300" t="s">
        <v>228</v>
      </c>
      <c r="F13" s="123">
        <f>C12+D12+D13</f>
        <v>111542.39999999999</v>
      </c>
      <c r="G13" s="135"/>
      <c r="H13" s="25" t="s">
        <v>222</v>
      </c>
      <c r="I13" s="25"/>
      <c r="J13" s="25"/>
    </row>
    <row r="14" spans="1:11" x14ac:dyDescent="0.25">
      <c r="A14" s="25"/>
      <c r="B14" s="136" t="s">
        <v>295</v>
      </c>
      <c r="C14" s="4">
        <v>5900</v>
      </c>
      <c r="D14" s="89">
        <v>0</v>
      </c>
      <c r="E14" s="295"/>
      <c r="F14" s="123">
        <f t="shared" ref="F14:F28" si="0">C14+D14</f>
        <v>5900</v>
      </c>
      <c r="G14" s="135"/>
      <c r="H14" s="25"/>
      <c r="I14" s="25"/>
      <c r="J14" s="25"/>
    </row>
    <row r="15" spans="1:11" x14ac:dyDescent="0.25">
      <c r="A15" s="25"/>
      <c r="B15" s="136" t="s">
        <v>77</v>
      </c>
      <c r="C15" s="39">
        <v>0</v>
      </c>
      <c r="D15" s="89">
        <f>'Wages and Benefits'!J35</f>
        <v>0</v>
      </c>
      <c r="E15" s="300"/>
      <c r="F15" s="123">
        <v>0</v>
      </c>
      <c r="G15" s="135"/>
      <c r="H15" s="25"/>
      <c r="I15" s="25"/>
      <c r="J15" s="25"/>
    </row>
    <row r="16" spans="1:11" x14ac:dyDescent="0.25">
      <c r="A16" s="25"/>
      <c r="B16" s="136" t="s">
        <v>78</v>
      </c>
      <c r="C16" s="137">
        <v>108948</v>
      </c>
      <c r="D16" s="89">
        <f>'Water Loss'!F33</f>
        <v>-7869.1418484020296</v>
      </c>
      <c r="E16" s="295" t="s">
        <v>229</v>
      </c>
      <c r="F16" s="123">
        <f t="shared" si="0"/>
        <v>101078.85815159797</v>
      </c>
      <c r="G16" s="135"/>
      <c r="H16" s="25" t="s">
        <v>278</v>
      </c>
      <c r="I16" s="25"/>
      <c r="J16" s="25"/>
    </row>
    <row r="17" spans="1:10" x14ac:dyDescent="0.25">
      <c r="A17" s="25"/>
      <c r="B17" s="136" t="s">
        <v>80</v>
      </c>
      <c r="C17" s="137">
        <v>14409</v>
      </c>
      <c r="D17" s="89">
        <f>'Water Loss'!F34</f>
        <v>-1040.7392966701991</v>
      </c>
      <c r="E17" s="295" t="s">
        <v>229</v>
      </c>
      <c r="F17" s="123">
        <f t="shared" si="0"/>
        <v>13368.260703329801</v>
      </c>
      <c r="G17" s="135"/>
      <c r="H17" s="25" t="s">
        <v>278</v>
      </c>
      <c r="I17" s="25"/>
      <c r="J17" s="25"/>
    </row>
    <row r="18" spans="1:10" x14ac:dyDescent="0.25">
      <c r="A18" s="25"/>
      <c r="B18" s="136" t="s">
        <v>294</v>
      </c>
      <c r="C18" s="137">
        <v>5866</v>
      </c>
      <c r="D18" s="89">
        <f>'Tap Fees'!C12*-1</f>
        <v>-230.99999999999997</v>
      </c>
      <c r="E18" s="295" t="s">
        <v>230</v>
      </c>
      <c r="F18" s="123">
        <f t="shared" si="0"/>
        <v>5635</v>
      </c>
      <c r="G18" s="135"/>
      <c r="H18" s="417" t="s">
        <v>313</v>
      </c>
      <c r="I18" s="25"/>
      <c r="J18" s="25"/>
    </row>
    <row r="19" spans="1:10" x14ac:dyDescent="0.25">
      <c r="A19" s="25"/>
      <c r="B19" s="136" t="s">
        <v>290</v>
      </c>
      <c r="C19" s="137">
        <v>16687</v>
      </c>
      <c r="D19" s="89">
        <v>0</v>
      </c>
      <c r="E19" s="295"/>
      <c r="F19" s="123">
        <f t="shared" si="0"/>
        <v>16687</v>
      </c>
      <c r="G19" s="135"/>
      <c r="H19" s="25"/>
      <c r="I19" s="25"/>
      <c r="J19" s="25"/>
    </row>
    <row r="20" spans="1:10" x14ac:dyDescent="0.25">
      <c r="A20" s="25"/>
      <c r="B20" s="136" t="s">
        <v>245</v>
      </c>
      <c r="C20" s="137">
        <v>18721</v>
      </c>
      <c r="D20" s="89">
        <v>0</v>
      </c>
      <c r="E20" s="295"/>
      <c r="F20" s="123">
        <f t="shared" si="0"/>
        <v>18721</v>
      </c>
      <c r="G20" s="135"/>
      <c r="H20" s="25"/>
      <c r="I20" s="25"/>
      <c r="J20" s="25"/>
    </row>
    <row r="21" spans="1:10" x14ac:dyDescent="0.25">
      <c r="A21" s="25"/>
      <c r="B21" s="136" t="s">
        <v>291</v>
      </c>
      <c r="C21" s="137">
        <v>13140</v>
      </c>
      <c r="D21" s="89">
        <v>0</v>
      </c>
      <c r="E21" s="295"/>
      <c r="F21" s="400">
        <f t="shared" si="0"/>
        <v>13140</v>
      </c>
      <c r="G21" s="135"/>
      <c r="H21" s="25"/>
      <c r="I21" s="25"/>
      <c r="J21" s="25"/>
    </row>
    <row r="22" spans="1:10" x14ac:dyDescent="0.25">
      <c r="A22" s="25"/>
      <c r="B22" s="136" t="s">
        <v>292</v>
      </c>
      <c r="C22" s="263">
        <v>5733</v>
      </c>
      <c r="D22" s="89">
        <f>D14*0.0145</f>
        <v>0</v>
      </c>
      <c r="E22" s="295"/>
      <c r="F22" s="123">
        <f t="shared" si="0"/>
        <v>5733</v>
      </c>
      <c r="G22" s="135"/>
      <c r="H22" s="25"/>
      <c r="I22" s="25"/>
      <c r="J22" s="25"/>
    </row>
    <row r="23" spans="1:10" x14ac:dyDescent="0.25">
      <c r="A23" s="25"/>
      <c r="B23" s="136" t="s">
        <v>293</v>
      </c>
      <c r="C23" s="4">
        <v>1488</v>
      </c>
      <c r="D23" s="89">
        <f>D14*0.035</f>
        <v>0</v>
      </c>
      <c r="E23" s="295"/>
      <c r="F23" s="123">
        <f t="shared" si="0"/>
        <v>1488</v>
      </c>
      <c r="G23" s="135"/>
      <c r="H23" s="25"/>
      <c r="I23" s="25"/>
      <c r="J23" s="25"/>
    </row>
    <row r="24" spans="1:10" x14ac:dyDescent="0.25">
      <c r="A24" s="25"/>
      <c r="B24" s="136" t="s">
        <v>79</v>
      </c>
      <c r="C24" s="137">
        <v>2434</v>
      </c>
      <c r="D24" s="89">
        <v>0</v>
      </c>
      <c r="E24" s="295"/>
      <c r="F24" s="123">
        <f t="shared" si="0"/>
        <v>2434</v>
      </c>
      <c r="G24" s="135"/>
      <c r="H24" s="25"/>
      <c r="I24" s="25"/>
      <c r="J24" s="25"/>
    </row>
    <row r="25" spans="1:10" x14ac:dyDescent="0.25">
      <c r="A25" s="25"/>
      <c r="B25" s="136" t="s">
        <v>279</v>
      </c>
      <c r="C25" s="137">
        <v>325</v>
      </c>
      <c r="D25" s="89">
        <v>0</v>
      </c>
      <c r="E25" s="295"/>
      <c r="F25" s="123">
        <f t="shared" si="0"/>
        <v>325</v>
      </c>
      <c r="G25" s="135"/>
      <c r="H25" s="25"/>
      <c r="I25" s="25"/>
      <c r="J25" s="25"/>
    </row>
    <row r="26" spans="1:10" x14ac:dyDescent="0.25">
      <c r="A26" s="25"/>
      <c r="B26" s="136"/>
      <c r="C26" s="137"/>
      <c r="D26" s="89">
        <v>0</v>
      </c>
      <c r="E26" s="295"/>
      <c r="F26" s="123">
        <f t="shared" si="0"/>
        <v>0</v>
      </c>
      <c r="G26" s="135"/>
      <c r="H26" s="25"/>
      <c r="I26" s="25"/>
      <c r="J26" s="25"/>
    </row>
    <row r="27" spans="1:10" ht="17.25" x14ac:dyDescent="0.4">
      <c r="A27" s="25"/>
      <c r="B27" s="136" t="s">
        <v>235</v>
      </c>
      <c r="C27" s="402">
        <v>0</v>
      </c>
      <c r="D27" s="418">
        <f>'Rate Case Expenses'!B7</f>
        <v>3111.6666666666665</v>
      </c>
      <c r="E27" s="295" t="s">
        <v>231</v>
      </c>
      <c r="F27" s="403">
        <f>C27+D27</f>
        <v>3111.6666666666665</v>
      </c>
      <c r="G27" s="135"/>
      <c r="H27" s="25" t="s">
        <v>239</v>
      </c>
      <c r="I27" s="25"/>
      <c r="J27" s="25"/>
    </row>
    <row r="28" spans="1:10" hidden="1" x14ac:dyDescent="0.25">
      <c r="A28" s="25"/>
      <c r="B28" s="136"/>
      <c r="C28" s="265"/>
      <c r="D28" s="49">
        <v>0</v>
      </c>
      <c r="E28" s="296"/>
      <c r="F28" s="124">
        <f t="shared" si="0"/>
        <v>0</v>
      </c>
      <c r="G28" s="135"/>
      <c r="H28" s="25"/>
      <c r="I28" s="25"/>
      <c r="J28" s="25"/>
    </row>
    <row r="29" spans="1:10" x14ac:dyDescent="0.25">
      <c r="A29" s="110" t="s">
        <v>84</v>
      </c>
      <c r="C29" s="86">
        <f>SUM(C12:C28)</f>
        <v>292998</v>
      </c>
      <c r="D29" s="4">
        <f>SUM(D12:D28)</f>
        <v>6166.1855215944324</v>
      </c>
      <c r="F29" s="4">
        <f>SUM(F12:F28)</f>
        <v>299164.18552159448</v>
      </c>
    </row>
    <row r="30" spans="1:10" x14ac:dyDescent="0.25">
      <c r="A30" s="110"/>
      <c r="C30" s="86"/>
      <c r="F30" s="4"/>
    </row>
    <row r="31" spans="1:10" x14ac:dyDescent="0.25">
      <c r="A31" s="110" t="s">
        <v>86</v>
      </c>
      <c r="C31" s="86"/>
      <c r="F31" s="4"/>
    </row>
    <row r="32" spans="1:10" x14ac:dyDescent="0.25">
      <c r="B32" s="4" t="s">
        <v>81</v>
      </c>
      <c r="C32" s="4">
        <v>67416</v>
      </c>
      <c r="D32" s="4">
        <f>Depreciation!F49</f>
        <v>5993.0550171428622</v>
      </c>
      <c r="E32" s="294" t="s">
        <v>232</v>
      </c>
      <c r="F32" s="123">
        <f>C32+D32</f>
        <v>73409.055017142862</v>
      </c>
      <c r="H32" s="4" t="s">
        <v>223</v>
      </c>
    </row>
    <row r="33" spans="1:10" x14ac:dyDescent="0.25">
      <c r="A33" s="110"/>
      <c r="B33" s="4" t="s">
        <v>85</v>
      </c>
      <c r="C33" s="267">
        <v>8438</v>
      </c>
      <c r="D33" s="2">
        <f>'Wages and Benefits'!J29</f>
        <v>102.56710000000021</v>
      </c>
      <c r="E33" s="297" t="s">
        <v>233</v>
      </c>
      <c r="F33" s="2">
        <f>C33+D33</f>
        <v>8540.5671000000002</v>
      </c>
      <c r="H33" s="4" t="s">
        <v>222</v>
      </c>
    </row>
    <row r="34" spans="1:10" x14ac:dyDescent="0.25">
      <c r="A34" s="110" t="s">
        <v>87</v>
      </c>
      <c r="C34" s="139">
        <f>SUM(C32:C33)</f>
        <v>75854</v>
      </c>
      <c r="D34" s="3">
        <f t="shared" ref="D34:F34" si="1">SUM(D32:D33)</f>
        <v>6095.6221171428624</v>
      </c>
      <c r="E34" s="298"/>
      <c r="F34" s="328">
        <f t="shared" si="1"/>
        <v>81949.622117142862</v>
      </c>
    </row>
    <row r="35" spans="1:10" x14ac:dyDescent="0.25">
      <c r="A35" s="110"/>
      <c r="C35" s="139"/>
      <c r="D35" s="3"/>
      <c r="E35" s="298"/>
      <c r="F35" s="3"/>
    </row>
    <row r="36" spans="1:10" x14ac:dyDescent="0.25">
      <c r="A36" s="110" t="s">
        <v>88</v>
      </c>
      <c r="C36" s="139"/>
      <c r="D36" s="3"/>
      <c r="E36" s="298"/>
      <c r="F36" s="3"/>
    </row>
    <row r="37" spans="1:10" x14ac:dyDescent="0.25">
      <c r="A37" s="110"/>
      <c r="B37" s="4" t="s">
        <v>90</v>
      </c>
      <c r="C37" s="139">
        <v>4254</v>
      </c>
      <c r="D37" s="4">
        <v>0</v>
      </c>
      <c r="F37" s="86">
        <f>C37+D37</f>
        <v>4254</v>
      </c>
    </row>
    <row r="38" spans="1:10" x14ac:dyDescent="0.25">
      <c r="A38" s="110"/>
      <c r="B38" s="4" t="s">
        <v>89</v>
      </c>
      <c r="C38" s="138">
        <v>22434</v>
      </c>
      <c r="D38" s="257">
        <v>0</v>
      </c>
      <c r="E38" s="296"/>
      <c r="F38" s="2">
        <f>C38+D38</f>
        <v>22434</v>
      </c>
    </row>
    <row r="39" spans="1:10" x14ac:dyDescent="0.25">
      <c r="A39" s="110" t="s">
        <v>91</v>
      </c>
      <c r="C39" s="139">
        <f>SUM(C37:C38)</f>
        <v>26688</v>
      </c>
      <c r="D39" s="3">
        <f t="shared" ref="D39" si="2">SUM(D37:D38)</f>
        <v>0</v>
      </c>
      <c r="E39" s="298"/>
      <c r="F39" s="3">
        <f t="shared" ref="F39" si="3">SUM(F37:F38)</f>
        <v>26688</v>
      </c>
    </row>
    <row r="40" spans="1:10" x14ac:dyDescent="0.25">
      <c r="A40" s="110"/>
      <c r="C40" s="139"/>
      <c r="D40" s="3"/>
      <c r="E40" s="298"/>
      <c r="F40" s="3"/>
    </row>
    <row r="41" spans="1:10" ht="15.75" thickBot="1" x14ac:dyDescent="0.3">
      <c r="A41" s="110" t="s">
        <v>92</v>
      </c>
      <c r="C41" s="147">
        <f>C9-C29-C34+C39</f>
        <v>10241</v>
      </c>
      <c r="D41" s="147">
        <f>D9-D29-D34+D39</f>
        <v>-4426.8246387372874</v>
      </c>
      <c r="E41" s="299"/>
      <c r="F41" s="147">
        <f>F9-F29-F34+F39</f>
        <v>5814.1753612626635</v>
      </c>
    </row>
    <row r="42" spans="1:10" ht="15.75" thickTop="1" x14ac:dyDescent="0.25">
      <c r="A42" s="110"/>
      <c r="F42" s="4"/>
    </row>
    <row r="43" spans="1:10" hidden="1" x14ac:dyDescent="0.25">
      <c r="A43" s="110" t="s">
        <v>93</v>
      </c>
      <c r="F43" s="4"/>
    </row>
    <row r="44" spans="1:10" hidden="1" x14ac:dyDescent="0.25">
      <c r="A44" s="110"/>
      <c r="B44" s="4" t="s">
        <v>94</v>
      </c>
      <c r="C44" s="4">
        <v>7630</v>
      </c>
      <c r="F44" s="4"/>
    </row>
    <row r="45" spans="1:10" hidden="1" x14ac:dyDescent="0.25">
      <c r="A45" s="110"/>
      <c r="B45" s="4" t="s">
        <v>95</v>
      </c>
      <c r="C45" s="4">
        <v>15000</v>
      </c>
      <c r="F45" s="4"/>
    </row>
    <row r="46" spans="1:10" hidden="1" x14ac:dyDescent="0.25">
      <c r="A46" s="110"/>
      <c r="B46" s="4" t="s">
        <v>96</v>
      </c>
      <c r="C46" s="2">
        <v>0</v>
      </c>
      <c r="F46" s="4"/>
    </row>
    <row r="47" spans="1:10" hidden="1" x14ac:dyDescent="0.25">
      <c r="A47" s="110" t="s">
        <v>93</v>
      </c>
      <c r="C47" s="4">
        <f>SUM(C44:C46)</f>
        <v>22630</v>
      </c>
      <c r="D47" s="86" t="str">
        <f>IF(C47=C41,"OK","Out of Balance")</f>
        <v>Out of Balance</v>
      </c>
      <c r="F47" s="4"/>
    </row>
    <row r="48" spans="1:10" x14ac:dyDescent="0.25">
      <c r="A48" s="25"/>
      <c r="B48" s="25"/>
      <c r="C48" s="25"/>
      <c r="D48" s="25"/>
      <c r="F48" s="115"/>
      <c r="G48" s="25"/>
      <c r="H48" s="25"/>
      <c r="I48" s="25"/>
      <c r="J48" s="25"/>
    </row>
    <row r="49" spans="1:6" x14ac:dyDescent="0.25">
      <c r="A49" s="25"/>
      <c r="B49" s="25"/>
      <c r="C49" s="29"/>
      <c r="D49" s="25"/>
      <c r="F49" s="115"/>
    </row>
    <row r="50" spans="1:6" x14ac:dyDescent="0.25">
      <c r="A50" s="28"/>
      <c r="B50" s="25"/>
      <c r="C50" s="29"/>
      <c r="D50" s="25"/>
      <c r="F50" s="115"/>
    </row>
  </sheetData>
  <mergeCells count="2">
    <mergeCell ref="A1:F1"/>
    <mergeCell ref="A2:F2"/>
  </mergeCells>
  <printOptions horizontalCentered="1" verticalCentered="1"/>
  <pageMargins left="0.45" right="0.25" top="0.5" bottom="0.5" header="0.3" footer="0.3"/>
  <pageSetup orientation="portrait" horizontalDpi="4294967293" r:id="rId1"/>
  <rowBreaks count="1" manualBreakCount="1">
    <brk id="4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111CB-4786-49ED-84DB-B7097166E3AD}">
  <dimension ref="A1:B7"/>
  <sheetViews>
    <sheetView workbookViewId="0">
      <selection activeCell="E21" sqref="E21"/>
    </sheetView>
  </sheetViews>
  <sheetFormatPr defaultRowHeight="15" x14ac:dyDescent="0.25"/>
  <cols>
    <col min="1" max="1" width="20.5546875" style="38" customWidth="1"/>
    <col min="2" max="2" width="12.5546875" style="208" customWidth="1"/>
    <col min="3" max="16384" width="8.88671875" style="38"/>
  </cols>
  <sheetData>
    <row r="1" spans="1:2" x14ac:dyDescent="0.25">
      <c r="A1" s="38" t="s">
        <v>128</v>
      </c>
    </row>
    <row r="3" spans="1:2" x14ac:dyDescent="0.25">
      <c r="A3" s="38" t="s">
        <v>129</v>
      </c>
      <c r="B3" s="208">
        <v>9335</v>
      </c>
    </row>
    <row r="4" spans="1:2" x14ac:dyDescent="0.25">
      <c r="A4" s="38" t="s">
        <v>204</v>
      </c>
      <c r="B4" s="262">
        <v>0</v>
      </c>
    </row>
    <row r="5" spans="1:2" x14ac:dyDescent="0.25">
      <c r="A5" s="38" t="s">
        <v>1</v>
      </c>
      <c r="B5" s="208">
        <f>B3+B4</f>
        <v>9335</v>
      </c>
    </row>
    <row r="6" spans="1:2" x14ac:dyDescent="0.25">
      <c r="A6" s="38" t="s">
        <v>130</v>
      </c>
      <c r="B6" s="209">
        <v>3</v>
      </c>
    </row>
    <row r="7" spans="1:2" x14ac:dyDescent="0.25">
      <c r="A7" s="38" t="s">
        <v>131</v>
      </c>
      <c r="B7" s="208">
        <f>B5/B6</f>
        <v>3111.6666666666665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G33"/>
  <sheetViews>
    <sheetView showGridLines="0" workbookViewId="0">
      <selection activeCell="B2" sqref="B2:H27"/>
    </sheetView>
  </sheetViews>
  <sheetFormatPr defaultColWidth="8.77734375" defaultRowHeight="15" x14ac:dyDescent="0.25"/>
  <cols>
    <col min="1" max="1" width="2.77734375" style="13" customWidth="1"/>
    <col min="2" max="2" width="2.5546875" style="13" customWidth="1"/>
    <col min="3" max="3" width="30.5546875" style="24" customWidth="1"/>
    <col min="4" max="4" width="9.33203125" style="15" bestFit="1" customWidth="1"/>
    <col min="5" max="5" width="9.5546875" style="15" customWidth="1"/>
    <col min="6" max="7" width="9.5546875" style="24" customWidth="1"/>
    <col min="8" max="8" width="2.5546875" style="13" customWidth="1"/>
    <col min="9" max="9" width="2" style="13" customWidth="1"/>
    <col min="10" max="10" width="9.5546875" style="33" customWidth="1"/>
    <col min="11" max="189" width="9.5546875" style="13" customWidth="1"/>
    <col min="190" max="16384" width="8.77734375" style="9"/>
  </cols>
  <sheetData>
    <row r="1" spans="2:10" x14ac:dyDescent="0.25">
      <c r="D1" s="395"/>
    </row>
    <row r="2" spans="2:10" ht="15" customHeight="1" x14ac:dyDescent="0.25">
      <c r="B2" s="80"/>
      <c r="C2" s="82"/>
      <c r="D2" s="83"/>
      <c r="E2" s="83"/>
      <c r="F2" s="82"/>
      <c r="G2" s="82"/>
      <c r="H2" s="81"/>
    </row>
    <row r="3" spans="2:10" ht="18" hidden="1" customHeight="1" x14ac:dyDescent="0.35">
      <c r="B3" s="444" t="s">
        <v>190</v>
      </c>
      <c r="C3" s="445"/>
      <c r="D3" s="445"/>
      <c r="E3" s="445"/>
      <c r="F3" s="445"/>
      <c r="G3" s="445"/>
      <c r="H3" s="446"/>
    </row>
    <row r="4" spans="2:10" ht="21" x14ac:dyDescent="0.35">
      <c r="B4" s="448" t="s">
        <v>12</v>
      </c>
      <c r="C4" s="449"/>
      <c r="D4" s="449"/>
      <c r="E4" s="449"/>
      <c r="F4" s="449"/>
      <c r="G4" s="449"/>
      <c r="H4" s="450"/>
    </row>
    <row r="5" spans="2:10" ht="21" x14ac:dyDescent="0.35">
      <c r="B5" s="347"/>
      <c r="C5" s="350"/>
      <c r="D5" s="351" t="s">
        <v>237</v>
      </c>
      <c r="E5" s="348"/>
      <c r="F5" s="348"/>
      <c r="G5" s="348"/>
      <c r="H5" s="349"/>
    </row>
    <row r="6" spans="2:10" ht="18" customHeight="1" x14ac:dyDescent="0.25">
      <c r="B6" s="451" t="s">
        <v>252</v>
      </c>
      <c r="C6" s="452"/>
      <c r="D6" s="452"/>
      <c r="E6" s="452"/>
      <c r="F6" s="452"/>
      <c r="G6" s="452"/>
      <c r="H6" s="453"/>
    </row>
    <row r="7" spans="2:10" ht="6" customHeight="1" x14ac:dyDescent="0.25">
      <c r="B7" s="34"/>
      <c r="H7" s="35"/>
    </row>
    <row r="8" spans="2:10" ht="8.1" customHeight="1" x14ac:dyDescent="0.25">
      <c r="B8" s="80"/>
      <c r="C8" s="82"/>
      <c r="D8" s="83"/>
      <c r="E8" s="83"/>
      <c r="F8" s="82"/>
      <c r="G8" s="82"/>
      <c r="H8" s="81"/>
    </row>
    <row r="9" spans="2:10" ht="20.25" x14ac:dyDescent="0.4">
      <c r="B9" s="34"/>
      <c r="C9" s="14" t="s">
        <v>255</v>
      </c>
      <c r="D9" s="79" t="s">
        <v>13</v>
      </c>
      <c r="E9" s="79" t="s">
        <v>0</v>
      </c>
      <c r="F9" s="447" t="s">
        <v>17</v>
      </c>
      <c r="G9" s="447"/>
      <c r="H9" s="37"/>
      <c r="J9" s="42"/>
    </row>
    <row r="10" spans="2:10" ht="18.75" x14ac:dyDescent="0.3">
      <c r="B10" s="91"/>
      <c r="C10" s="92" t="s">
        <v>70</v>
      </c>
      <c r="D10" s="93">
        <v>18.96</v>
      </c>
      <c r="E10" s="94">
        <f>ROUND(D10*(1+'Revenue Requirement'!$F$19),4)</f>
        <v>20.7895</v>
      </c>
      <c r="F10" s="93">
        <f t="shared" ref="F10:F13" si="0">E10-D10</f>
        <v>1.8294999999999995</v>
      </c>
      <c r="G10" s="95">
        <f t="shared" ref="G10:G13" si="1">F10/D10</f>
        <v>9.6492616033755238E-2</v>
      </c>
      <c r="H10" s="96"/>
      <c r="J10" s="41"/>
    </row>
    <row r="11" spans="2:10" ht="18.75" x14ac:dyDescent="0.3">
      <c r="B11" s="91"/>
      <c r="C11" s="92" t="s">
        <v>253</v>
      </c>
      <c r="D11" s="210">
        <v>8.43E-3</v>
      </c>
      <c r="E11" s="211">
        <f>ROUND(D11*(1+'Revenue Requirement'!$F$19),8)</f>
        <v>9.2434200000000005E-3</v>
      </c>
      <c r="F11" s="210">
        <f t="shared" si="0"/>
        <v>8.1342000000000046E-4</v>
      </c>
      <c r="G11" s="95">
        <f t="shared" si="1"/>
        <v>9.6491103202847026E-2</v>
      </c>
      <c r="H11" s="96"/>
      <c r="J11" s="41"/>
    </row>
    <row r="12" spans="2:10" ht="18.75" x14ac:dyDescent="0.3">
      <c r="B12" s="91"/>
      <c r="C12" s="92" t="s">
        <v>205</v>
      </c>
      <c r="D12" s="210">
        <v>7.1799999999999998E-3</v>
      </c>
      <c r="E12" s="211">
        <f>ROUND(D12*(1+'Revenue Requirement'!$F$19),6)</f>
        <v>7.8729999999999998E-3</v>
      </c>
      <c r="F12" s="210">
        <f t="shared" ref="F12" si="2">E12-D12</f>
        <v>6.9300000000000004E-4</v>
      </c>
      <c r="G12" s="95">
        <f t="shared" ref="G12" si="3">F12/D12</f>
        <v>9.6518105849582175E-2</v>
      </c>
      <c r="H12" s="96"/>
      <c r="J12" s="41"/>
    </row>
    <row r="13" spans="2:10" ht="18.75" x14ac:dyDescent="0.3">
      <c r="B13" s="91"/>
      <c r="C13" s="92" t="s">
        <v>254</v>
      </c>
      <c r="D13" s="210">
        <v>5.8799999999999998E-3</v>
      </c>
      <c r="E13" s="211">
        <f>ROUND(D13*(1+'Revenue Requirement'!$F$19),8)</f>
        <v>6.44737E-3</v>
      </c>
      <c r="F13" s="210">
        <f t="shared" si="0"/>
        <v>5.673700000000002E-4</v>
      </c>
      <c r="G13" s="95">
        <f t="shared" si="1"/>
        <v>9.6491496598639495E-2</v>
      </c>
      <c r="H13" s="96"/>
      <c r="J13" s="41"/>
    </row>
    <row r="14" spans="2:10" ht="18.75" x14ac:dyDescent="0.3">
      <c r="B14" s="91"/>
      <c r="C14" s="92"/>
      <c r="D14" s="210"/>
      <c r="E14" s="211"/>
      <c r="F14" s="210"/>
      <c r="G14" s="95"/>
      <c r="H14" s="96"/>
      <c r="J14" s="41"/>
    </row>
    <row r="15" spans="2:10" ht="18.75" customHeight="1" x14ac:dyDescent="0.3">
      <c r="B15" s="97"/>
      <c r="C15" s="98"/>
      <c r="D15" s="98"/>
      <c r="E15" s="99"/>
      <c r="F15" s="98"/>
      <c r="G15" s="100"/>
      <c r="H15" s="101"/>
    </row>
    <row r="16" spans="2:10" ht="18.75" customHeight="1" x14ac:dyDescent="0.4">
      <c r="B16" s="102"/>
      <c r="C16" s="14" t="s">
        <v>270</v>
      </c>
      <c r="D16" s="79" t="s">
        <v>13</v>
      </c>
      <c r="E16" s="79" t="s">
        <v>0</v>
      </c>
      <c r="F16" s="447" t="s">
        <v>17</v>
      </c>
      <c r="G16" s="447"/>
      <c r="H16" s="96"/>
    </row>
    <row r="17" spans="1:189" ht="18" customHeight="1" x14ac:dyDescent="0.3">
      <c r="B17" s="103"/>
      <c r="C17" s="92" t="s">
        <v>271</v>
      </c>
      <c r="D17" s="93">
        <v>44.25</v>
      </c>
      <c r="E17" s="94">
        <f>ROUND(D17*(1+'Revenue Requirement'!$F$19),3)</f>
        <v>48.52</v>
      </c>
      <c r="F17" s="93">
        <f t="shared" ref="F17:F20" si="4">E17-D17</f>
        <v>4.2700000000000031</v>
      </c>
      <c r="G17" s="95">
        <f t="shared" ref="G17:G20" si="5">F17/D17</f>
        <v>9.6497175141243008E-2</v>
      </c>
      <c r="H17" s="96"/>
    </row>
    <row r="18" spans="1:189" ht="18.75" customHeight="1" x14ac:dyDescent="0.3">
      <c r="B18" s="103"/>
      <c r="C18" s="92" t="s">
        <v>272</v>
      </c>
      <c r="D18" s="210">
        <v>8.43E-3</v>
      </c>
      <c r="E18" s="211">
        <f>ROUND(D18*(1+'Revenue Requirement'!$F$19),7)</f>
        <v>9.2434000000000006E-3</v>
      </c>
      <c r="F18" s="210">
        <f t="shared" si="4"/>
        <v>8.1340000000000058E-4</v>
      </c>
      <c r="G18" s="95">
        <f t="shared" si="5"/>
        <v>9.6488730723606239E-2</v>
      </c>
      <c r="H18" s="96"/>
    </row>
    <row r="19" spans="1:189" ht="18.75" customHeight="1" x14ac:dyDescent="0.3">
      <c r="B19" s="91"/>
      <c r="C19" s="92" t="s">
        <v>205</v>
      </c>
      <c r="D19" s="210">
        <v>7.1799999999999998E-3</v>
      </c>
      <c r="E19" s="211">
        <f>ROUND(D19*(1+'Revenue Requirement'!$F$19),6)</f>
        <v>7.8729999999999998E-3</v>
      </c>
      <c r="F19" s="210">
        <f t="shared" si="4"/>
        <v>6.9300000000000004E-4</v>
      </c>
      <c r="G19" s="95">
        <f t="shared" si="5"/>
        <v>9.6518105849582175E-2</v>
      </c>
      <c r="H19" s="96"/>
    </row>
    <row r="20" spans="1:189" ht="18.75" x14ac:dyDescent="0.3">
      <c r="B20" s="102"/>
      <c r="C20" s="92" t="s">
        <v>254</v>
      </c>
      <c r="D20" s="210">
        <v>5.8799999999999998E-3</v>
      </c>
      <c r="E20" s="211">
        <f>ROUND(D20*(1+'Revenue Requirement'!$F$19),8)</f>
        <v>6.44737E-3</v>
      </c>
      <c r="F20" s="210">
        <f t="shared" si="4"/>
        <v>5.673700000000002E-4</v>
      </c>
      <c r="G20" s="95">
        <f t="shared" si="5"/>
        <v>9.6491496598639495E-2</v>
      </c>
      <c r="H20" s="96"/>
    </row>
    <row r="21" spans="1:189" ht="18.75" customHeight="1" x14ac:dyDescent="0.3">
      <c r="B21" s="97"/>
      <c r="C21" s="98"/>
      <c r="D21" s="98"/>
      <c r="E21" s="99"/>
      <c r="F21" s="98"/>
      <c r="G21" s="100"/>
      <c r="H21" s="101"/>
    </row>
    <row r="22" spans="1:189" ht="21.75" customHeight="1" x14ac:dyDescent="0.4">
      <c r="B22" s="80"/>
      <c r="C22" s="105" t="s">
        <v>273</v>
      </c>
      <c r="D22" s="79" t="s">
        <v>13</v>
      </c>
      <c r="E22" s="79" t="s">
        <v>0</v>
      </c>
      <c r="F22" s="447" t="s">
        <v>17</v>
      </c>
      <c r="G22" s="447"/>
      <c r="H22" s="81"/>
    </row>
    <row r="23" spans="1:189" s="90" customFormat="1" ht="18.75" x14ac:dyDescent="0.3">
      <c r="A23" s="363"/>
      <c r="B23" s="103"/>
      <c r="C23" s="92" t="s">
        <v>274</v>
      </c>
      <c r="D23" s="93">
        <v>158.19999999999999</v>
      </c>
      <c r="E23" s="94">
        <f>ROUND(D23*(1+'Revenue Requirement'!$F$19),4)</f>
        <v>173.4649</v>
      </c>
      <c r="F23" s="93">
        <f t="shared" ref="F23:F24" si="6">E23-D23</f>
        <v>15.264900000000011</v>
      </c>
      <c r="G23" s="95">
        <f t="shared" ref="G23:G24" si="7">F23/D23</f>
        <v>9.6491150442477955E-2</v>
      </c>
      <c r="H23" s="96"/>
      <c r="I23" s="363"/>
      <c r="J23" s="364"/>
      <c r="K23" s="363"/>
      <c r="L23" s="363"/>
      <c r="M23" s="363"/>
      <c r="N23" s="363"/>
      <c r="O23" s="363"/>
      <c r="P23" s="363"/>
      <c r="Q23" s="363"/>
      <c r="R23" s="363"/>
      <c r="S23" s="363"/>
      <c r="T23" s="363"/>
      <c r="U23" s="363"/>
      <c r="V23" s="363"/>
      <c r="W23" s="363"/>
      <c r="X23" s="363"/>
      <c r="Y23" s="363"/>
      <c r="Z23" s="363"/>
      <c r="AA23" s="363"/>
      <c r="AB23" s="363"/>
      <c r="AC23" s="363"/>
      <c r="AD23" s="363"/>
      <c r="AE23" s="363"/>
      <c r="AF23" s="363"/>
      <c r="AG23" s="363"/>
      <c r="AH23" s="363"/>
      <c r="AI23" s="363"/>
      <c r="AJ23" s="363"/>
      <c r="AK23" s="363"/>
      <c r="AL23" s="363"/>
      <c r="AM23" s="363"/>
      <c r="AN23" s="363"/>
      <c r="AO23" s="363"/>
      <c r="AP23" s="363"/>
      <c r="AQ23" s="363"/>
      <c r="AR23" s="363"/>
      <c r="AS23" s="363"/>
      <c r="AT23" s="363"/>
      <c r="AU23" s="363"/>
      <c r="AV23" s="363"/>
      <c r="AW23" s="363"/>
      <c r="AX23" s="363"/>
      <c r="AY23" s="363"/>
      <c r="AZ23" s="363"/>
      <c r="BA23" s="363"/>
      <c r="BB23" s="363"/>
      <c r="BC23" s="363"/>
      <c r="BD23" s="363"/>
      <c r="BE23" s="363"/>
      <c r="BF23" s="363"/>
      <c r="BG23" s="363"/>
      <c r="BH23" s="363"/>
      <c r="BI23" s="363"/>
      <c r="BJ23" s="363"/>
      <c r="BK23" s="363"/>
      <c r="BL23" s="363"/>
      <c r="BM23" s="363"/>
      <c r="BN23" s="363"/>
      <c r="BO23" s="363"/>
      <c r="BP23" s="363"/>
      <c r="BQ23" s="363"/>
      <c r="BR23" s="363"/>
      <c r="BS23" s="363"/>
      <c r="BT23" s="363"/>
      <c r="BU23" s="363"/>
      <c r="BV23" s="363"/>
      <c r="BW23" s="363"/>
      <c r="BX23" s="363"/>
      <c r="BY23" s="363"/>
      <c r="BZ23" s="363"/>
      <c r="CA23" s="363"/>
      <c r="CB23" s="363"/>
      <c r="CC23" s="363"/>
      <c r="CD23" s="363"/>
      <c r="CE23" s="363"/>
      <c r="CF23" s="363"/>
      <c r="CG23" s="363"/>
      <c r="CH23" s="363"/>
      <c r="CI23" s="363"/>
      <c r="CJ23" s="363"/>
      <c r="CK23" s="363"/>
      <c r="CL23" s="363"/>
      <c r="CM23" s="363"/>
      <c r="CN23" s="363"/>
      <c r="CO23" s="363"/>
      <c r="CP23" s="363"/>
      <c r="CQ23" s="363"/>
      <c r="CR23" s="363"/>
      <c r="CS23" s="363"/>
      <c r="CT23" s="363"/>
      <c r="CU23" s="363"/>
      <c r="CV23" s="363"/>
      <c r="CW23" s="363"/>
      <c r="CX23" s="363"/>
      <c r="CY23" s="363"/>
      <c r="CZ23" s="363"/>
      <c r="DA23" s="363"/>
      <c r="DB23" s="363"/>
      <c r="DC23" s="363"/>
      <c r="DD23" s="363"/>
      <c r="DE23" s="363"/>
      <c r="DF23" s="363"/>
      <c r="DG23" s="363"/>
      <c r="DH23" s="363"/>
      <c r="DI23" s="363"/>
      <c r="DJ23" s="363"/>
      <c r="DK23" s="363"/>
      <c r="DL23" s="363"/>
      <c r="DM23" s="363"/>
      <c r="DN23" s="363"/>
      <c r="DO23" s="363"/>
      <c r="DP23" s="363"/>
      <c r="DQ23" s="363"/>
      <c r="DR23" s="363"/>
      <c r="DS23" s="363"/>
      <c r="DT23" s="363"/>
      <c r="DU23" s="363"/>
      <c r="DV23" s="363"/>
      <c r="DW23" s="363"/>
      <c r="DX23" s="363"/>
      <c r="DY23" s="363"/>
      <c r="DZ23" s="363"/>
      <c r="EA23" s="363"/>
      <c r="EB23" s="363"/>
      <c r="EC23" s="363"/>
      <c r="ED23" s="363"/>
      <c r="EE23" s="363"/>
      <c r="EF23" s="363"/>
      <c r="EG23" s="363"/>
      <c r="EH23" s="363"/>
      <c r="EI23" s="363"/>
      <c r="EJ23" s="363"/>
      <c r="EK23" s="363"/>
      <c r="EL23" s="363"/>
      <c r="EM23" s="363"/>
      <c r="EN23" s="363"/>
      <c r="EO23" s="363"/>
      <c r="EP23" s="363"/>
      <c r="EQ23" s="363"/>
      <c r="ER23" s="363"/>
      <c r="ES23" s="363"/>
      <c r="ET23" s="363"/>
      <c r="EU23" s="363"/>
      <c r="EV23" s="363"/>
      <c r="EW23" s="363"/>
      <c r="EX23" s="363"/>
      <c r="EY23" s="363"/>
      <c r="EZ23" s="363"/>
      <c r="FA23" s="363"/>
      <c r="FB23" s="363"/>
      <c r="FC23" s="363"/>
      <c r="FD23" s="363"/>
      <c r="FE23" s="363"/>
      <c r="FF23" s="363"/>
      <c r="FG23" s="363"/>
      <c r="FH23" s="363"/>
      <c r="FI23" s="363"/>
      <c r="FJ23" s="363"/>
      <c r="FK23" s="363"/>
      <c r="FL23" s="363"/>
      <c r="FM23" s="363"/>
      <c r="FN23" s="363"/>
      <c r="FO23" s="363"/>
      <c r="FP23" s="363"/>
      <c r="FQ23" s="363"/>
      <c r="FR23" s="363"/>
      <c r="FS23" s="363"/>
      <c r="FT23" s="363"/>
      <c r="FU23" s="363"/>
      <c r="FV23" s="363"/>
      <c r="FW23" s="363"/>
      <c r="FX23" s="363"/>
      <c r="FY23" s="363"/>
      <c r="FZ23" s="363"/>
      <c r="GA23" s="363"/>
      <c r="GB23" s="363"/>
      <c r="GC23" s="363"/>
      <c r="GD23" s="363"/>
      <c r="GE23" s="363"/>
      <c r="GF23" s="363"/>
      <c r="GG23" s="363"/>
    </row>
    <row r="24" spans="1:189" ht="18.75" customHeight="1" x14ac:dyDescent="0.3">
      <c r="B24" s="103"/>
      <c r="C24" s="92" t="s">
        <v>254</v>
      </c>
      <c r="D24" s="210">
        <v>5.8799999999999998E-3</v>
      </c>
      <c r="E24" s="211">
        <f>ROUND(D24*(1+'Revenue Requirement'!$F$19),8)</f>
        <v>6.44737E-3</v>
      </c>
      <c r="F24" s="210">
        <f t="shared" si="6"/>
        <v>5.673700000000002E-4</v>
      </c>
      <c r="G24" s="95">
        <f t="shared" si="7"/>
        <v>9.6491496598639495E-2</v>
      </c>
      <c r="H24" s="96"/>
    </row>
    <row r="25" spans="1:189" ht="20.25" x14ac:dyDescent="0.4">
      <c r="B25" s="91"/>
      <c r="D25" s="106"/>
      <c r="E25" s="106"/>
      <c r="F25" s="443"/>
      <c r="G25" s="443"/>
      <c r="H25" s="96"/>
    </row>
    <row r="26" spans="1:189" ht="18.75" x14ac:dyDescent="0.3">
      <c r="B26" s="102"/>
      <c r="C26" s="92"/>
      <c r="D26" s="210"/>
      <c r="E26" s="211"/>
      <c r="F26" s="210"/>
      <c r="G26" s="95"/>
      <c r="H26" s="96"/>
    </row>
    <row r="27" spans="1:189" ht="7.9" customHeight="1" x14ac:dyDescent="0.3">
      <c r="B27" s="97"/>
      <c r="C27" s="98"/>
      <c r="D27" s="98"/>
      <c r="E27" s="99"/>
      <c r="F27" s="98"/>
      <c r="G27" s="100"/>
      <c r="H27" s="101"/>
    </row>
    <row r="28" spans="1:189" ht="7.9" customHeight="1" x14ac:dyDescent="0.25">
      <c r="B28" s="80"/>
      <c r="H28" s="81"/>
    </row>
    <row r="29" spans="1:189" ht="18.75" x14ac:dyDescent="0.3">
      <c r="B29" s="440"/>
      <c r="C29" s="441"/>
      <c r="D29" s="441"/>
      <c r="E29" s="441"/>
      <c r="F29" s="441"/>
      <c r="G29" s="441"/>
      <c r="H29" s="442"/>
    </row>
    <row r="30" spans="1:189" ht="7.9" customHeight="1" x14ac:dyDescent="0.3">
      <c r="B30" s="103"/>
      <c r="C30" s="104"/>
      <c r="D30" s="104"/>
      <c r="E30" s="104"/>
      <c r="F30" s="104"/>
      <c r="G30" s="104"/>
      <c r="H30" s="96"/>
    </row>
    <row r="31" spans="1:189" ht="20.25" x14ac:dyDescent="0.4">
      <c r="B31" s="91"/>
      <c r="C31" s="105"/>
      <c r="D31" s="106"/>
      <c r="E31" s="106"/>
      <c r="F31" s="443"/>
      <c r="G31" s="443"/>
      <c r="H31" s="96"/>
    </row>
    <row r="32" spans="1:189" ht="18.75" x14ac:dyDescent="0.3">
      <c r="B32" s="102"/>
      <c r="C32" s="92"/>
      <c r="D32" s="210"/>
      <c r="E32" s="211"/>
      <c r="F32" s="210"/>
      <c r="G32" s="95"/>
      <c r="H32" s="96"/>
    </row>
    <row r="33" spans="2:8" ht="7.9" customHeight="1" x14ac:dyDescent="0.3">
      <c r="B33" s="97"/>
      <c r="C33" s="98"/>
      <c r="D33" s="98"/>
      <c r="E33" s="99"/>
      <c r="F33" s="98"/>
      <c r="G33" s="100"/>
      <c r="H33" s="101"/>
    </row>
  </sheetData>
  <mergeCells count="9">
    <mergeCell ref="B29:H29"/>
    <mergeCell ref="F31:G31"/>
    <mergeCell ref="F25:G25"/>
    <mergeCell ref="B3:H3"/>
    <mergeCell ref="F9:G9"/>
    <mergeCell ref="B4:H4"/>
    <mergeCell ref="B6:H6"/>
    <mergeCell ref="F16:G16"/>
    <mergeCell ref="F22:G22"/>
  </mergeCells>
  <printOptions horizontalCentered="1" verticalCentered="1"/>
  <pageMargins left="0.7" right="0.7" top="0.75" bottom="0.75" header="0.3" footer="0.3"/>
  <pageSetup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C1:T33"/>
  <sheetViews>
    <sheetView showGridLines="0" topLeftCell="A14" zoomScale="99" zoomScaleNormal="99" workbookViewId="0">
      <selection activeCell="A3" sqref="A3:XFD3"/>
    </sheetView>
  </sheetViews>
  <sheetFormatPr defaultColWidth="8.77734375" defaultRowHeight="15" x14ac:dyDescent="0.25"/>
  <cols>
    <col min="1" max="2" width="3" style="4" customWidth="1"/>
    <col min="3" max="3" width="6" style="4" customWidth="1"/>
    <col min="4" max="4" width="9.33203125" style="4" customWidth="1"/>
    <col min="5" max="5" width="9.77734375" style="4" customWidth="1"/>
    <col min="6" max="8" width="9.77734375" style="36" customWidth="1"/>
    <col min="9" max="9" width="8" style="4" customWidth="1"/>
    <col min="10" max="10" width="1.77734375" style="4" customWidth="1"/>
    <col min="11" max="11" width="2.77734375" style="4" customWidth="1"/>
    <col min="12" max="16384" width="8.77734375" style="4"/>
  </cols>
  <sheetData>
    <row r="1" spans="3:20" ht="20.100000000000001" customHeight="1" x14ac:dyDescent="0.25">
      <c r="N1" s="3"/>
      <c r="O1" s="3"/>
      <c r="P1" s="3"/>
      <c r="Q1" s="3"/>
      <c r="R1" s="3"/>
      <c r="S1" s="3"/>
      <c r="T1" s="3"/>
    </row>
    <row r="2" spans="3:20" ht="6" customHeight="1" x14ac:dyDescent="0.25">
      <c r="C2" s="325"/>
      <c r="D2" s="132"/>
      <c r="E2" s="132"/>
      <c r="F2" s="134"/>
      <c r="G2" s="134"/>
      <c r="H2" s="134"/>
      <c r="I2" s="132"/>
      <c r="J2" s="326"/>
      <c r="N2" s="3"/>
      <c r="O2" s="3"/>
      <c r="P2" s="3"/>
      <c r="Q2" s="3"/>
      <c r="R2" s="3"/>
      <c r="S2" s="3"/>
      <c r="T2" s="3"/>
    </row>
    <row r="3" spans="3:20" ht="20.100000000000001" hidden="1" customHeight="1" x14ac:dyDescent="0.3">
      <c r="C3" s="454" t="s">
        <v>53</v>
      </c>
      <c r="D3" s="455"/>
      <c r="E3" s="455"/>
      <c r="F3" s="455"/>
      <c r="G3" s="455"/>
      <c r="H3" s="455"/>
      <c r="I3" s="455"/>
      <c r="J3" s="456"/>
      <c r="N3" s="463"/>
      <c r="O3" s="463"/>
      <c r="P3" s="463"/>
      <c r="Q3" s="463"/>
      <c r="R3" s="463"/>
      <c r="S3" s="463"/>
      <c r="T3" s="463"/>
    </row>
    <row r="4" spans="3:20" ht="18.75" x14ac:dyDescent="0.3">
      <c r="C4" s="457" t="s">
        <v>54</v>
      </c>
      <c r="D4" s="458"/>
      <c r="E4" s="458"/>
      <c r="F4" s="458"/>
      <c r="G4" s="458"/>
      <c r="H4" s="458"/>
      <c r="I4" s="458"/>
      <c r="J4" s="459"/>
      <c r="N4" s="458"/>
      <c r="O4" s="458"/>
      <c r="P4" s="458"/>
      <c r="Q4" s="458"/>
      <c r="R4" s="458"/>
      <c r="S4" s="458"/>
      <c r="T4" s="458"/>
    </row>
    <row r="5" spans="3:20" ht="15.75" x14ac:dyDescent="0.25">
      <c r="C5" s="460" t="str">
        <f>Rates!B6</f>
        <v>Fountain Run Water District #1</v>
      </c>
      <c r="D5" s="461"/>
      <c r="E5" s="461"/>
      <c r="F5" s="461"/>
      <c r="G5" s="461"/>
      <c r="H5" s="461"/>
      <c r="I5" s="461"/>
      <c r="J5" s="462"/>
      <c r="N5" s="461"/>
      <c r="O5" s="461"/>
      <c r="P5" s="461"/>
      <c r="Q5" s="461"/>
      <c r="R5" s="461"/>
      <c r="S5" s="461"/>
      <c r="T5" s="461"/>
    </row>
    <row r="6" spans="3:20" ht="14.25" customHeight="1" x14ac:dyDescent="0.25">
      <c r="C6" s="309"/>
      <c r="D6" s="310"/>
      <c r="E6" s="310"/>
      <c r="F6" s="311"/>
      <c r="G6" s="385"/>
      <c r="H6" s="311"/>
      <c r="I6" s="310"/>
      <c r="J6" s="312"/>
      <c r="N6" s="355"/>
      <c r="O6" s="355"/>
      <c r="P6" s="32"/>
      <c r="Q6" s="32"/>
      <c r="R6" s="32"/>
      <c r="S6" s="355"/>
      <c r="T6" s="355"/>
    </row>
    <row r="7" spans="3:20" ht="6" customHeight="1" x14ac:dyDescent="0.25">
      <c r="C7" s="5"/>
      <c r="D7" s="3"/>
      <c r="E7" s="3"/>
      <c r="F7" s="392"/>
      <c r="G7" s="128"/>
      <c r="H7" s="128"/>
      <c r="I7" s="19"/>
      <c r="J7" s="20"/>
      <c r="K7" s="18"/>
      <c r="L7" s="18"/>
      <c r="N7" s="355"/>
      <c r="O7" s="355"/>
      <c r="P7" s="372"/>
      <c r="Q7" s="372"/>
      <c r="R7" s="372"/>
      <c r="S7" s="19"/>
      <c r="T7" s="19"/>
    </row>
    <row r="8" spans="3:20" ht="17.25" x14ac:dyDescent="0.4">
      <c r="C8" s="5"/>
      <c r="D8" s="8" t="s">
        <v>2</v>
      </c>
      <c r="E8" s="8" t="s">
        <v>265</v>
      </c>
      <c r="F8" s="129" t="s">
        <v>4</v>
      </c>
      <c r="G8" s="384" t="s">
        <v>0</v>
      </c>
      <c r="H8" s="129"/>
      <c r="I8" s="8"/>
      <c r="J8" s="17"/>
      <c r="N8" s="356"/>
      <c r="O8" s="356"/>
      <c r="P8" s="357"/>
      <c r="Q8" s="357"/>
      <c r="R8" s="357"/>
      <c r="S8" s="356"/>
      <c r="T8" s="356"/>
    </row>
    <row r="9" spans="3:20" ht="17.25" x14ac:dyDescent="0.4">
      <c r="C9" s="394"/>
      <c r="D9" s="8" t="s">
        <v>56</v>
      </c>
      <c r="E9" s="8" t="s">
        <v>266</v>
      </c>
      <c r="F9" s="129" t="s">
        <v>18</v>
      </c>
      <c r="G9" s="384" t="s">
        <v>18</v>
      </c>
      <c r="H9" s="129" t="s">
        <v>5</v>
      </c>
      <c r="I9" s="8" t="s">
        <v>19</v>
      </c>
      <c r="J9" s="17"/>
      <c r="N9" s="356"/>
      <c r="O9" s="356"/>
      <c r="P9" s="357"/>
      <c r="Q9" s="357"/>
      <c r="R9" s="357"/>
      <c r="S9" s="356"/>
      <c r="T9" s="356"/>
    </row>
    <row r="10" spans="3:20" x14ac:dyDescent="0.25">
      <c r="C10" s="5"/>
      <c r="D10" s="9"/>
      <c r="E10" s="9"/>
      <c r="F10" s="23"/>
      <c r="G10" s="324"/>
      <c r="H10" s="23"/>
      <c r="I10" s="30"/>
      <c r="J10" s="21"/>
      <c r="N10" s="355"/>
      <c r="O10" s="365"/>
      <c r="P10" s="32"/>
      <c r="Q10" s="32"/>
      <c r="R10" s="358"/>
      <c r="S10" s="359"/>
      <c r="T10" s="373"/>
    </row>
    <row r="11" spans="3:20" x14ac:dyDescent="0.25">
      <c r="C11" s="5" t="s">
        <v>65</v>
      </c>
      <c r="D11" s="3">
        <v>2000</v>
      </c>
      <c r="E11" s="365" t="s">
        <v>267</v>
      </c>
      <c r="F11" s="23">
        <f>Rates!D10</f>
        <v>18.96</v>
      </c>
      <c r="G11" s="324">
        <f>Rates!E10</f>
        <v>20.7895</v>
      </c>
      <c r="H11" s="23">
        <f t="shared" ref="H11:H17" si="0">G11-F11</f>
        <v>1.8294999999999995</v>
      </c>
      <c r="I11" s="30">
        <f t="shared" ref="I11:I17" si="1">H11/F11</f>
        <v>9.6492616033755238E-2</v>
      </c>
      <c r="J11" s="21"/>
      <c r="N11" s="12"/>
      <c r="O11" s="365"/>
      <c r="P11" s="374"/>
      <c r="Q11" s="374"/>
      <c r="R11" s="32"/>
      <c r="S11" s="359"/>
      <c r="T11" s="373"/>
    </row>
    <row r="12" spans="3:20" x14ac:dyDescent="0.25">
      <c r="C12" s="327" t="s">
        <v>74</v>
      </c>
      <c r="D12" s="328">
        <v>8000</v>
      </c>
      <c r="E12" s="365" t="s">
        <v>267</v>
      </c>
      <c r="F12" s="324">
        <f>Rates!D$10+((Bills!$D12-2000)*Rates!D$11)</f>
        <v>69.539999999999992</v>
      </c>
      <c r="G12" s="324">
        <f>ROUND(F12*(1+'Revenue Requirement'!$F$19),5)</f>
        <v>76.249989999999997</v>
      </c>
      <c r="H12" s="324">
        <f t="shared" si="0"/>
        <v>6.7099900000000048</v>
      </c>
      <c r="I12" s="329">
        <f t="shared" si="1"/>
        <v>9.6491084268047242E-2</v>
      </c>
      <c r="J12" s="330"/>
      <c r="N12" s="377"/>
      <c r="O12" s="375"/>
      <c r="P12" s="376"/>
      <c r="Q12" s="376"/>
      <c r="R12" s="378"/>
      <c r="S12" s="379"/>
      <c r="T12" s="380"/>
    </row>
    <row r="13" spans="3:20" x14ac:dyDescent="0.25">
      <c r="C13" s="327" t="s">
        <v>74</v>
      </c>
      <c r="D13" s="328">
        <v>10000</v>
      </c>
      <c r="E13" s="375" t="s">
        <v>267</v>
      </c>
      <c r="F13" s="324">
        <f>Rates!D$10+(Bills!$D12-2000)*Rates!D$11+(Bills!$D13-8000)*Rates!D$12</f>
        <v>83.899999999999991</v>
      </c>
      <c r="G13" s="324">
        <f>ROUND(F13*(1+'Revenue Requirement'!$F$19),5)</f>
        <v>91.995609999999999</v>
      </c>
      <c r="H13" s="324">
        <f t="shared" ref="H13" si="2">G13-F13</f>
        <v>8.0956100000000077</v>
      </c>
      <c r="I13" s="329">
        <f t="shared" ref="I13" si="3">H13/F13</f>
        <v>9.6491179976162203E-2</v>
      </c>
      <c r="J13" s="330"/>
      <c r="N13" s="12"/>
      <c r="O13" s="375"/>
      <c r="P13" s="376"/>
      <c r="Q13" s="376"/>
      <c r="R13" s="32"/>
      <c r="S13" s="359"/>
      <c r="T13" s="373"/>
    </row>
    <row r="14" spans="3:20" x14ac:dyDescent="0.25">
      <c r="C14" s="5" t="s">
        <v>66</v>
      </c>
      <c r="D14" s="3">
        <v>20000</v>
      </c>
      <c r="E14" s="375" t="s">
        <v>267</v>
      </c>
      <c r="F14" s="324">
        <f>Rates!D$10+(Bills!$D12-2000)*Rates!D$11+(Bills!$D13-8000)*Rates!D$12+(Bills!$D14-10000)*Rates!D$13</f>
        <v>142.69999999999999</v>
      </c>
      <c r="G14" s="324">
        <f>ROUND(F14*(1+'Revenue Requirement'!$F$19),5)</f>
        <v>156.46929</v>
      </c>
      <c r="H14" s="324">
        <f t="shared" ref="H14" si="4">G14-F14</f>
        <v>13.769290000000012</v>
      </c>
      <c r="I14" s="30">
        <f t="shared" si="1"/>
        <v>9.6491170287316144E-2</v>
      </c>
      <c r="J14" s="21"/>
      <c r="N14" s="12"/>
      <c r="O14" s="365"/>
      <c r="P14" s="374"/>
      <c r="Q14" s="374"/>
      <c r="R14" s="32"/>
      <c r="S14" s="359"/>
      <c r="T14" s="373"/>
    </row>
    <row r="15" spans="3:20" x14ac:dyDescent="0.25">
      <c r="C15" s="5"/>
      <c r="D15" s="3"/>
      <c r="E15" s="375"/>
      <c r="F15" s="324"/>
      <c r="G15" s="324"/>
      <c r="H15" s="324"/>
      <c r="I15" s="30"/>
      <c r="J15" s="21"/>
      <c r="N15" s="12"/>
      <c r="O15" s="365"/>
      <c r="P15" s="374"/>
      <c r="Q15" s="374"/>
      <c r="R15" s="32"/>
      <c r="S15" s="359"/>
      <c r="T15" s="373"/>
    </row>
    <row r="16" spans="3:20" x14ac:dyDescent="0.25">
      <c r="C16" s="5" t="s">
        <v>65</v>
      </c>
      <c r="D16" s="3">
        <v>5000</v>
      </c>
      <c r="E16" s="365" t="s">
        <v>268</v>
      </c>
      <c r="F16" s="324">
        <f>Rates!D17</f>
        <v>44.25</v>
      </c>
      <c r="G16" s="324">
        <f>ROUND(F16*(1+'Revenue Requirement'!$F$19),5)</f>
        <v>48.519730000000003</v>
      </c>
      <c r="H16" s="23">
        <f t="shared" si="0"/>
        <v>4.2697300000000027</v>
      </c>
      <c r="I16" s="30">
        <f t="shared" si="1"/>
        <v>9.6491073446327749E-2</v>
      </c>
      <c r="J16" s="21"/>
      <c r="N16" s="12"/>
      <c r="O16" s="365"/>
      <c r="P16" s="374"/>
      <c r="Q16" s="374"/>
      <c r="R16" s="32"/>
      <c r="S16" s="359"/>
      <c r="T16" s="373"/>
    </row>
    <row r="17" spans="3:20" x14ac:dyDescent="0.25">
      <c r="C17" s="5" t="s">
        <v>74</v>
      </c>
      <c r="D17" s="3">
        <v>5000</v>
      </c>
      <c r="E17" s="365" t="s">
        <v>268</v>
      </c>
      <c r="F17" s="324">
        <f>Rates!D$17+((Bills!$D17)*Rates!D$18)</f>
        <v>86.4</v>
      </c>
      <c r="G17" s="324">
        <f>ROUND(F17*(1+'Revenue Requirement'!$F$19),5)</f>
        <v>94.736829999999998</v>
      </c>
      <c r="H17" s="23">
        <f t="shared" si="0"/>
        <v>8.336829999999992</v>
      </c>
      <c r="I17" s="30">
        <f t="shared" si="1"/>
        <v>9.6491087962962865E-2</v>
      </c>
      <c r="J17" s="21"/>
      <c r="N17" s="12"/>
      <c r="O17" s="365"/>
      <c r="P17" s="374"/>
      <c r="Q17" s="374"/>
      <c r="R17" s="32"/>
      <c r="S17" s="359"/>
      <c r="T17" s="373"/>
    </row>
    <row r="18" spans="3:20" x14ac:dyDescent="0.25">
      <c r="C18" s="5" t="s">
        <v>74</v>
      </c>
      <c r="D18" s="3">
        <v>10000</v>
      </c>
      <c r="E18" s="365" t="s">
        <v>268</v>
      </c>
      <c r="F18" s="324">
        <f>Rates!D$17+(5000*Rates!D$18)+((Bills!$D18-5000)*Rates!D$19)</f>
        <v>122.30000000000001</v>
      </c>
      <c r="G18" s="324">
        <f>ROUND(F18*(1+'Revenue Requirement'!$F$19),5)</f>
        <v>134.10086999999999</v>
      </c>
      <c r="H18" s="23">
        <f>G18-F18</f>
        <v>11.800869999999975</v>
      </c>
      <c r="I18" s="30">
        <f>H18/F18</f>
        <v>9.6491169255927836E-2</v>
      </c>
      <c r="J18" s="21"/>
      <c r="N18" s="12"/>
      <c r="O18" s="365"/>
      <c r="P18" s="32"/>
      <c r="Q18" s="32"/>
      <c r="R18" s="32"/>
      <c r="S18" s="359"/>
      <c r="T18" s="373"/>
    </row>
    <row r="19" spans="3:20" x14ac:dyDescent="0.25">
      <c r="C19" s="5" t="s">
        <v>66</v>
      </c>
      <c r="D19" s="3">
        <v>20000</v>
      </c>
      <c r="E19" s="365" t="s">
        <v>268</v>
      </c>
      <c r="F19" s="324">
        <f>Rates!D$17+(5000*Rates!D$18)+(10000*Rates!D$19)+((Bills!$D19-10000)*Rates!D$20)</f>
        <v>217</v>
      </c>
      <c r="G19" s="324">
        <f>ROUND(F19*(1+'Revenue Requirement'!$F$19),5)</f>
        <v>237.93858</v>
      </c>
      <c r="H19" s="23">
        <f>G19-F19</f>
        <v>20.938580000000002</v>
      </c>
      <c r="I19" s="30">
        <f>H19/F19</f>
        <v>9.6491152073732725E-2</v>
      </c>
      <c r="J19" s="21"/>
      <c r="N19" s="12"/>
      <c r="O19" s="365"/>
      <c r="P19" s="32"/>
      <c r="Q19" s="32"/>
      <c r="R19" s="32"/>
      <c r="S19" s="359"/>
      <c r="T19" s="373"/>
    </row>
    <row r="20" spans="3:20" x14ac:dyDescent="0.25">
      <c r="C20" s="5"/>
      <c r="D20" s="3"/>
      <c r="E20" s="365"/>
      <c r="F20" s="324"/>
      <c r="G20" s="324"/>
      <c r="H20" s="23"/>
      <c r="I20" s="30"/>
      <c r="J20" s="21"/>
      <c r="N20" s="12"/>
      <c r="O20" s="365"/>
      <c r="P20" s="32"/>
      <c r="Q20" s="32"/>
      <c r="R20" s="32"/>
      <c r="S20" s="359"/>
      <c r="T20" s="373"/>
    </row>
    <row r="21" spans="3:20" x14ac:dyDescent="0.25">
      <c r="C21" s="5" t="s">
        <v>65</v>
      </c>
      <c r="D21" s="3">
        <v>20000</v>
      </c>
      <c r="E21" s="365" t="s">
        <v>269</v>
      </c>
      <c r="F21" s="324">
        <f>Rates!D$23</f>
        <v>158.19999999999999</v>
      </c>
      <c r="G21" s="324">
        <f>ROUND(F21*(1+'Revenue Requirement'!$F$19),5)</f>
        <v>173.4649</v>
      </c>
      <c r="H21" s="23">
        <f>G21-F21</f>
        <v>15.264900000000011</v>
      </c>
      <c r="I21" s="30">
        <f>H21/F21</f>
        <v>9.6491150442477955E-2</v>
      </c>
      <c r="J21" s="21"/>
      <c r="N21" s="12"/>
      <c r="O21" s="365"/>
      <c r="P21" s="374"/>
      <c r="Q21" s="374"/>
      <c r="R21" s="32"/>
      <c r="S21" s="359"/>
      <c r="T21" s="373"/>
    </row>
    <row r="22" spans="3:20" x14ac:dyDescent="0.25">
      <c r="C22" s="5" t="s">
        <v>66</v>
      </c>
      <c r="D22" s="3">
        <v>20000</v>
      </c>
      <c r="E22" s="365" t="s">
        <v>269</v>
      </c>
      <c r="F22" s="324">
        <f>Rates!D$23+(10000*Rates!D$24)</f>
        <v>217</v>
      </c>
      <c r="G22" s="324">
        <f>ROUND(F22*(1+'Revenue Requirement'!$F$19),5)</f>
        <v>237.93858</v>
      </c>
      <c r="H22" s="23">
        <f>G22-F22</f>
        <v>20.938580000000002</v>
      </c>
      <c r="I22" s="30">
        <f>H22/F22</f>
        <v>9.6491152073732725E-2</v>
      </c>
      <c r="J22" s="21"/>
      <c r="N22" s="12"/>
      <c r="O22" s="365"/>
      <c r="P22" s="374"/>
      <c r="Q22" s="374"/>
      <c r="R22" s="32"/>
      <c r="S22" s="359"/>
      <c r="T22" s="373"/>
    </row>
    <row r="23" spans="3:20" x14ac:dyDescent="0.25">
      <c r="C23" s="5"/>
      <c r="D23" s="3"/>
      <c r="E23" s="3"/>
      <c r="F23" s="324"/>
      <c r="G23" s="324"/>
      <c r="H23" s="23"/>
      <c r="I23" s="30"/>
      <c r="J23" s="21"/>
      <c r="N23" s="12"/>
      <c r="O23" s="365"/>
      <c r="P23" s="374"/>
      <c r="Q23" s="374"/>
      <c r="R23" s="32"/>
      <c r="S23" s="359"/>
      <c r="T23" s="373"/>
    </row>
    <row r="24" spans="3:20" x14ac:dyDescent="0.25">
      <c r="C24" s="5"/>
      <c r="D24" s="3"/>
      <c r="E24" s="3"/>
      <c r="F24" s="324"/>
      <c r="G24" s="324"/>
      <c r="H24" s="23"/>
      <c r="I24" s="30"/>
      <c r="J24" s="21"/>
      <c r="N24" s="12"/>
      <c r="O24" s="365"/>
      <c r="P24" s="374"/>
      <c r="Q24" s="374"/>
      <c r="R24" s="32"/>
      <c r="S24" s="359"/>
      <c r="T24" s="373"/>
    </row>
    <row r="25" spans="3:20" x14ac:dyDescent="0.25">
      <c r="C25" s="5"/>
      <c r="D25" s="3"/>
      <c r="E25" s="3"/>
      <c r="F25" s="324"/>
      <c r="G25" s="324"/>
      <c r="H25" s="23"/>
      <c r="I25" s="30"/>
      <c r="J25" s="21"/>
      <c r="N25" s="12"/>
      <c r="O25" s="365"/>
      <c r="P25" s="374"/>
      <c r="Q25" s="374"/>
      <c r="R25" s="32"/>
      <c r="S25" s="359"/>
      <c r="T25" s="373"/>
    </row>
    <row r="26" spans="3:20" x14ac:dyDescent="0.25">
      <c r="C26" s="5"/>
      <c r="D26" s="3"/>
      <c r="E26" s="3"/>
      <c r="F26" s="324"/>
      <c r="G26" s="324"/>
      <c r="H26" s="23"/>
      <c r="I26" s="30"/>
      <c r="J26" s="21"/>
      <c r="N26" s="12"/>
      <c r="O26" s="365"/>
      <c r="P26" s="374"/>
      <c r="Q26" s="374"/>
      <c r="R26" s="32"/>
      <c r="S26" s="359"/>
      <c r="T26" s="373"/>
    </row>
    <row r="27" spans="3:20" x14ac:dyDescent="0.25">
      <c r="C27" s="5"/>
      <c r="D27" s="3"/>
      <c r="E27" s="3"/>
      <c r="F27" s="324"/>
      <c r="G27" s="324"/>
      <c r="H27" s="23"/>
      <c r="I27" s="30"/>
      <c r="J27" s="21"/>
      <c r="N27" s="355"/>
      <c r="O27" s="10"/>
      <c r="P27" s="32"/>
      <c r="Q27" s="32"/>
      <c r="R27" s="32"/>
      <c r="S27" s="359"/>
      <c r="T27" s="373"/>
    </row>
    <row r="28" spans="3:20" x14ac:dyDescent="0.25">
      <c r="C28" s="5"/>
      <c r="D28" s="3"/>
      <c r="E28" s="3"/>
      <c r="F28" s="324"/>
      <c r="G28" s="324"/>
      <c r="H28" s="23"/>
      <c r="I28" s="30"/>
      <c r="J28" s="21"/>
      <c r="N28" s="355"/>
      <c r="O28" s="10"/>
      <c r="P28" s="32"/>
      <c r="Q28" s="32"/>
      <c r="R28" s="32"/>
      <c r="S28" s="359"/>
      <c r="T28" s="373"/>
    </row>
    <row r="29" spans="3:20" ht="6" customHeight="1" x14ac:dyDescent="0.25">
      <c r="C29" s="5"/>
      <c r="D29" s="391"/>
      <c r="E29"/>
      <c r="F29" s="393"/>
      <c r="G29" s="23"/>
      <c r="H29" s="23"/>
      <c r="I29" s="3"/>
      <c r="J29" s="6"/>
      <c r="N29" s="355"/>
      <c r="O29" s="10"/>
      <c r="P29" s="32"/>
      <c r="Q29" s="32"/>
      <c r="R29" s="32"/>
      <c r="S29" s="359"/>
      <c r="T29" s="373"/>
    </row>
    <row r="30" spans="3:20" ht="16.5" customHeight="1" x14ac:dyDescent="0.25">
      <c r="C30" s="132"/>
      <c r="D30"/>
      <c r="E30" s="133"/>
      <c r="F30" s="23"/>
      <c r="G30" s="134"/>
      <c r="H30" s="134"/>
      <c r="I30" s="132"/>
      <c r="J30" s="132"/>
      <c r="N30" s="355"/>
      <c r="O30" s="10"/>
      <c r="P30" s="32"/>
      <c r="Q30" s="32"/>
      <c r="R30" s="32"/>
      <c r="S30" s="359"/>
      <c r="T30" s="373"/>
    </row>
    <row r="31" spans="3:20" ht="15.75" x14ac:dyDescent="0.25">
      <c r="C31" s="3"/>
      <c r="D31" s="3"/>
      <c r="E31" s="3"/>
      <c r="F31" s="23"/>
      <c r="G31" s="23"/>
      <c r="H31" s="23"/>
      <c r="I31" s="3"/>
      <c r="J31" s="3"/>
      <c r="N31" s="355"/>
      <c r="O31"/>
      <c r="P31" s="32"/>
      <c r="Q31" s="32"/>
      <c r="R31" s="32"/>
      <c r="S31" s="355"/>
      <c r="T31" s="355"/>
    </row>
    <row r="32" spans="3:20" x14ac:dyDescent="0.25">
      <c r="N32" s="355"/>
      <c r="O32" s="355"/>
      <c r="P32" s="32"/>
      <c r="Q32" s="32"/>
      <c r="R32" s="32"/>
      <c r="S32" s="355"/>
      <c r="T32" s="355"/>
    </row>
    <row r="33" spans="14:20" x14ac:dyDescent="0.25">
      <c r="N33" s="360"/>
      <c r="O33" s="362"/>
      <c r="P33" s="361"/>
      <c r="Q33" s="361"/>
      <c r="R33" s="361"/>
      <c r="S33" s="360"/>
      <c r="T33" s="360"/>
    </row>
  </sheetData>
  <mergeCells count="6">
    <mergeCell ref="C3:J3"/>
    <mergeCell ref="C4:J4"/>
    <mergeCell ref="C5:J5"/>
    <mergeCell ref="N3:T3"/>
    <mergeCell ref="N4:T4"/>
    <mergeCell ref="N5:T5"/>
  </mergeCells>
  <printOptions horizontalCentered="1"/>
  <pageMargins left="0.25" right="0.25" top="0.25" bottom="0.25" header="0" footer="0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C1BC1-F667-40CA-9958-AC20B397132F}">
  <sheetPr>
    <pageSetUpPr fitToPage="1"/>
  </sheetPr>
  <dimension ref="B2:Q75"/>
  <sheetViews>
    <sheetView zoomScale="96" zoomScaleNormal="96" workbookViewId="0">
      <selection activeCell="B2" sqref="B2:N64"/>
    </sheetView>
  </sheetViews>
  <sheetFormatPr defaultColWidth="8.77734375" defaultRowHeight="15" x14ac:dyDescent="0.25"/>
  <cols>
    <col min="1" max="1" width="1.5546875" style="38" customWidth="1"/>
    <col min="2" max="2" width="5.88671875" style="107" customWidth="1"/>
    <col min="3" max="3" width="30.5546875" style="38" customWidth="1"/>
    <col min="4" max="4" width="12.5546875" style="38" customWidth="1"/>
    <col min="5" max="5" width="12.5546875" style="108" customWidth="1"/>
    <col min="6" max="6" width="12.5546875" style="87" customWidth="1"/>
    <col min="7" max="7" width="12.5546875" style="109" customWidth="1"/>
    <col min="8" max="8" width="10.88671875" style="109" customWidth="1"/>
    <col min="9" max="9" width="10.6640625" style="38" customWidth="1"/>
    <col min="10" max="10" width="12.5546875" style="38" customWidth="1"/>
    <col min="11" max="11" width="11.21875" style="38" hidden="1" customWidth="1"/>
    <col min="12" max="12" width="10.88671875" style="38" customWidth="1"/>
    <col min="13" max="13" width="12.109375" style="38" bestFit="1" customWidth="1"/>
    <col min="14" max="14" width="1.44140625" style="38" customWidth="1"/>
    <col min="15" max="15" width="1.5546875" style="38" customWidth="1"/>
    <col min="16" max="16" width="8.77734375" style="38"/>
    <col min="17" max="17" width="12.21875" style="38" customWidth="1"/>
    <col min="18" max="16384" width="8.77734375" style="38"/>
  </cols>
  <sheetData>
    <row r="2" spans="2:14" x14ac:dyDescent="0.25">
      <c r="B2" s="167"/>
      <c r="C2" s="168"/>
      <c r="D2" s="168"/>
      <c r="E2" s="169"/>
      <c r="F2" s="170"/>
      <c r="G2" s="171"/>
      <c r="H2" s="171"/>
      <c r="I2" s="168"/>
      <c r="J2" s="168"/>
      <c r="K2" s="168"/>
      <c r="L2" s="168"/>
      <c r="M2" s="168"/>
      <c r="N2" s="172"/>
    </row>
    <row r="3" spans="2:14" ht="18" hidden="1" customHeight="1" x14ac:dyDescent="0.3">
      <c r="B3" s="466" t="s">
        <v>236</v>
      </c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3"/>
    </row>
    <row r="4" spans="2:14" ht="18" customHeight="1" x14ac:dyDescent="0.3">
      <c r="B4" s="467" t="s">
        <v>297</v>
      </c>
      <c r="C4" s="468"/>
      <c r="D4" s="468"/>
      <c r="E4" s="468"/>
      <c r="F4" s="468"/>
      <c r="G4" s="468"/>
      <c r="H4" s="468"/>
      <c r="I4" s="468"/>
      <c r="J4" s="468"/>
      <c r="K4" s="468"/>
      <c r="L4" s="468"/>
      <c r="M4" s="468"/>
      <c r="N4" s="469"/>
    </row>
    <row r="5" spans="2:14" ht="15.6" customHeight="1" x14ac:dyDescent="0.3">
      <c r="B5" s="466" t="str">
        <f>SAO!A2</f>
        <v>Fountain Run Water District #1</v>
      </c>
      <c r="C5" s="422"/>
      <c r="D5" s="422"/>
      <c r="E5" s="422"/>
      <c r="F5" s="422"/>
      <c r="G5" s="422"/>
      <c r="H5" s="422"/>
      <c r="I5" s="422"/>
      <c r="J5" s="422"/>
      <c r="K5" s="422"/>
      <c r="L5" s="422"/>
      <c r="M5" s="422"/>
      <c r="N5" s="423"/>
    </row>
    <row r="6" spans="2:14" ht="14.85" customHeight="1" x14ac:dyDescent="0.25">
      <c r="B6" s="464"/>
      <c r="C6" s="465"/>
      <c r="D6" s="465"/>
      <c r="E6" s="465"/>
      <c r="F6" s="465"/>
      <c r="G6" s="465"/>
      <c r="H6" s="465"/>
      <c r="I6" s="465"/>
      <c r="J6" s="465"/>
      <c r="K6" s="148"/>
      <c r="L6" s="148"/>
      <c r="N6" s="173"/>
    </row>
    <row r="7" spans="2:14" x14ac:dyDescent="0.25">
      <c r="B7" s="174"/>
      <c r="D7" s="149" t="s">
        <v>60</v>
      </c>
      <c r="E7" s="88" t="s">
        <v>10</v>
      </c>
      <c r="F7" s="88" t="s">
        <v>61</v>
      </c>
      <c r="G7" s="150" t="s">
        <v>62</v>
      </c>
      <c r="H7" s="150"/>
      <c r="I7" s="151"/>
      <c r="J7" s="151"/>
      <c r="K7" s="151"/>
      <c r="N7" s="173"/>
    </row>
    <row r="8" spans="2:14" x14ac:dyDescent="0.25">
      <c r="B8" s="174"/>
      <c r="D8" s="149" t="s">
        <v>126</v>
      </c>
      <c r="E8" s="88">
        <f>E31+E49+E62</f>
        <v>6503</v>
      </c>
      <c r="F8" s="88">
        <f>F31+F49+F62</f>
        <v>40475600</v>
      </c>
      <c r="G8" s="130">
        <f>I31+I49+I62</f>
        <v>350288.98300000001</v>
      </c>
      <c r="H8" s="130"/>
      <c r="I8" s="151"/>
      <c r="J8" s="151"/>
      <c r="K8" s="151"/>
      <c r="N8" s="173"/>
    </row>
    <row r="9" spans="2:14" x14ac:dyDescent="0.25">
      <c r="B9" s="174"/>
      <c r="D9" s="149" t="s">
        <v>125</v>
      </c>
      <c r="E9" s="88"/>
      <c r="F9" s="88"/>
      <c r="G9" s="127">
        <v>0</v>
      </c>
      <c r="H9" s="165"/>
      <c r="I9" s="151"/>
      <c r="J9" s="151"/>
      <c r="K9" s="151"/>
      <c r="N9" s="173"/>
    </row>
    <row r="10" spans="2:14" x14ac:dyDescent="0.25">
      <c r="B10" s="174"/>
      <c r="D10" s="149" t="s">
        <v>124</v>
      </c>
      <c r="E10" s="88"/>
      <c r="F10" s="88"/>
      <c r="G10" s="130">
        <f>G8-G9</f>
        <v>350288.98300000001</v>
      </c>
      <c r="H10" s="130"/>
      <c r="I10" s="151"/>
      <c r="J10" s="151"/>
      <c r="K10" s="151"/>
      <c r="N10" s="173"/>
    </row>
    <row r="11" spans="2:14" x14ac:dyDescent="0.25">
      <c r="B11" s="174"/>
      <c r="D11" s="149" t="s">
        <v>234</v>
      </c>
      <c r="E11" s="88"/>
      <c r="F11" s="88"/>
      <c r="G11" s="126">
        <f>SAO!C7</f>
        <v>342454</v>
      </c>
      <c r="H11" s="130"/>
      <c r="I11" s="151"/>
      <c r="J11" s="151"/>
      <c r="K11" s="151"/>
      <c r="N11" s="173"/>
    </row>
    <row r="12" spans="2:14" x14ac:dyDescent="0.25">
      <c r="B12" s="174"/>
      <c r="D12" s="149" t="s">
        <v>123</v>
      </c>
      <c r="E12" s="88"/>
      <c r="F12" s="88"/>
      <c r="G12" s="165">
        <f>G10-G11</f>
        <v>7834.9830000000075</v>
      </c>
      <c r="H12" s="165"/>
      <c r="I12" s="151" t="s">
        <v>63</v>
      </c>
      <c r="J12" s="151"/>
      <c r="K12" s="151"/>
      <c r="N12" s="173"/>
    </row>
    <row r="13" spans="2:14" x14ac:dyDescent="0.25">
      <c r="B13" s="174"/>
      <c r="C13" s="152"/>
      <c r="E13" s="88"/>
      <c r="F13" s="88"/>
      <c r="G13" s="166">
        <f>G12/G11</f>
        <v>2.2878935565068616E-2</v>
      </c>
      <c r="H13" s="166"/>
      <c r="I13" s="153"/>
      <c r="J13" s="151"/>
      <c r="K13" s="151"/>
      <c r="L13" s="151"/>
      <c r="N13" s="173"/>
    </row>
    <row r="14" spans="2:14" x14ac:dyDescent="0.25">
      <c r="B14" s="174"/>
      <c r="E14" s="88"/>
      <c r="F14" s="88"/>
      <c r="G14" s="113"/>
      <c r="H14" s="113"/>
      <c r="I14" s="107"/>
      <c r="J14" s="151"/>
      <c r="K14" s="151"/>
      <c r="L14" s="151"/>
      <c r="N14" s="173"/>
    </row>
    <row r="15" spans="2:14" x14ac:dyDescent="0.25">
      <c r="B15" s="174"/>
      <c r="E15" s="88"/>
      <c r="F15" s="88"/>
      <c r="G15" s="113"/>
      <c r="H15" s="113"/>
      <c r="I15" s="107"/>
      <c r="J15" s="151"/>
      <c r="K15" s="151"/>
      <c r="L15" s="151"/>
      <c r="N15" s="173"/>
    </row>
    <row r="16" spans="2:14" x14ac:dyDescent="0.25">
      <c r="B16" s="174"/>
      <c r="C16" s="122" t="s">
        <v>275</v>
      </c>
      <c r="E16" s="88"/>
      <c r="F16" s="88"/>
      <c r="G16" s="111" t="str">
        <f>C18</f>
        <v>First</v>
      </c>
      <c r="H16" s="111" t="str">
        <f>C19</f>
        <v>Next</v>
      </c>
      <c r="I16" s="111" t="str">
        <f>C20</f>
        <v>Next</v>
      </c>
      <c r="J16" s="111" t="str">
        <f>C21</f>
        <v>over</v>
      </c>
      <c r="K16" s="111"/>
      <c r="L16" s="111"/>
      <c r="M16" s="120"/>
      <c r="N16" s="173"/>
    </row>
    <row r="17" spans="2:17" ht="15.75" thickBot="1" x14ac:dyDescent="0.3">
      <c r="B17" s="174"/>
      <c r="C17" s="148" t="s">
        <v>64</v>
      </c>
      <c r="D17" s="159" t="s">
        <v>67</v>
      </c>
      <c r="E17" s="156" t="s">
        <v>10</v>
      </c>
      <c r="F17" s="156" t="s">
        <v>61</v>
      </c>
      <c r="G17" s="160">
        <f>D18</f>
        <v>2000</v>
      </c>
      <c r="H17" s="160">
        <f>D19</f>
        <v>8000</v>
      </c>
      <c r="I17" s="160">
        <f>D20</f>
        <v>10000</v>
      </c>
      <c r="J17" s="160">
        <f>D21</f>
        <v>20000</v>
      </c>
      <c r="K17" s="160"/>
      <c r="L17" s="160"/>
      <c r="M17" s="161" t="s">
        <v>68</v>
      </c>
      <c r="N17" s="173"/>
    </row>
    <row r="18" spans="2:17" x14ac:dyDescent="0.25">
      <c r="B18" s="174"/>
      <c r="C18" s="154" t="s">
        <v>65</v>
      </c>
      <c r="D18" s="155">
        <v>2000</v>
      </c>
      <c r="E18" s="88">
        <v>2881</v>
      </c>
      <c r="F18" s="88">
        <v>2293200</v>
      </c>
      <c r="G18" s="88">
        <f>F18</f>
        <v>2293200</v>
      </c>
      <c r="H18" s="88"/>
      <c r="I18" s="88">
        <v>0</v>
      </c>
      <c r="J18" s="88">
        <v>0</v>
      </c>
      <c r="K18" s="88">
        <v>0</v>
      </c>
      <c r="L18" s="88">
        <v>0</v>
      </c>
      <c r="M18" s="121">
        <f>SUM(G18:L18)</f>
        <v>2293200</v>
      </c>
      <c r="N18" s="173"/>
    </row>
    <row r="19" spans="2:17" x14ac:dyDescent="0.25">
      <c r="B19" s="174"/>
      <c r="C19" s="154" t="s">
        <v>74</v>
      </c>
      <c r="D19" s="155">
        <v>8000</v>
      </c>
      <c r="E19" s="88">
        <v>2868</v>
      </c>
      <c r="F19" s="88">
        <v>12187200</v>
      </c>
      <c r="G19" s="88">
        <f>E19*D18</f>
        <v>5736000</v>
      </c>
      <c r="H19" s="88">
        <f>F19-G19</f>
        <v>6451200</v>
      </c>
      <c r="I19" s="88">
        <v>0</v>
      </c>
      <c r="J19" s="88">
        <v>0</v>
      </c>
      <c r="K19" s="88">
        <v>0</v>
      </c>
      <c r="L19" s="88">
        <v>0</v>
      </c>
      <c r="M19" s="121">
        <f>SUM(G19:L19)</f>
        <v>12187200</v>
      </c>
      <c r="N19" s="173"/>
    </row>
    <row r="20" spans="2:17" x14ac:dyDescent="0.25">
      <c r="B20" s="174"/>
      <c r="C20" s="154" t="s">
        <v>74</v>
      </c>
      <c r="D20" s="155">
        <v>10000</v>
      </c>
      <c r="E20" s="88">
        <v>291</v>
      </c>
      <c r="F20" s="88">
        <v>4136300</v>
      </c>
      <c r="G20" s="88">
        <f>E20*D18</f>
        <v>582000</v>
      </c>
      <c r="H20" s="88">
        <f>E20*D19</f>
        <v>2328000</v>
      </c>
      <c r="I20" s="88">
        <f>F20-G20-H20</f>
        <v>1226300</v>
      </c>
      <c r="J20" s="88">
        <v>0</v>
      </c>
      <c r="K20" s="88">
        <v>0</v>
      </c>
      <c r="L20" s="88">
        <v>0</v>
      </c>
      <c r="M20" s="121">
        <f>SUM(G20:L20)</f>
        <v>4136300</v>
      </c>
      <c r="N20" s="173"/>
    </row>
    <row r="21" spans="2:17" x14ac:dyDescent="0.25">
      <c r="B21" s="174"/>
      <c r="C21" s="154" t="s">
        <v>262</v>
      </c>
      <c r="D21" s="155">
        <v>20000</v>
      </c>
      <c r="E21" s="88">
        <v>241</v>
      </c>
      <c r="F21" s="88">
        <v>11747300</v>
      </c>
      <c r="G21" s="88">
        <f>E21*D18</f>
        <v>482000</v>
      </c>
      <c r="H21" s="88">
        <f>E21*D19</f>
        <v>1928000</v>
      </c>
      <c r="I21" s="88">
        <f>E21*D20</f>
        <v>2410000</v>
      </c>
      <c r="J21" s="88">
        <f>F21-G21-H21-I21</f>
        <v>6927300</v>
      </c>
      <c r="K21" s="88"/>
      <c r="L21" s="88">
        <v>0</v>
      </c>
      <c r="M21" s="121">
        <f>SUM(G21:L21)</f>
        <v>11747300</v>
      </c>
      <c r="N21" s="173"/>
    </row>
    <row r="22" spans="2:17" ht="15.75" thickBot="1" x14ac:dyDescent="0.3">
      <c r="B22" s="174"/>
      <c r="C22" s="154"/>
      <c r="D22" s="155"/>
      <c r="E22" s="156"/>
      <c r="F22" s="156"/>
      <c r="G22" s="156">
        <f>E22*D18</f>
        <v>0</v>
      </c>
      <c r="H22" s="156"/>
      <c r="I22" s="156">
        <f>E22*D19</f>
        <v>0</v>
      </c>
      <c r="J22" s="156">
        <f>E22*D20</f>
        <v>0</v>
      </c>
      <c r="K22" s="156">
        <f>E22*D21</f>
        <v>0</v>
      </c>
      <c r="L22" s="156">
        <f>F22-G22-I22-J22-K22</f>
        <v>0</v>
      </c>
      <c r="M22" s="157">
        <f>SUM(G22:L22)</f>
        <v>0</v>
      </c>
      <c r="N22" s="173"/>
    </row>
    <row r="23" spans="2:17" x14ac:dyDescent="0.25">
      <c r="B23" s="174"/>
      <c r="C23" s="152"/>
      <c r="E23" s="88">
        <f t="shared" ref="E23:M23" si="0">SUM(E18:E22)</f>
        <v>6281</v>
      </c>
      <c r="F23" s="88">
        <f t="shared" si="0"/>
        <v>30364000</v>
      </c>
      <c r="G23" s="88">
        <f t="shared" si="0"/>
        <v>9093200</v>
      </c>
      <c r="H23" s="88">
        <f>SUM(H19:H22)</f>
        <v>10707200</v>
      </c>
      <c r="I23" s="88">
        <f t="shared" si="0"/>
        <v>3636300</v>
      </c>
      <c r="J23" s="88">
        <f t="shared" si="0"/>
        <v>6927300</v>
      </c>
      <c r="K23" s="88">
        <f t="shared" si="0"/>
        <v>0</v>
      </c>
      <c r="L23" s="88">
        <f t="shared" si="0"/>
        <v>0</v>
      </c>
      <c r="M23" s="88">
        <f t="shared" si="0"/>
        <v>30364000</v>
      </c>
      <c r="N23" s="173"/>
      <c r="P23" s="38" t="s">
        <v>133</v>
      </c>
      <c r="Q23" s="332">
        <f>F23/E23</f>
        <v>4834.2620601814997</v>
      </c>
    </row>
    <row r="24" spans="2:17" x14ac:dyDescent="0.25">
      <c r="B24" s="174"/>
      <c r="E24" s="88"/>
      <c r="F24" s="88"/>
      <c r="G24" s="113"/>
      <c r="H24" s="113"/>
      <c r="I24" s="113"/>
      <c r="J24" s="113"/>
      <c r="K24" s="113"/>
      <c r="L24" s="113"/>
      <c r="M24" s="151"/>
      <c r="N24" s="173"/>
    </row>
    <row r="25" spans="2:17" ht="15.75" thickBot="1" x14ac:dyDescent="0.3">
      <c r="B25" s="174"/>
      <c r="C25" s="381" t="s">
        <v>69</v>
      </c>
      <c r="D25" s="159" t="s">
        <v>67</v>
      </c>
      <c r="E25" s="156" t="s">
        <v>10</v>
      </c>
      <c r="F25" s="156" t="s">
        <v>61</v>
      </c>
      <c r="G25" s="162" t="s">
        <v>11</v>
      </c>
      <c r="H25" s="162"/>
      <c r="I25" s="159" t="s">
        <v>62</v>
      </c>
      <c r="J25" s="113"/>
      <c r="K25" s="113"/>
      <c r="L25" s="113"/>
      <c r="M25" s="151"/>
      <c r="N25" s="173"/>
    </row>
    <row r="26" spans="2:17" x14ac:dyDescent="0.25">
      <c r="B26" s="174"/>
      <c r="C26" s="155" t="str">
        <f t="shared" ref="C26:D29" si="1">C18</f>
        <v>First</v>
      </c>
      <c r="D26" s="155">
        <f t="shared" si="1"/>
        <v>2000</v>
      </c>
      <c r="E26" s="88">
        <f>E23</f>
        <v>6281</v>
      </c>
      <c r="F26" s="88">
        <f>G23</f>
        <v>9093200</v>
      </c>
      <c r="G26" s="112">
        <f>Rates!D10</f>
        <v>18.96</v>
      </c>
      <c r="H26" s="112"/>
      <c r="I26" s="130">
        <f>E26*G26</f>
        <v>119087.76000000001</v>
      </c>
      <c r="J26" s="112"/>
      <c r="K26" s="112"/>
      <c r="L26" s="112"/>
      <c r="M26" s="151"/>
      <c r="N26" s="173"/>
    </row>
    <row r="27" spans="2:17" x14ac:dyDescent="0.25">
      <c r="B27" s="174"/>
      <c r="C27" s="155" t="str">
        <f t="shared" si="1"/>
        <v>Next</v>
      </c>
      <c r="D27" s="155">
        <v>8000</v>
      </c>
      <c r="E27" s="88"/>
      <c r="F27" s="88">
        <f>H23</f>
        <v>10707200</v>
      </c>
      <c r="G27" s="212">
        <f>Rates!D11</f>
        <v>8.43E-3</v>
      </c>
      <c r="H27" s="212"/>
      <c r="I27" s="130">
        <f>F27*G27</f>
        <v>90261.695999999996</v>
      </c>
      <c r="J27" s="112"/>
      <c r="K27" s="112"/>
      <c r="L27" s="112"/>
      <c r="M27" s="151"/>
      <c r="N27" s="173"/>
    </row>
    <row r="28" spans="2:17" x14ac:dyDescent="0.25">
      <c r="B28" s="174"/>
      <c r="C28" s="155" t="str">
        <f t="shared" si="1"/>
        <v>Next</v>
      </c>
      <c r="D28" s="155">
        <v>10000</v>
      </c>
      <c r="E28" s="88"/>
      <c r="F28" s="88">
        <f>I23</f>
        <v>3636300</v>
      </c>
      <c r="G28" s="212">
        <f>Rates!D12</f>
        <v>7.1799999999999998E-3</v>
      </c>
      <c r="H28" s="212"/>
      <c r="I28" s="130">
        <f>F28*G28</f>
        <v>26108.633999999998</v>
      </c>
      <c r="J28" s="112"/>
      <c r="K28" s="112"/>
      <c r="L28" s="112"/>
      <c r="M28" s="151"/>
      <c r="N28" s="173"/>
    </row>
    <row r="29" spans="2:17" x14ac:dyDescent="0.25">
      <c r="B29" s="174"/>
      <c r="C29" s="155" t="str">
        <f>C21</f>
        <v>over</v>
      </c>
      <c r="D29" s="155">
        <f t="shared" si="1"/>
        <v>20000</v>
      </c>
      <c r="E29" s="88"/>
      <c r="F29" s="88">
        <f>J23</f>
        <v>6927300</v>
      </c>
      <c r="G29" s="212">
        <f>Rates!D13</f>
        <v>5.8799999999999998E-3</v>
      </c>
      <c r="H29" s="212"/>
      <c r="I29" s="130">
        <f>F29*G29</f>
        <v>40732.523999999998</v>
      </c>
      <c r="J29" s="112"/>
      <c r="K29" s="112"/>
      <c r="L29" s="112"/>
      <c r="M29" s="151"/>
      <c r="N29" s="173"/>
    </row>
    <row r="30" spans="2:17" ht="15.75" thickBot="1" x14ac:dyDescent="0.3">
      <c r="B30" s="174"/>
      <c r="C30" s="155"/>
      <c r="D30" s="155"/>
      <c r="E30" s="156"/>
      <c r="F30" s="156">
        <f>L23</f>
        <v>0</v>
      </c>
      <c r="G30" s="212">
        <f>Rates!D14</f>
        <v>0</v>
      </c>
      <c r="H30" s="212"/>
      <c r="I30" s="158">
        <f>F30*G30</f>
        <v>0</v>
      </c>
      <c r="J30" s="112"/>
      <c r="K30" s="112"/>
      <c r="L30" s="112"/>
      <c r="M30" s="151"/>
      <c r="N30" s="173"/>
    </row>
    <row r="31" spans="2:17" ht="15.75" thickBot="1" x14ac:dyDescent="0.3">
      <c r="B31" s="174"/>
      <c r="C31" s="152"/>
      <c r="E31" s="88">
        <f>SUM(E26:E30)</f>
        <v>6281</v>
      </c>
      <c r="F31" s="88">
        <f>SUM(F26:F30)</f>
        <v>30364000</v>
      </c>
      <c r="G31" s="113"/>
      <c r="H31" s="113"/>
      <c r="I31" s="371">
        <f>SUM(I26:I30)</f>
        <v>276190.614</v>
      </c>
      <c r="J31" s="113"/>
      <c r="K31" s="113"/>
      <c r="L31" s="113"/>
      <c r="M31" s="114"/>
      <c r="N31" s="175"/>
    </row>
    <row r="32" spans="2:17" ht="15.75" thickTop="1" x14ac:dyDescent="0.25">
      <c r="B32" s="174"/>
      <c r="C32" s="152"/>
      <c r="E32" s="88"/>
      <c r="F32" s="88"/>
      <c r="G32" s="113"/>
      <c r="H32" s="113"/>
      <c r="I32" s="130"/>
      <c r="J32" s="113"/>
      <c r="K32" s="113"/>
      <c r="L32" s="113"/>
      <c r="M32" s="114"/>
      <c r="N32" s="175"/>
    </row>
    <row r="33" spans="2:17" x14ac:dyDescent="0.25">
      <c r="B33" s="174"/>
      <c r="C33" s="152"/>
      <c r="E33" s="88"/>
      <c r="F33" s="88"/>
      <c r="G33" s="113"/>
      <c r="H33" s="113"/>
      <c r="I33" s="113"/>
      <c r="J33" s="113"/>
      <c r="K33" s="113"/>
      <c r="L33" s="113"/>
      <c r="M33" s="151"/>
      <c r="N33" s="173"/>
    </row>
    <row r="34" spans="2:17" x14ac:dyDescent="0.25">
      <c r="B34" s="174"/>
      <c r="C34" s="122" t="s">
        <v>276</v>
      </c>
      <c r="E34" s="88"/>
      <c r="F34" s="88"/>
      <c r="G34" s="111" t="str">
        <f>C36</f>
        <v>First</v>
      </c>
      <c r="H34" s="111" t="str">
        <f>C37</f>
        <v>Next</v>
      </c>
      <c r="I34" s="111" t="str">
        <f>C38</f>
        <v>Next</v>
      </c>
      <c r="J34" s="111" t="str">
        <f>C39</f>
        <v>Over</v>
      </c>
      <c r="K34" s="111"/>
      <c r="L34" s="111"/>
      <c r="M34" s="120"/>
      <c r="N34" s="173"/>
    </row>
    <row r="35" spans="2:17" ht="15.75" thickBot="1" x14ac:dyDescent="0.3">
      <c r="B35" s="174"/>
      <c r="C35" s="107" t="s">
        <v>64</v>
      </c>
      <c r="D35" s="159" t="s">
        <v>67</v>
      </c>
      <c r="E35" s="156" t="s">
        <v>10</v>
      </c>
      <c r="F35" s="156" t="s">
        <v>61</v>
      </c>
      <c r="G35" s="160">
        <f>D36</f>
        <v>5000</v>
      </c>
      <c r="H35" s="160">
        <f>D37</f>
        <v>5000</v>
      </c>
      <c r="I35" s="160">
        <f>D38</f>
        <v>10000</v>
      </c>
      <c r="J35" s="160">
        <f>D39</f>
        <v>20000</v>
      </c>
      <c r="K35" s="160">
        <v>0</v>
      </c>
      <c r="L35" s="160"/>
      <c r="M35" s="161" t="s">
        <v>68</v>
      </c>
      <c r="N35" s="173"/>
    </row>
    <row r="36" spans="2:17" ht="14.25" customHeight="1" x14ac:dyDescent="0.25">
      <c r="B36" s="174"/>
      <c r="C36" s="154" t="s">
        <v>65</v>
      </c>
      <c r="D36" s="155">
        <v>5000</v>
      </c>
      <c r="E36" s="88">
        <v>51</v>
      </c>
      <c r="F36" s="88">
        <v>99600</v>
      </c>
      <c r="G36" s="88">
        <f>F36</f>
        <v>99600</v>
      </c>
      <c r="H36" s="88">
        <v>0</v>
      </c>
      <c r="I36" s="88">
        <v>0</v>
      </c>
      <c r="J36" s="88">
        <v>0</v>
      </c>
      <c r="K36" s="88">
        <v>0</v>
      </c>
      <c r="L36" s="88">
        <v>0</v>
      </c>
      <c r="M36" s="121">
        <f>SUM(G36:L36)</f>
        <v>99600</v>
      </c>
      <c r="N36" s="173"/>
      <c r="P36" s="45"/>
    </row>
    <row r="37" spans="2:17" x14ac:dyDescent="0.25">
      <c r="B37" s="174"/>
      <c r="C37" s="154" t="s">
        <v>74</v>
      </c>
      <c r="D37" s="155">
        <v>5000</v>
      </c>
      <c r="E37" s="88">
        <v>27</v>
      </c>
      <c r="F37" s="88">
        <v>190700</v>
      </c>
      <c r="G37" s="88">
        <f>E37*D36</f>
        <v>135000</v>
      </c>
      <c r="H37" s="88">
        <f>F37-G37</f>
        <v>55700</v>
      </c>
      <c r="I37" s="88">
        <v>0</v>
      </c>
      <c r="J37" s="88">
        <v>0</v>
      </c>
      <c r="K37" s="88">
        <v>0</v>
      </c>
      <c r="L37" s="88">
        <v>0</v>
      </c>
      <c r="M37" s="121">
        <f>SUM(G37:L37)</f>
        <v>190700</v>
      </c>
      <c r="N37" s="173"/>
    </row>
    <row r="38" spans="2:17" x14ac:dyDescent="0.25">
      <c r="B38" s="174"/>
      <c r="C38" s="154" t="s">
        <v>74</v>
      </c>
      <c r="D38" s="155">
        <v>10000</v>
      </c>
      <c r="E38" s="88">
        <v>12</v>
      </c>
      <c r="F38" s="88">
        <v>172300</v>
      </c>
      <c r="G38" s="88">
        <f>E38*D36</f>
        <v>60000</v>
      </c>
      <c r="H38" s="88">
        <f>E38*D37</f>
        <v>60000</v>
      </c>
      <c r="I38" s="88">
        <f>F38-G38-H38</f>
        <v>52300</v>
      </c>
      <c r="J38" s="88"/>
      <c r="K38" s="88">
        <v>0</v>
      </c>
      <c r="L38" s="88">
        <v>0</v>
      </c>
      <c r="M38" s="121">
        <f>SUM(G38:L38)</f>
        <v>172300</v>
      </c>
      <c r="N38" s="173"/>
    </row>
    <row r="39" spans="2:17" x14ac:dyDescent="0.25">
      <c r="B39" s="174"/>
      <c r="C39" s="154" t="s">
        <v>66</v>
      </c>
      <c r="D39" s="155">
        <v>20000</v>
      </c>
      <c r="E39" s="88">
        <v>66</v>
      </c>
      <c r="F39" s="88">
        <v>7312900</v>
      </c>
      <c r="G39" s="88">
        <f>E39*D36</f>
        <v>330000</v>
      </c>
      <c r="H39" s="88">
        <f>E39*D37</f>
        <v>330000</v>
      </c>
      <c r="I39" s="88">
        <f>E39*D38</f>
        <v>660000</v>
      </c>
      <c r="J39" s="88">
        <f>F39-G39-H39-I39</f>
        <v>5992900</v>
      </c>
      <c r="K39" s="88"/>
      <c r="L39" s="88">
        <v>0</v>
      </c>
      <c r="M39" s="121">
        <f>SUM(G39:L39)</f>
        <v>7312900</v>
      </c>
      <c r="N39" s="173"/>
    </row>
    <row r="40" spans="2:17" ht="15.75" thickBot="1" x14ac:dyDescent="0.3">
      <c r="B40" s="174"/>
      <c r="C40" s="154"/>
      <c r="D40" s="155"/>
      <c r="E40" s="334">
        <f t="shared" ref="E40" si="2">ROUND((E22/$E$23)*17118,0)</f>
        <v>0</v>
      </c>
      <c r="F40" s="334">
        <f t="shared" ref="F40" si="3">ROUND((F22/$F$23)*60098168,0)</f>
        <v>0</v>
      </c>
      <c r="G40" s="156">
        <f>E40*D36</f>
        <v>0</v>
      </c>
      <c r="H40" s="156"/>
      <c r="I40" s="156"/>
      <c r="J40" s="156"/>
      <c r="K40" s="156">
        <f>E40*D39</f>
        <v>0</v>
      </c>
      <c r="L40" s="156"/>
      <c r="M40" s="157">
        <f>SUM(G40:L40)</f>
        <v>0</v>
      </c>
      <c r="N40" s="173"/>
    </row>
    <row r="41" spans="2:17" x14ac:dyDescent="0.25">
      <c r="B41" s="174"/>
      <c r="C41" s="152"/>
      <c r="D41" s="177"/>
      <c r="E41" s="331">
        <f>SUM(E36:E40)</f>
        <v>156</v>
      </c>
      <c r="F41" s="88">
        <f t="shared" ref="F41" si="4">SUM(F36:F40)</f>
        <v>7775500</v>
      </c>
      <c r="G41" s="88">
        <f t="shared" ref="G41:K41" si="5">SUM(G36:G40)</f>
        <v>624600</v>
      </c>
      <c r="H41" s="88">
        <f>SUM(H37:H39)</f>
        <v>445700</v>
      </c>
      <c r="I41" s="88">
        <f t="shared" si="5"/>
        <v>712300</v>
      </c>
      <c r="J41" s="88">
        <f t="shared" si="5"/>
        <v>5992900</v>
      </c>
      <c r="K41" s="88">
        <f t="shared" si="5"/>
        <v>0</v>
      </c>
      <c r="L41" s="88">
        <f t="shared" ref="L41:M41" si="6">SUM(L36:L40)</f>
        <v>0</v>
      </c>
      <c r="M41" s="88">
        <f t="shared" si="6"/>
        <v>7775500</v>
      </c>
      <c r="N41" s="173"/>
      <c r="P41" s="38" t="s">
        <v>133</v>
      </c>
      <c r="Q41" s="332">
        <f>F41/E41</f>
        <v>49842.948717948719</v>
      </c>
    </row>
    <row r="42" spans="2:17" x14ac:dyDescent="0.25">
      <c r="B42" s="174"/>
      <c r="E42" s="88"/>
      <c r="F42" s="88"/>
      <c r="G42" s="113"/>
      <c r="H42" s="113"/>
      <c r="I42" s="113"/>
      <c r="J42" s="113"/>
      <c r="K42" s="113"/>
      <c r="L42" s="113"/>
      <c r="M42" s="151"/>
      <c r="N42" s="173"/>
    </row>
    <row r="43" spans="2:17" ht="15.75" thickBot="1" x14ac:dyDescent="0.3">
      <c r="B43" s="174"/>
      <c r="C43" s="152" t="s">
        <v>69</v>
      </c>
      <c r="D43" s="159" t="s">
        <v>67</v>
      </c>
      <c r="E43" s="156" t="s">
        <v>10</v>
      </c>
      <c r="F43" s="156" t="s">
        <v>61</v>
      </c>
      <c r="G43" s="162" t="s">
        <v>11</v>
      </c>
      <c r="H43" s="162"/>
      <c r="I43" s="159" t="s">
        <v>62</v>
      </c>
      <c r="J43" s="113"/>
      <c r="K43" s="113"/>
      <c r="L43" s="113"/>
      <c r="M43" s="151"/>
      <c r="N43" s="173"/>
    </row>
    <row r="44" spans="2:17" x14ac:dyDescent="0.25">
      <c r="B44" s="174"/>
      <c r="C44" s="155" t="str">
        <f t="shared" ref="C44:D44" si="7">C36</f>
        <v>First</v>
      </c>
      <c r="D44" s="155">
        <f t="shared" si="7"/>
        <v>5000</v>
      </c>
      <c r="E44" s="88">
        <f>E41</f>
        <v>156</v>
      </c>
      <c r="F44" s="88">
        <f>G41</f>
        <v>624600</v>
      </c>
      <c r="G44" s="112">
        <f>Rates!D17</f>
        <v>44.25</v>
      </c>
      <c r="H44" s="112"/>
      <c r="I44" s="130">
        <f>E44*G44</f>
        <v>6903</v>
      </c>
      <c r="J44" s="112"/>
      <c r="K44" s="112"/>
      <c r="L44" s="112"/>
      <c r="M44" s="151"/>
      <c r="N44" s="173"/>
    </row>
    <row r="45" spans="2:17" x14ac:dyDescent="0.25">
      <c r="B45" s="174"/>
      <c r="C45" s="155" t="str">
        <f t="shared" ref="C45:D45" si="8">C37</f>
        <v>Next</v>
      </c>
      <c r="D45" s="155">
        <f t="shared" si="8"/>
        <v>5000</v>
      </c>
      <c r="E45" s="88"/>
      <c r="F45" s="88">
        <f>H41</f>
        <v>445700</v>
      </c>
      <c r="G45" s="212">
        <f>Rates!D11</f>
        <v>8.43E-3</v>
      </c>
      <c r="H45" s="212"/>
      <c r="I45" s="130">
        <f>F45*G45</f>
        <v>3757.2510000000002</v>
      </c>
      <c r="J45" s="112"/>
      <c r="K45" s="112"/>
      <c r="L45" s="112"/>
      <c r="M45" s="151"/>
      <c r="N45" s="173"/>
    </row>
    <row r="46" spans="2:17" x14ac:dyDescent="0.25">
      <c r="B46" s="174"/>
      <c r="C46" s="155" t="str">
        <f t="shared" ref="C46:D46" si="9">C38</f>
        <v>Next</v>
      </c>
      <c r="D46" s="155">
        <f t="shared" si="9"/>
        <v>10000</v>
      </c>
      <c r="E46" s="88"/>
      <c r="F46" s="88">
        <f>I41</f>
        <v>712300</v>
      </c>
      <c r="G46" s="212">
        <f>Rates!D12</f>
        <v>7.1799999999999998E-3</v>
      </c>
      <c r="H46" s="212"/>
      <c r="I46" s="130">
        <f>F46*G46</f>
        <v>5114.3139999999994</v>
      </c>
      <c r="J46" s="112"/>
      <c r="K46" s="112"/>
      <c r="L46" s="112"/>
      <c r="M46" s="151"/>
      <c r="N46" s="173"/>
    </row>
    <row r="47" spans="2:17" x14ac:dyDescent="0.25">
      <c r="B47" s="174"/>
      <c r="C47" s="154" t="str">
        <f>C39</f>
        <v>Over</v>
      </c>
      <c r="D47" s="155">
        <v>20000</v>
      </c>
      <c r="E47" s="88"/>
      <c r="F47" s="88">
        <f>J41</f>
        <v>5992900</v>
      </c>
      <c r="G47" s="212">
        <f>Rates!D13</f>
        <v>5.8799999999999998E-3</v>
      </c>
      <c r="H47" s="212"/>
      <c r="I47" s="130">
        <f>F47*G47</f>
        <v>35238.252</v>
      </c>
      <c r="J47" s="112"/>
      <c r="K47" s="112"/>
      <c r="L47" s="112"/>
      <c r="M47" s="151"/>
      <c r="N47" s="173"/>
    </row>
    <row r="48" spans="2:17" ht="15.75" thickBot="1" x14ac:dyDescent="0.3">
      <c r="B48" s="174"/>
      <c r="C48" s="155"/>
      <c r="D48" s="155"/>
      <c r="E48" s="156"/>
      <c r="F48" s="156">
        <f>L41</f>
        <v>0</v>
      </c>
      <c r="G48" s="212">
        <f>Rates!D14</f>
        <v>0</v>
      </c>
      <c r="H48" s="212"/>
      <c r="I48" s="158">
        <f>F48*G48</f>
        <v>0</v>
      </c>
      <c r="J48" s="112"/>
      <c r="K48" s="112"/>
      <c r="L48" s="112"/>
      <c r="M48" s="151"/>
      <c r="N48" s="173"/>
    </row>
    <row r="49" spans="2:17" ht="15.75" thickBot="1" x14ac:dyDescent="0.3">
      <c r="B49" s="174"/>
      <c r="C49" s="152"/>
      <c r="E49" s="88">
        <f>SUM(E44:E48)</f>
        <v>156</v>
      </c>
      <c r="F49" s="88">
        <f>SUM(F44:F48)</f>
        <v>7775500</v>
      </c>
      <c r="G49" s="113"/>
      <c r="H49" s="113"/>
      <c r="I49" s="371">
        <f>SUM(I44:I48)</f>
        <v>51012.816999999995</v>
      </c>
      <c r="J49" s="113"/>
      <c r="K49" s="113"/>
      <c r="L49" s="113"/>
      <c r="M49" s="114"/>
      <c r="N49" s="175"/>
    </row>
    <row r="50" spans="2:17" ht="15.75" thickTop="1" x14ac:dyDescent="0.25">
      <c r="B50" s="174"/>
      <c r="C50" s="152"/>
      <c r="E50" s="88"/>
      <c r="F50" s="88"/>
      <c r="G50" s="113"/>
      <c r="H50" s="113"/>
      <c r="I50" s="130"/>
      <c r="J50" s="113"/>
      <c r="K50" s="113"/>
      <c r="L50" s="113"/>
      <c r="M50" s="114"/>
      <c r="N50" s="175"/>
    </row>
    <row r="51" spans="2:17" x14ac:dyDescent="0.25">
      <c r="B51" s="174"/>
      <c r="C51" s="152"/>
      <c r="E51" s="88"/>
      <c r="F51" s="88"/>
      <c r="G51" s="113"/>
      <c r="H51" s="113"/>
      <c r="I51" s="113"/>
      <c r="J51" s="113"/>
      <c r="K51" s="113"/>
      <c r="L51" s="113"/>
      <c r="M51" s="151"/>
      <c r="N51" s="173"/>
    </row>
    <row r="52" spans="2:17" x14ac:dyDescent="0.25">
      <c r="B52" s="174"/>
      <c r="C52" s="122" t="s">
        <v>277</v>
      </c>
      <c r="E52" s="88"/>
      <c r="F52" s="88"/>
      <c r="G52" s="120" t="str">
        <f>C54</f>
        <v>First</v>
      </c>
      <c r="H52" s="111" t="str">
        <f>C55</f>
        <v>Over</v>
      </c>
      <c r="N52" s="173"/>
    </row>
    <row r="53" spans="2:17" ht="15.75" thickBot="1" x14ac:dyDescent="0.3">
      <c r="B53" s="174"/>
      <c r="C53" s="107" t="s">
        <v>64</v>
      </c>
      <c r="D53" s="367" t="s">
        <v>67</v>
      </c>
      <c r="E53" s="334" t="s">
        <v>10</v>
      </c>
      <c r="F53" s="334" t="s">
        <v>61</v>
      </c>
      <c r="G53" s="366">
        <f>D54</f>
        <v>20000</v>
      </c>
      <c r="H53" s="366">
        <f>D55</f>
        <v>20000</v>
      </c>
      <c r="I53" s="323"/>
      <c r="J53" s="323"/>
      <c r="K53" s="323"/>
      <c r="L53" s="323"/>
      <c r="M53" s="161" t="s">
        <v>68</v>
      </c>
      <c r="N53" s="173"/>
    </row>
    <row r="54" spans="2:17" x14ac:dyDescent="0.25">
      <c r="B54" s="174"/>
      <c r="C54" s="155" t="s">
        <v>65</v>
      </c>
      <c r="D54" s="155">
        <v>20000</v>
      </c>
      <c r="E54" s="88">
        <v>29</v>
      </c>
      <c r="F54" s="88">
        <v>185700</v>
      </c>
      <c r="G54" s="121">
        <f>F54</f>
        <v>185700</v>
      </c>
      <c r="H54" s="88">
        <v>0</v>
      </c>
      <c r="I54" s="88">
        <v>0</v>
      </c>
      <c r="J54" s="88">
        <v>0</v>
      </c>
      <c r="K54" s="88">
        <v>0</v>
      </c>
      <c r="L54" s="88">
        <v>0</v>
      </c>
      <c r="M54" s="177">
        <f>SUM(G54:L54)</f>
        <v>185700</v>
      </c>
      <c r="N54" s="173"/>
    </row>
    <row r="55" spans="2:17" x14ac:dyDescent="0.25">
      <c r="B55" s="174"/>
      <c r="C55" s="155" t="str">
        <f t="shared" ref="C55" si="10">C47</f>
        <v>Over</v>
      </c>
      <c r="D55" s="368">
        <v>20000</v>
      </c>
      <c r="E55" s="334">
        <v>37</v>
      </c>
      <c r="F55" s="334">
        <v>2150400</v>
      </c>
      <c r="G55" s="334">
        <f>E55*D54</f>
        <v>740000</v>
      </c>
      <c r="H55" s="334">
        <f>F55-G55</f>
        <v>1410400</v>
      </c>
      <c r="I55" s="323"/>
      <c r="J55" s="323"/>
      <c r="K55" s="323"/>
      <c r="L55" s="323"/>
      <c r="M55" s="387">
        <f>SUM(G55:L55)</f>
        <v>2150400</v>
      </c>
      <c r="N55" s="173"/>
      <c r="Q55" s="208"/>
    </row>
    <row r="56" spans="2:17" x14ac:dyDescent="0.25">
      <c r="B56" s="174"/>
      <c r="D56" s="38" t="s">
        <v>1</v>
      </c>
      <c r="E56" s="88">
        <f>SUM(E54:E55)</f>
        <v>66</v>
      </c>
      <c r="F56" s="88">
        <f>SUM(F54:F55)</f>
        <v>2336100</v>
      </c>
      <c r="G56" s="88">
        <f>SUM(G54:G55)</f>
        <v>925700</v>
      </c>
      <c r="H56" s="88">
        <f>SUM(H55)</f>
        <v>1410400</v>
      </c>
      <c r="I56" s="113"/>
      <c r="J56" s="113"/>
      <c r="K56" s="113"/>
      <c r="L56" s="113"/>
      <c r="M56" s="88">
        <f>SUM(M54:M55)</f>
        <v>2336100</v>
      </c>
      <c r="N56" s="173"/>
      <c r="P56" s="38" t="s">
        <v>133</v>
      </c>
      <c r="Q56" s="332">
        <f>F56/E56</f>
        <v>35395.454545454544</v>
      </c>
    </row>
    <row r="57" spans="2:17" x14ac:dyDescent="0.25">
      <c r="B57" s="174"/>
      <c r="E57" s="88"/>
      <c r="F57" s="88"/>
      <c r="G57" s="88"/>
      <c r="H57" s="88"/>
      <c r="I57" s="113"/>
      <c r="J57" s="113"/>
      <c r="K57" s="113"/>
      <c r="L57" s="113"/>
      <c r="M57" s="88"/>
      <c r="N57" s="173"/>
    </row>
    <row r="58" spans="2:17" x14ac:dyDescent="0.25">
      <c r="B58" s="174"/>
      <c r="E58" s="88"/>
      <c r="F58" s="88"/>
      <c r="G58" s="113"/>
      <c r="H58" s="113"/>
      <c r="I58" s="113"/>
      <c r="J58" s="113"/>
      <c r="K58" s="113"/>
      <c r="L58" s="113"/>
      <c r="M58" s="151"/>
      <c r="N58" s="173"/>
    </row>
    <row r="59" spans="2:17" x14ac:dyDescent="0.25">
      <c r="B59" s="174"/>
      <c r="C59" s="152" t="s">
        <v>69</v>
      </c>
      <c r="D59" s="367" t="s">
        <v>67</v>
      </c>
      <c r="E59" s="334" t="s">
        <v>10</v>
      </c>
      <c r="F59" s="334" t="s">
        <v>61</v>
      </c>
      <c r="G59" s="369" t="s">
        <v>11</v>
      </c>
      <c r="H59" s="369"/>
      <c r="I59" s="367" t="s">
        <v>62</v>
      </c>
      <c r="J59" s="113"/>
      <c r="K59" s="113"/>
      <c r="L59" s="113"/>
      <c r="M59" s="151"/>
      <c r="N59" s="173"/>
    </row>
    <row r="60" spans="2:17" x14ac:dyDescent="0.25">
      <c r="B60" s="174"/>
      <c r="C60" s="155" t="s">
        <v>65</v>
      </c>
      <c r="D60" s="155">
        <f>D54</f>
        <v>20000</v>
      </c>
      <c r="E60" s="88">
        <f>E56</f>
        <v>66</v>
      </c>
      <c r="F60" s="88">
        <f>F54</f>
        <v>185700</v>
      </c>
      <c r="G60" s="112">
        <f>Rates!D23</f>
        <v>158.19999999999999</v>
      </c>
      <c r="H60" s="212"/>
      <c r="I60" s="130">
        <f>E60*G60</f>
        <v>10441.199999999999</v>
      </c>
      <c r="J60" s="112"/>
      <c r="K60" s="112"/>
      <c r="L60" s="112"/>
      <c r="M60" s="151"/>
      <c r="N60" s="173"/>
      <c r="P60" s="45"/>
    </row>
    <row r="61" spans="2:17" x14ac:dyDescent="0.25">
      <c r="B61" s="174"/>
      <c r="C61" s="155" t="s">
        <v>262</v>
      </c>
      <c r="D61" s="250">
        <v>20000</v>
      </c>
      <c r="E61" s="334"/>
      <c r="F61" s="388">
        <f>F55</f>
        <v>2150400</v>
      </c>
      <c r="G61" s="369">
        <f>Rates!D24</f>
        <v>5.8799999999999998E-3</v>
      </c>
      <c r="H61" s="369"/>
      <c r="I61" s="126">
        <f>F61*G61</f>
        <v>12644.351999999999</v>
      </c>
      <c r="J61" s="113"/>
      <c r="K61" s="113"/>
      <c r="L61" s="113"/>
      <c r="M61" s="114"/>
      <c r="N61" s="173"/>
    </row>
    <row r="62" spans="2:17" ht="15.75" thickBot="1" x14ac:dyDescent="0.3">
      <c r="B62" s="174"/>
      <c r="C62" s="152"/>
      <c r="E62" s="88">
        <f>SUM(E60:E61)</f>
        <v>66</v>
      </c>
      <c r="F62" s="88">
        <f>SUM(F60:F61)</f>
        <v>2336100</v>
      </c>
      <c r="G62" s="113"/>
      <c r="H62" s="113"/>
      <c r="I62" s="386">
        <f>SUM(I60:I61)</f>
        <v>23085.551999999996</v>
      </c>
      <c r="J62" s="113"/>
      <c r="K62" s="113"/>
      <c r="L62" s="390" t="s">
        <v>280</v>
      </c>
      <c r="M62" s="396">
        <f>M56+M41+M23</f>
        <v>40475600</v>
      </c>
      <c r="N62" s="173"/>
    </row>
    <row r="63" spans="2:17" ht="15.75" thickTop="1" x14ac:dyDescent="0.25">
      <c r="B63" s="174"/>
      <c r="C63" s="152"/>
      <c r="E63" s="111"/>
      <c r="F63" s="88"/>
      <c r="G63" s="113"/>
      <c r="H63" s="113"/>
      <c r="J63" s="176"/>
      <c r="K63" s="176"/>
      <c r="L63" s="176" t="s">
        <v>281</v>
      </c>
      <c r="M63" s="197">
        <v>40475600</v>
      </c>
      <c r="N63" s="173"/>
    </row>
    <row r="64" spans="2:17" x14ac:dyDescent="0.25">
      <c r="B64" s="174"/>
      <c r="C64" s="122"/>
      <c r="E64" s="88"/>
      <c r="F64" s="88"/>
      <c r="G64" s="120"/>
      <c r="H64" s="120"/>
      <c r="N64" s="173"/>
    </row>
    <row r="65" spans="2:17" x14ac:dyDescent="0.25">
      <c r="B65" s="174"/>
      <c r="C65" s="107"/>
      <c r="D65" s="150"/>
      <c r="E65" s="88"/>
      <c r="F65" s="88"/>
      <c r="G65" s="120"/>
      <c r="H65" s="120"/>
      <c r="N65" s="173"/>
    </row>
    <row r="66" spans="2:17" x14ac:dyDescent="0.25">
      <c r="B66" s="174"/>
      <c r="C66" s="154"/>
      <c r="D66" s="155"/>
      <c r="E66" s="88"/>
      <c r="F66" s="88"/>
      <c r="G66" s="121"/>
      <c r="H66" s="121"/>
      <c r="N66" s="173"/>
    </row>
    <row r="67" spans="2:17" x14ac:dyDescent="0.25">
      <c r="B67" s="174"/>
      <c r="C67" s="152"/>
      <c r="E67" s="88"/>
      <c r="F67" s="88"/>
      <c r="G67" s="88"/>
      <c r="H67" s="88"/>
      <c r="N67" s="173"/>
      <c r="Q67" s="208"/>
    </row>
    <row r="68" spans="2:17" x14ac:dyDescent="0.25">
      <c r="B68" s="174"/>
      <c r="E68" s="88"/>
      <c r="F68" s="88"/>
      <c r="G68" s="113"/>
      <c r="H68" s="113"/>
      <c r="I68" s="113"/>
      <c r="J68" s="113"/>
      <c r="K68" s="113"/>
      <c r="L68" s="113"/>
      <c r="M68" s="151"/>
      <c r="N68" s="173"/>
    </row>
    <row r="69" spans="2:17" x14ac:dyDescent="0.25">
      <c r="B69" s="174"/>
      <c r="C69" s="152"/>
      <c r="D69" s="150"/>
      <c r="E69" s="88"/>
      <c r="F69" s="88"/>
      <c r="G69" s="113"/>
      <c r="H69" s="113"/>
      <c r="I69" s="150"/>
      <c r="J69" s="113"/>
      <c r="K69" s="113"/>
      <c r="L69" s="113"/>
      <c r="M69" s="151"/>
      <c r="N69" s="173"/>
    </row>
    <row r="70" spans="2:17" x14ac:dyDescent="0.25">
      <c r="B70" s="174"/>
      <c r="C70" s="155"/>
      <c r="D70" s="155"/>
      <c r="E70" s="88"/>
      <c r="F70" s="88"/>
      <c r="G70" s="212"/>
      <c r="H70" s="212"/>
      <c r="I70" s="130"/>
      <c r="J70" s="112"/>
      <c r="K70" s="112"/>
      <c r="L70" s="112"/>
      <c r="M70" s="151"/>
      <c r="N70" s="173"/>
      <c r="P70" s="45"/>
    </row>
    <row r="71" spans="2:17" x14ac:dyDescent="0.25">
      <c r="B71" s="174"/>
      <c r="C71" s="152"/>
      <c r="E71" s="88"/>
      <c r="F71" s="88"/>
      <c r="G71" s="113"/>
      <c r="H71" s="113"/>
      <c r="I71" s="130"/>
      <c r="J71" s="113"/>
      <c r="K71" s="113"/>
      <c r="L71" s="113"/>
      <c r="M71" s="114"/>
      <c r="N71" s="173"/>
    </row>
    <row r="72" spans="2:17" x14ac:dyDescent="0.25">
      <c r="B72" s="174"/>
      <c r="C72" s="152"/>
      <c r="E72" s="88"/>
      <c r="F72" s="88"/>
      <c r="G72" s="113"/>
      <c r="H72" s="113"/>
      <c r="I72" s="113"/>
      <c r="J72" s="113"/>
      <c r="K72" s="113"/>
      <c r="L72" s="113"/>
      <c r="M72" s="151"/>
      <c r="N72" s="173"/>
    </row>
    <row r="73" spans="2:17" x14ac:dyDescent="0.25">
      <c r="B73" s="174"/>
      <c r="C73" s="152"/>
      <c r="E73" s="111"/>
      <c r="F73" s="88"/>
      <c r="G73" s="113"/>
      <c r="H73" s="113"/>
      <c r="J73" s="176"/>
      <c r="K73" s="176"/>
      <c r="L73" s="176"/>
      <c r="N73" s="173"/>
    </row>
    <row r="74" spans="2:17" ht="15.75" thickBot="1" x14ac:dyDescent="0.3">
      <c r="B74" s="178"/>
      <c r="C74" s="164"/>
      <c r="D74" s="164"/>
      <c r="E74" s="163"/>
      <c r="F74" s="156"/>
      <c r="G74" s="162"/>
      <c r="H74" s="162"/>
      <c r="I74" s="164"/>
      <c r="J74" s="164"/>
      <c r="K74" s="164"/>
      <c r="L74" s="164"/>
      <c r="M74" s="164"/>
      <c r="N74" s="179"/>
    </row>
    <row r="75" spans="2:17" x14ac:dyDescent="0.25">
      <c r="C75" s="107"/>
      <c r="E75" s="88"/>
      <c r="F75" s="88"/>
      <c r="G75" s="113"/>
      <c r="H75" s="113"/>
      <c r="I75" s="113"/>
      <c r="J75" s="113"/>
      <c r="K75" s="113"/>
      <c r="L75" s="113"/>
      <c r="M75" s="120"/>
    </row>
  </sheetData>
  <sortState xmlns:xlrd2="http://schemas.microsoft.com/office/spreadsheetml/2017/richdata2" ref="B7:I62">
    <sortCondition ref="I7:I62"/>
    <sortCondition ref="B7:B62"/>
    <sortCondition ref="C7:C62"/>
  </sortState>
  <mergeCells count="4">
    <mergeCell ref="B6:J6"/>
    <mergeCell ref="B3:N3"/>
    <mergeCell ref="B4:N4"/>
    <mergeCell ref="B5:N5"/>
  </mergeCells>
  <pageMargins left="0.25" right="0.25" top="0.5" bottom="0.5" header="0" footer="0"/>
  <pageSetup scale="69" fitToHeight="2" orientation="landscape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B426C-EDCF-4F75-A235-26D224CEBEBE}">
  <sheetPr>
    <pageSetUpPr fitToPage="1"/>
  </sheetPr>
  <dimension ref="B2:P113"/>
  <sheetViews>
    <sheetView workbookViewId="0">
      <selection activeCell="F17" sqref="F17"/>
    </sheetView>
  </sheetViews>
  <sheetFormatPr defaultColWidth="8.77734375" defaultRowHeight="15" x14ac:dyDescent="0.25"/>
  <cols>
    <col min="1" max="1" width="1.5546875" style="38" customWidth="1"/>
    <col min="2" max="2" width="5.88671875" style="107" customWidth="1"/>
    <col min="3" max="3" width="30.5546875" style="38" customWidth="1"/>
    <col min="4" max="4" width="12.5546875" style="38" customWidth="1"/>
    <col min="5" max="5" width="12.5546875" style="108" customWidth="1"/>
    <col min="6" max="6" width="12.5546875" style="87" customWidth="1"/>
    <col min="7" max="7" width="11.6640625" style="109" customWidth="1"/>
    <col min="8" max="8" width="12.5546875" style="38" customWidth="1"/>
    <col min="9" max="9" width="14.5546875" style="38" customWidth="1"/>
    <col min="10" max="10" width="12.88671875" style="38" customWidth="1"/>
    <col min="11" max="11" width="10.5546875" style="38" hidden="1" customWidth="1"/>
    <col min="12" max="12" width="10" style="38" bestFit="1" customWidth="1"/>
    <col min="13" max="13" width="1.6640625" style="38" customWidth="1"/>
    <col min="14" max="14" width="1.5546875" style="38" customWidth="1"/>
    <col min="15" max="15" width="8.77734375" style="38"/>
    <col min="16" max="16" width="12.21875" style="38" customWidth="1"/>
    <col min="17" max="16384" width="8.77734375" style="38"/>
  </cols>
  <sheetData>
    <row r="2" spans="2:13" x14ac:dyDescent="0.25">
      <c r="B2" s="167"/>
      <c r="C2" s="168"/>
      <c r="D2" s="168"/>
      <c r="E2" s="169"/>
      <c r="F2" s="170"/>
      <c r="G2" s="171"/>
      <c r="H2" s="168"/>
      <c r="I2" s="168"/>
      <c r="J2" s="168"/>
      <c r="K2" s="168"/>
      <c r="L2" s="168"/>
      <c r="M2" s="172"/>
    </row>
    <row r="3" spans="2:13" ht="18" hidden="1" customHeight="1" x14ac:dyDescent="0.3">
      <c r="B3" s="466" t="s">
        <v>189</v>
      </c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3"/>
    </row>
    <row r="4" spans="2:13" ht="18" customHeight="1" x14ac:dyDescent="0.3">
      <c r="B4" s="467" t="s">
        <v>298</v>
      </c>
      <c r="C4" s="468"/>
      <c r="D4" s="468"/>
      <c r="E4" s="468"/>
      <c r="F4" s="468"/>
      <c r="G4" s="468"/>
      <c r="H4" s="468"/>
      <c r="I4" s="468"/>
      <c r="J4" s="468"/>
      <c r="K4" s="468"/>
      <c r="L4" s="468"/>
      <c r="M4" s="469"/>
    </row>
    <row r="5" spans="2:13" ht="15.6" customHeight="1" x14ac:dyDescent="0.3">
      <c r="B5" s="466" t="str">
        <f>SAO!A2</f>
        <v>Fountain Run Water District #1</v>
      </c>
      <c r="C5" s="422"/>
      <c r="D5" s="422"/>
      <c r="E5" s="422"/>
      <c r="F5" s="422"/>
      <c r="G5" s="422"/>
      <c r="H5" s="422"/>
      <c r="I5" s="422"/>
      <c r="J5" s="422"/>
      <c r="K5" s="422"/>
      <c r="L5" s="422"/>
      <c r="M5" s="423"/>
    </row>
    <row r="6" spans="2:13" ht="14.85" customHeight="1" x14ac:dyDescent="0.25">
      <c r="B6" s="464"/>
      <c r="C6" s="465"/>
      <c r="D6" s="465"/>
      <c r="E6" s="465"/>
      <c r="F6" s="465"/>
      <c r="G6" s="465"/>
      <c r="H6" s="465"/>
      <c r="I6" s="465"/>
      <c r="J6" s="148"/>
      <c r="K6" s="148"/>
      <c r="M6" s="173"/>
    </row>
    <row r="7" spans="2:13" x14ac:dyDescent="0.25">
      <c r="B7" s="174"/>
      <c r="D7" s="149" t="s">
        <v>60</v>
      </c>
      <c r="E7" s="88" t="s">
        <v>10</v>
      </c>
      <c r="F7" s="88" t="s">
        <v>61</v>
      </c>
      <c r="G7" s="150" t="s">
        <v>62</v>
      </c>
      <c r="H7" s="151"/>
      <c r="I7" s="151"/>
      <c r="J7" s="151"/>
      <c r="M7" s="173"/>
    </row>
    <row r="8" spans="2:13" x14ac:dyDescent="0.25">
      <c r="B8" s="174"/>
      <c r="D8" s="149" t="s">
        <v>126</v>
      </c>
      <c r="E8" s="88">
        <f>E31+E49+E62</f>
        <v>6503</v>
      </c>
      <c r="F8" s="88">
        <f>F31+F49+F62</f>
        <v>40475600</v>
      </c>
      <c r="G8" s="130">
        <f>H31+H49+H62</f>
        <v>384089.84502600005</v>
      </c>
      <c r="H8" s="151"/>
      <c r="I8" s="151"/>
      <c r="J8" s="151"/>
      <c r="M8" s="173"/>
    </row>
    <row r="9" spans="2:13" x14ac:dyDescent="0.25">
      <c r="B9" s="174"/>
      <c r="D9" s="149" t="s">
        <v>125</v>
      </c>
      <c r="E9" s="88"/>
      <c r="F9" s="88"/>
      <c r="G9" s="127">
        <f>'Existing Billing Analysis'!G9</f>
        <v>0</v>
      </c>
      <c r="H9" s="151"/>
      <c r="I9" s="151"/>
      <c r="J9" s="151"/>
      <c r="M9" s="173"/>
    </row>
    <row r="10" spans="2:13" x14ac:dyDescent="0.25">
      <c r="B10" s="174"/>
      <c r="D10" s="149" t="s">
        <v>124</v>
      </c>
      <c r="E10" s="88"/>
      <c r="F10" s="88"/>
      <c r="G10" s="130">
        <f>G8-G9</f>
        <v>384089.84502600005</v>
      </c>
      <c r="H10" s="151"/>
      <c r="I10" s="151"/>
      <c r="J10" s="151"/>
      <c r="M10" s="173"/>
    </row>
    <row r="11" spans="2:13" x14ac:dyDescent="0.25">
      <c r="B11" s="174"/>
      <c r="D11" s="149" t="s">
        <v>226</v>
      </c>
      <c r="E11" s="88"/>
      <c r="F11" s="88"/>
      <c r="G11" s="126">
        <f>'Revenue Requirement'!F16</f>
        <v>384087.76763873734</v>
      </c>
      <c r="H11" s="151"/>
      <c r="I11" s="151"/>
      <c r="J11" s="151"/>
      <c r="M11" s="173"/>
    </row>
    <row r="12" spans="2:13" x14ac:dyDescent="0.25">
      <c r="B12" s="174"/>
      <c r="D12" s="149" t="s">
        <v>123</v>
      </c>
      <c r="E12" s="88"/>
      <c r="F12" s="88"/>
      <c r="G12" s="165">
        <f>G10-G11</f>
        <v>2.0773872627178207</v>
      </c>
      <c r="H12" s="151"/>
      <c r="I12" s="151"/>
      <c r="J12" s="151"/>
      <c r="M12" s="173"/>
    </row>
    <row r="13" spans="2:13" x14ac:dyDescent="0.25">
      <c r="B13" s="174"/>
      <c r="C13" s="152"/>
      <c r="E13" s="88"/>
      <c r="F13" s="88"/>
      <c r="G13" s="166">
        <f>G12/G11</f>
        <v>5.4086264592309424E-6</v>
      </c>
      <c r="H13" s="153"/>
      <c r="I13" s="151"/>
      <c r="J13" s="151"/>
      <c r="K13" s="151"/>
      <c r="M13" s="173"/>
    </row>
    <row r="14" spans="2:13" x14ac:dyDescent="0.25">
      <c r="B14" s="174"/>
      <c r="E14" s="88"/>
      <c r="F14" s="88"/>
      <c r="G14" s="113"/>
      <c r="H14" s="107"/>
      <c r="I14" s="151"/>
      <c r="J14" s="151"/>
      <c r="K14" s="151"/>
      <c r="M14" s="173"/>
    </row>
    <row r="15" spans="2:13" x14ac:dyDescent="0.25">
      <c r="B15" s="174"/>
      <c r="E15" s="88"/>
      <c r="F15" s="88"/>
      <c r="G15" s="113"/>
      <c r="H15" s="107"/>
      <c r="I15" s="151"/>
      <c r="J15" s="151"/>
      <c r="K15" s="151"/>
      <c r="M15" s="173"/>
    </row>
    <row r="16" spans="2:13" x14ac:dyDescent="0.25">
      <c r="B16" s="174"/>
      <c r="C16" s="122" t="s">
        <v>275</v>
      </c>
      <c r="E16" s="88"/>
      <c r="F16" s="88"/>
      <c r="G16" s="111" t="str">
        <f>C18</f>
        <v>First</v>
      </c>
      <c r="H16" s="111" t="str">
        <f>C19</f>
        <v>Next</v>
      </c>
      <c r="I16" s="111" t="str">
        <f>C20</f>
        <v>Next</v>
      </c>
      <c r="J16" s="111" t="str">
        <f>C21</f>
        <v>over</v>
      </c>
      <c r="K16" s="111"/>
      <c r="L16" s="111">
        <f>C22</f>
        <v>0</v>
      </c>
      <c r="M16" s="389"/>
    </row>
    <row r="17" spans="2:16" ht="15.75" thickBot="1" x14ac:dyDescent="0.3">
      <c r="B17" s="174"/>
      <c r="C17" s="107" t="s">
        <v>64</v>
      </c>
      <c r="D17" s="159" t="s">
        <v>67</v>
      </c>
      <c r="E17" s="156" t="s">
        <v>10</v>
      </c>
      <c r="F17" s="156" t="s">
        <v>61</v>
      </c>
      <c r="G17" s="160">
        <f>D18</f>
        <v>2000</v>
      </c>
      <c r="H17" s="160">
        <f>D19</f>
        <v>8000</v>
      </c>
      <c r="I17" s="160">
        <f>D20</f>
        <v>10000</v>
      </c>
      <c r="J17" s="160">
        <f>D21</f>
        <v>20000</v>
      </c>
      <c r="K17" s="160"/>
      <c r="L17" s="161" t="s">
        <v>68</v>
      </c>
      <c r="M17" s="173"/>
    </row>
    <row r="18" spans="2:16" x14ac:dyDescent="0.25">
      <c r="B18" s="174"/>
      <c r="C18" s="154" t="s">
        <v>65</v>
      </c>
      <c r="D18" s="155">
        <v>2000</v>
      </c>
      <c r="E18" s="88">
        <v>2881</v>
      </c>
      <c r="F18" s="88">
        <v>2293200</v>
      </c>
      <c r="G18" s="88">
        <f>F18</f>
        <v>2293200</v>
      </c>
      <c r="H18" s="88">
        <v>0</v>
      </c>
      <c r="I18" s="88">
        <v>0</v>
      </c>
      <c r="J18" s="88">
        <v>0</v>
      </c>
      <c r="K18" s="88">
        <v>0</v>
      </c>
      <c r="L18" s="121">
        <f>SUM(G18:K18)</f>
        <v>2293200</v>
      </c>
      <c r="M18" s="173"/>
    </row>
    <row r="19" spans="2:16" x14ac:dyDescent="0.25">
      <c r="B19" s="174"/>
      <c r="C19" s="154" t="s">
        <v>74</v>
      </c>
      <c r="D19" s="155">
        <v>8000</v>
      </c>
      <c r="E19" s="88">
        <v>2868</v>
      </c>
      <c r="F19" s="88">
        <v>12187200</v>
      </c>
      <c r="G19" s="88">
        <f>E19*D18</f>
        <v>5736000</v>
      </c>
      <c r="H19" s="88">
        <f>F19-G19</f>
        <v>6451200</v>
      </c>
      <c r="I19" s="88">
        <v>0</v>
      </c>
      <c r="J19" s="88">
        <v>0</v>
      </c>
      <c r="K19" s="88">
        <v>0</v>
      </c>
      <c r="L19" s="121">
        <f>SUM(G19:K19)</f>
        <v>12187200</v>
      </c>
      <c r="M19" s="173"/>
    </row>
    <row r="20" spans="2:16" x14ac:dyDescent="0.25">
      <c r="B20" s="174"/>
      <c r="C20" s="154" t="s">
        <v>74</v>
      </c>
      <c r="D20" s="155">
        <v>10000</v>
      </c>
      <c r="E20" s="88">
        <v>291</v>
      </c>
      <c r="F20" s="88">
        <v>4136300</v>
      </c>
      <c r="G20" s="88">
        <f>E20*D18</f>
        <v>582000</v>
      </c>
      <c r="H20" s="88">
        <f>E20*D19</f>
        <v>2328000</v>
      </c>
      <c r="I20" s="88">
        <f>F20-G20-H20</f>
        <v>1226300</v>
      </c>
      <c r="J20" s="88">
        <v>0</v>
      </c>
      <c r="K20" s="88">
        <v>0</v>
      </c>
      <c r="L20" s="121">
        <f>SUM(G20:K20)</f>
        <v>4136300</v>
      </c>
      <c r="M20" s="173"/>
    </row>
    <row r="21" spans="2:16" x14ac:dyDescent="0.25">
      <c r="B21" s="174"/>
      <c r="C21" s="154" t="s">
        <v>262</v>
      </c>
      <c r="D21" s="155">
        <v>20000</v>
      </c>
      <c r="E21" s="88">
        <v>241</v>
      </c>
      <c r="F21" s="88">
        <v>11747300</v>
      </c>
      <c r="G21" s="88">
        <f>E21*D18</f>
        <v>482000</v>
      </c>
      <c r="H21" s="88">
        <f>E21*D19</f>
        <v>1928000</v>
      </c>
      <c r="I21" s="88">
        <f>E21*D20</f>
        <v>2410000</v>
      </c>
      <c r="J21" s="88">
        <f>F21-G21-H21-I21</f>
        <v>6927300</v>
      </c>
      <c r="K21" s="88">
        <v>0</v>
      </c>
      <c r="L21" s="121">
        <f>SUM(G21:K21)</f>
        <v>11747300</v>
      </c>
      <c r="M21" s="173"/>
    </row>
    <row r="22" spans="2:16" ht="15.75" thickBot="1" x14ac:dyDescent="0.3">
      <c r="B22" s="174"/>
      <c r="C22" s="154"/>
      <c r="D22" s="155"/>
      <c r="E22" s="156"/>
      <c r="F22" s="156"/>
      <c r="G22" s="156">
        <f>E22*D18</f>
        <v>0</v>
      </c>
      <c r="H22" s="156">
        <f>E22*D19</f>
        <v>0</v>
      </c>
      <c r="I22" s="156">
        <f>E22*D20</f>
        <v>0</v>
      </c>
      <c r="J22" s="156">
        <f>E22*D21</f>
        <v>0</v>
      </c>
      <c r="K22" s="156">
        <f>F22-G22-H22-I22-J22</f>
        <v>0</v>
      </c>
      <c r="L22" s="157">
        <f>SUM(G22:K22)</f>
        <v>0</v>
      </c>
      <c r="M22" s="173"/>
    </row>
    <row r="23" spans="2:16" x14ac:dyDescent="0.25">
      <c r="B23" s="174"/>
      <c r="C23" s="152"/>
      <c r="E23" s="88">
        <f t="shared" ref="E23:L23" si="0">SUM(E18:E22)</f>
        <v>6281</v>
      </c>
      <c r="F23" s="88">
        <f t="shared" si="0"/>
        <v>30364000</v>
      </c>
      <c r="G23" s="88">
        <f t="shared" si="0"/>
        <v>9093200</v>
      </c>
      <c r="H23" s="88">
        <f t="shared" si="0"/>
        <v>10707200</v>
      </c>
      <c r="I23" s="88">
        <f t="shared" si="0"/>
        <v>3636300</v>
      </c>
      <c r="J23" s="88">
        <f t="shared" si="0"/>
        <v>6927300</v>
      </c>
      <c r="K23" s="88">
        <f t="shared" si="0"/>
        <v>0</v>
      </c>
      <c r="L23" s="88">
        <f t="shared" si="0"/>
        <v>30364000</v>
      </c>
      <c r="M23" s="173"/>
      <c r="O23" s="38" t="s">
        <v>133</v>
      </c>
      <c r="P23" s="332">
        <f>F23/E23</f>
        <v>4834.2620601814997</v>
      </c>
    </row>
    <row r="24" spans="2:16" x14ac:dyDescent="0.25">
      <c r="B24" s="174"/>
      <c r="E24" s="88"/>
      <c r="F24" s="88"/>
      <c r="G24" s="113"/>
      <c r="H24" s="113"/>
      <c r="I24" s="113"/>
      <c r="J24" s="113"/>
      <c r="K24" s="113"/>
      <c r="L24" s="151"/>
      <c r="M24" s="173"/>
    </row>
    <row r="25" spans="2:16" ht="15.75" thickBot="1" x14ac:dyDescent="0.3">
      <c r="B25" s="174"/>
      <c r="C25" s="152" t="s">
        <v>69</v>
      </c>
      <c r="D25" s="159" t="s">
        <v>67</v>
      </c>
      <c r="E25" s="156" t="s">
        <v>10</v>
      </c>
      <c r="F25" s="156" t="s">
        <v>61</v>
      </c>
      <c r="G25" s="162" t="s">
        <v>11</v>
      </c>
      <c r="H25" s="159" t="s">
        <v>62</v>
      </c>
      <c r="I25" s="113"/>
      <c r="J25" s="113"/>
      <c r="K25" s="113"/>
      <c r="L25" s="151"/>
      <c r="M25" s="173"/>
    </row>
    <row r="26" spans="2:16" x14ac:dyDescent="0.25">
      <c r="B26" s="174"/>
      <c r="C26" s="155" t="str">
        <f t="shared" ref="C26:D29" si="1">C18</f>
        <v>First</v>
      </c>
      <c r="D26" s="155">
        <f t="shared" si="1"/>
        <v>2000</v>
      </c>
      <c r="E26" s="88">
        <f>E23</f>
        <v>6281</v>
      </c>
      <c r="F26" s="88">
        <f>G23</f>
        <v>9093200</v>
      </c>
      <c r="G26" s="112">
        <f>Rates!E10</f>
        <v>20.7895</v>
      </c>
      <c r="H26" s="130">
        <f>E26*G26</f>
        <v>130578.8495</v>
      </c>
      <c r="I26" s="112"/>
      <c r="J26" s="112"/>
      <c r="K26" s="112"/>
      <c r="L26" s="151"/>
      <c r="M26" s="173"/>
    </row>
    <row r="27" spans="2:16" x14ac:dyDescent="0.25">
      <c r="B27" s="174"/>
      <c r="C27" s="155" t="str">
        <f t="shared" si="1"/>
        <v>Next</v>
      </c>
      <c r="D27" s="155">
        <f t="shared" si="1"/>
        <v>8000</v>
      </c>
      <c r="E27" s="88"/>
      <c r="F27" s="88">
        <f>H23</f>
        <v>10707200</v>
      </c>
      <c r="G27" s="212">
        <f>Rates!E11</f>
        <v>9.2434200000000005E-3</v>
      </c>
      <c r="H27" s="130">
        <f>F27*G27</f>
        <v>98971.146624000001</v>
      </c>
      <c r="I27" s="112"/>
      <c r="J27" s="112"/>
      <c r="K27" s="112"/>
      <c r="L27" s="151"/>
      <c r="M27" s="173"/>
    </row>
    <row r="28" spans="2:16" x14ac:dyDescent="0.25">
      <c r="B28" s="174"/>
      <c r="C28" s="155" t="str">
        <f t="shared" si="1"/>
        <v>Next</v>
      </c>
      <c r="D28" s="155">
        <f t="shared" si="1"/>
        <v>10000</v>
      </c>
      <c r="E28" s="88"/>
      <c r="F28" s="88">
        <f>I23</f>
        <v>3636300</v>
      </c>
      <c r="G28" s="212">
        <f>Rates!E12</f>
        <v>7.8729999999999998E-3</v>
      </c>
      <c r="H28" s="130">
        <f>F28*G28</f>
        <v>28628.589899999999</v>
      </c>
      <c r="I28" s="112"/>
      <c r="J28" s="112"/>
      <c r="K28" s="112"/>
      <c r="L28" s="151"/>
      <c r="M28" s="173"/>
    </row>
    <row r="29" spans="2:16" x14ac:dyDescent="0.25">
      <c r="B29" s="174"/>
      <c r="C29" s="155" t="str">
        <f t="shared" si="1"/>
        <v>over</v>
      </c>
      <c r="D29" s="155">
        <f t="shared" si="1"/>
        <v>20000</v>
      </c>
      <c r="E29" s="88"/>
      <c r="F29" s="88">
        <f>J23</f>
        <v>6927300</v>
      </c>
      <c r="G29" s="212">
        <f>Rates!E13</f>
        <v>6.44737E-3</v>
      </c>
      <c r="H29" s="130">
        <f>F29*G29</f>
        <v>44662.866200999997</v>
      </c>
      <c r="I29" s="112"/>
      <c r="J29" s="112"/>
      <c r="K29" s="112"/>
      <c r="L29" s="151"/>
      <c r="M29" s="173"/>
    </row>
    <row r="30" spans="2:16" ht="15.75" thickBot="1" x14ac:dyDescent="0.3">
      <c r="B30" s="174"/>
      <c r="C30" s="155"/>
      <c r="D30" s="155"/>
      <c r="E30" s="156"/>
      <c r="F30" s="156">
        <f>K23</f>
        <v>0</v>
      </c>
      <c r="G30" s="212">
        <f>Rates!E14</f>
        <v>0</v>
      </c>
      <c r="H30" s="158">
        <f>F30*G30</f>
        <v>0</v>
      </c>
      <c r="I30" s="112"/>
      <c r="J30" s="112"/>
      <c r="K30" s="112"/>
      <c r="L30" s="151"/>
      <c r="M30" s="173"/>
    </row>
    <row r="31" spans="2:16" x14ac:dyDescent="0.25">
      <c r="B31" s="174"/>
      <c r="C31" s="152"/>
      <c r="E31" s="88">
        <f>SUM(E26:E30)</f>
        <v>6281</v>
      </c>
      <c r="F31" s="88">
        <f>SUM(F26:F30)</f>
        <v>30364000</v>
      </c>
      <c r="G31" s="113"/>
      <c r="H31" s="130">
        <f>SUM(H26:H30)</f>
        <v>302841.45222500002</v>
      </c>
      <c r="I31" s="113"/>
      <c r="J31" s="113"/>
      <c r="K31" s="113"/>
      <c r="L31" s="114"/>
      <c r="M31" s="175"/>
    </row>
    <row r="32" spans="2:16" x14ac:dyDescent="0.25">
      <c r="B32" s="174"/>
      <c r="C32" s="152"/>
      <c r="E32" s="88"/>
      <c r="F32" s="88"/>
      <c r="G32" s="113"/>
      <c r="H32" s="130"/>
      <c r="I32" s="113"/>
      <c r="J32" s="113"/>
      <c r="K32" s="113"/>
      <c r="L32" s="114"/>
      <c r="M32" s="175"/>
    </row>
    <row r="33" spans="2:16" x14ac:dyDescent="0.25">
      <c r="B33" s="174"/>
      <c r="C33" s="152"/>
      <c r="E33" s="88"/>
      <c r="F33" s="88"/>
      <c r="G33" s="113"/>
      <c r="H33" s="113"/>
      <c r="I33" s="113"/>
      <c r="J33" s="113"/>
      <c r="K33" s="113"/>
      <c r="L33" s="151"/>
      <c r="M33" s="173"/>
    </row>
    <row r="34" spans="2:16" x14ac:dyDescent="0.25">
      <c r="B34" s="174"/>
      <c r="C34" s="122" t="s">
        <v>276</v>
      </c>
      <c r="E34" s="88"/>
      <c r="F34" s="88"/>
      <c r="G34" s="111" t="str">
        <f>C36</f>
        <v>First</v>
      </c>
      <c r="H34" s="111" t="str">
        <f>C37</f>
        <v>Next</v>
      </c>
      <c r="I34" s="111" t="str">
        <f>C38</f>
        <v>Next</v>
      </c>
      <c r="J34" s="111" t="str">
        <f>C39</f>
        <v>over</v>
      </c>
      <c r="K34" s="111">
        <f>C40</f>
        <v>0</v>
      </c>
      <c r="L34" s="120"/>
      <c r="M34" s="173"/>
    </row>
    <row r="35" spans="2:16" ht="15.75" thickBot="1" x14ac:dyDescent="0.3">
      <c r="B35" s="174"/>
      <c r="C35" s="107" t="s">
        <v>64</v>
      </c>
      <c r="D35" s="159" t="s">
        <v>67</v>
      </c>
      <c r="E35" s="156" t="s">
        <v>10</v>
      </c>
      <c r="F35" s="156" t="s">
        <v>61</v>
      </c>
      <c r="G35" s="160">
        <f>D36</f>
        <v>5000</v>
      </c>
      <c r="H35" s="160">
        <f>D37</f>
        <v>5000</v>
      </c>
      <c r="I35" s="160">
        <f>D38</f>
        <v>10000</v>
      </c>
      <c r="J35" s="160">
        <f>D39</f>
        <v>20000</v>
      </c>
      <c r="K35" s="160">
        <f>D40</f>
        <v>0</v>
      </c>
      <c r="L35" s="161" t="s">
        <v>68</v>
      </c>
      <c r="M35" s="173"/>
    </row>
    <row r="36" spans="2:16" x14ac:dyDescent="0.25">
      <c r="B36" s="174"/>
      <c r="C36" s="154" t="s">
        <v>65</v>
      </c>
      <c r="D36" s="155">
        <v>5000</v>
      </c>
      <c r="E36" s="88">
        <v>51</v>
      </c>
      <c r="F36" s="88">
        <v>99600</v>
      </c>
      <c r="G36" s="88">
        <f>F36</f>
        <v>99600</v>
      </c>
      <c r="H36" s="88">
        <v>0</v>
      </c>
      <c r="I36" s="88">
        <v>0</v>
      </c>
      <c r="J36" s="88">
        <v>0</v>
      </c>
      <c r="K36" s="88">
        <v>0</v>
      </c>
      <c r="L36" s="121">
        <f>SUM(G36:K36)</f>
        <v>99600</v>
      </c>
      <c r="M36" s="173"/>
    </row>
    <row r="37" spans="2:16" x14ac:dyDescent="0.25">
      <c r="B37" s="174"/>
      <c r="C37" s="154" t="s">
        <v>74</v>
      </c>
      <c r="D37" s="155">
        <v>5000</v>
      </c>
      <c r="E37" s="88">
        <v>27</v>
      </c>
      <c r="F37" s="88">
        <v>190700</v>
      </c>
      <c r="G37" s="88">
        <f>E37*D36</f>
        <v>135000</v>
      </c>
      <c r="H37" s="88">
        <f>F37-G37</f>
        <v>55700</v>
      </c>
      <c r="I37" s="88">
        <v>0</v>
      </c>
      <c r="J37" s="88">
        <v>0</v>
      </c>
      <c r="K37" s="88">
        <v>0</v>
      </c>
      <c r="L37" s="121">
        <f>SUM(G37:K37)</f>
        <v>190700</v>
      </c>
      <c r="M37" s="173"/>
    </row>
    <row r="38" spans="2:16" x14ac:dyDescent="0.25">
      <c r="B38" s="174"/>
      <c r="C38" s="154" t="s">
        <v>74</v>
      </c>
      <c r="D38" s="155">
        <v>10000</v>
      </c>
      <c r="E38" s="88">
        <v>12</v>
      </c>
      <c r="F38" s="88">
        <v>172300</v>
      </c>
      <c r="G38" s="88">
        <f>E38*D36</f>
        <v>60000</v>
      </c>
      <c r="H38" s="88">
        <f>E38*D37</f>
        <v>60000</v>
      </c>
      <c r="I38" s="88">
        <f>F38-G38-H38</f>
        <v>52300</v>
      </c>
      <c r="J38" s="88">
        <v>0</v>
      </c>
      <c r="K38" s="88">
        <v>0</v>
      </c>
      <c r="L38" s="121">
        <f>SUM(G38:K38)</f>
        <v>172300</v>
      </c>
      <c r="M38" s="173"/>
    </row>
    <row r="39" spans="2:16" x14ac:dyDescent="0.25">
      <c r="B39" s="174"/>
      <c r="C39" s="154" t="s">
        <v>262</v>
      </c>
      <c r="D39" s="155">
        <v>20000</v>
      </c>
      <c r="E39" s="88">
        <v>66</v>
      </c>
      <c r="F39" s="88">
        <v>7312900</v>
      </c>
      <c r="G39" s="88">
        <f>E39*D36</f>
        <v>330000</v>
      </c>
      <c r="H39" s="88">
        <f>E39*D37</f>
        <v>330000</v>
      </c>
      <c r="I39" s="88">
        <f>E39*D38</f>
        <v>660000</v>
      </c>
      <c r="J39" s="88">
        <f>F39-G39-H39-I39</f>
        <v>5992900</v>
      </c>
      <c r="K39" s="88">
        <v>0</v>
      </c>
      <c r="L39" s="121">
        <f>SUM(G39:K39)</f>
        <v>7312900</v>
      </c>
      <c r="M39" s="173"/>
    </row>
    <row r="40" spans="2:16" ht="15.75" thickBot="1" x14ac:dyDescent="0.3">
      <c r="B40" s="174"/>
      <c r="C40" s="154"/>
      <c r="D40" s="155"/>
      <c r="E40" s="334">
        <f t="shared" ref="E40" si="2">ROUND((E22/$E$23)*17118,0)</f>
        <v>0</v>
      </c>
      <c r="F40" s="334">
        <f t="shared" ref="F40" si="3">ROUND((F22/$F$23)*60098168,0)</f>
        <v>0</v>
      </c>
      <c r="G40" s="156">
        <f>E40*D36</f>
        <v>0</v>
      </c>
      <c r="H40" s="156">
        <f>E40*D37</f>
        <v>0</v>
      </c>
      <c r="I40" s="156">
        <f>E40*D38</f>
        <v>0</v>
      </c>
      <c r="J40" s="156">
        <f>E40*D39</f>
        <v>0</v>
      </c>
      <c r="K40" s="156">
        <f>F40-G40-H40-I40-J40</f>
        <v>0</v>
      </c>
      <c r="L40" s="157">
        <f>SUM(G40:K40)</f>
        <v>0</v>
      </c>
      <c r="M40" s="173"/>
    </row>
    <row r="41" spans="2:16" x14ac:dyDescent="0.25">
      <c r="B41" s="174"/>
      <c r="C41" s="152"/>
      <c r="E41" s="331">
        <f>SUM(E36:E40)</f>
        <v>156</v>
      </c>
      <c r="F41" s="88">
        <f t="shared" ref="F41:J41" si="4">SUM(F36:F40)</f>
        <v>7775500</v>
      </c>
      <c r="G41" s="88">
        <f t="shared" si="4"/>
        <v>624600</v>
      </c>
      <c r="H41" s="88">
        <f t="shared" si="4"/>
        <v>445700</v>
      </c>
      <c r="I41" s="88">
        <f t="shared" si="4"/>
        <v>712300</v>
      </c>
      <c r="J41" s="88">
        <f t="shared" si="4"/>
        <v>5992900</v>
      </c>
      <c r="K41" s="88">
        <f t="shared" ref="K41:L41" si="5">SUM(K36:K40)</f>
        <v>0</v>
      </c>
      <c r="L41" s="88">
        <f t="shared" si="5"/>
        <v>7775500</v>
      </c>
      <c r="M41" s="173"/>
      <c r="O41" s="38" t="s">
        <v>133</v>
      </c>
      <c r="P41" s="332">
        <f>F41/E41</f>
        <v>49842.948717948719</v>
      </c>
    </row>
    <row r="42" spans="2:16" x14ac:dyDescent="0.25">
      <c r="B42" s="174"/>
      <c r="E42" s="88"/>
      <c r="F42" s="88"/>
      <c r="G42" s="113"/>
      <c r="H42" s="113"/>
      <c r="I42" s="113"/>
      <c r="J42" s="113"/>
      <c r="K42" s="113"/>
      <c r="L42" s="151"/>
      <c r="M42" s="173"/>
    </row>
    <row r="43" spans="2:16" ht="15.75" thickBot="1" x14ac:dyDescent="0.3">
      <c r="B43" s="174"/>
      <c r="C43" s="152" t="s">
        <v>69</v>
      </c>
      <c r="D43" s="159" t="s">
        <v>67</v>
      </c>
      <c r="E43" s="156" t="s">
        <v>10</v>
      </c>
      <c r="F43" s="156" t="s">
        <v>61</v>
      </c>
      <c r="G43" s="162" t="s">
        <v>11</v>
      </c>
      <c r="H43" s="159" t="s">
        <v>62</v>
      </c>
      <c r="I43" s="113"/>
      <c r="J43" s="113"/>
      <c r="K43" s="113"/>
      <c r="L43" s="151"/>
      <c r="M43" s="173"/>
    </row>
    <row r="44" spans="2:16" x14ac:dyDescent="0.25">
      <c r="B44" s="174"/>
      <c r="C44" s="155" t="str">
        <f t="shared" ref="C44:D46" si="6">C36</f>
        <v>First</v>
      </c>
      <c r="D44" s="155">
        <f t="shared" si="6"/>
        <v>5000</v>
      </c>
      <c r="E44" s="88">
        <f>E41</f>
        <v>156</v>
      </c>
      <c r="F44" s="88">
        <f>G41</f>
        <v>624600</v>
      </c>
      <c r="G44" s="112">
        <f>Rates!E17</f>
        <v>48.52</v>
      </c>
      <c r="H44" s="130">
        <f>E44*G44</f>
        <v>7569.1200000000008</v>
      </c>
      <c r="I44" s="112"/>
      <c r="J44" s="112"/>
      <c r="K44" s="112"/>
      <c r="L44" s="151"/>
      <c r="M44" s="173"/>
    </row>
    <row r="45" spans="2:16" x14ac:dyDescent="0.25">
      <c r="B45" s="174"/>
      <c r="C45" s="155" t="str">
        <f t="shared" si="6"/>
        <v>Next</v>
      </c>
      <c r="D45" s="155">
        <f t="shared" si="6"/>
        <v>5000</v>
      </c>
      <c r="E45" s="88"/>
      <c r="F45" s="88">
        <f>H41</f>
        <v>445700</v>
      </c>
      <c r="G45" s="212">
        <f>Rates!E18</f>
        <v>9.2434000000000006E-3</v>
      </c>
      <c r="H45" s="130">
        <f>F45*G45</f>
        <v>4119.7833799999999</v>
      </c>
      <c r="I45" s="112"/>
      <c r="J45" s="112"/>
      <c r="K45" s="112"/>
      <c r="L45" s="151"/>
      <c r="M45" s="173"/>
    </row>
    <row r="46" spans="2:16" x14ac:dyDescent="0.25">
      <c r="B46" s="174"/>
      <c r="C46" s="155" t="str">
        <f t="shared" si="6"/>
        <v>Next</v>
      </c>
      <c r="D46" s="155">
        <f t="shared" si="6"/>
        <v>10000</v>
      </c>
      <c r="E46" s="88"/>
      <c r="F46" s="88">
        <f>I41</f>
        <v>712300</v>
      </c>
      <c r="G46" s="212">
        <f>Rates!E19</f>
        <v>7.8729999999999998E-3</v>
      </c>
      <c r="H46" s="130">
        <f>F46*G46</f>
        <v>5607.9378999999999</v>
      </c>
      <c r="I46" s="112"/>
      <c r="J46" s="112"/>
      <c r="K46" s="112"/>
      <c r="L46" s="151"/>
      <c r="M46" s="173"/>
    </row>
    <row r="47" spans="2:16" x14ac:dyDescent="0.25">
      <c r="B47" s="174"/>
      <c r="C47" s="154" t="s">
        <v>66</v>
      </c>
      <c r="D47" s="155">
        <v>20000</v>
      </c>
      <c r="E47" s="88"/>
      <c r="F47" s="88">
        <f>J41</f>
        <v>5992900</v>
      </c>
      <c r="G47" s="212">
        <f>Rates!E20</f>
        <v>6.44737E-3</v>
      </c>
      <c r="H47" s="130">
        <f>F47*G47</f>
        <v>38638.443673000002</v>
      </c>
      <c r="I47" s="112"/>
      <c r="J47" s="112"/>
      <c r="K47" s="112"/>
      <c r="L47" s="151"/>
      <c r="M47" s="173"/>
    </row>
    <row r="48" spans="2:16" ht="15.75" thickBot="1" x14ac:dyDescent="0.3">
      <c r="B48" s="174"/>
      <c r="C48" s="155"/>
      <c r="D48" s="155"/>
      <c r="E48" s="156"/>
      <c r="F48" s="156"/>
      <c r="G48" s="212"/>
      <c r="H48" s="158"/>
      <c r="I48" s="112"/>
      <c r="J48" s="112"/>
      <c r="K48" s="112"/>
      <c r="L48" s="151"/>
      <c r="M48" s="173"/>
    </row>
    <row r="49" spans="2:16" x14ac:dyDescent="0.25">
      <c r="B49" s="174"/>
      <c r="C49" s="152"/>
      <c r="E49" s="88">
        <f>SUM(E44:E48)</f>
        <v>156</v>
      </c>
      <c r="F49" s="88">
        <f>SUM(F44:F48)</f>
        <v>7775500</v>
      </c>
      <c r="G49" s="113"/>
      <c r="H49" s="130">
        <f>SUM(H44:H48)</f>
        <v>55935.284953000002</v>
      </c>
      <c r="I49" s="113"/>
      <c r="J49" s="113"/>
      <c r="K49" s="113"/>
      <c r="L49" s="114"/>
      <c r="M49" s="175"/>
    </row>
    <row r="50" spans="2:16" x14ac:dyDescent="0.25">
      <c r="B50" s="174"/>
      <c r="C50" s="152"/>
      <c r="E50" s="88"/>
      <c r="F50" s="88"/>
      <c r="G50" s="113"/>
      <c r="H50" s="130"/>
      <c r="I50" s="113"/>
      <c r="J50" s="113"/>
      <c r="K50" s="113"/>
      <c r="L50" s="114"/>
      <c r="M50" s="175"/>
    </row>
    <row r="51" spans="2:16" x14ac:dyDescent="0.25">
      <c r="B51" s="174"/>
      <c r="C51" s="152"/>
      <c r="E51" s="88"/>
      <c r="F51" s="88"/>
      <c r="G51" s="113"/>
      <c r="H51" s="113"/>
      <c r="I51" s="113"/>
      <c r="J51" s="113"/>
      <c r="K51" s="113"/>
      <c r="L51" s="151"/>
      <c r="M51" s="173"/>
    </row>
    <row r="52" spans="2:16" x14ac:dyDescent="0.25">
      <c r="B52" s="174"/>
      <c r="C52" s="122" t="s">
        <v>277</v>
      </c>
      <c r="E52" s="88"/>
      <c r="F52" s="88"/>
      <c r="G52" s="120" t="str">
        <f>C54</f>
        <v>First</v>
      </c>
      <c r="H52" s="111" t="str">
        <f>C55</f>
        <v>over</v>
      </c>
      <c r="M52" s="173"/>
    </row>
    <row r="53" spans="2:16" ht="15.75" thickBot="1" x14ac:dyDescent="0.3">
      <c r="B53" s="174"/>
      <c r="C53" s="107" t="s">
        <v>64</v>
      </c>
      <c r="D53" s="367" t="s">
        <v>67</v>
      </c>
      <c r="E53" s="334" t="s">
        <v>10</v>
      </c>
      <c r="F53" s="334" t="s">
        <v>61</v>
      </c>
      <c r="G53" s="366">
        <f>D54</f>
        <v>20000</v>
      </c>
      <c r="H53" s="366">
        <f>D55</f>
        <v>20000</v>
      </c>
      <c r="L53" s="161" t="s">
        <v>68</v>
      </c>
      <c r="M53" s="173"/>
    </row>
    <row r="54" spans="2:16" x14ac:dyDescent="0.25">
      <c r="B54" s="174"/>
      <c r="C54" s="154" t="s">
        <v>65</v>
      </c>
      <c r="D54" s="155">
        <v>20000</v>
      </c>
      <c r="E54" s="88">
        <v>29</v>
      </c>
      <c r="F54" s="88">
        <v>185700</v>
      </c>
      <c r="G54" s="121">
        <f>F54</f>
        <v>185700</v>
      </c>
      <c r="L54" s="177">
        <f>SUM(G54:K54)</f>
        <v>185700</v>
      </c>
      <c r="M54" s="173"/>
    </row>
    <row r="55" spans="2:16" x14ac:dyDescent="0.25">
      <c r="B55" s="174"/>
      <c r="C55" s="154" t="s">
        <v>262</v>
      </c>
      <c r="D55" s="213">
        <v>20000</v>
      </c>
      <c r="E55" s="334">
        <v>37</v>
      </c>
      <c r="F55" s="334">
        <v>2150400</v>
      </c>
      <c r="G55" s="334">
        <f>E55*D54</f>
        <v>740000</v>
      </c>
      <c r="H55" s="334">
        <f>F55-G55</f>
        <v>1410400</v>
      </c>
      <c r="L55" s="387">
        <f>SUM(G55:K55)</f>
        <v>2150400</v>
      </c>
      <c r="M55" s="173"/>
      <c r="P55" s="208"/>
    </row>
    <row r="56" spans="2:16" x14ac:dyDescent="0.25">
      <c r="B56" s="174"/>
      <c r="C56" s="154"/>
      <c r="D56" s="38" t="s">
        <v>1</v>
      </c>
      <c r="E56" s="88">
        <f>SUM(E54:E55)</f>
        <v>66</v>
      </c>
      <c r="F56" s="88">
        <f>SUM(F54:F55)</f>
        <v>2336100</v>
      </c>
      <c r="G56" s="88">
        <f>SUM(G54:G55)</f>
        <v>925700</v>
      </c>
      <c r="H56" s="88">
        <f>SUM(H55)</f>
        <v>1410400</v>
      </c>
      <c r="L56" s="88">
        <f>SUM(L54:L55)</f>
        <v>2336100</v>
      </c>
      <c r="M56" s="173"/>
      <c r="P56" s="332">
        <f>F56/E56</f>
        <v>35395.454545454544</v>
      </c>
    </row>
    <row r="57" spans="2:16" x14ac:dyDescent="0.25">
      <c r="B57" s="174"/>
      <c r="C57" s="154"/>
      <c r="E57" s="88"/>
      <c r="F57" s="88"/>
      <c r="G57" s="88"/>
      <c r="H57" s="88"/>
      <c r="M57" s="173"/>
      <c r="P57" s="208"/>
    </row>
    <row r="58" spans="2:16" x14ac:dyDescent="0.25">
      <c r="B58" s="174"/>
      <c r="E58" s="88"/>
      <c r="F58" s="88"/>
      <c r="G58" s="113"/>
      <c r="H58" s="113"/>
      <c r="I58" s="113"/>
      <c r="J58" s="113"/>
      <c r="K58" s="113"/>
      <c r="L58" s="151"/>
      <c r="M58" s="173"/>
    </row>
    <row r="59" spans="2:16" x14ac:dyDescent="0.25">
      <c r="B59" s="174"/>
      <c r="C59" s="152" t="s">
        <v>69</v>
      </c>
      <c r="D59" s="367" t="s">
        <v>67</v>
      </c>
      <c r="E59" s="334" t="s">
        <v>10</v>
      </c>
      <c r="F59" s="334" t="s">
        <v>61</v>
      </c>
      <c r="G59" s="369" t="s">
        <v>11</v>
      </c>
      <c r="H59" s="367" t="s">
        <v>62</v>
      </c>
      <c r="I59" s="150"/>
      <c r="J59" s="113"/>
      <c r="K59" s="113"/>
      <c r="L59" s="151"/>
      <c r="M59" s="173"/>
    </row>
    <row r="60" spans="2:16" x14ac:dyDescent="0.25">
      <c r="B60" s="174"/>
      <c r="C60" s="154" t="s">
        <v>65</v>
      </c>
      <c r="D60" s="155">
        <f>D54</f>
        <v>20000</v>
      </c>
      <c r="E60" s="88">
        <f>E56</f>
        <v>66</v>
      </c>
      <c r="F60" s="88">
        <f>F54</f>
        <v>185700</v>
      </c>
      <c r="G60" s="112">
        <f>Rates!E23</f>
        <v>173.4649</v>
      </c>
      <c r="H60" s="130">
        <f>E60*G60</f>
        <v>11448.6834</v>
      </c>
      <c r="I60" s="130"/>
      <c r="J60" s="112"/>
      <c r="K60" s="112"/>
      <c r="L60" s="151"/>
      <c r="M60" s="173"/>
      <c r="O60" s="45"/>
    </row>
    <row r="61" spans="2:16" x14ac:dyDescent="0.25">
      <c r="B61" s="174"/>
      <c r="C61" s="154" t="s">
        <v>262</v>
      </c>
      <c r="D61" s="155">
        <v>20000</v>
      </c>
      <c r="E61" s="334"/>
      <c r="F61" s="334">
        <f>F55</f>
        <v>2150400</v>
      </c>
      <c r="G61" s="369">
        <f>Rates!E24</f>
        <v>6.44737E-3</v>
      </c>
      <c r="H61" s="126">
        <f>F61*G61</f>
        <v>13864.424448</v>
      </c>
      <c r="I61" s="130"/>
      <c r="J61" s="113"/>
      <c r="K61" s="113"/>
      <c r="L61" s="114"/>
      <c r="M61" s="173"/>
    </row>
    <row r="62" spans="2:16" ht="15.75" thickBot="1" x14ac:dyDescent="0.3">
      <c r="B62" s="174"/>
      <c r="C62" s="152"/>
      <c r="E62" s="88">
        <f>SUM(E60:E61)</f>
        <v>66</v>
      </c>
      <c r="F62" s="88">
        <f>SUM(F60:F61)</f>
        <v>2336100</v>
      </c>
      <c r="G62" s="113"/>
      <c r="H62" s="386">
        <f>SUM(H60:H61)</f>
        <v>25313.107848</v>
      </c>
      <c r="I62" s="370"/>
      <c r="J62" s="113"/>
      <c r="K62" s="113"/>
      <c r="L62" s="151"/>
      <c r="M62" s="173"/>
    </row>
    <row r="63" spans="2:16" ht="15.75" thickTop="1" x14ac:dyDescent="0.25">
      <c r="B63" s="174"/>
      <c r="C63" s="152"/>
      <c r="E63" s="111"/>
      <c r="F63" s="88"/>
      <c r="G63" s="113"/>
      <c r="I63" s="176"/>
      <c r="J63" s="176"/>
      <c r="K63" s="176"/>
      <c r="M63" s="173"/>
    </row>
    <row r="64" spans="2:16" x14ac:dyDescent="0.25">
      <c r="B64" s="174"/>
      <c r="C64" s="122"/>
      <c r="E64" s="88"/>
      <c r="F64" s="88"/>
      <c r="G64" s="120"/>
      <c r="M64" s="173"/>
    </row>
    <row r="65" spans="2:16" x14ac:dyDescent="0.25">
      <c r="B65" s="174"/>
      <c r="C65" s="107"/>
      <c r="D65" s="150"/>
      <c r="E65" s="88"/>
      <c r="F65" s="88"/>
      <c r="G65" s="120"/>
      <c r="M65" s="173"/>
    </row>
    <row r="66" spans="2:16" x14ac:dyDescent="0.25">
      <c r="B66" s="174"/>
      <c r="C66" s="154"/>
      <c r="D66" s="155"/>
      <c r="E66" s="88"/>
      <c r="F66" s="88"/>
      <c r="G66" s="121"/>
      <c r="M66" s="173"/>
    </row>
    <row r="67" spans="2:16" x14ac:dyDescent="0.25">
      <c r="B67" s="174"/>
      <c r="C67" s="152"/>
      <c r="E67" s="88"/>
      <c r="F67" s="88"/>
      <c r="G67" s="88"/>
      <c r="M67" s="173"/>
      <c r="P67" s="208"/>
    </row>
    <row r="68" spans="2:16" x14ac:dyDescent="0.25">
      <c r="B68" s="174"/>
      <c r="E68" s="88"/>
      <c r="F68" s="88"/>
      <c r="G68" s="113"/>
      <c r="H68" s="113"/>
      <c r="I68" s="113"/>
      <c r="J68" s="113"/>
      <c r="K68" s="113"/>
      <c r="L68" s="151"/>
      <c r="M68" s="173"/>
    </row>
    <row r="69" spans="2:16" x14ac:dyDescent="0.25">
      <c r="B69" s="174"/>
      <c r="C69" s="152"/>
      <c r="D69" s="150"/>
      <c r="E69" s="88"/>
      <c r="F69" s="88"/>
      <c r="G69" s="113"/>
      <c r="H69" s="150"/>
      <c r="I69" s="113"/>
      <c r="J69" s="113"/>
      <c r="K69" s="113"/>
      <c r="L69" s="151"/>
      <c r="M69" s="173"/>
    </row>
    <row r="70" spans="2:16" x14ac:dyDescent="0.25">
      <c r="B70" s="174"/>
      <c r="C70" s="155"/>
      <c r="D70" s="155"/>
      <c r="E70" s="88"/>
      <c r="F70" s="88"/>
      <c r="G70" s="212"/>
      <c r="H70" s="130"/>
      <c r="I70" s="112"/>
      <c r="J70" s="112"/>
      <c r="K70" s="112"/>
      <c r="L70" s="151"/>
      <c r="M70" s="173"/>
      <c r="O70" s="45"/>
    </row>
    <row r="71" spans="2:16" x14ac:dyDescent="0.25">
      <c r="B71" s="174"/>
      <c r="C71" s="152"/>
      <c r="E71" s="88"/>
      <c r="F71" s="88"/>
      <c r="G71" s="113"/>
      <c r="H71" s="130"/>
      <c r="I71" s="113"/>
      <c r="J71" s="113"/>
      <c r="K71" s="113"/>
      <c r="L71" s="114"/>
      <c r="M71" s="173"/>
    </row>
    <row r="72" spans="2:16" x14ac:dyDescent="0.25">
      <c r="B72" s="174"/>
      <c r="C72" s="152"/>
      <c r="E72" s="88"/>
      <c r="F72" s="88"/>
      <c r="G72" s="113"/>
      <c r="H72" s="113"/>
      <c r="I72" s="113"/>
      <c r="J72" s="113"/>
      <c r="K72" s="113"/>
      <c r="L72" s="151"/>
      <c r="M72" s="173"/>
    </row>
    <row r="73" spans="2:16" x14ac:dyDescent="0.25">
      <c r="B73" s="174"/>
      <c r="C73" s="152"/>
      <c r="E73" s="111"/>
      <c r="F73" s="88"/>
      <c r="G73" s="113"/>
      <c r="I73" s="176"/>
      <c r="J73" s="176"/>
      <c r="K73" s="176"/>
      <c r="M73" s="173"/>
    </row>
    <row r="74" spans="2:16" x14ac:dyDescent="0.25">
      <c r="B74" s="174"/>
      <c r="C74" s="122"/>
      <c r="E74" s="88"/>
      <c r="F74" s="88"/>
      <c r="G74" s="150"/>
      <c r="M74" s="173"/>
    </row>
    <row r="75" spans="2:16" x14ac:dyDescent="0.25">
      <c r="B75" s="174"/>
      <c r="C75" s="107"/>
      <c r="D75" s="150"/>
      <c r="E75" s="88"/>
      <c r="F75" s="88"/>
      <c r="G75" s="155"/>
      <c r="M75" s="173"/>
    </row>
    <row r="76" spans="2:16" x14ac:dyDescent="0.25">
      <c r="B76" s="174"/>
      <c r="C76" s="154"/>
      <c r="D76" s="155"/>
      <c r="E76" s="197"/>
      <c r="F76" s="197"/>
      <c r="G76" s="121"/>
      <c r="M76" s="173"/>
    </row>
    <row r="77" spans="2:16" x14ac:dyDescent="0.25">
      <c r="B77" s="174"/>
      <c r="C77" s="152"/>
      <c r="E77" s="88"/>
      <c r="F77" s="88"/>
      <c r="G77" s="177"/>
      <c r="M77" s="173"/>
      <c r="P77" s="332"/>
    </row>
    <row r="78" spans="2:16" x14ac:dyDescent="0.25">
      <c r="B78" s="174"/>
      <c r="C78" s="152"/>
      <c r="E78" s="88"/>
      <c r="F78" s="88"/>
      <c r="G78" s="88"/>
      <c r="H78" s="88"/>
      <c r="I78" s="88"/>
      <c r="J78" s="88"/>
      <c r="K78" s="88"/>
      <c r="L78" s="177"/>
      <c r="M78" s="173"/>
    </row>
    <row r="79" spans="2:16" x14ac:dyDescent="0.25">
      <c r="B79" s="174"/>
      <c r="C79" s="152"/>
      <c r="D79" s="150"/>
      <c r="E79" s="88"/>
      <c r="F79" s="88"/>
      <c r="G79" s="113"/>
      <c r="H79" s="150"/>
      <c r="M79" s="173"/>
    </row>
    <row r="80" spans="2:16" x14ac:dyDescent="0.25">
      <c r="B80" s="174"/>
      <c r="C80" s="154"/>
      <c r="D80" s="155"/>
      <c r="E80" s="88"/>
      <c r="F80" s="88"/>
      <c r="G80" s="212"/>
      <c r="H80" s="130"/>
      <c r="M80" s="173"/>
    </row>
    <row r="81" spans="2:16" x14ac:dyDescent="0.25">
      <c r="B81" s="174"/>
      <c r="C81" s="152"/>
      <c r="E81" s="88"/>
      <c r="F81" s="88"/>
      <c r="G81" s="113"/>
      <c r="H81" s="130"/>
      <c r="M81" s="173"/>
    </row>
    <row r="82" spans="2:16" x14ac:dyDescent="0.25">
      <c r="B82" s="174"/>
      <c r="E82" s="111"/>
      <c r="F82" s="88"/>
      <c r="G82" s="113"/>
      <c r="M82" s="173"/>
    </row>
    <row r="83" spans="2:16" x14ac:dyDescent="0.25">
      <c r="B83" s="174"/>
      <c r="E83" s="111"/>
      <c r="F83" s="88"/>
      <c r="G83" s="113"/>
      <c r="M83" s="173"/>
    </row>
    <row r="84" spans="2:16" x14ac:dyDescent="0.25">
      <c r="B84" s="174"/>
      <c r="C84" s="122"/>
      <c r="E84" s="88"/>
      <c r="F84" s="88"/>
      <c r="G84" s="150"/>
      <c r="M84" s="173"/>
    </row>
    <row r="85" spans="2:16" x14ac:dyDescent="0.25">
      <c r="B85" s="174"/>
      <c r="C85" s="107"/>
      <c r="D85" s="150"/>
      <c r="E85" s="88"/>
      <c r="F85" s="88"/>
      <c r="G85" s="155"/>
      <c r="M85" s="173"/>
    </row>
    <row r="86" spans="2:16" x14ac:dyDescent="0.25">
      <c r="B86" s="174"/>
      <c r="C86" s="154"/>
      <c r="D86" s="155"/>
      <c r="E86" s="88"/>
      <c r="F86" s="382"/>
      <c r="G86" s="121"/>
      <c r="M86" s="173"/>
    </row>
    <row r="87" spans="2:16" x14ac:dyDescent="0.25">
      <c r="B87" s="174"/>
      <c r="C87" s="152"/>
      <c r="E87" s="88"/>
      <c r="F87" s="88"/>
      <c r="G87" s="177"/>
      <c r="M87" s="173"/>
      <c r="P87" s="332"/>
    </row>
    <row r="88" spans="2:16" x14ac:dyDescent="0.25">
      <c r="B88" s="174"/>
      <c r="C88" s="152"/>
      <c r="E88" s="88"/>
      <c r="F88" s="88"/>
      <c r="G88" s="88"/>
      <c r="H88" s="88"/>
      <c r="I88" s="88"/>
      <c r="J88" s="88"/>
      <c r="K88" s="88"/>
      <c r="L88" s="177"/>
      <c r="M88" s="173"/>
    </row>
    <row r="89" spans="2:16" x14ac:dyDescent="0.25">
      <c r="B89" s="174"/>
      <c r="C89" s="152"/>
      <c r="D89" s="150"/>
      <c r="E89" s="88"/>
      <c r="F89" s="88"/>
      <c r="G89" s="113"/>
      <c r="H89" s="150"/>
      <c r="M89" s="173"/>
    </row>
    <row r="90" spans="2:16" x14ac:dyDescent="0.25">
      <c r="B90" s="174"/>
      <c r="C90" s="154"/>
      <c r="D90" s="155"/>
      <c r="E90" s="88"/>
      <c r="F90" s="88"/>
      <c r="G90" s="212"/>
      <c r="H90" s="130"/>
      <c r="M90" s="173"/>
    </row>
    <row r="91" spans="2:16" x14ac:dyDescent="0.25">
      <c r="B91" s="174"/>
      <c r="C91" s="152"/>
      <c r="E91" s="88"/>
      <c r="F91" s="88"/>
      <c r="G91" s="113"/>
      <c r="H91" s="130"/>
      <c r="M91" s="173"/>
    </row>
    <row r="92" spans="2:16" x14ac:dyDescent="0.25">
      <c r="B92" s="174"/>
      <c r="E92" s="111"/>
      <c r="F92" s="88"/>
      <c r="G92" s="113"/>
      <c r="M92" s="173"/>
    </row>
    <row r="93" spans="2:16" x14ac:dyDescent="0.25">
      <c r="B93" s="174"/>
      <c r="E93" s="111"/>
      <c r="F93" s="88"/>
      <c r="G93" s="113"/>
      <c r="M93" s="173"/>
    </row>
    <row r="94" spans="2:16" x14ac:dyDescent="0.25">
      <c r="B94" s="174"/>
      <c r="C94" s="383"/>
      <c r="E94" s="88"/>
      <c r="F94" s="88"/>
      <c r="G94" s="150"/>
      <c r="H94" s="150"/>
      <c r="I94" s="150"/>
      <c r="J94" s="150"/>
      <c r="K94" s="150"/>
      <c r="L94" s="150"/>
      <c r="M94" s="173"/>
    </row>
    <row r="95" spans="2:16" x14ac:dyDescent="0.25">
      <c r="B95" s="174"/>
      <c r="C95" s="107"/>
      <c r="D95" s="150"/>
      <c r="E95" s="88"/>
      <c r="F95" s="88"/>
      <c r="G95" s="155"/>
      <c r="H95" s="155"/>
      <c r="I95" s="155"/>
      <c r="J95" s="155"/>
      <c r="K95" s="155"/>
      <c r="L95" s="155"/>
      <c r="M95" s="173"/>
    </row>
    <row r="96" spans="2:16" x14ac:dyDescent="0.25">
      <c r="B96" s="174"/>
      <c r="C96" s="154"/>
      <c r="D96" s="155"/>
      <c r="E96" s="197"/>
      <c r="F96" s="197"/>
      <c r="G96" s="121"/>
      <c r="H96" s="121"/>
      <c r="I96" s="121"/>
      <c r="J96" s="121"/>
      <c r="K96" s="121"/>
      <c r="L96" s="121"/>
      <c r="M96" s="173"/>
    </row>
    <row r="97" spans="2:16" x14ac:dyDescent="0.25">
      <c r="B97" s="174"/>
      <c r="C97" s="152"/>
      <c r="E97" s="88"/>
      <c r="F97" s="88"/>
      <c r="G97" s="177"/>
      <c r="H97" s="177"/>
      <c r="I97" s="177"/>
      <c r="J97" s="177"/>
      <c r="K97" s="177"/>
      <c r="L97" s="177"/>
      <c r="M97" s="173"/>
      <c r="P97" s="332"/>
    </row>
    <row r="98" spans="2:16" x14ac:dyDescent="0.25">
      <c r="B98" s="174"/>
      <c r="E98" s="88"/>
      <c r="F98" s="88"/>
      <c r="G98" s="113"/>
      <c r="H98" s="113"/>
      <c r="I98" s="113"/>
      <c r="J98" s="113"/>
      <c r="K98" s="113"/>
      <c r="M98" s="173"/>
    </row>
    <row r="99" spans="2:16" x14ac:dyDescent="0.25">
      <c r="B99" s="174"/>
      <c r="C99" s="152"/>
      <c r="D99" s="150"/>
      <c r="E99" s="88"/>
      <c r="F99" s="88"/>
      <c r="G99" s="113"/>
      <c r="H99" s="150"/>
      <c r="I99" s="113"/>
      <c r="J99" s="113"/>
      <c r="K99" s="113"/>
      <c r="M99" s="173"/>
    </row>
    <row r="100" spans="2:16" x14ac:dyDescent="0.25">
      <c r="B100" s="174"/>
      <c r="C100" s="154"/>
      <c r="D100" s="155"/>
      <c r="E100" s="88"/>
      <c r="F100" s="88"/>
      <c r="G100" s="212"/>
      <c r="H100" s="130"/>
      <c r="I100" s="112"/>
      <c r="J100" s="112"/>
      <c r="K100" s="112"/>
      <c r="M100" s="173"/>
    </row>
    <row r="101" spans="2:16" x14ac:dyDescent="0.25">
      <c r="B101" s="174"/>
      <c r="C101" s="152"/>
      <c r="E101" s="88"/>
      <c r="F101" s="88"/>
      <c r="G101" s="113"/>
      <c r="H101" s="130"/>
      <c r="I101" s="113"/>
      <c r="J101" s="113"/>
      <c r="K101" s="113"/>
      <c r="M101" s="173"/>
    </row>
    <row r="102" spans="2:16" x14ac:dyDescent="0.25">
      <c r="B102" s="174"/>
      <c r="E102" s="111"/>
      <c r="F102" s="88"/>
      <c r="G102" s="113"/>
      <c r="M102" s="173"/>
    </row>
    <row r="103" spans="2:16" x14ac:dyDescent="0.25">
      <c r="B103" s="174"/>
      <c r="E103" s="111"/>
      <c r="F103" s="88"/>
      <c r="G103" s="113"/>
      <c r="M103" s="173"/>
    </row>
    <row r="104" spans="2:16" x14ac:dyDescent="0.25">
      <c r="B104" s="174"/>
      <c r="C104" s="383"/>
      <c r="E104" s="88"/>
      <c r="F104" s="88"/>
      <c r="G104" s="150"/>
      <c r="H104" s="150"/>
      <c r="I104" s="150"/>
      <c r="J104" s="150"/>
      <c r="K104" s="150"/>
      <c r="L104" s="150"/>
      <c r="M104" s="173"/>
    </row>
    <row r="105" spans="2:16" x14ac:dyDescent="0.25">
      <c r="B105" s="174"/>
      <c r="C105" s="107"/>
      <c r="D105" s="150"/>
      <c r="E105" s="88"/>
      <c r="F105" s="88"/>
      <c r="G105" s="155"/>
      <c r="H105" s="155"/>
      <c r="I105" s="155"/>
      <c r="J105" s="155"/>
      <c r="K105" s="155"/>
      <c r="L105" s="155"/>
      <c r="M105" s="173"/>
    </row>
    <row r="106" spans="2:16" x14ac:dyDescent="0.25">
      <c r="B106" s="174"/>
      <c r="C106" s="154"/>
      <c r="D106" s="155"/>
      <c r="E106" s="88"/>
      <c r="F106" s="382"/>
      <c r="G106" s="121"/>
      <c r="H106" s="121"/>
      <c r="I106" s="121"/>
      <c r="J106" s="121"/>
      <c r="K106" s="121"/>
      <c r="L106" s="121"/>
      <c r="M106" s="173"/>
    </row>
    <row r="107" spans="2:16" x14ac:dyDescent="0.25">
      <c r="B107" s="174"/>
      <c r="C107" s="152"/>
      <c r="E107" s="88"/>
      <c r="F107" s="88"/>
      <c r="G107" s="177"/>
      <c r="H107" s="177"/>
      <c r="I107" s="177"/>
      <c r="J107" s="177"/>
      <c r="K107" s="177"/>
      <c r="L107" s="177"/>
      <c r="M107" s="173"/>
      <c r="P107" s="332"/>
    </row>
    <row r="108" spans="2:16" x14ac:dyDescent="0.25">
      <c r="B108" s="174"/>
      <c r="E108" s="88"/>
      <c r="F108" s="88"/>
      <c r="G108" s="113"/>
      <c r="H108" s="113"/>
      <c r="I108" s="113"/>
      <c r="J108" s="113"/>
      <c r="K108" s="113"/>
      <c r="M108" s="173"/>
    </row>
    <row r="109" spans="2:16" x14ac:dyDescent="0.25">
      <c r="B109" s="174"/>
      <c r="C109" s="152"/>
      <c r="D109" s="150"/>
      <c r="E109" s="88"/>
      <c r="F109" s="88"/>
      <c r="G109" s="113"/>
      <c r="H109" s="150"/>
      <c r="I109" s="113"/>
      <c r="J109" s="113"/>
      <c r="K109" s="113"/>
      <c r="M109" s="173"/>
    </row>
    <row r="110" spans="2:16" x14ac:dyDescent="0.25">
      <c r="B110" s="174"/>
      <c r="C110" s="154"/>
      <c r="D110" s="155"/>
      <c r="E110" s="88"/>
      <c r="F110" s="88"/>
      <c r="G110" s="212"/>
      <c r="H110" s="130"/>
      <c r="I110" s="112"/>
      <c r="J110" s="112"/>
      <c r="K110" s="112"/>
      <c r="M110" s="173"/>
    </row>
    <row r="111" spans="2:16" x14ac:dyDescent="0.25">
      <c r="B111" s="174"/>
      <c r="C111" s="152"/>
      <c r="E111" s="88"/>
      <c r="F111" s="88"/>
      <c r="G111" s="113"/>
      <c r="H111" s="130"/>
      <c r="I111" s="113"/>
      <c r="J111" s="113"/>
      <c r="K111" s="113"/>
      <c r="M111" s="173"/>
    </row>
    <row r="112" spans="2:16" ht="15.75" thickBot="1" x14ac:dyDescent="0.3">
      <c r="B112" s="178"/>
      <c r="E112" s="111"/>
      <c r="F112" s="88"/>
      <c r="G112" s="113"/>
      <c r="J112" s="164"/>
      <c r="K112" s="164"/>
      <c r="L112" s="164"/>
      <c r="M112" s="179"/>
    </row>
    <row r="113" spans="3:12" x14ac:dyDescent="0.25">
      <c r="C113" s="107"/>
      <c r="E113" s="88"/>
      <c r="F113" s="88"/>
      <c r="G113" s="113"/>
      <c r="H113" s="113"/>
      <c r="I113" s="113"/>
      <c r="J113" s="113"/>
      <c r="K113" s="113"/>
      <c r="L113" s="120"/>
    </row>
  </sheetData>
  <mergeCells count="4">
    <mergeCell ref="B3:M3"/>
    <mergeCell ref="B4:M4"/>
    <mergeCell ref="B5:M5"/>
    <mergeCell ref="B6:I6"/>
  </mergeCells>
  <printOptions horizontalCentered="1"/>
  <pageMargins left="0.25" right="0.25" top="0.5" bottom="0.5" header="0" footer="0"/>
  <pageSetup scale="69" fitToHeight="2" orientation="landscape" horizont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EC67-FF4E-4A25-AB9D-17B717C60542}">
  <dimension ref="A1:R38"/>
  <sheetViews>
    <sheetView topLeftCell="C1" workbookViewId="0">
      <selection activeCell="F5" sqref="F5"/>
    </sheetView>
  </sheetViews>
  <sheetFormatPr defaultRowHeight="15" x14ac:dyDescent="0.2"/>
  <cols>
    <col min="1" max="1" width="10.33203125" customWidth="1"/>
    <col min="3" max="3" width="11" bestFit="1" customWidth="1"/>
    <col min="4" max="4" width="3.77734375" customWidth="1"/>
    <col min="5" max="6" width="8.77734375" customWidth="1"/>
    <col min="7" max="7" width="3.109375" customWidth="1"/>
    <col min="9" max="9" width="10.77734375" customWidth="1"/>
    <col min="10" max="10" width="3.33203125" customWidth="1"/>
    <col min="12" max="12" width="12.44140625" bestFit="1" customWidth="1"/>
    <col min="13" max="13" width="3" customWidth="1"/>
    <col min="14" max="14" width="9.77734375" customWidth="1"/>
    <col min="15" max="15" width="12.44140625" bestFit="1" customWidth="1"/>
    <col min="16" max="16" width="4.109375" customWidth="1"/>
    <col min="17" max="17" width="7.5546875" customWidth="1"/>
    <col min="18" max="18" width="11.109375" customWidth="1"/>
  </cols>
  <sheetData>
    <row r="1" spans="1:18" x14ac:dyDescent="0.2">
      <c r="B1" t="s">
        <v>267</v>
      </c>
      <c r="E1" t="s">
        <v>267</v>
      </c>
      <c r="H1" t="s">
        <v>267</v>
      </c>
      <c r="K1" t="s">
        <v>267</v>
      </c>
    </row>
    <row r="2" spans="1:18" x14ac:dyDescent="0.2">
      <c r="B2" s="404">
        <v>2000</v>
      </c>
      <c r="C2" s="404"/>
      <c r="D2" s="404"/>
      <c r="E2" s="404">
        <v>5000</v>
      </c>
      <c r="F2" s="404"/>
      <c r="G2" s="404"/>
      <c r="H2" s="404">
        <v>10000</v>
      </c>
      <c r="I2" s="404"/>
      <c r="J2" s="404"/>
      <c r="K2" s="404">
        <v>20000</v>
      </c>
      <c r="L2" s="404"/>
      <c r="M2" s="404"/>
      <c r="N2" t="s">
        <v>304</v>
      </c>
    </row>
    <row r="3" spans="1:18" x14ac:dyDescent="0.2">
      <c r="B3" s="391" t="s">
        <v>302</v>
      </c>
      <c r="C3" s="391" t="s">
        <v>303</v>
      </c>
      <c r="D3" s="391"/>
      <c r="E3" s="391" t="s">
        <v>302</v>
      </c>
      <c r="F3" s="391" t="s">
        <v>303</v>
      </c>
      <c r="G3" s="391"/>
      <c r="H3" s="391" t="s">
        <v>302</v>
      </c>
      <c r="I3" s="391" t="s">
        <v>303</v>
      </c>
      <c r="J3" s="391"/>
      <c r="K3" s="391" t="s">
        <v>302</v>
      </c>
      <c r="L3" s="391" t="s">
        <v>303</v>
      </c>
      <c r="M3" s="391"/>
      <c r="N3" s="391" t="s">
        <v>302</v>
      </c>
      <c r="O3" s="391" t="s">
        <v>303</v>
      </c>
    </row>
    <row r="4" spans="1:18" x14ac:dyDescent="0.2">
      <c r="A4" t="s">
        <v>299</v>
      </c>
      <c r="B4">
        <v>636</v>
      </c>
      <c r="C4" s="404">
        <v>481300</v>
      </c>
      <c r="D4" s="404"/>
      <c r="G4" s="404"/>
      <c r="H4">
        <v>749</v>
      </c>
      <c r="I4" s="404">
        <v>3410300</v>
      </c>
      <c r="J4" s="404"/>
      <c r="K4" s="404">
        <v>82</v>
      </c>
      <c r="L4" s="404">
        <v>1167300</v>
      </c>
      <c r="N4" s="404">
        <v>70</v>
      </c>
      <c r="O4" s="404">
        <v>4019400</v>
      </c>
      <c r="P4" s="404"/>
    </row>
    <row r="5" spans="1:18" x14ac:dyDescent="0.2">
      <c r="A5" t="s">
        <v>299</v>
      </c>
      <c r="B5">
        <v>229</v>
      </c>
      <c r="C5" s="404">
        <v>90000</v>
      </c>
      <c r="D5" s="404"/>
      <c r="E5" s="404"/>
      <c r="F5" s="404"/>
      <c r="G5" s="404"/>
      <c r="H5">
        <v>79</v>
      </c>
      <c r="I5" s="404">
        <v>301900</v>
      </c>
      <c r="J5" s="404"/>
      <c r="K5">
        <v>20</v>
      </c>
      <c r="L5" s="404">
        <v>315300</v>
      </c>
      <c r="N5" s="404">
        <v>20</v>
      </c>
      <c r="O5" s="404">
        <v>789200</v>
      </c>
      <c r="P5" s="404"/>
    </row>
    <row r="6" spans="1:18" x14ac:dyDescent="0.2">
      <c r="A6" t="s">
        <v>299</v>
      </c>
      <c r="C6" s="404"/>
      <c r="D6" s="404"/>
      <c r="E6" s="404"/>
      <c r="F6" s="404"/>
      <c r="G6" s="404"/>
      <c r="I6" s="404"/>
      <c r="J6" s="404"/>
      <c r="L6" s="404"/>
      <c r="N6" s="404"/>
      <c r="O6" s="404"/>
      <c r="P6" s="404"/>
    </row>
    <row r="7" spans="1:18" x14ac:dyDescent="0.2">
      <c r="A7" t="s">
        <v>300</v>
      </c>
      <c r="B7">
        <v>242</v>
      </c>
      <c r="C7" s="404">
        <v>215300</v>
      </c>
      <c r="D7" s="404"/>
      <c r="E7" s="404"/>
      <c r="F7" s="404"/>
      <c r="G7" s="404"/>
      <c r="H7">
        <v>226</v>
      </c>
      <c r="I7" s="404">
        <v>968700</v>
      </c>
      <c r="J7" s="404"/>
      <c r="K7">
        <v>12</v>
      </c>
      <c r="L7" s="404">
        <v>167600</v>
      </c>
      <c r="N7" s="404">
        <v>2</v>
      </c>
      <c r="O7" s="404">
        <v>50400</v>
      </c>
      <c r="P7" s="404"/>
    </row>
    <row r="8" spans="1:18" x14ac:dyDescent="0.2">
      <c r="A8" t="s">
        <v>300</v>
      </c>
      <c r="B8">
        <v>45</v>
      </c>
      <c r="C8" s="404">
        <v>29900</v>
      </c>
      <c r="D8" s="404"/>
      <c r="E8" s="404"/>
      <c r="F8" s="404"/>
      <c r="G8" s="404"/>
      <c r="H8">
        <v>16</v>
      </c>
      <c r="I8" s="404">
        <v>68600</v>
      </c>
      <c r="J8" s="404"/>
      <c r="K8">
        <v>3</v>
      </c>
      <c r="L8" s="404">
        <v>46500</v>
      </c>
      <c r="N8" s="404">
        <v>6</v>
      </c>
      <c r="O8" s="404">
        <v>291100</v>
      </c>
      <c r="P8" s="404"/>
    </row>
    <row r="9" spans="1:18" x14ac:dyDescent="0.2">
      <c r="A9" t="s">
        <v>301</v>
      </c>
      <c r="B9">
        <v>1379</v>
      </c>
      <c r="C9" s="404">
        <v>1291400</v>
      </c>
      <c r="D9" s="404"/>
      <c r="E9" s="404"/>
      <c r="F9" s="404"/>
      <c r="G9" s="404"/>
      <c r="H9">
        <v>1637</v>
      </c>
      <c r="I9" s="404">
        <v>6677700</v>
      </c>
      <c r="J9" s="404"/>
      <c r="K9">
        <v>139</v>
      </c>
      <c r="L9" s="404">
        <v>1906000</v>
      </c>
      <c r="N9" s="404">
        <v>106</v>
      </c>
      <c r="O9" s="404">
        <v>4991400</v>
      </c>
      <c r="P9" s="404"/>
    </row>
    <row r="10" spans="1:18" x14ac:dyDescent="0.2">
      <c r="A10" t="s">
        <v>301</v>
      </c>
      <c r="B10" s="391">
        <v>350</v>
      </c>
      <c r="C10" s="406">
        <v>185300</v>
      </c>
      <c r="D10" s="405"/>
      <c r="E10" s="405"/>
      <c r="F10" s="405"/>
      <c r="G10" s="405"/>
      <c r="H10" s="391">
        <v>161</v>
      </c>
      <c r="I10" s="406">
        <v>760000</v>
      </c>
      <c r="J10" s="404"/>
      <c r="K10" s="391">
        <v>35</v>
      </c>
      <c r="L10" s="406">
        <v>533600</v>
      </c>
      <c r="N10" s="406">
        <v>37</v>
      </c>
      <c r="O10" s="406">
        <v>1605800</v>
      </c>
      <c r="P10" s="405"/>
    </row>
    <row r="11" spans="1:18" ht="15.75" x14ac:dyDescent="0.25">
      <c r="A11" s="407" t="s">
        <v>306</v>
      </c>
      <c r="B11" s="407">
        <f>SUM(B4:B10)</f>
        <v>2881</v>
      </c>
      <c r="C11" s="408">
        <f>SUM(C4:C10)</f>
        <v>2293200</v>
      </c>
      <c r="D11" s="404"/>
      <c r="E11" s="404"/>
      <c r="F11" s="404"/>
      <c r="G11" s="404"/>
      <c r="H11" s="407">
        <f>SUM(H4:H10)</f>
        <v>2868</v>
      </c>
      <c r="I11" s="408">
        <f>SUM(I4:I10)</f>
        <v>12187200</v>
      </c>
      <c r="J11" s="408"/>
      <c r="K11" s="411">
        <f>SUM(K4:K10)</f>
        <v>291</v>
      </c>
      <c r="L11" s="408">
        <f>SUM(L4:L10)</f>
        <v>4136300</v>
      </c>
      <c r="M11" s="407"/>
      <c r="N11" s="411">
        <f>SUM(N4:N10)</f>
        <v>241</v>
      </c>
      <c r="O11" s="408">
        <f>SUM(O4:O10)</f>
        <v>11747300</v>
      </c>
      <c r="P11" s="408"/>
      <c r="Q11" s="410">
        <f>B11+H11+K11+N11</f>
        <v>6281</v>
      </c>
      <c r="R11" s="410">
        <f>C11+I11+L11+O11</f>
        <v>30364000</v>
      </c>
    </row>
    <row r="12" spans="1:18" x14ac:dyDescent="0.2">
      <c r="C12" s="404"/>
      <c r="D12" s="404"/>
      <c r="E12" s="404"/>
      <c r="F12" s="404"/>
      <c r="G12" s="404"/>
      <c r="I12" s="404"/>
      <c r="J12" s="404"/>
      <c r="O12" s="404"/>
      <c r="P12" s="404"/>
    </row>
    <row r="13" spans="1:18" x14ac:dyDescent="0.2">
      <c r="B13" t="s">
        <v>268</v>
      </c>
      <c r="C13" s="404"/>
      <c r="D13" s="404"/>
      <c r="E13" s="404"/>
      <c r="F13" s="404"/>
      <c r="G13" s="404"/>
      <c r="I13" s="404"/>
      <c r="J13" s="404"/>
      <c r="O13" s="404"/>
      <c r="P13" s="404"/>
    </row>
    <row r="14" spans="1:18" x14ac:dyDescent="0.2">
      <c r="B14" s="404">
        <v>2000</v>
      </c>
      <c r="C14" s="404"/>
      <c r="D14" s="404"/>
      <c r="E14" s="404">
        <v>5000</v>
      </c>
      <c r="F14" s="404"/>
      <c r="G14" s="404"/>
      <c r="H14" s="404">
        <v>10000</v>
      </c>
      <c r="I14" s="404"/>
      <c r="J14" s="404"/>
      <c r="K14" s="404">
        <v>20000</v>
      </c>
      <c r="L14" s="404"/>
      <c r="M14" s="404"/>
      <c r="N14" t="s">
        <v>304</v>
      </c>
    </row>
    <row r="15" spans="1:18" x14ac:dyDescent="0.2">
      <c r="B15" s="409" t="s">
        <v>302</v>
      </c>
      <c r="C15" s="409" t="s">
        <v>303</v>
      </c>
      <c r="D15" s="409"/>
      <c r="E15" s="409" t="s">
        <v>302</v>
      </c>
      <c r="F15" s="409" t="s">
        <v>303</v>
      </c>
      <c r="G15" s="409"/>
      <c r="H15" s="409" t="s">
        <v>302</v>
      </c>
      <c r="I15" s="409" t="s">
        <v>303</v>
      </c>
      <c r="J15" s="409"/>
      <c r="K15" s="409" t="s">
        <v>302</v>
      </c>
      <c r="L15" s="409" t="s">
        <v>303</v>
      </c>
      <c r="M15" s="409"/>
      <c r="N15" s="409" t="s">
        <v>302</v>
      </c>
      <c r="O15" s="409" t="s">
        <v>303</v>
      </c>
      <c r="P15" s="409"/>
    </row>
    <row r="16" spans="1:18" x14ac:dyDescent="0.2">
      <c r="A16" t="s">
        <v>299</v>
      </c>
      <c r="C16" s="404"/>
      <c r="D16" s="404"/>
      <c r="E16" s="404">
        <v>9</v>
      </c>
      <c r="F16" s="404">
        <v>28900</v>
      </c>
      <c r="G16" s="404"/>
      <c r="H16">
        <v>1</v>
      </c>
      <c r="I16" s="404">
        <v>6800</v>
      </c>
      <c r="J16" s="404"/>
      <c r="K16" s="404">
        <v>1</v>
      </c>
      <c r="L16" s="404">
        <v>14700</v>
      </c>
      <c r="N16" s="404">
        <v>1</v>
      </c>
      <c r="O16" s="404">
        <v>44400</v>
      </c>
      <c r="P16" s="404"/>
    </row>
    <row r="17" spans="1:18" x14ac:dyDescent="0.2">
      <c r="A17" t="s">
        <v>299</v>
      </c>
      <c r="C17" s="404"/>
      <c r="D17" s="404"/>
      <c r="E17" s="404">
        <v>8</v>
      </c>
      <c r="F17" s="404">
        <v>20300</v>
      </c>
      <c r="G17" s="404"/>
      <c r="H17">
        <v>3</v>
      </c>
      <c r="I17" s="404">
        <v>20000</v>
      </c>
      <c r="J17" s="404"/>
      <c r="N17">
        <v>1</v>
      </c>
      <c r="O17" s="404">
        <v>22400</v>
      </c>
      <c r="P17" s="404"/>
    </row>
    <row r="18" spans="1:18" x14ac:dyDescent="0.2">
      <c r="A18" t="s">
        <v>300</v>
      </c>
      <c r="C18" s="404"/>
      <c r="D18" s="404"/>
      <c r="E18" s="404">
        <v>11</v>
      </c>
      <c r="F18" s="404">
        <v>26300</v>
      </c>
      <c r="G18" s="404"/>
      <c r="H18">
        <v>3</v>
      </c>
      <c r="I18" s="404">
        <v>21800</v>
      </c>
      <c r="J18" s="404"/>
      <c r="K18" s="404">
        <v>4</v>
      </c>
      <c r="L18" s="404">
        <v>56200</v>
      </c>
      <c r="N18" s="404">
        <v>18</v>
      </c>
      <c r="O18" s="404">
        <v>1815200</v>
      </c>
      <c r="P18" s="404"/>
    </row>
    <row r="19" spans="1:18" x14ac:dyDescent="0.2">
      <c r="A19" t="s">
        <v>300</v>
      </c>
      <c r="C19" s="404"/>
      <c r="D19" s="404"/>
      <c r="E19" s="404"/>
      <c r="F19" s="404"/>
      <c r="G19" s="404"/>
      <c r="I19" s="404"/>
      <c r="J19" s="404"/>
      <c r="O19" s="404"/>
      <c r="P19" s="404"/>
    </row>
    <row r="20" spans="1:18" x14ac:dyDescent="0.2">
      <c r="A20" t="s">
        <v>301</v>
      </c>
      <c r="C20" s="404"/>
      <c r="D20" s="404"/>
      <c r="E20" s="404">
        <v>14</v>
      </c>
      <c r="F20" s="404">
        <v>10200</v>
      </c>
      <c r="G20" s="404"/>
      <c r="H20">
        <v>20</v>
      </c>
      <c r="I20" s="404">
        <v>142100</v>
      </c>
      <c r="J20" s="404"/>
      <c r="K20" s="404">
        <v>4</v>
      </c>
      <c r="L20" s="404">
        <v>59300</v>
      </c>
      <c r="N20" s="404">
        <v>34</v>
      </c>
      <c r="O20" s="404">
        <v>3931600</v>
      </c>
      <c r="P20" s="404"/>
    </row>
    <row r="21" spans="1:18" x14ac:dyDescent="0.2">
      <c r="A21" t="s">
        <v>301</v>
      </c>
      <c r="C21" s="404"/>
      <c r="D21" s="404"/>
      <c r="E21" s="406">
        <v>9</v>
      </c>
      <c r="F21" s="406">
        <v>13900</v>
      </c>
      <c r="G21" s="404"/>
      <c r="H21" s="391"/>
      <c r="I21" s="406"/>
      <c r="J21" s="404"/>
      <c r="K21" s="391">
        <v>3</v>
      </c>
      <c r="L21" s="406">
        <v>42100</v>
      </c>
      <c r="N21" s="391">
        <v>12</v>
      </c>
      <c r="O21" s="406">
        <v>1499300</v>
      </c>
      <c r="P21" s="405"/>
    </row>
    <row r="22" spans="1:18" ht="15.75" x14ac:dyDescent="0.25">
      <c r="A22" s="407" t="s">
        <v>1</v>
      </c>
      <c r="B22" s="407"/>
      <c r="C22" s="408"/>
      <c r="D22" s="408"/>
      <c r="E22" s="408">
        <f>SUM(E16:E21)</f>
        <v>51</v>
      </c>
      <c r="F22" s="408">
        <f>SUM(F16:F21)</f>
        <v>99600</v>
      </c>
      <c r="G22" s="408"/>
      <c r="H22" s="407">
        <f>SUM(H16:H21)</f>
        <v>27</v>
      </c>
      <c r="I22" s="408">
        <f>SUM(I16:I21)</f>
        <v>190700</v>
      </c>
      <c r="J22" s="408"/>
      <c r="K22" s="411">
        <f>SUM(K16:K21)</f>
        <v>12</v>
      </c>
      <c r="L22" s="408">
        <f>SUM(L16:L21)</f>
        <v>172300</v>
      </c>
      <c r="M22" s="407"/>
      <c r="N22" s="411">
        <f>SUM(N16:N21)</f>
        <v>66</v>
      </c>
      <c r="O22" s="411">
        <f>SUM(O16:O21)</f>
        <v>7312900</v>
      </c>
      <c r="P22" s="411"/>
      <c r="Q22" s="410">
        <f>E22+H22+K22+N22</f>
        <v>156</v>
      </c>
      <c r="R22" s="410">
        <f>F22+I22+L22+O22</f>
        <v>7775500</v>
      </c>
    </row>
    <row r="23" spans="1:18" x14ac:dyDescent="0.2">
      <c r="B23" s="216" t="s">
        <v>269</v>
      </c>
      <c r="C23" s="404"/>
      <c r="D23" s="404"/>
      <c r="E23" s="404"/>
      <c r="F23" s="404"/>
      <c r="G23" s="404"/>
      <c r="I23" s="404"/>
      <c r="J23" s="404"/>
    </row>
    <row r="24" spans="1:18" x14ac:dyDescent="0.2">
      <c r="B24" s="404">
        <v>2000</v>
      </c>
      <c r="C24" s="404"/>
      <c r="D24" s="404"/>
      <c r="E24" s="404">
        <v>5000</v>
      </c>
      <c r="F24" s="404"/>
      <c r="G24" s="404"/>
      <c r="H24" s="404">
        <v>10000</v>
      </c>
      <c r="I24" s="404"/>
      <c r="J24" s="404"/>
      <c r="K24" s="404">
        <v>20000</v>
      </c>
      <c r="L24" s="404"/>
      <c r="M24" s="404"/>
      <c r="N24" t="s">
        <v>304</v>
      </c>
    </row>
    <row r="25" spans="1:18" x14ac:dyDescent="0.2">
      <c r="B25" s="409" t="s">
        <v>302</v>
      </c>
      <c r="C25" s="409" t="s">
        <v>303</v>
      </c>
      <c r="D25" s="409"/>
      <c r="E25" s="409" t="s">
        <v>302</v>
      </c>
      <c r="F25" s="409" t="s">
        <v>303</v>
      </c>
      <c r="G25" s="409"/>
      <c r="H25" s="409" t="s">
        <v>302</v>
      </c>
      <c r="I25" s="409" t="s">
        <v>303</v>
      </c>
      <c r="J25" s="409"/>
      <c r="K25" s="409" t="s">
        <v>302</v>
      </c>
      <c r="L25" s="409" t="s">
        <v>303</v>
      </c>
      <c r="M25" s="409"/>
      <c r="N25" s="409" t="s">
        <v>302</v>
      </c>
      <c r="O25" s="409" t="s">
        <v>303</v>
      </c>
      <c r="P25" s="409"/>
    </row>
    <row r="26" spans="1:18" x14ac:dyDescent="0.2">
      <c r="A26" t="s">
        <v>299</v>
      </c>
      <c r="C26" s="404"/>
      <c r="D26" s="404"/>
      <c r="E26" s="404"/>
      <c r="F26" s="404"/>
      <c r="G26" s="404"/>
      <c r="K26">
        <v>2</v>
      </c>
      <c r="L26" s="404">
        <v>32400</v>
      </c>
      <c r="N26">
        <v>10</v>
      </c>
      <c r="O26" s="404">
        <v>694900</v>
      </c>
      <c r="P26" s="404"/>
    </row>
    <row r="27" spans="1:18" x14ac:dyDescent="0.2">
      <c r="A27" t="s">
        <v>300</v>
      </c>
      <c r="C27" s="404"/>
      <c r="D27" s="404"/>
      <c r="E27" s="404"/>
      <c r="F27" s="404"/>
      <c r="G27" s="404"/>
      <c r="L27" s="404"/>
      <c r="O27" s="404"/>
      <c r="P27" s="404"/>
    </row>
    <row r="28" spans="1:18" x14ac:dyDescent="0.2">
      <c r="A28" t="s">
        <v>301</v>
      </c>
      <c r="C28" s="404"/>
      <c r="D28" s="404"/>
      <c r="E28" s="404"/>
      <c r="F28" s="404"/>
      <c r="G28" s="404"/>
      <c r="K28">
        <v>9</v>
      </c>
      <c r="L28" s="404">
        <v>40400</v>
      </c>
      <c r="N28">
        <v>15</v>
      </c>
      <c r="O28" s="404">
        <v>994400</v>
      </c>
      <c r="P28" s="404"/>
    </row>
    <row r="29" spans="1:18" x14ac:dyDescent="0.2">
      <c r="A29" t="s">
        <v>301</v>
      </c>
      <c r="C29" s="404"/>
      <c r="D29" s="404"/>
      <c r="E29" s="404"/>
      <c r="F29" s="404"/>
      <c r="G29" s="404"/>
      <c r="K29" s="391">
        <v>18</v>
      </c>
      <c r="L29" s="406">
        <v>112900</v>
      </c>
      <c r="N29" s="391">
        <v>12</v>
      </c>
      <c r="O29" s="406">
        <v>461100</v>
      </c>
      <c r="P29" s="405"/>
    </row>
    <row r="30" spans="1:18" ht="15.75" x14ac:dyDescent="0.25">
      <c r="A30" s="407" t="s">
        <v>306</v>
      </c>
      <c r="B30" s="407"/>
      <c r="C30" s="408"/>
      <c r="D30" s="408"/>
      <c r="E30" s="408"/>
      <c r="F30" s="408"/>
      <c r="G30" s="408"/>
      <c r="H30" s="407"/>
      <c r="I30" s="407"/>
      <c r="J30" s="407"/>
      <c r="K30" s="407">
        <f>SUM(K26:K29)</f>
        <v>29</v>
      </c>
      <c r="L30" s="408">
        <f>SUM(L26:L29)</f>
        <v>185700</v>
      </c>
      <c r="M30" s="407"/>
      <c r="N30" s="407">
        <f>SUM(N26:N29)</f>
        <v>37</v>
      </c>
      <c r="O30" s="408">
        <f>SUM(O26:O29)</f>
        <v>2150400</v>
      </c>
      <c r="P30" s="408"/>
      <c r="Q30">
        <f>K30+N30</f>
        <v>66</v>
      </c>
      <c r="R30" s="410">
        <f>L30+O30</f>
        <v>2336100</v>
      </c>
    </row>
    <row r="31" spans="1:18" x14ac:dyDescent="0.2">
      <c r="C31" s="404"/>
      <c r="D31" s="404"/>
      <c r="E31" s="404"/>
      <c r="F31" s="404"/>
      <c r="G31" s="404"/>
      <c r="L31" s="404"/>
      <c r="O31" s="404"/>
      <c r="P31" s="404"/>
    </row>
    <row r="32" spans="1:18" x14ac:dyDescent="0.2">
      <c r="C32" s="404"/>
      <c r="D32" s="404"/>
      <c r="E32" s="404"/>
      <c r="F32" s="404"/>
      <c r="G32" s="404"/>
    </row>
    <row r="33" spans="1:16" x14ac:dyDescent="0.2">
      <c r="C33" s="404"/>
      <c r="D33" s="404"/>
      <c r="E33" s="404"/>
      <c r="F33" s="404"/>
      <c r="G33" s="404"/>
    </row>
    <row r="34" spans="1:16" x14ac:dyDescent="0.2">
      <c r="C34" s="404"/>
      <c r="D34" s="404"/>
      <c r="E34" s="404"/>
      <c r="F34" s="404"/>
      <c r="G34" s="404"/>
      <c r="N34" s="410"/>
      <c r="O34" s="410"/>
      <c r="P34" s="410"/>
    </row>
    <row r="35" spans="1:16" x14ac:dyDescent="0.2">
      <c r="C35" s="404"/>
      <c r="D35" s="404"/>
      <c r="E35" s="404"/>
      <c r="F35" s="404"/>
      <c r="G35" s="404"/>
    </row>
    <row r="36" spans="1:16" x14ac:dyDescent="0.2">
      <c r="A36" s="143" t="s">
        <v>305</v>
      </c>
      <c r="B36">
        <f>B11</f>
        <v>2881</v>
      </c>
      <c r="C36" s="410">
        <f>C11</f>
        <v>2293200</v>
      </c>
      <c r="E36" s="410">
        <f>E22</f>
        <v>51</v>
      </c>
      <c r="F36" s="410">
        <f>F22</f>
        <v>99600</v>
      </c>
      <c r="H36">
        <f>H22+H11</f>
        <v>2895</v>
      </c>
      <c r="I36" s="410">
        <f>I22+I11</f>
        <v>12377900</v>
      </c>
      <c r="K36" s="410">
        <f>K30+K22+K11</f>
        <v>332</v>
      </c>
      <c r="L36" s="410">
        <f>L30+L22+L11</f>
        <v>4494300</v>
      </c>
      <c r="N36" s="410">
        <f>N30+N22+N11</f>
        <v>344</v>
      </c>
      <c r="O36" s="410">
        <f>O30+O22+O11</f>
        <v>21210600</v>
      </c>
      <c r="P36" s="410"/>
    </row>
    <row r="38" spans="1:16" ht="15.75" x14ac:dyDescent="0.25">
      <c r="L38" s="412" t="s">
        <v>307</v>
      </c>
      <c r="M38" s="413"/>
      <c r="N38" s="414">
        <f>N36+K36+H36+E36+B36</f>
        <v>6503</v>
      </c>
      <c r="O38" s="414">
        <f>O36+L36+I36+F36+C36</f>
        <v>40475600</v>
      </c>
      <c r="P38" s="4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80109-31C4-4640-AD9A-7CC81A59588E}">
  <sheetPr>
    <pageSetUpPr fitToPage="1"/>
  </sheetPr>
  <dimension ref="A1:K22"/>
  <sheetViews>
    <sheetView workbookViewId="0">
      <selection sqref="A1:F20"/>
    </sheetView>
  </sheetViews>
  <sheetFormatPr defaultColWidth="8.77734375" defaultRowHeight="15" x14ac:dyDescent="0.25"/>
  <cols>
    <col min="1" max="1" width="4.5546875" style="4" customWidth="1"/>
    <col min="2" max="2" width="29.44140625" style="4" customWidth="1"/>
    <col min="3" max="3" width="14.88671875" style="4" customWidth="1"/>
    <col min="4" max="4" width="11.5546875" style="4" customWidth="1"/>
    <col min="5" max="5" width="3.5546875" style="294" customWidth="1"/>
    <col min="6" max="6" width="11.5546875" style="117" customWidth="1"/>
    <col min="7" max="7" width="3.5546875" style="294" customWidth="1"/>
    <col min="8" max="8" width="30.77734375" style="4" customWidth="1"/>
    <col min="9" max="10" width="11.33203125" style="4" customWidth="1"/>
    <col min="11" max="11" width="10.77734375" style="4" customWidth="1"/>
    <col min="12" max="16384" width="8.77734375" style="4"/>
  </cols>
  <sheetData>
    <row r="1" spans="1:11" ht="18.75" x14ac:dyDescent="0.25">
      <c r="A1" s="419" t="s">
        <v>203</v>
      </c>
      <c r="B1" s="419"/>
      <c r="C1" s="419"/>
      <c r="D1" s="419"/>
      <c r="E1" s="419"/>
      <c r="F1" s="419"/>
      <c r="G1" s="27"/>
      <c r="H1" s="25"/>
      <c r="I1" s="25"/>
      <c r="J1" s="25"/>
    </row>
    <row r="2" spans="1:11" ht="18.75" x14ac:dyDescent="0.25">
      <c r="A2" s="419" t="str">
        <f>SAO!A2</f>
        <v>Fountain Run Water District #1</v>
      </c>
      <c r="B2" s="419"/>
      <c r="C2" s="419"/>
      <c r="D2" s="419"/>
      <c r="E2" s="419"/>
      <c r="F2" s="419"/>
      <c r="G2" s="27"/>
      <c r="H2" s="25"/>
      <c r="I2" s="25"/>
      <c r="J2" s="25"/>
      <c r="K2" s="25"/>
    </row>
    <row r="3" spans="1:11" ht="15.75" x14ac:dyDescent="0.25">
      <c r="A3" s="84"/>
      <c r="B3" s="84"/>
      <c r="C3" s="84"/>
      <c r="D3" s="84"/>
      <c r="E3" s="84"/>
      <c r="F3" s="84"/>
      <c r="G3" s="27"/>
      <c r="H3" s="25"/>
      <c r="I3" s="25"/>
      <c r="J3" s="25"/>
      <c r="K3" s="25"/>
    </row>
    <row r="4" spans="1:11" ht="17.25" x14ac:dyDescent="0.25">
      <c r="A4" s="28" t="s">
        <v>59</v>
      </c>
      <c r="B4" s="25"/>
      <c r="C4" s="29"/>
      <c r="D4" s="25"/>
      <c r="E4" s="27"/>
      <c r="G4" s="27"/>
      <c r="H4" s="306" t="s">
        <v>75</v>
      </c>
      <c r="I4" s="25"/>
      <c r="J4" s="25"/>
    </row>
    <row r="5" spans="1:11" x14ac:dyDescent="0.25">
      <c r="A5" s="28"/>
      <c r="B5" s="25" t="str">
        <f>SAO!A29</f>
        <v>Total Operating Expenses</v>
      </c>
      <c r="C5" s="29"/>
      <c r="D5" s="25"/>
      <c r="E5" s="27"/>
      <c r="F5" s="399">
        <f>SAO!F29</f>
        <v>299164.18552159448</v>
      </c>
      <c r="G5" s="27"/>
      <c r="I5" s="25"/>
      <c r="J5" s="25"/>
    </row>
    <row r="6" spans="1:11" x14ac:dyDescent="0.25">
      <c r="A6" s="28"/>
      <c r="B6" s="25" t="str">
        <f>SAO!A34</f>
        <v>Total Other Expenses</v>
      </c>
      <c r="C6" s="29"/>
      <c r="D6" s="25"/>
      <c r="E6" s="27"/>
      <c r="F6" s="399">
        <f>SAO!F34</f>
        <v>81949.622117142862</v>
      </c>
      <c r="G6" s="27"/>
      <c r="I6" s="25"/>
      <c r="J6" s="25"/>
    </row>
    <row r="7" spans="1:11" x14ac:dyDescent="0.25">
      <c r="A7" s="25"/>
      <c r="B7" s="25" t="s">
        <v>43</v>
      </c>
      <c r="C7" s="29"/>
      <c r="D7" s="25"/>
      <c r="E7" s="27" t="s">
        <v>288</v>
      </c>
      <c r="F7" s="117">
        <f>'Debt Service'!M19</f>
        <v>33010.800000000003</v>
      </c>
      <c r="H7" s="4" t="s">
        <v>224</v>
      </c>
      <c r="I7" s="25"/>
      <c r="J7" s="25"/>
    </row>
    <row r="8" spans="1:11" s="39" customFormat="1" x14ac:dyDescent="0.25">
      <c r="A8" s="89"/>
      <c r="B8" s="89" t="s">
        <v>72</v>
      </c>
      <c r="C8" s="125"/>
      <c r="D8" s="89"/>
      <c r="E8" s="300" t="s">
        <v>314</v>
      </c>
      <c r="F8" s="119">
        <f>'Debt Service'!M21</f>
        <v>6602.1600000000008</v>
      </c>
      <c r="H8" s="39" t="s">
        <v>225</v>
      </c>
      <c r="I8" s="89"/>
      <c r="J8" s="89"/>
    </row>
    <row r="9" spans="1:11" x14ac:dyDescent="0.25">
      <c r="A9" s="28" t="s">
        <v>15</v>
      </c>
      <c r="B9" s="25"/>
      <c r="C9" s="29"/>
      <c r="D9" s="25"/>
      <c r="E9" s="27"/>
      <c r="F9" s="131">
        <f>SUM(F5:F8)</f>
        <v>420726.76763873734</v>
      </c>
      <c r="G9" s="27"/>
      <c r="I9" s="25"/>
      <c r="J9" s="25"/>
    </row>
    <row r="10" spans="1:11" x14ac:dyDescent="0.25">
      <c r="A10" s="28"/>
      <c r="B10" s="25"/>
      <c r="C10" s="29"/>
      <c r="D10" s="25"/>
      <c r="E10" s="27"/>
      <c r="F10" s="131"/>
      <c r="G10" s="27"/>
      <c r="I10" s="25"/>
      <c r="J10" s="25"/>
    </row>
    <row r="11" spans="1:11" x14ac:dyDescent="0.25">
      <c r="A11" s="28" t="s">
        <v>97</v>
      </c>
      <c r="B11" s="25"/>
      <c r="C11" s="29"/>
      <c r="D11" s="25"/>
      <c r="E11" s="27"/>
      <c r="F11" s="131"/>
      <c r="G11" s="27"/>
      <c r="I11" s="25"/>
      <c r="J11" s="25"/>
    </row>
    <row r="12" spans="1:11" x14ac:dyDescent="0.25">
      <c r="A12" s="28"/>
      <c r="B12" s="25" t="str">
        <f>SAO!B8</f>
        <v>Other Water Revenues</v>
      </c>
      <c r="C12" s="29"/>
      <c r="D12" s="25"/>
      <c r="E12" s="27"/>
      <c r="F12" s="131">
        <f>SAO!F8</f>
        <v>9951</v>
      </c>
      <c r="G12" s="27"/>
      <c r="I12" s="25"/>
      <c r="J12" s="25"/>
    </row>
    <row r="13" spans="1:11" x14ac:dyDescent="0.25">
      <c r="A13" s="28"/>
      <c r="B13" s="25" t="s">
        <v>88</v>
      </c>
      <c r="C13" s="29"/>
      <c r="D13" s="25"/>
      <c r="E13" s="27"/>
      <c r="F13" s="118">
        <f>SAO!F39</f>
        <v>26688</v>
      </c>
      <c r="G13" s="27"/>
      <c r="I13" s="25"/>
      <c r="J13" s="25"/>
    </row>
    <row r="14" spans="1:11" x14ac:dyDescent="0.25">
      <c r="A14" s="28" t="s">
        <v>98</v>
      </c>
      <c r="B14" s="25"/>
      <c r="C14" s="29"/>
      <c r="D14" s="25"/>
      <c r="E14" s="27"/>
      <c r="F14" s="131">
        <f>SUM(F12:F13)</f>
        <v>36639</v>
      </c>
      <c r="G14" s="27"/>
      <c r="I14" s="25"/>
      <c r="J14" s="25"/>
    </row>
    <row r="15" spans="1:11" x14ac:dyDescent="0.25">
      <c r="A15" s="28"/>
      <c r="B15" s="25"/>
      <c r="C15" s="29"/>
      <c r="D15" s="25"/>
      <c r="E15" s="27"/>
      <c r="F15" s="131"/>
      <c r="G15" s="27"/>
      <c r="I15" s="25"/>
      <c r="J15" s="25"/>
    </row>
    <row r="16" spans="1:11" x14ac:dyDescent="0.25">
      <c r="A16" s="28" t="s">
        <v>71</v>
      </c>
      <c r="B16" s="25"/>
      <c r="C16" s="29"/>
      <c r="D16" s="25"/>
      <c r="E16" s="27"/>
      <c r="F16" s="131">
        <f>F9-F14</f>
        <v>384087.76763873734</v>
      </c>
      <c r="G16" s="27"/>
      <c r="I16" s="25"/>
      <c r="J16" s="25"/>
    </row>
    <row r="17" spans="1:10" x14ac:dyDescent="0.25">
      <c r="A17" s="25" t="s">
        <v>3</v>
      </c>
      <c r="B17" s="25" t="s">
        <v>14</v>
      </c>
      <c r="C17" s="29"/>
      <c r="D17" s="25"/>
      <c r="E17" s="27"/>
      <c r="F17" s="118">
        <f>SAO!F7</f>
        <v>350288.98300000001</v>
      </c>
      <c r="G17" s="27"/>
      <c r="H17" s="16"/>
      <c r="I17" s="25"/>
      <c r="J17" s="25"/>
    </row>
    <row r="18" spans="1:10" x14ac:dyDescent="0.25">
      <c r="A18" s="28" t="s">
        <v>16</v>
      </c>
      <c r="B18" s="25"/>
      <c r="C18" s="29"/>
      <c r="D18" s="25"/>
      <c r="E18" s="27"/>
      <c r="F18" s="115">
        <f>F16-F17+1</f>
        <v>33799.784638737328</v>
      </c>
      <c r="G18" s="27"/>
      <c r="H18" s="25"/>
      <c r="I18" s="25"/>
      <c r="J18" s="25"/>
    </row>
    <row r="19" spans="1:10" ht="14.65" customHeight="1" x14ac:dyDescent="0.25">
      <c r="A19" s="28" t="s">
        <v>58</v>
      </c>
      <c r="B19" s="25"/>
      <c r="C19" s="29"/>
      <c r="D19" s="25"/>
      <c r="E19" s="27"/>
      <c r="F19" s="141">
        <f>IF(F18&lt;0,0,F18/F17)</f>
        <v>9.6491143824347245E-2</v>
      </c>
      <c r="G19" s="27"/>
      <c r="H19" s="141"/>
      <c r="I19" s="25"/>
      <c r="J19" s="25"/>
    </row>
    <row r="20" spans="1:10" x14ac:dyDescent="0.25">
      <c r="A20" s="28"/>
      <c r="B20" s="25"/>
      <c r="C20" s="29"/>
      <c r="D20" s="25"/>
      <c r="E20" s="27"/>
      <c r="F20" s="115"/>
    </row>
    <row r="21" spans="1:10" x14ac:dyDescent="0.25">
      <c r="A21" s="25"/>
      <c r="B21" s="25"/>
      <c r="C21" s="29"/>
      <c r="D21" s="25"/>
      <c r="E21" s="27"/>
      <c r="F21" s="115"/>
    </row>
    <row r="22" spans="1:10" x14ac:dyDescent="0.25">
      <c r="A22" s="28"/>
      <c r="B22" s="25"/>
      <c r="C22" s="29"/>
      <c r="D22" s="25"/>
      <c r="E22" s="27"/>
      <c r="F22" s="115"/>
    </row>
  </sheetData>
  <mergeCells count="2">
    <mergeCell ref="A1:F1"/>
    <mergeCell ref="A2:F2"/>
  </mergeCells>
  <printOptions horizontalCentered="1" verticalCentered="1"/>
  <pageMargins left="0.7" right="0.7" top="0.75" bottom="0.75" header="0.3" footer="0.3"/>
  <pageSetup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B0773-E880-467A-A811-9F0DB9EA1323}">
  <dimension ref="B3:B5"/>
  <sheetViews>
    <sheetView workbookViewId="0">
      <selection activeCell="B5" sqref="B5"/>
    </sheetView>
  </sheetViews>
  <sheetFormatPr defaultRowHeight="15" x14ac:dyDescent="0.2"/>
  <cols>
    <col min="1" max="1" width="6.6640625" customWidth="1"/>
  </cols>
  <sheetData>
    <row r="3" spans="2:2" x14ac:dyDescent="0.2">
      <c r="B3" t="s">
        <v>263</v>
      </c>
    </row>
    <row r="5" spans="2:2" x14ac:dyDescent="0.2">
      <c r="B5" t="s">
        <v>264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7A01C-7852-4E95-BD91-257134D74ABD}">
  <dimension ref="A1:Z59"/>
  <sheetViews>
    <sheetView workbookViewId="0">
      <selection activeCell="D62" sqref="D62"/>
    </sheetView>
  </sheetViews>
  <sheetFormatPr defaultColWidth="8.77734375" defaultRowHeight="15" x14ac:dyDescent="0.25"/>
  <cols>
    <col min="1" max="1" width="9.33203125" style="1" customWidth="1"/>
    <col min="2" max="2" width="20.5546875" style="268" hidden="1" customWidth="1"/>
    <col min="3" max="3" width="1.44140625" style="1" hidden="1" customWidth="1"/>
    <col min="4" max="4" width="20.5546875" style="1" customWidth="1"/>
    <col min="5" max="5" width="12.5546875" style="261" customWidth="1"/>
    <col min="6" max="7" width="12.5546875" style="301" customWidth="1"/>
    <col min="8" max="10" width="12.5546875" style="7" customWidth="1"/>
    <col min="11" max="11" width="9.5546875" style="11" customWidth="1"/>
    <col min="12" max="12" width="3.5546875" style="1" customWidth="1"/>
    <col min="13" max="26" width="12.5546875" style="11" customWidth="1"/>
    <col min="27" max="16384" width="8.77734375" style="1"/>
  </cols>
  <sheetData>
    <row r="1" spans="1:21" x14ac:dyDescent="0.25">
      <c r="A1" s="420" t="s">
        <v>252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</row>
    <row r="2" spans="1:21" ht="15.4" customHeight="1" x14ac:dyDescent="0.25">
      <c r="A2" s="420" t="s">
        <v>21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</row>
    <row r="3" spans="1:21" x14ac:dyDescent="0.25">
      <c r="E3" s="302"/>
      <c r="F3" s="303"/>
      <c r="G3" s="303"/>
      <c r="H3" s="31"/>
      <c r="I3" s="31"/>
      <c r="J3" s="31" t="s">
        <v>1</v>
      </c>
      <c r="K3" s="11" t="s">
        <v>55</v>
      </c>
      <c r="N3" s="11" t="s">
        <v>244</v>
      </c>
      <c r="O3" s="11" t="s">
        <v>244</v>
      </c>
      <c r="Q3" s="11" t="s">
        <v>247</v>
      </c>
      <c r="R3" s="11" t="s">
        <v>247</v>
      </c>
    </row>
    <row r="4" spans="1:21" x14ac:dyDescent="0.25">
      <c r="E4" s="302" t="s">
        <v>22</v>
      </c>
      <c r="F4" s="303" t="s">
        <v>22</v>
      </c>
      <c r="G4" s="303" t="s">
        <v>23</v>
      </c>
      <c r="H4" s="31" t="s">
        <v>22</v>
      </c>
      <c r="I4" s="31" t="s">
        <v>22</v>
      </c>
      <c r="J4" s="31" t="s">
        <v>22</v>
      </c>
      <c r="K4" s="11" t="s">
        <v>51</v>
      </c>
      <c r="M4" s="11" t="s">
        <v>242</v>
      </c>
      <c r="N4" s="11" t="s">
        <v>245</v>
      </c>
      <c r="O4" s="11" t="s">
        <v>245</v>
      </c>
      <c r="Q4" s="11" t="s">
        <v>245</v>
      </c>
      <c r="R4" s="11" t="s">
        <v>245</v>
      </c>
      <c r="S4" s="11" t="s">
        <v>249</v>
      </c>
      <c r="T4" s="11" t="s">
        <v>249</v>
      </c>
      <c r="U4" s="11" t="s">
        <v>250</v>
      </c>
    </row>
    <row r="5" spans="1:21" x14ac:dyDescent="0.25">
      <c r="A5" s="258" t="s">
        <v>170</v>
      </c>
      <c r="B5" s="352" t="s">
        <v>240</v>
      </c>
      <c r="C5" s="258" t="s">
        <v>171</v>
      </c>
      <c r="D5" s="258" t="s">
        <v>316</v>
      </c>
      <c r="E5" s="304" t="s">
        <v>25</v>
      </c>
      <c r="F5" s="305" t="s">
        <v>26</v>
      </c>
      <c r="G5" s="305" t="s">
        <v>27</v>
      </c>
      <c r="H5" s="259" t="s">
        <v>28</v>
      </c>
      <c r="I5" s="259" t="s">
        <v>29</v>
      </c>
      <c r="J5" s="259" t="s">
        <v>30</v>
      </c>
      <c r="K5" s="260" t="s">
        <v>52</v>
      </c>
      <c r="M5" s="260" t="s">
        <v>243</v>
      </c>
      <c r="N5" s="260" t="s">
        <v>24</v>
      </c>
      <c r="O5" s="260" t="s">
        <v>243</v>
      </c>
      <c r="P5" s="260" t="s">
        <v>246</v>
      </c>
      <c r="Q5" s="260" t="s">
        <v>248</v>
      </c>
      <c r="R5" s="260" t="s">
        <v>243</v>
      </c>
      <c r="S5" s="260" t="s">
        <v>24</v>
      </c>
      <c r="T5" s="260" t="s">
        <v>243</v>
      </c>
      <c r="U5" s="260" t="s">
        <v>243</v>
      </c>
    </row>
    <row r="6" spans="1:21" x14ac:dyDescent="0.25">
      <c r="A6" s="10">
        <v>1</v>
      </c>
      <c r="B6" s="268" t="s">
        <v>259</v>
      </c>
      <c r="D6" s="1" t="s">
        <v>285</v>
      </c>
      <c r="E6" s="261">
        <v>2080</v>
      </c>
      <c r="G6" s="40">
        <v>22.82</v>
      </c>
      <c r="H6" s="7">
        <f>E6*G6</f>
        <v>47465.599999999999</v>
      </c>
      <c r="I6" s="7">
        <f>F6*G6*1.5</f>
        <v>0</v>
      </c>
      <c r="J6" s="7">
        <f>H6+I6</f>
        <v>47465.599999999999</v>
      </c>
      <c r="K6" s="7">
        <f t="shared" ref="K6:K8" si="0">H6*I6*1.5</f>
        <v>0</v>
      </c>
      <c r="M6" s="31">
        <f>J6*0.0765</f>
        <v>3631.1183999999998</v>
      </c>
      <c r="N6" s="31"/>
      <c r="O6" s="31"/>
      <c r="P6" s="31" t="s">
        <v>258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</row>
    <row r="7" spans="1:21" x14ac:dyDescent="0.25">
      <c r="A7" s="10">
        <f>A6+1</f>
        <v>2</v>
      </c>
      <c r="B7" s="354" t="s">
        <v>251</v>
      </c>
      <c r="D7" s="1" t="s">
        <v>286</v>
      </c>
      <c r="E7" s="261">
        <v>2080</v>
      </c>
      <c r="G7" s="40">
        <v>18.309999999999999</v>
      </c>
      <c r="H7" s="7">
        <f t="shared" ref="H7:H8" si="1">E7*G7</f>
        <v>38084.799999999996</v>
      </c>
      <c r="I7" s="7">
        <f t="shared" ref="I7:I8" si="2">F7*G7*1.5</f>
        <v>0</v>
      </c>
      <c r="J7" s="7">
        <f t="shared" ref="J7:J8" si="3">H7+I7</f>
        <v>38084.799999999996</v>
      </c>
      <c r="K7" s="7">
        <f t="shared" si="0"/>
        <v>0</v>
      </c>
      <c r="M7" s="31">
        <f t="shared" ref="M7:M8" si="4">J7*0.0765</f>
        <v>2913.4871999999996</v>
      </c>
      <c r="N7" s="31">
        <v>0</v>
      </c>
      <c r="O7" s="31">
        <v>0</v>
      </c>
      <c r="P7" s="31" t="s">
        <v>258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</row>
    <row r="8" spans="1:21" x14ac:dyDescent="0.25">
      <c r="A8" s="10">
        <f t="shared" ref="A8" si="5">A7+1</f>
        <v>3</v>
      </c>
      <c r="B8" s="268" t="s">
        <v>241</v>
      </c>
      <c r="D8" s="1" t="s">
        <v>251</v>
      </c>
      <c r="E8" s="261">
        <v>1300</v>
      </c>
      <c r="F8" s="301">
        <v>0</v>
      </c>
      <c r="G8" s="40">
        <v>20.07</v>
      </c>
      <c r="H8" s="7">
        <f t="shared" si="1"/>
        <v>26091</v>
      </c>
      <c r="I8" s="7">
        <f t="shared" si="2"/>
        <v>0</v>
      </c>
      <c r="J8" s="7">
        <f t="shared" si="3"/>
        <v>26091</v>
      </c>
      <c r="K8" s="7">
        <f t="shared" si="0"/>
        <v>0</v>
      </c>
      <c r="M8" s="31">
        <f t="shared" si="4"/>
        <v>1995.9614999999999</v>
      </c>
      <c r="N8" s="31">
        <v>0</v>
      </c>
      <c r="O8" s="31">
        <v>0</v>
      </c>
      <c r="P8" s="31" t="s">
        <v>258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</row>
    <row r="9" spans="1:21" x14ac:dyDescent="0.25">
      <c r="A9" s="10"/>
      <c r="G9" s="40"/>
      <c r="K9" s="266"/>
      <c r="M9" s="31"/>
      <c r="N9" s="31"/>
      <c r="O9" s="31"/>
      <c r="P9" s="31"/>
      <c r="Q9" s="31"/>
      <c r="R9" s="31"/>
      <c r="S9" s="31"/>
      <c r="T9" s="31"/>
      <c r="U9" s="31"/>
    </row>
    <row r="10" spans="1:21" x14ac:dyDescent="0.25">
      <c r="A10" s="10"/>
      <c r="G10" s="40"/>
      <c r="K10" s="266"/>
      <c r="M10" s="31"/>
      <c r="N10" s="31"/>
      <c r="O10" s="31"/>
      <c r="P10" s="31"/>
      <c r="Q10" s="31"/>
      <c r="R10" s="31"/>
      <c r="S10" s="31"/>
      <c r="T10" s="31"/>
      <c r="U10" s="31"/>
    </row>
    <row r="11" spans="1:21" x14ac:dyDescent="0.25">
      <c r="A11" s="10"/>
      <c r="G11" s="40"/>
      <c r="K11" s="266"/>
      <c r="M11" s="31"/>
      <c r="N11" s="31"/>
      <c r="O11" s="31"/>
      <c r="P11" s="31"/>
      <c r="Q11" s="31"/>
      <c r="R11" s="31"/>
      <c r="S11" s="31"/>
      <c r="T11" s="31"/>
      <c r="U11" s="31"/>
    </row>
    <row r="12" spans="1:21" x14ac:dyDescent="0.25">
      <c r="A12" s="10"/>
      <c r="G12" s="40"/>
      <c r="K12" s="266"/>
      <c r="M12" s="31"/>
      <c r="N12" s="31"/>
      <c r="O12" s="31"/>
      <c r="P12" s="31"/>
      <c r="Q12" s="31"/>
      <c r="R12" s="31"/>
      <c r="S12" s="31"/>
      <c r="T12" s="31"/>
      <c r="U12" s="31"/>
    </row>
    <row r="13" spans="1:21" x14ac:dyDescent="0.25">
      <c r="A13" s="10"/>
      <c r="G13" s="40"/>
      <c r="K13" s="266"/>
      <c r="M13" s="31"/>
      <c r="N13" s="31"/>
      <c r="O13" s="31"/>
      <c r="P13" s="31"/>
      <c r="Q13" s="31"/>
      <c r="R13" s="31"/>
      <c r="S13" s="31"/>
      <c r="T13" s="31"/>
      <c r="U13" s="31"/>
    </row>
    <row r="14" spans="1:21" x14ac:dyDescent="0.25">
      <c r="A14" s="10"/>
      <c r="G14" s="40"/>
      <c r="K14" s="266"/>
      <c r="M14" s="31"/>
      <c r="N14" s="31"/>
      <c r="O14" s="31"/>
      <c r="P14" s="31"/>
      <c r="Q14" s="31"/>
      <c r="R14" s="31"/>
      <c r="S14" s="31"/>
      <c r="T14" s="31"/>
      <c r="U14" s="31"/>
    </row>
    <row r="15" spans="1:21" x14ac:dyDescent="0.25">
      <c r="A15" s="10"/>
      <c r="G15" s="40"/>
      <c r="K15" s="266"/>
      <c r="M15" s="31"/>
      <c r="N15" s="31"/>
      <c r="O15" s="31"/>
      <c r="P15" s="31"/>
      <c r="Q15" s="31"/>
      <c r="R15" s="31"/>
      <c r="S15" s="31"/>
      <c r="T15" s="31"/>
      <c r="U15" s="31"/>
    </row>
    <row r="16" spans="1:21" x14ac:dyDescent="0.25">
      <c r="A16" s="10"/>
      <c r="E16" s="269"/>
      <c r="F16" s="90"/>
      <c r="G16" s="324"/>
      <c r="H16" s="9"/>
      <c r="I16" s="9"/>
      <c r="J16" s="9"/>
      <c r="K16" s="266"/>
      <c r="M16" s="353"/>
      <c r="N16" s="353"/>
      <c r="O16" s="353"/>
      <c r="P16" s="353"/>
      <c r="Q16" s="353"/>
      <c r="R16" s="353"/>
      <c r="S16" s="353"/>
      <c r="T16" s="353"/>
      <c r="U16" s="353"/>
    </row>
    <row r="17" spans="1:21" x14ac:dyDescent="0.25">
      <c r="A17" s="10"/>
      <c r="B17" s="354"/>
      <c r="E17" s="333"/>
      <c r="F17" s="46"/>
      <c r="G17" s="40"/>
      <c r="H17" s="180"/>
      <c r="I17" s="180"/>
      <c r="J17" s="180"/>
      <c r="K17" s="308"/>
      <c r="M17" s="259"/>
      <c r="N17" s="259"/>
      <c r="O17" s="259"/>
      <c r="P17" s="353"/>
      <c r="Q17" s="259"/>
      <c r="R17" s="259"/>
      <c r="S17" s="259"/>
      <c r="T17" s="259"/>
      <c r="U17" s="259"/>
    </row>
    <row r="18" spans="1:21" x14ac:dyDescent="0.25">
      <c r="C18" s="1" t="s">
        <v>50</v>
      </c>
      <c r="E18" s="261">
        <f>SUM(E6:E17)</f>
        <v>5460</v>
      </c>
      <c r="F18" s="301">
        <f>SUM(F6:F17)</f>
        <v>0</v>
      </c>
      <c r="G18" s="40"/>
      <c r="H18" s="7">
        <f>SUM(H6:H17)</f>
        <v>111641.4</v>
      </c>
      <c r="I18" s="7">
        <f>SUM(I6:I17)</f>
        <v>0</v>
      </c>
      <c r="J18" s="7">
        <f>SUM(J6:J17)</f>
        <v>111641.4</v>
      </c>
      <c r="K18" s="7">
        <f>SUM(K6:K17)</f>
        <v>0</v>
      </c>
      <c r="M18" s="7">
        <f t="shared" ref="M18:U18" si="6">SUM(M6:M17)</f>
        <v>8540.5670999999984</v>
      </c>
      <c r="N18" s="7">
        <f t="shared" si="6"/>
        <v>0</v>
      </c>
      <c r="O18" s="7">
        <f t="shared" si="6"/>
        <v>0</v>
      </c>
      <c r="P18" s="7"/>
      <c r="Q18" s="7">
        <f t="shared" si="6"/>
        <v>0</v>
      </c>
      <c r="R18" s="7">
        <f t="shared" si="6"/>
        <v>0</v>
      </c>
      <c r="S18" s="7">
        <f t="shared" si="6"/>
        <v>0</v>
      </c>
      <c r="T18" s="7">
        <f t="shared" si="6"/>
        <v>0</v>
      </c>
      <c r="U18" s="7">
        <f t="shared" si="6"/>
        <v>0</v>
      </c>
    </row>
    <row r="20" spans="1:21" x14ac:dyDescent="0.25">
      <c r="C20" s="1" t="s">
        <v>212</v>
      </c>
      <c r="J20" s="31" t="s">
        <v>8</v>
      </c>
    </row>
    <row r="21" spans="1:21" x14ac:dyDescent="0.25">
      <c r="G21" s="301" t="s">
        <v>31</v>
      </c>
      <c r="J21" s="7">
        <f>J18</f>
        <v>111641.4</v>
      </c>
    </row>
    <row r="22" spans="1:21" x14ac:dyDescent="0.25">
      <c r="G22" s="301" t="s">
        <v>32</v>
      </c>
      <c r="J22" s="46">
        <f>SAO!C12</f>
        <v>99347</v>
      </c>
    </row>
    <row r="23" spans="1:21" x14ac:dyDescent="0.25">
      <c r="G23" s="301" t="s">
        <v>33</v>
      </c>
      <c r="J23" s="301">
        <f>J21-J22</f>
        <v>12294.399999999994</v>
      </c>
      <c r="K23" s="10"/>
    </row>
    <row r="24" spans="1:21" x14ac:dyDescent="0.25">
      <c r="C24" s="317"/>
      <c r="E24" s="269"/>
      <c r="J24" s="301" t="s">
        <v>34</v>
      </c>
      <c r="K24" s="10"/>
    </row>
    <row r="25" spans="1:21" x14ac:dyDescent="0.25">
      <c r="E25" s="90"/>
      <c r="G25" s="301" t="s">
        <v>35</v>
      </c>
      <c r="J25" s="301">
        <f>J18</f>
        <v>111641.4</v>
      </c>
      <c r="K25" s="10"/>
    </row>
    <row r="26" spans="1:21" x14ac:dyDescent="0.25">
      <c r="E26" s="90"/>
      <c r="G26" s="301" t="s">
        <v>36</v>
      </c>
      <c r="J26" s="339">
        <v>7.6499999999999999E-2</v>
      </c>
      <c r="K26" s="10"/>
    </row>
    <row r="27" spans="1:21" x14ac:dyDescent="0.25">
      <c r="E27" s="90"/>
      <c r="G27" s="301" t="s">
        <v>37</v>
      </c>
      <c r="J27" s="301">
        <f>J25*J26</f>
        <v>8540.5671000000002</v>
      </c>
      <c r="K27" s="10"/>
    </row>
    <row r="28" spans="1:21" x14ac:dyDescent="0.25">
      <c r="E28" s="90"/>
      <c r="G28" s="301" t="s">
        <v>38</v>
      </c>
      <c r="J28" s="340">
        <f>SAO!C33</f>
        <v>8438</v>
      </c>
      <c r="K28" s="268"/>
    </row>
    <row r="29" spans="1:21" x14ac:dyDescent="0.25">
      <c r="E29" s="90"/>
      <c r="G29" s="301" t="s">
        <v>39</v>
      </c>
      <c r="J29" s="301">
        <f>J27-J28</f>
        <v>102.56710000000021</v>
      </c>
      <c r="K29" s="10"/>
    </row>
    <row r="30" spans="1:21" x14ac:dyDescent="0.25">
      <c r="E30" s="90"/>
      <c r="J30" s="301"/>
      <c r="K30" s="10"/>
    </row>
    <row r="31" spans="1:21" x14ac:dyDescent="0.25">
      <c r="E31" s="90"/>
      <c r="G31" s="301" t="s">
        <v>180</v>
      </c>
      <c r="J31" s="301">
        <f>K18</f>
        <v>0</v>
      </c>
      <c r="K31" s="10"/>
    </row>
    <row r="32" spans="1:21" x14ac:dyDescent="0.25">
      <c r="A32" s="474"/>
      <c r="B32" s="475"/>
      <c r="C32" s="474"/>
      <c r="D32" s="474"/>
      <c r="E32" s="269"/>
      <c r="G32" s="301" t="s">
        <v>179</v>
      </c>
      <c r="J32" s="339">
        <v>0.1862</v>
      </c>
      <c r="K32" s="268" t="s">
        <v>181</v>
      </c>
    </row>
    <row r="33" spans="1:11" x14ac:dyDescent="0.25">
      <c r="A33" s="474"/>
      <c r="B33" s="475"/>
      <c r="C33" s="474"/>
      <c r="D33" s="474"/>
      <c r="E33" s="269"/>
      <c r="G33" s="301" t="s">
        <v>40</v>
      </c>
      <c r="J33" s="301">
        <f>J31*J32</f>
        <v>0</v>
      </c>
      <c r="K33" s="10"/>
    </row>
    <row r="34" spans="1:11" x14ac:dyDescent="0.25">
      <c r="A34" s="474"/>
      <c r="B34" s="475"/>
      <c r="C34" s="474"/>
      <c r="D34" s="474"/>
      <c r="E34" s="269"/>
      <c r="G34" s="301" t="s">
        <v>41</v>
      </c>
      <c r="J34" s="46"/>
      <c r="K34" s="10"/>
    </row>
    <row r="35" spans="1:11" x14ac:dyDescent="0.25">
      <c r="A35" s="474"/>
      <c r="B35" s="475"/>
      <c r="C35" s="474"/>
      <c r="D35" s="474"/>
      <c r="E35" s="269"/>
      <c r="G35" s="301" t="s">
        <v>42</v>
      </c>
      <c r="J35" s="301">
        <f>J33-J34</f>
        <v>0</v>
      </c>
      <c r="K35" s="10"/>
    </row>
    <row r="36" spans="1:11" x14ac:dyDescent="0.25">
      <c r="A36" s="474"/>
      <c r="B36" s="475"/>
      <c r="C36" s="474"/>
      <c r="D36" s="474"/>
      <c r="E36" s="269"/>
    </row>
    <row r="37" spans="1:11" x14ac:dyDescent="0.25">
      <c r="A37" s="474"/>
      <c r="B37" s="475"/>
      <c r="C37" s="474"/>
      <c r="D37" s="474"/>
      <c r="E37" s="90"/>
    </row>
    <row r="38" spans="1:11" x14ac:dyDescent="0.25">
      <c r="A38" s="474"/>
      <c r="B38" s="475"/>
      <c r="C38" s="474"/>
      <c r="D38" s="474"/>
      <c r="E38" s="90"/>
    </row>
    <row r="39" spans="1:11" x14ac:dyDescent="0.25">
      <c r="A39" s="474"/>
      <c r="B39" s="475"/>
      <c r="C39" s="474"/>
      <c r="D39" s="474"/>
      <c r="E39" s="90"/>
    </row>
    <row r="40" spans="1:11" x14ac:dyDescent="0.25">
      <c r="A40" s="474"/>
      <c r="B40" s="475"/>
      <c r="C40" s="474"/>
      <c r="D40" s="474"/>
      <c r="E40" s="90"/>
    </row>
    <row r="41" spans="1:11" x14ac:dyDescent="0.25">
      <c r="A41" s="474"/>
      <c r="B41" s="475"/>
      <c r="C41" s="474"/>
      <c r="D41" s="474"/>
      <c r="E41" s="269"/>
    </row>
    <row r="42" spans="1:11" ht="15" customHeight="1" x14ac:dyDescent="0.25">
      <c r="A42" s="474"/>
      <c r="B42" s="475"/>
      <c r="C42" s="472"/>
      <c r="D42" s="470"/>
      <c r="E42" s="470"/>
      <c r="F42" s="90"/>
    </row>
    <row r="43" spans="1:11" ht="15" customHeight="1" x14ac:dyDescent="0.25">
      <c r="A43" s="474"/>
      <c r="B43" s="475"/>
      <c r="C43" s="477" t="s">
        <v>191</v>
      </c>
      <c r="D43" s="470"/>
      <c r="E43" s="470"/>
      <c r="F43" s="90"/>
    </row>
    <row r="44" spans="1:11" ht="15" customHeight="1" x14ac:dyDescent="0.25">
      <c r="A44" s="474"/>
      <c r="B44" s="475"/>
      <c r="C44" s="476" t="s">
        <v>192</v>
      </c>
      <c r="D44" s="471"/>
      <c r="E44" s="472"/>
      <c r="F44" s="90"/>
    </row>
    <row r="45" spans="1:11" ht="15" customHeight="1" x14ac:dyDescent="0.25">
      <c r="A45" s="474"/>
      <c r="B45" s="475"/>
      <c r="C45" s="476" t="s">
        <v>193</v>
      </c>
      <c r="D45" s="473"/>
      <c r="E45" s="472"/>
      <c r="F45" s="90"/>
    </row>
    <row r="46" spans="1:11" ht="15" customHeight="1" x14ac:dyDescent="0.25">
      <c r="A46" s="474"/>
      <c r="B46" s="475"/>
      <c r="C46" s="476" t="s">
        <v>194</v>
      </c>
      <c r="D46" s="473"/>
      <c r="E46" s="472"/>
    </row>
    <row r="47" spans="1:11" ht="15" customHeight="1" x14ac:dyDescent="0.25">
      <c r="A47" s="478"/>
      <c r="B47" s="479"/>
      <c r="C47" s="476" t="s">
        <v>195</v>
      </c>
      <c r="D47" s="480"/>
      <c r="E47" s="481"/>
    </row>
    <row r="48" spans="1:11" ht="15" customHeight="1" x14ac:dyDescent="0.25">
      <c r="A48" s="478"/>
      <c r="B48" s="479"/>
      <c r="C48" s="476" t="s">
        <v>196</v>
      </c>
      <c r="D48" s="480"/>
      <c r="E48" s="481"/>
    </row>
    <row r="49" spans="1:5" ht="15" customHeight="1" x14ac:dyDescent="0.25">
      <c r="A49" s="478"/>
      <c r="B49" s="479"/>
      <c r="C49" s="476" t="s">
        <v>199</v>
      </c>
      <c r="D49" s="480"/>
      <c r="E49" s="481"/>
    </row>
    <row r="50" spans="1:5" ht="14.25" customHeight="1" x14ac:dyDescent="0.25">
      <c r="A50" s="478"/>
      <c r="B50" s="479"/>
      <c r="C50" s="482" t="s">
        <v>200</v>
      </c>
      <c r="D50" s="483"/>
      <c r="E50" s="484"/>
    </row>
    <row r="51" spans="1:5" ht="14.25" customHeight="1" x14ac:dyDescent="0.25">
      <c r="A51" s="478"/>
      <c r="B51" s="479"/>
      <c r="C51" s="482"/>
      <c r="D51" s="483"/>
      <c r="E51" s="484"/>
    </row>
    <row r="52" spans="1:5" ht="14.25" customHeight="1" x14ac:dyDescent="0.25">
      <c r="A52" s="478"/>
      <c r="B52" s="479"/>
      <c r="C52" s="482"/>
      <c r="D52" s="483"/>
      <c r="E52" s="484"/>
    </row>
    <row r="53" spans="1:5" ht="15" customHeight="1" x14ac:dyDescent="0.25">
      <c r="A53" s="478"/>
      <c r="B53" s="479"/>
      <c r="C53" s="482"/>
      <c r="D53" s="483"/>
      <c r="E53" s="484"/>
    </row>
    <row r="54" spans="1:5" ht="15" customHeight="1" x14ac:dyDescent="0.25">
      <c r="A54" s="478"/>
      <c r="B54" s="479"/>
      <c r="C54" s="476" t="s">
        <v>201</v>
      </c>
      <c r="D54" s="480"/>
      <c r="E54" s="481"/>
    </row>
    <row r="55" spans="1:5" ht="15" customHeight="1" x14ac:dyDescent="0.25">
      <c r="A55" s="478"/>
      <c r="B55" s="479"/>
      <c r="C55" s="476" t="s">
        <v>197</v>
      </c>
      <c r="D55" s="472"/>
      <c r="E55" s="481"/>
    </row>
    <row r="56" spans="1:5" ht="15" customHeight="1" x14ac:dyDescent="0.25">
      <c r="A56" s="474"/>
      <c r="B56" s="475"/>
      <c r="C56" s="476" t="s">
        <v>198</v>
      </c>
      <c r="D56" s="471"/>
      <c r="E56" s="472"/>
    </row>
    <row r="57" spans="1:5" ht="15.75" customHeight="1" x14ac:dyDescent="0.25"/>
    <row r="58" spans="1:5" x14ac:dyDescent="0.25">
      <c r="D58" s="307"/>
    </row>
    <row r="59" spans="1:5" x14ac:dyDescent="0.25">
      <c r="D59" s="11"/>
    </row>
  </sheetData>
  <mergeCells count="7">
    <mergeCell ref="A1:K1"/>
    <mergeCell ref="A2:K2"/>
    <mergeCell ref="D42:D43"/>
    <mergeCell ref="E42:E43"/>
    <mergeCell ref="C50:C53"/>
    <mergeCell ref="D50:D53"/>
    <mergeCell ref="E50:E53"/>
  </mergeCells>
  <pageMargins left="0.7" right="0.7" top="0.75" bottom="0.75" header="0.3" footer="0.3"/>
  <pageSetup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502C5-2CD7-493D-BF25-B1BF26C1D76D}">
  <dimension ref="A1:J28"/>
  <sheetViews>
    <sheetView workbookViewId="0">
      <selection activeCell="C20" sqref="C20"/>
    </sheetView>
  </sheetViews>
  <sheetFormatPr defaultRowHeight="15" x14ac:dyDescent="0.25"/>
  <cols>
    <col min="1" max="1" width="28" style="38" bestFit="1" customWidth="1"/>
    <col min="2" max="2" width="6.5546875" style="107" bestFit="1" customWidth="1"/>
    <col min="3" max="3" width="9.6640625" style="38" bestFit="1" customWidth="1"/>
    <col min="4" max="5" width="14.77734375" style="38" customWidth="1"/>
    <col min="6" max="6" width="1.77734375" style="38" customWidth="1"/>
    <col min="7" max="9" width="14.77734375" style="270" customWidth="1"/>
    <col min="10" max="10" width="14.6640625" style="38" customWidth="1"/>
    <col min="11" max="16384" width="8.88671875" style="38"/>
  </cols>
  <sheetData>
    <row r="1" spans="1:10" x14ac:dyDescent="0.25">
      <c r="A1" s="38" t="s">
        <v>252</v>
      </c>
      <c r="B1" s="107" t="s">
        <v>258</v>
      </c>
    </row>
    <row r="2" spans="1:10" x14ac:dyDescent="0.25">
      <c r="A2" s="38" t="s">
        <v>182</v>
      </c>
    </row>
    <row r="4" spans="1:10" x14ac:dyDescent="0.25">
      <c r="A4" s="271" t="s">
        <v>183</v>
      </c>
      <c r="B4" s="271" t="s">
        <v>172</v>
      </c>
      <c r="C4" s="271" t="s">
        <v>13</v>
      </c>
      <c r="G4" s="421" t="s">
        <v>173</v>
      </c>
      <c r="H4" s="421"/>
      <c r="I4" s="285" t="s">
        <v>184</v>
      </c>
      <c r="J4" s="288" t="s">
        <v>184</v>
      </c>
    </row>
    <row r="5" spans="1:10" x14ac:dyDescent="0.25">
      <c r="A5" s="272" t="s">
        <v>174</v>
      </c>
      <c r="B5" s="272" t="s">
        <v>175</v>
      </c>
      <c r="C5" s="272" t="s">
        <v>176</v>
      </c>
      <c r="D5" s="321" t="s">
        <v>177</v>
      </c>
      <c r="E5" s="322" t="s">
        <v>24</v>
      </c>
      <c r="G5" s="284" t="s">
        <v>177</v>
      </c>
      <c r="H5" s="284" t="s">
        <v>24</v>
      </c>
      <c r="I5" s="286" t="s">
        <v>185</v>
      </c>
      <c r="J5" s="289" t="s">
        <v>186</v>
      </c>
    </row>
    <row r="6" spans="1:10" x14ac:dyDescent="0.25">
      <c r="A6" s="273" t="s">
        <v>213</v>
      </c>
      <c r="B6" s="318"/>
      <c r="C6" s="274"/>
      <c r="D6" s="283">
        <f>C6</f>
        <v>0</v>
      </c>
      <c r="E6" s="270">
        <f>C6-D6</f>
        <v>0</v>
      </c>
      <c r="G6" s="270">
        <f>$B6*D6*12</f>
        <v>0</v>
      </c>
      <c r="H6" s="270">
        <f t="shared" ref="H6:H8" si="0">$B6*E6*12</f>
        <v>0</v>
      </c>
      <c r="I6" s="287">
        <v>1</v>
      </c>
      <c r="J6" s="280">
        <f>(G6+H6)*I6</f>
        <v>0</v>
      </c>
    </row>
    <row r="7" spans="1:10" x14ac:dyDescent="0.25">
      <c r="A7" s="275" t="s">
        <v>214</v>
      </c>
      <c r="B7" s="319"/>
      <c r="C7" s="276"/>
      <c r="D7" s="270">
        <f>C7</f>
        <v>0</v>
      </c>
      <c r="E7" s="270">
        <f t="shared" ref="E7:E8" si="1">C7-D7</f>
        <v>0</v>
      </c>
      <c r="G7" s="270">
        <f t="shared" ref="G7:G8" si="2">$B7*D7*12</f>
        <v>0</v>
      </c>
      <c r="H7" s="270">
        <f t="shared" si="0"/>
        <v>0</v>
      </c>
      <c r="I7" s="287">
        <v>1</v>
      </c>
      <c r="J7" s="280">
        <f t="shared" ref="J7:J8" si="3">(G7+H7)*I7</f>
        <v>0</v>
      </c>
    </row>
    <row r="8" spans="1:10" x14ac:dyDescent="0.25">
      <c r="A8" s="277" t="s">
        <v>215</v>
      </c>
      <c r="B8" s="320"/>
      <c r="C8" s="278"/>
      <c r="D8" s="282">
        <f>C8*0.85</f>
        <v>0</v>
      </c>
      <c r="E8" s="279">
        <f t="shared" si="1"/>
        <v>0</v>
      </c>
      <c r="F8" s="323"/>
      <c r="G8" s="279">
        <f t="shared" si="2"/>
        <v>0</v>
      </c>
      <c r="H8" s="279">
        <f t="shared" si="0"/>
        <v>0</v>
      </c>
      <c r="I8" s="287">
        <v>1</v>
      </c>
      <c r="J8" s="290">
        <f t="shared" si="3"/>
        <v>0</v>
      </c>
    </row>
    <row r="9" spans="1:10" x14ac:dyDescent="0.25">
      <c r="B9" s="107">
        <f>SUM(B6:B8)</f>
        <v>0</v>
      </c>
      <c r="C9" s="280">
        <f>SUM(C6:C8)</f>
        <v>0</v>
      </c>
      <c r="D9" s="280">
        <f>SUM(D6:D8)</f>
        <v>0</v>
      </c>
      <c r="E9" s="280">
        <f>SUM(E6:E8)</f>
        <v>0</v>
      </c>
      <c r="F9" s="280"/>
      <c r="G9" s="270">
        <f>SUM(G6:G8)</f>
        <v>0</v>
      </c>
      <c r="H9" s="270">
        <f>SUM(H6:H8)</f>
        <v>0</v>
      </c>
      <c r="J9" s="270">
        <f>SUM(J6:J8)</f>
        <v>0</v>
      </c>
    </row>
    <row r="10" spans="1:10" x14ac:dyDescent="0.25">
      <c r="C10" s="280"/>
      <c r="D10" s="280"/>
      <c r="E10" s="280"/>
      <c r="F10" s="280"/>
      <c r="J10" s="270"/>
    </row>
    <row r="11" spans="1:10" x14ac:dyDescent="0.25">
      <c r="A11" s="38" t="s">
        <v>217</v>
      </c>
      <c r="C11" s="280">
        <f>J9</f>
        <v>0</v>
      </c>
      <c r="D11" s="280"/>
      <c r="E11" s="280"/>
      <c r="F11" s="280"/>
      <c r="J11" s="270"/>
    </row>
    <row r="12" spans="1:10" x14ac:dyDescent="0.25">
      <c r="A12" s="38" t="s">
        <v>188</v>
      </c>
      <c r="C12" s="290"/>
      <c r="D12" s="280" t="s">
        <v>219</v>
      </c>
      <c r="E12" s="280"/>
      <c r="F12" s="280"/>
      <c r="J12" s="270"/>
    </row>
    <row r="13" spans="1:10" x14ac:dyDescent="0.25">
      <c r="A13" s="38" t="s">
        <v>218</v>
      </c>
      <c r="C13" s="280">
        <f>C11-C12</f>
        <v>0</v>
      </c>
      <c r="D13" s="280"/>
      <c r="E13" s="280"/>
      <c r="F13" s="280"/>
      <c r="J13" s="270"/>
    </row>
    <row r="14" spans="1:10" x14ac:dyDescent="0.25">
      <c r="C14" s="280"/>
      <c r="D14" s="280"/>
      <c r="E14" s="280"/>
      <c r="F14" s="280"/>
      <c r="J14" s="270"/>
    </row>
    <row r="15" spans="1:10" x14ac:dyDescent="0.25">
      <c r="B15" s="281"/>
      <c r="E15" s="280"/>
      <c r="H15" s="280"/>
    </row>
    <row r="16" spans="1:10" x14ac:dyDescent="0.25">
      <c r="B16" s="281"/>
      <c r="E16" s="280"/>
      <c r="H16" s="280"/>
    </row>
    <row r="17" spans="1:10" x14ac:dyDescent="0.25">
      <c r="A17" s="271" t="s">
        <v>216</v>
      </c>
      <c r="B17" s="271" t="s">
        <v>172</v>
      </c>
      <c r="C17" s="271" t="s">
        <v>13</v>
      </c>
      <c r="G17" s="421" t="s">
        <v>173</v>
      </c>
      <c r="H17" s="421"/>
      <c r="I17" s="285" t="s">
        <v>184</v>
      </c>
      <c r="J17" s="288" t="s">
        <v>184</v>
      </c>
    </row>
    <row r="18" spans="1:10" x14ac:dyDescent="0.25">
      <c r="A18" s="272" t="s">
        <v>174</v>
      </c>
      <c r="B18" s="272" t="s">
        <v>175</v>
      </c>
      <c r="C18" s="272" t="s">
        <v>176</v>
      </c>
      <c r="D18" s="321" t="s">
        <v>177</v>
      </c>
      <c r="E18" s="322" t="s">
        <v>24</v>
      </c>
      <c r="G18" s="284" t="s">
        <v>177</v>
      </c>
      <c r="H18" s="284" t="s">
        <v>24</v>
      </c>
      <c r="I18" s="286" t="s">
        <v>185</v>
      </c>
      <c r="J18" s="289" t="s">
        <v>186</v>
      </c>
    </row>
    <row r="19" spans="1:10" x14ac:dyDescent="0.25">
      <c r="A19" s="335" t="s">
        <v>213</v>
      </c>
      <c r="B19" s="336"/>
      <c r="C19" s="337"/>
      <c r="D19" s="282">
        <f>C19</f>
        <v>0</v>
      </c>
      <c r="E19" s="279">
        <f>C19-D19</f>
        <v>0</v>
      </c>
      <c r="F19" s="323"/>
      <c r="G19" s="279">
        <f>$B19*D19*12</f>
        <v>0</v>
      </c>
      <c r="H19" s="279">
        <f t="shared" ref="H19" si="4">$B19*E19*12</f>
        <v>0</v>
      </c>
      <c r="I19" s="338">
        <v>1</v>
      </c>
      <c r="J19" s="290">
        <f t="shared" ref="J19" si="5">(G19+H19)*I19</f>
        <v>0</v>
      </c>
    </row>
    <row r="20" spans="1:10" x14ac:dyDescent="0.25">
      <c r="B20" s="107">
        <f>SUM(B19:B19)</f>
        <v>0</v>
      </c>
      <c r="C20" s="280">
        <f>SUM(C19:C19)</f>
        <v>0</v>
      </c>
      <c r="D20" s="280">
        <f>SUM(D19:D19)</f>
        <v>0</v>
      </c>
      <c r="E20" s="280">
        <f>SUM(E19:E19)</f>
        <v>0</v>
      </c>
      <c r="F20" s="280"/>
      <c r="G20" s="270">
        <f>SUM(G19:G19)</f>
        <v>0</v>
      </c>
      <c r="H20" s="270">
        <f>SUM(H19:H19)</f>
        <v>0</v>
      </c>
      <c r="J20" s="270">
        <f>SUM(J19:J19)</f>
        <v>0</v>
      </c>
    </row>
    <row r="21" spans="1:10" x14ac:dyDescent="0.25">
      <c r="B21" s="281"/>
      <c r="E21" s="280"/>
      <c r="H21" s="280"/>
    </row>
    <row r="22" spans="1:10" x14ac:dyDescent="0.25">
      <c r="A22" s="38" t="s">
        <v>187</v>
      </c>
      <c r="C22" s="280">
        <f>J20</f>
        <v>0</v>
      </c>
    </row>
    <row r="23" spans="1:10" x14ac:dyDescent="0.25">
      <c r="A23" s="38" t="s">
        <v>188</v>
      </c>
      <c r="C23" s="290"/>
    </row>
    <row r="24" spans="1:10" x14ac:dyDescent="0.25">
      <c r="A24" s="38" t="s">
        <v>220</v>
      </c>
      <c r="C24" s="280">
        <f>C22-C23</f>
        <v>0</v>
      </c>
    </row>
    <row r="26" spans="1:10" x14ac:dyDescent="0.25">
      <c r="A26" s="38" t="s">
        <v>221</v>
      </c>
      <c r="C26" s="280">
        <f>C13+C24</f>
        <v>0</v>
      </c>
    </row>
    <row r="27" spans="1:10" x14ac:dyDescent="0.25">
      <c r="C27" s="280"/>
    </row>
    <row r="28" spans="1:10" x14ac:dyDescent="0.25">
      <c r="C28" s="280"/>
    </row>
  </sheetData>
  <mergeCells count="2">
    <mergeCell ref="G4:H4"/>
    <mergeCell ref="G17:H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52E2D-32DB-42DA-8EA9-BE7E6793BDAF}">
  <dimension ref="B1:I38"/>
  <sheetViews>
    <sheetView topLeftCell="A19" workbookViewId="0">
      <selection activeCell="E10" sqref="E10"/>
    </sheetView>
  </sheetViews>
  <sheetFormatPr defaultRowHeight="14.25" x14ac:dyDescent="0.2"/>
  <cols>
    <col min="1" max="1" width="2.5546875" style="143" customWidth="1"/>
    <col min="2" max="2" width="1.5546875" style="143" customWidth="1"/>
    <col min="3" max="3" width="22" style="143" customWidth="1"/>
    <col min="4" max="4" width="9.88671875" style="142" bestFit="1" customWidth="1"/>
    <col min="5" max="5" width="9.6640625" style="142" bestFit="1" customWidth="1"/>
    <col min="6" max="6" width="10.33203125" style="143" bestFit="1" customWidth="1"/>
    <col min="7" max="8" width="8.88671875" style="143"/>
    <col min="9" max="9" width="1.5546875" style="143" customWidth="1"/>
    <col min="10" max="16384" width="8.88671875" style="143"/>
  </cols>
  <sheetData>
    <row r="1" spans="2:9" ht="15" thickBot="1" x14ac:dyDescent="0.25"/>
    <row r="2" spans="2:9" x14ac:dyDescent="0.2">
      <c r="B2" s="183"/>
      <c r="C2" s="184"/>
      <c r="D2" s="185"/>
      <c r="E2" s="185"/>
      <c r="F2" s="184"/>
      <c r="G2" s="184"/>
      <c r="H2" s="186"/>
    </row>
    <row r="3" spans="2:9" ht="18.75" x14ac:dyDescent="0.3">
      <c r="B3" s="187"/>
      <c r="C3" s="422" t="s">
        <v>252</v>
      </c>
      <c r="D3" s="422"/>
      <c r="E3" s="422"/>
      <c r="F3" s="422"/>
      <c r="G3" s="422"/>
      <c r="H3" s="423"/>
    </row>
    <row r="4" spans="2:9" ht="16.5" customHeight="1" x14ac:dyDescent="0.3">
      <c r="B4" s="187"/>
      <c r="C4" s="424" t="s">
        <v>100</v>
      </c>
      <c r="D4" s="424"/>
      <c r="E4" s="424"/>
      <c r="F4" s="424"/>
      <c r="G4" s="424"/>
      <c r="H4" s="425"/>
      <c r="I4" s="1"/>
    </row>
    <row r="5" spans="2:9" ht="15" x14ac:dyDescent="0.25">
      <c r="B5" s="187"/>
      <c r="C5" s="181"/>
      <c r="D5" s="12"/>
      <c r="E5" s="12"/>
      <c r="F5" s="1"/>
      <c r="G5" s="1"/>
      <c r="H5" s="189"/>
      <c r="I5" s="1"/>
    </row>
    <row r="6" spans="2:9" ht="15" x14ac:dyDescent="0.25">
      <c r="B6" s="187"/>
      <c r="C6" s="1" t="s">
        <v>101</v>
      </c>
      <c r="D6" s="12"/>
      <c r="E6" s="12"/>
      <c r="F6" s="1"/>
      <c r="G6" s="1"/>
      <c r="H6" s="189"/>
      <c r="I6" s="1"/>
    </row>
    <row r="7" spans="2:9" ht="15" x14ac:dyDescent="0.25">
      <c r="B7" s="187"/>
      <c r="C7" s="1" t="s">
        <v>102</v>
      </c>
      <c r="D7" s="12"/>
      <c r="E7" s="485">
        <v>53787</v>
      </c>
      <c r="F7" s="1"/>
      <c r="G7" s="1"/>
      <c r="H7" s="189"/>
      <c r="I7" s="1"/>
    </row>
    <row r="8" spans="2:9" ht="15" x14ac:dyDescent="0.25">
      <c r="B8" s="187"/>
      <c r="C8" s="1" t="s">
        <v>103</v>
      </c>
      <c r="D8" s="12"/>
      <c r="E8" s="12">
        <f>E6+E7</f>
        <v>53787</v>
      </c>
      <c r="F8" s="1"/>
      <c r="G8" s="1"/>
      <c r="H8" s="189"/>
      <c r="I8" s="1"/>
    </row>
    <row r="9" spans="2:9" ht="15" x14ac:dyDescent="0.25">
      <c r="B9" s="187"/>
      <c r="C9" s="1"/>
      <c r="D9" s="12"/>
      <c r="E9" s="12"/>
      <c r="F9" s="1"/>
      <c r="G9" s="1"/>
      <c r="H9" s="189"/>
      <c r="I9" s="1"/>
    </row>
    <row r="10" spans="2:9" ht="15" x14ac:dyDescent="0.25">
      <c r="B10" s="187"/>
      <c r="C10" s="1" t="s">
        <v>104</v>
      </c>
      <c r="D10" s="12"/>
      <c r="E10" s="12">
        <v>41262</v>
      </c>
      <c r="F10" s="1"/>
      <c r="G10" s="1"/>
      <c r="H10" s="189"/>
      <c r="I10" s="1"/>
    </row>
    <row r="11" spans="2:9" ht="15" x14ac:dyDescent="0.25">
      <c r="B11" s="187"/>
      <c r="C11" s="1"/>
      <c r="D11" s="12"/>
      <c r="E11" s="12"/>
      <c r="F11" s="1"/>
      <c r="G11" s="1"/>
      <c r="H11" s="189"/>
      <c r="I11" s="1"/>
    </row>
    <row r="12" spans="2:9" ht="15" x14ac:dyDescent="0.25">
      <c r="B12" s="187"/>
      <c r="C12" s="1" t="s">
        <v>105</v>
      </c>
      <c r="D12" s="12"/>
      <c r="E12" s="12"/>
      <c r="F12" s="1"/>
      <c r="G12" s="1"/>
      <c r="H12" s="189"/>
      <c r="I12" s="1"/>
    </row>
    <row r="13" spans="2:9" ht="15" x14ac:dyDescent="0.25">
      <c r="B13" s="187"/>
      <c r="C13" s="1" t="s">
        <v>106</v>
      </c>
      <c r="D13" s="12">
        <v>0</v>
      </c>
      <c r="E13" s="12"/>
      <c r="F13" s="1"/>
      <c r="G13" s="1"/>
      <c r="H13" s="189"/>
      <c r="I13" s="1"/>
    </row>
    <row r="14" spans="2:9" ht="15" x14ac:dyDescent="0.25">
      <c r="B14" s="187"/>
      <c r="C14" s="1" t="s">
        <v>107</v>
      </c>
      <c r="D14" s="12">
        <v>459</v>
      </c>
      <c r="E14" s="12"/>
      <c r="F14" s="1"/>
      <c r="G14" s="1"/>
      <c r="H14" s="189"/>
      <c r="I14" s="1"/>
    </row>
    <row r="15" spans="2:9" ht="15" x14ac:dyDescent="0.25">
      <c r="B15" s="187"/>
      <c r="C15" s="1" t="s">
        <v>108</v>
      </c>
      <c r="D15" s="12">
        <v>51</v>
      </c>
      <c r="E15" s="12"/>
      <c r="F15" s="1"/>
      <c r="G15" s="1"/>
      <c r="H15" s="189"/>
      <c r="I15" s="1"/>
    </row>
    <row r="16" spans="2:9" ht="15" x14ac:dyDescent="0.25">
      <c r="B16" s="187"/>
      <c r="C16" s="1" t="s">
        <v>109</v>
      </c>
      <c r="D16" s="44">
        <f>39+23</f>
        <v>62</v>
      </c>
      <c r="E16" s="12"/>
      <c r="F16" s="1"/>
      <c r="G16" s="1"/>
      <c r="H16" s="189"/>
      <c r="I16" s="1"/>
    </row>
    <row r="17" spans="2:9" ht="15" x14ac:dyDescent="0.25">
      <c r="B17" s="187"/>
      <c r="C17" s="1" t="s">
        <v>110</v>
      </c>
      <c r="D17" s="12"/>
      <c r="E17" s="12">
        <f>SUM(D13:D16)</f>
        <v>572</v>
      </c>
      <c r="F17" s="1"/>
      <c r="G17" s="1"/>
      <c r="H17" s="189"/>
      <c r="I17" s="1"/>
    </row>
    <row r="18" spans="2:9" ht="15" x14ac:dyDescent="0.25">
      <c r="B18" s="187"/>
      <c r="C18" s="1"/>
      <c r="D18" s="12"/>
      <c r="E18" s="12"/>
      <c r="F18" s="1"/>
      <c r="G18" s="1"/>
      <c r="H18" s="189"/>
      <c r="I18" s="1"/>
    </row>
    <row r="19" spans="2:9" ht="15" x14ac:dyDescent="0.25">
      <c r="B19" s="187"/>
      <c r="C19" s="1" t="s">
        <v>111</v>
      </c>
      <c r="D19" s="12"/>
      <c r="E19" s="12"/>
      <c r="F19" s="1"/>
      <c r="G19" s="1"/>
      <c r="H19" s="189"/>
      <c r="I19" s="1"/>
    </row>
    <row r="20" spans="2:9" ht="15" x14ac:dyDescent="0.25">
      <c r="B20" s="187"/>
      <c r="C20" s="1" t="s">
        <v>112</v>
      </c>
      <c r="D20" s="12">
        <v>0</v>
      </c>
      <c r="E20" s="12"/>
      <c r="F20" s="1"/>
      <c r="G20" s="1"/>
      <c r="H20" s="189"/>
      <c r="I20" s="1"/>
    </row>
    <row r="21" spans="2:9" ht="15" x14ac:dyDescent="0.25">
      <c r="B21" s="187"/>
      <c r="C21" s="1" t="s">
        <v>113</v>
      </c>
      <c r="D21" s="12">
        <v>0</v>
      </c>
      <c r="E21" s="12"/>
      <c r="F21" s="1"/>
      <c r="G21" s="1"/>
      <c r="H21" s="189"/>
      <c r="I21" s="1"/>
    </row>
    <row r="22" spans="2:9" ht="15" x14ac:dyDescent="0.25">
      <c r="B22" s="187"/>
      <c r="C22" s="1" t="s">
        <v>114</v>
      </c>
      <c r="D22" s="12">
        <v>0</v>
      </c>
      <c r="E22" s="12"/>
      <c r="F22" s="1"/>
      <c r="G22" s="1"/>
      <c r="H22" s="189"/>
      <c r="I22" s="1"/>
    </row>
    <row r="23" spans="2:9" ht="15" x14ac:dyDescent="0.25">
      <c r="B23" s="187"/>
      <c r="C23" s="1" t="s">
        <v>115</v>
      </c>
      <c r="D23" s="12">
        <v>11953</v>
      </c>
      <c r="E23" s="12"/>
      <c r="H23" s="188"/>
    </row>
    <row r="24" spans="2:9" ht="15" x14ac:dyDescent="0.25">
      <c r="B24" s="187"/>
      <c r="C24" s="1" t="s">
        <v>116</v>
      </c>
      <c r="D24" s="12"/>
      <c r="E24" s="44">
        <f>SUM(D20:D23)</f>
        <v>11953</v>
      </c>
      <c r="H24" s="188"/>
    </row>
    <row r="25" spans="2:9" ht="14.65" customHeight="1" x14ac:dyDescent="0.25">
      <c r="B25" s="187"/>
      <c r="C25" s="1" t="s">
        <v>117</v>
      </c>
      <c r="D25" s="12"/>
      <c r="E25" s="12">
        <f>E10+E17+E24</f>
        <v>53787</v>
      </c>
      <c r="H25" s="188"/>
    </row>
    <row r="26" spans="2:9" ht="15" x14ac:dyDescent="0.25">
      <c r="B26" s="187"/>
      <c r="C26" s="1"/>
      <c r="D26" s="145"/>
      <c r="E26" s="145"/>
      <c r="H26" s="188"/>
    </row>
    <row r="27" spans="2:9" x14ac:dyDescent="0.2">
      <c r="B27" s="187"/>
      <c r="D27" s="145"/>
      <c r="E27" s="145"/>
      <c r="H27" s="188"/>
    </row>
    <row r="28" spans="2:9" ht="15" x14ac:dyDescent="0.25">
      <c r="B28" s="187"/>
      <c r="D28" s="145"/>
      <c r="E28" s="145"/>
      <c r="F28" s="190">
        <f>E24/E8</f>
        <v>0.22222841950657221</v>
      </c>
      <c r="G28" s="1" t="s">
        <v>118</v>
      </c>
      <c r="H28" s="189"/>
      <c r="I28" s="1"/>
    </row>
    <row r="29" spans="2:9" ht="15" x14ac:dyDescent="0.25">
      <c r="B29" s="187"/>
      <c r="D29" s="145"/>
      <c r="E29" s="145"/>
      <c r="F29" s="146">
        <v>0.15</v>
      </c>
      <c r="G29" s="1" t="s">
        <v>119</v>
      </c>
      <c r="H29" s="189"/>
      <c r="I29" s="1"/>
    </row>
    <row r="30" spans="2:9" ht="15" x14ac:dyDescent="0.25">
      <c r="B30" s="187"/>
      <c r="D30" s="145"/>
      <c r="E30" s="145"/>
      <c r="F30" s="190">
        <f>IF(F28&gt;F29,F28-F29,0)</f>
        <v>7.2228419506572217E-2</v>
      </c>
      <c r="G30" s="1" t="s">
        <v>120</v>
      </c>
      <c r="H30" s="189"/>
      <c r="I30" s="10"/>
    </row>
    <row r="31" spans="2:9" x14ac:dyDescent="0.2">
      <c r="B31" s="187"/>
      <c r="D31" s="145"/>
      <c r="E31" s="145"/>
      <c r="H31" s="188"/>
    </row>
    <row r="32" spans="2:9" ht="15" x14ac:dyDescent="0.25">
      <c r="B32" s="187"/>
      <c r="C32" s="1" t="s">
        <v>121</v>
      </c>
      <c r="D32" s="12"/>
      <c r="E32" s="12"/>
      <c r="F32" s="11" t="s">
        <v>122</v>
      </c>
      <c r="H32" s="188"/>
    </row>
    <row r="33" spans="2:8" ht="15" x14ac:dyDescent="0.25">
      <c r="B33" s="187"/>
      <c r="C33" s="182" t="str">
        <f>SAO!B16</f>
        <v>Purchased Water</v>
      </c>
      <c r="D33" s="43">
        <f>SAO!C16</f>
        <v>108948</v>
      </c>
      <c r="E33" s="32"/>
      <c r="F33" s="398">
        <f>-D33*F30</f>
        <v>-7869.1418484020296</v>
      </c>
      <c r="H33" s="191"/>
    </row>
    <row r="34" spans="2:8" ht="15" x14ac:dyDescent="0.25">
      <c r="B34" s="187"/>
      <c r="C34" s="182" t="str">
        <f>SAO!B17</f>
        <v>Purchased Power</v>
      </c>
      <c r="D34" s="43">
        <f>SAO!C17</f>
        <v>14409</v>
      </c>
      <c r="E34" s="32"/>
      <c r="F34" s="398">
        <f>-D34*F30</f>
        <v>-1040.7392966701991</v>
      </c>
      <c r="H34" s="191"/>
    </row>
    <row r="35" spans="2:8" ht="15" x14ac:dyDescent="0.25">
      <c r="B35" s="187"/>
      <c r="C35" s="1" t="s">
        <v>127</v>
      </c>
      <c r="D35" s="144">
        <v>0</v>
      </c>
      <c r="E35" s="32"/>
      <c r="F35" s="401">
        <f>0</f>
        <v>0</v>
      </c>
      <c r="H35" s="188"/>
    </row>
    <row r="36" spans="2:8" ht="15" x14ac:dyDescent="0.25">
      <c r="B36" s="187"/>
      <c r="C36" s="1" t="s">
        <v>1</v>
      </c>
      <c r="D36" s="43">
        <f>SUM(D33:D35)</f>
        <v>123357</v>
      </c>
      <c r="E36" s="32"/>
      <c r="F36" s="43">
        <f>SUM(F33:F35)</f>
        <v>-8909.8811450722278</v>
      </c>
      <c r="H36" s="188"/>
    </row>
    <row r="37" spans="2:8" ht="15" x14ac:dyDescent="0.25">
      <c r="B37" s="187"/>
      <c r="C37" s="1"/>
      <c r="D37" s="43"/>
      <c r="E37" s="32"/>
      <c r="F37" s="43"/>
      <c r="H37" s="188"/>
    </row>
    <row r="38" spans="2:8" ht="15" thickBot="1" x14ac:dyDescent="0.25">
      <c r="B38" s="192"/>
      <c r="C38" s="193"/>
      <c r="D38" s="194"/>
      <c r="E38" s="194"/>
      <c r="F38" s="193"/>
      <c r="G38" s="193"/>
      <c r="H38" s="195"/>
    </row>
  </sheetData>
  <mergeCells count="2">
    <mergeCell ref="C3:H3"/>
    <mergeCell ref="C4:H4"/>
  </mergeCells>
  <printOptions horizontalCentered="1" verticalCentered="1"/>
  <pageMargins left="0.7" right="0.7" top="0.75" bottom="0.75" header="0.3" footer="0.3"/>
  <pageSetup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24D66-267B-47C6-8691-0B7760DD7D72}">
  <sheetPr>
    <pageSetUpPr fitToPage="1"/>
  </sheetPr>
  <dimension ref="A1:R51"/>
  <sheetViews>
    <sheetView topLeftCell="A2" zoomScaleNormal="100" workbookViewId="0">
      <selection activeCell="E13" sqref="E13"/>
    </sheetView>
  </sheetViews>
  <sheetFormatPr defaultRowHeight="15.75" x14ac:dyDescent="0.25"/>
  <cols>
    <col min="1" max="1" width="2" style="216" customWidth="1"/>
    <col min="2" max="3" width="1.88671875" style="216" customWidth="1"/>
    <col min="4" max="4" width="27.44140625" style="38" customWidth="1"/>
    <col min="5" max="5" width="8.33203125" style="38" customWidth="1"/>
    <col min="6" max="6" width="10.6640625" style="214" customWidth="1"/>
    <col min="7" max="7" width="6.109375" style="38" customWidth="1"/>
    <col min="8" max="8" width="9.33203125" style="254" customWidth="1"/>
    <col min="9" max="9" width="6.109375" style="216" customWidth="1"/>
    <col min="10" max="10" width="9.33203125" style="254" customWidth="1"/>
    <col min="11" max="11" width="10.6640625" style="216" customWidth="1"/>
    <col min="12" max="12" width="1.88671875" style="216" customWidth="1"/>
    <col min="13" max="13" width="2.44140625" style="216" customWidth="1"/>
    <col min="14" max="14" width="8.88671875" style="216"/>
    <col min="15" max="15" width="0" style="38" hidden="1" customWidth="1"/>
    <col min="16" max="18" width="8.88671875" style="38"/>
    <col min="19" max="16384" width="8.88671875" style="216"/>
  </cols>
  <sheetData>
    <row r="1" spans="1:15" x14ac:dyDescent="0.25">
      <c r="A1" s="38"/>
      <c r="B1" s="38"/>
      <c r="C1" s="213"/>
      <c r="D1" s="213"/>
      <c r="E1" s="213"/>
      <c r="G1" s="215"/>
      <c r="H1" s="155"/>
      <c r="I1" s="215"/>
      <c r="J1" s="155"/>
      <c r="K1" s="213"/>
      <c r="L1" s="213"/>
      <c r="M1" s="213"/>
    </row>
    <row r="2" spans="1:15" x14ac:dyDescent="0.25">
      <c r="A2" s="38"/>
      <c r="B2" s="217"/>
      <c r="C2" s="218"/>
      <c r="D2" s="218"/>
      <c r="E2" s="218"/>
      <c r="F2" s="219"/>
      <c r="G2" s="220"/>
      <c r="H2" s="221"/>
      <c r="I2" s="220"/>
      <c r="J2" s="221"/>
      <c r="K2" s="218"/>
      <c r="L2" s="222"/>
      <c r="M2" s="223"/>
    </row>
    <row r="3" spans="1:15" ht="18.75" x14ac:dyDescent="0.3">
      <c r="A3" s="38"/>
      <c r="B3" s="224"/>
      <c r="C3" s="428" t="s">
        <v>6</v>
      </c>
      <c r="D3" s="428"/>
      <c r="E3" s="428"/>
      <c r="F3" s="428"/>
      <c r="G3" s="428"/>
      <c r="H3" s="428"/>
      <c r="I3" s="428"/>
      <c r="J3" s="428"/>
      <c r="K3" s="428"/>
      <c r="L3" s="225"/>
      <c r="M3" s="223"/>
    </row>
    <row r="4" spans="1:15" ht="18.75" x14ac:dyDescent="0.3">
      <c r="A4" s="38"/>
      <c r="B4" s="224"/>
      <c r="C4" s="429" t="s">
        <v>134</v>
      </c>
      <c r="D4" s="429"/>
      <c r="E4" s="429"/>
      <c r="F4" s="429"/>
      <c r="G4" s="429"/>
      <c r="H4" s="429"/>
      <c r="I4" s="429"/>
      <c r="J4" s="429"/>
      <c r="K4" s="429"/>
      <c r="L4" s="225"/>
      <c r="M4" s="223"/>
      <c r="O4" s="38">
        <v>100872.07</v>
      </c>
    </row>
    <row r="5" spans="1:15" x14ac:dyDescent="0.25">
      <c r="A5" s="38"/>
      <c r="B5" s="224"/>
      <c r="C5" s="426" t="s">
        <v>252</v>
      </c>
      <c r="D5" s="426"/>
      <c r="E5" s="426"/>
      <c r="F5" s="426"/>
      <c r="G5" s="426"/>
      <c r="H5" s="426"/>
      <c r="I5" s="426"/>
      <c r="J5" s="426"/>
      <c r="K5" s="426"/>
      <c r="L5" s="225"/>
      <c r="M5" s="223"/>
      <c r="O5" s="38">
        <v>1016331.11</v>
      </c>
    </row>
    <row r="6" spans="1:15" x14ac:dyDescent="0.25">
      <c r="A6" s="38"/>
      <c r="B6" s="227"/>
      <c r="C6" s="228"/>
      <c r="D6" s="228"/>
      <c r="E6" s="228"/>
      <c r="F6" s="228"/>
      <c r="G6" s="228"/>
      <c r="H6" s="228"/>
      <c r="I6" s="228"/>
      <c r="J6" s="228"/>
      <c r="K6" s="228"/>
      <c r="L6" s="229"/>
      <c r="M6" s="223"/>
      <c r="O6" s="38">
        <v>87277.39</v>
      </c>
    </row>
    <row r="7" spans="1:15" x14ac:dyDescent="0.25">
      <c r="A7" s="38"/>
      <c r="B7" s="224"/>
      <c r="C7" s="226"/>
      <c r="D7" s="226"/>
      <c r="E7" s="226"/>
      <c r="F7" s="226"/>
      <c r="G7" s="226"/>
      <c r="H7" s="226"/>
      <c r="I7" s="226"/>
      <c r="J7" s="226"/>
      <c r="K7" s="226"/>
      <c r="L7" s="225"/>
      <c r="M7" s="223"/>
      <c r="O7" s="38">
        <v>50000</v>
      </c>
    </row>
    <row r="8" spans="1:15" x14ac:dyDescent="0.25">
      <c r="A8" s="38"/>
      <c r="B8" s="224"/>
      <c r="C8" s="213"/>
      <c r="D8" s="213"/>
      <c r="E8" s="213"/>
      <c r="G8" s="215"/>
      <c r="H8" s="155"/>
      <c r="I8" s="215"/>
      <c r="J8" s="155"/>
      <c r="K8" s="230" t="s">
        <v>81</v>
      </c>
      <c r="L8" s="225"/>
      <c r="M8" s="223"/>
      <c r="O8" s="38">
        <v>28948.16</v>
      </c>
    </row>
    <row r="9" spans="1:15" x14ac:dyDescent="0.25">
      <c r="A9" s="38"/>
      <c r="B9" s="224"/>
      <c r="C9" s="231"/>
      <c r="D9" s="231"/>
      <c r="E9" s="231" t="s">
        <v>135</v>
      </c>
      <c r="F9" s="232" t="s">
        <v>165</v>
      </c>
      <c r="G9" s="427" t="s">
        <v>166</v>
      </c>
      <c r="H9" s="427"/>
      <c r="I9" s="427" t="s">
        <v>9</v>
      </c>
      <c r="J9" s="427"/>
      <c r="K9" s="230" t="s">
        <v>136</v>
      </c>
      <c r="L9" s="225"/>
      <c r="M9" s="223"/>
      <c r="O9" s="38">
        <v>207674.06</v>
      </c>
    </row>
    <row r="10" spans="1:15" ht="18" x14ac:dyDescent="0.4">
      <c r="A10" s="38"/>
      <c r="B10" s="224"/>
      <c r="C10" s="230"/>
      <c r="D10" s="234" t="s">
        <v>167</v>
      </c>
      <c r="E10" s="230" t="s">
        <v>137</v>
      </c>
      <c r="F10" s="235" t="s">
        <v>169</v>
      </c>
      <c r="G10" s="233" t="s">
        <v>168</v>
      </c>
      <c r="H10" s="230" t="s">
        <v>138</v>
      </c>
      <c r="I10" s="233" t="s">
        <v>168</v>
      </c>
      <c r="J10" s="230" t="s">
        <v>138</v>
      </c>
      <c r="K10" s="230" t="s">
        <v>122</v>
      </c>
      <c r="L10" s="225"/>
      <c r="M10" s="223"/>
      <c r="O10" s="38">
        <v>22742.41</v>
      </c>
    </row>
    <row r="11" spans="1:15" x14ac:dyDescent="0.25">
      <c r="A11" s="38"/>
      <c r="B11" s="224"/>
      <c r="C11" s="236" t="s">
        <v>139</v>
      </c>
      <c r="D11" s="213"/>
      <c r="E11" s="237"/>
      <c r="G11" s="215"/>
      <c r="H11" s="238"/>
      <c r="I11" s="215"/>
      <c r="J11" s="238"/>
      <c r="K11" s="177"/>
      <c r="L11" s="225"/>
      <c r="M11" s="223"/>
      <c r="O11" s="38">
        <v>8265.3799999999992</v>
      </c>
    </row>
    <row r="12" spans="1:15" x14ac:dyDescent="0.25">
      <c r="A12" s="38"/>
      <c r="B12" s="224"/>
      <c r="C12" s="236"/>
      <c r="D12" s="213" t="s">
        <v>140</v>
      </c>
      <c r="E12" s="237" t="s">
        <v>282</v>
      </c>
      <c r="F12" s="239">
        <v>113717.55</v>
      </c>
      <c r="G12" s="240" t="s">
        <v>283</v>
      </c>
      <c r="H12" s="165">
        <v>1347.31</v>
      </c>
      <c r="I12" s="215">
        <v>37.5</v>
      </c>
      <c r="J12" s="51">
        <f>F12/I12</f>
        <v>3032.4680000000003</v>
      </c>
      <c r="K12" s="50">
        <f>J12-H12</f>
        <v>1685.1580000000004</v>
      </c>
      <c r="L12" s="225"/>
      <c r="M12" s="223"/>
      <c r="O12" s="38">
        <v>99326.27</v>
      </c>
    </row>
    <row r="13" spans="1:15" x14ac:dyDescent="0.25">
      <c r="A13" s="38"/>
      <c r="B13" s="224"/>
      <c r="C13" s="236"/>
      <c r="D13" s="213" t="s">
        <v>141</v>
      </c>
      <c r="E13" s="237" t="s">
        <v>282</v>
      </c>
      <c r="F13" s="239">
        <v>100872.07</v>
      </c>
      <c r="G13" s="240" t="s">
        <v>283</v>
      </c>
      <c r="H13" s="165">
        <v>883.65</v>
      </c>
      <c r="I13" s="215">
        <v>10</v>
      </c>
      <c r="J13" s="51">
        <f t="shared" ref="J13:J16" si="0">F13/I13</f>
        <v>10087.207</v>
      </c>
      <c r="K13" s="50">
        <f t="shared" ref="K13:K16" si="1">J13-H13</f>
        <v>9203.5570000000007</v>
      </c>
      <c r="L13" s="225"/>
      <c r="M13" s="223"/>
      <c r="O13" s="38">
        <v>38637.96</v>
      </c>
    </row>
    <row r="14" spans="1:15" x14ac:dyDescent="0.25">
      <c r="A14" s="38"/>
      <c r="B14" s="224"/>
      <c r="C14" s="213"/>
      <c r="D14" s="213" t="s">
        <v>142</v>
      </c>
      <c r="E14" s="237" t="s">
        <v>282</v>
      </c>
      <c r="F14" s="239">
        <v>8265.3799999999992</v>
      </c>
      <c r="G14" s="240"/>
      <c r="H14" s="165">
        <v>0</v>
      </c>
      <c r="I14" s="215">
        <v>22.5</v>
      </c>
      <c r="J14" s="51">
        <f t="shared" si="0"/>
        <v>367.35022222222221</v>
      </c>
      <c r="K14" s="50">
        <f t="shared" si="1"/>
        <v>367.35022222222221</v>
      </c>
      <c r="L14" s="225"/>
      <c r="M14" s="223"/>
      <c r="O14" s="38">
        <v>113717.55</v>
      </c>
    </row>
    <row r="15" spans="1:15" x14ac:dyDescent="0.25">
      <c r="A15" s="38"/>
      <c r="B15" s="224"/>
      <c r="C15" s="213"/>
      <c r="D15" s="213" t="s">
        <v>143</v>
      </c>
      <c r="E15" s="237" t="s">
        <v>282</v>
      </c>
      <c r="F15" s="239">
        <v>22742.41</v>
      </c>
      <c r="G15" s="240" t="s">
        <v>283</v>
      </c>
      <c r="H15" s="165">
        <v>2678.57</v>
      </c>
      <c r="I15" s="215">
        <v>12.5</v>
      </c>
      <c r="J15" s="51">
        <f t="shared" si="0"/>
        <v>1819.3928000000001</v>
      </c>
      <c r="K15" s="50">
        <f t="shared" si="1"/>
        <v>-859.17720000000008</v>
      </c>
      <c r="L15" s="225"/>
      <c r="M15" s="223"/>
      <c r="O15" s="38">
        <v>8383.33</v>
      </c>
    </row>
    <row r="16" spans="1:15" x14ac:dyDescent="0.25">
      <c r="A16" s="38"/>
      <c r="B16" s="224"/>
      <c r="C16" s="213"/>
      <c r="D16" s="213" t="s">
        <v>144</v>
      </c>
      <c r="E16" s="237" t="s">
        <v>282</v>
      </c>
      <c r="F16" s="239">
        <v>8383.33</v>
      </c>
      <c r="G16" s="240" t="s">
        <v>283</v>
      </c>
      <c r="H16" s="51">
        <v>0</v>
      </c>
      <c r="I16" s="215">
        <v>17.5</v>
      </c>
      <c r="J16" s="51">
        <f t="shared" si="0"/>
        <v>479.04742857142855</v>
      </c>
      <c r="K16" s="50">
        <f t="shared" si="1"/>
        <v>479.04742857142855</v>
      </c>
      <c r="L16" s="225"/>
      <c r="M16" s="223"/>
      <c r="O16" s="38">
        <v>875021.71</v>
      </c>
    </row>
    <row r="17" spans="1:15" x14ac:dyDescent="0.25">
      <c r="A17" s="38"/>
      <c r="B17" s="224"/>
      <c r="C17" s="213"/>
      <c r="D17" s="213" t="s">
        <v>256</v>
      </c>
      <c r="E17" s="237" t="s">
        <v>282</v>
      </c>
      <c r="F17" s="239">
        <v>50000</v>
      </c>
      <c r="G17" s="240"/>
      <c r="H17" s="51">
        <v>0</v>
      </c>
      <c r="I17" s="215"/>
      <c r="J17" s="51">
        <v>0</v>
      </c>
      <c r="K17" s="50"/>
      <c r="L17" s="225"/>
      <c r="M17" s="223"/>
      <c r="O17" s="38">
        <v>26513</v>
      </c>
    </row>
    <row r="18" spans="1:15" hidden="1" x14ac:dyDescent="0.25">
      <c r="A18" s="38"/>
      <c r="B18" s="224"/>
      <c r="C18" s="236" t="s">
        <v>145</v>
      </c>
      <c r="D18" s="213"/>
      <c r="E18" s="237"/>
      <c r="F18" s="239"/>
      <c r="G18" s="240"/>
      <c r="H18" s="51"/>
      <c r="I18" s="215"/>
      <c r="J18" s="51"/>
      <c r="K18" s="50"/>
      <c r="L18" s="225"/>
      <c r="M18" s="223"/>
    </row>
    <row r="19" spans="1:15" hidden="1" x14ac:dyDescent="0.25">
      <c r="A19" s="38"/>
      <c r="B19" s="224"/>
      <c r="C19" s="213"/>
      <c r="D19" s="213" t="s">
        <v>146</v>
      </c>
      <c r="E19" s="237"/>
      <c r="F19" s="239"/>
      <c r="G19" s="240"/>
      <c r="H19" s="51"/>
      <c r="I19" s="215">
        <v>62.5</v>
      </c>
      <c r="J19" s="51">
        <f t="shared" ref="J19:J20" si="2">F19/I19</f>
        <v>0</v>
      </c>
      <c r="K19" s="50">
        <f t="shared" ref="K19:K20" si="3">J19-H19</f>
        <v>0</v>
      </c>
      <c r="L19" s="225"/>
      <c r="M19" s="223"/>
    </row>
    <row r="20" spans="1:15" hidden="1" x14ac:dyDescent="0.25">
      <c r="A20" s="38"/>
      <c r="B20" s="224"/>
      <c r="C20" s="213"/>
      <c r="D20" s="213" t="s">
        <v>147</v>
      </c>
      <c r="E20" s="237"/>
      <c r="F20" s="239"/>
      <c r="G20" s="240"/>
      <c r="H20" s="165"/>
      <c r="I20" s="215">
        <v>62.5</v>
      </c>
      <c r="J20" s="51">
        <f t="shared" si="2"/>
        <v>0</v>
      </c>
      <c r="K20" s="50">
        <f t="shared" si="3"/>
        <v>0</v>
      </c>
      <c r="L20" s="225"/>
      <c r="M20" s="223"/>
    </row>
    <row r="21" spans="1:15" x14ac:dyDescent="0.25">
      <c r="A21" s="38"/>
      <c r="B21" s="224"/>
      <c r="C21" s="230"/>
      <c r="D21" s="230"/>
      <c r="E21" s="230"/>
      <c r="F21" s="241"/>
      <c r="G21" s="233"/>
      <c r="H21" s="242"/>
      <c r="I21" s="233"/>
      <c r="J21" s="242"/>
      <c r="K21" s="230"/>
      <c r="L21" s="225"/>
      <c r="M21" s="223"/>
      <c r="O21" s="38">
        <f>SUM(O4:O20)</f>
        <v>2683710.3999999994</v>
      </c>
    </row>
    <row r="22" spans="1:15" hidden="1" x14ac:dyDescent="0.25">
      <c r="A22" s="38"/>
      <c r="B22" s="224"/>
      <c r="C22" s="236" t="s">
        <v>148</v>
      </c>
      <c r="D22" s="213"/>
      <c r="E22" s="237"/>
      <c r="G22" s="243"/>
      <c r="H22" s="238"/>
      <c r="I22" s="243"/>
      <c r="J22" s="238"/>
      <c r="K22" s="177"/>
      <c r="L22" s="225"/>
      <c r="M22" s="223"/>
    </row>
    <row r="23" spans="1:15" hidden="1" x14ac:dyDescent="0.25">
      <c r="A23" s="38"/>
      <c r="B23" s="224"/>
      <c r="C23" s="236"/>
      <c r="D23" s="213" t="s">
        <v>140</v>
      </c>
      <c r="E23" s="237"/>
      <c r="F23" s="239"/>
      <c r="G23" s="240"/>
      <c r="H23" s="51"/>
      <c r="I23" s="215">
        <v>37.5</v>
      </c>
      <c r="J23" s="51">
        <f t="shared" ref="J23:J24" si="4">F23/I23</f>
        <v>0</v>
      </c>
      <c r="K23" s="50">
        <f t="shared" ref="K23:K24" si="5">J23-H23</f>
        <v>0</v>
      </c>
      <c r="L23" s="225"/>
      <c r="M23" s="223"/>
    </row>
    <row r="24" spans="1:15" hidden="1" x14ac:dyDescent="0.25">
      <c r="A24" s="38"/>
      <c r="B24" s="224"/>
      <c r="C24" s="213"/>
      <c r="D24" s="213" t="s">
        <v>149</v>
      </c>
      <c r="E24" s="237"/>
      <c r="G24" s="240"/>
      <c r="H24" s="51"/>
      <c r="I24" s="215">
        <v>10</v>
      </c>
      <c r="J24" s="51">
        <f t="shared" si="4"/>
        <v>0</v>
      </c>
      <c r="K24" s="50">
        <f t="shared" si="5"/>
        <v>0</v>
      </c>
      <c r="L24" s="225"/>
      <c r="M24" s="223"/>
    </row>
    <row r="25" spans="1:15" hidden="1" x14ac:dyDescent="0.25">
      <c r="A25" s="38"/>
      <c r="B25" s="224"/>
      <c r="C25" s="213"/>
      <c r="D25" s="213" t="s">
        <v>150</v>
      </c>
      <c r="E25" s="237"/>
      <c r="G25" s="240"/>
      <c r="H25" s="165"/>
      <c r="I25" s="215">
        <v>20</v>
      </c>
      <c r="J25" s="238">
        <f>F25/I25</f>
        <v>0</v>
      </c>
      <c r="K25" s="50">
        <f>J25-H25</f>
        <v>0</v>
      </c>
      <c r="L25" s="225"/>
      <c r="M25" s="223"/>
    </row>
    <row r="26" spans="1:15" hidden="1" x14ac:dyDescent="0.25">
      <c r="A26" s="38"/>
      <c r="B26" s="224"/>
      <c r="C26" s="230"/>
      <c r="D26" s="230"/>
      <c r="E26" s="230"/>
      <c r="G26" s="240"/>
      <c r="H26" s="238"/>
      <c r="I26" s="243"/>
      <c r="J26" s="238"/>
      <c r="K26" s="177"/>
      <c r="L26" s="225"/>
      <c r="M26" s="223"/>
    </row>
    <row r="27" spans="1:15" x14ac:dyDescent="0.25">
      <c r="A27" s="38"/>
      <c r="B27" s="224"/>
      <c r="C27" s="236" t="s">
        <v>151</v>
      </c>
      <c r="D27" s="213"/>
      <c r="E27" s="237"/>
      <c r="G27" s="240"/>
      <c r="H27" s="238"/>
      <c r="I27" s="215"/>
      <c r="J27" s="238"/>
      <c r="K27" s="177"/>
      <c r="L27" s="225"/>
      <c r="M27" s="223"/>
    </row>
    <row r="28" spans="1:15" x14ac:dyDescent="0.25">
      <c r="A28" s="38"/>
      <c r="B28" s="224"/>
      <c r="C28" s="236"/>
      <c r="D28" s="213" t="s">
        <v>152</v>
      </c>
      <c r="E28" s="237" t="s">
        <v>282</v>
      </c>
      <c r="F28" s="239">
        <f>14789.22+81097.89-8609.72</f>
        <v>87277.39</v>
      </c>
      <c r="G28" s="240">
        <v>50</v>
      </c>
      <c r="H28" s="165">
        <v>934.57</v>
      </c>
      <c r="I28" s="215">
        <v>50</v>
      </c>
      <c r="J28" s="51">
        <f>H28</f>
        <v>934.57</v>
      </c>
      <c r="K28" s="50">
        <f t="shared" ref="K28:K30" si="6">J28-H28</f>
        <v>0</v>
      </c>
      <c r="L28" s="225"/>
      <c r="M28" s="223"/>
    </row>
    <row r="29" spans="1:15" x14ac:dyDescent="0.25">
      <c r="A29" s="38"/>
      <c r="B29" s="224"/>
      <c r="C29" s="236"/>
      <c r="D29" s="213" t="s">
        <v>153</v>
      </c>
      <c r="E29" s="237" t="s">
        <v>282</v>
      </c>
      <c r="F29" s="239">
        <f>863263.99+11757.72</f>
        <v>875021.71</v>
      </c>
      <c r="G29" s="240">
        <v>62.5</v>
      </c>
      <c r="H29" s="165">
        <v>13906.29</v>
      </c>
      <c r="I29" s="215">
        <v>62.5</v>
      </c>
      <c r="J29" s="51">
        <f t="shared" ref="J29:J35" si="7">F29/I29</f>
        <v>14000.34736</v>
      </c>
      <c r="K29" s="50">
        <f t="shared" si="6"/>
        <v>94.05735999999888</v>
      </c>
      <c r="L29" s="225"/>
      <c r="M29" s="223"/>
    </row>
    <row r="30" spans="1:15" x14ac:dyDescent="0.25">
      <c r="A30" s="38"/>
      <c r="B30" s="224"/>
      <c r="C30" s="236"/>
      <c r="D30" s="213" t="s">
        <v>154</v>
      </c>
      <c r="E30" s="237" t="s">
        <v>282</v>
      </c>
      <c r="F30" s="239">
        <f>201541.59+6132.46</f>
        <v>207674.05</v>
      </c>
      <c r="G30" s="240">
        <v>40</v>
      </c>
      <c r="H30" s="165">
        <v>11829.96</v>
      </c>
      <c r="I30" s="215">
        <v>20</v>
      </c>
      <c r="J30" s="51">
        <f t="shared" si="7"/>
        <v>10383.702499999999</v>
      </c>
      <c r="K30" s="50">
        <f t="shared" si="6"/>
        <v>-1446.2574999999997</v>
      </c>
      <c r="L30" s="225"/>
      <c r="M30" s="223"/>
    </row>
    <row r="31" spans="1:15" x14ac:dyDescent="0.25">
      <c r="A31" s="38"/>
      <c r="B31" s="224"/>
      <c r="C31" s="236"/>
      <c r="D31" s="213" t="s">
        <v>178</v>
      </c>
      <c r="E31" s="237"/>
      <c r="F31" s="239"/>
      <c r="G31" s="240"/>
      <c r="H31" s="165"/>
      <c r="I31" s="215">
        <v>45</v>
      </c>
      <c r="J31" s="51">
        <f t="shared" ref="J31:J34" si="8">F31/I31</f>
        <v>0</v>
      </c>
      <c r="K31" s="50">
        <f t="shared" ref="K31:K35" si="9">J31-H31</f>
        <v>0</v>
      </c>
      <c r="L31" s="225"/>
      <c r="M31" s="223"/>
    </row>
    <row r="32" spans="1:15" x14ac:dyDescent="0.25">
      <c r="A32" s="38"/>
      <c r="B32" s="224"/>
      <c r="C32" s="236"/>
      <c r="D32" s="213" t="s">
        <v>155</v>
      </c>
      <c r="E32" s="237" t="s">
        <v>282</v>
      </c>
      <c r="F32" s="239">
        <v>99326.27</v>
      </c>
      <c r="G32" s="240"/>
      <c r="H32" s="51">
        <v>0</v>
      </c>
      <c r="I32" s="215">
        <v>20</v>
      </c>
      <c r="J32" s="51">
        <f t="shared" si="8"/>
        <v>4966.3135000000002</v>
      </c>
      <c r="K32" s="50">
        <f t="shared" si="9"/>
        <v>4966.3135000000002</v>
      </c>
      <c r="L32" s="225"/>
      <c r="M32" s="223"/>
    </row>
    <row r="33" spans="1:14" x14ac:dyDescent="0.25">
      <c r="A33" s="38"/>
      <c r="B33" s="224"/>
      <c r="C33" s="236"/>
      <c r="D33" s="213" t="s">
        <v>156</v>
      </c>
      <c r="E33" s="237"/>
      <c r="F33" s="239"/>
      <c r="G33" s="240"/>
      <c r="H33" s="51"/>
      <c r="I33" s="215">
        <v>37.5</v>
      </c>
      <c r="J33" s="51">
        <f t="shared" si="8"/>
        <v>0</v>
      </c>
      <c r="K33" s="50">
        <f t="shared" si="9"/>
        <v>0</v>
      </c>
      <c r="L33" s="225"/>
      <c r="M33" s="223"/>
    </row>
    <row r="34" spans="1:14" x14ac:dyDescent="0.25">
      <c r="A34" s="38"/>
      <c r="B34" s="224"/>
      <c r="C34" s="236"/>
      <c r="D34" s="213" t="s">
        <v>157</v>
      </c>
      <c r="E34" s="237" t="s">
        <v>282</v>
      </c>
      <c r="F34" s="239">
        <v>38637.96</v>
      </c>
      <c r="G34" s="240">
        <v>50</v>
      </c>
      <c r="H34" s="165">
        <v>304.52999999999997</v>
      </c>
      <c r="I34" s="215">
        <v>40</v>
      </c>
      <c r="J34" s="51">
        <f t="shared" si="8"/>
        <v>965.94899999999996</v>
      </c>
      <c r="K34" s="50">
        <f t="shared" si="9"/>
        <v>661.41899999999998</v>
      </c>
      <c r="L34" s="225"/>
      <c r="M34" s="223"/>
    </row>
    <row r="35" spans="1:14" x14ac:dyDescent="0.25">
      <c r="A35" s="38"/>
      <c r="B35" s="224"/>
      <c r="C35" s="236"/>
      <c r="D35" s="213" t="s">
        <v>158</v>
      </c>
      <c r="E35" s="237" t="s">
        <v>282</v>
      </c>
      <c r="F35" s="239">
        <f>820651.11+195680</f>
        <v>1016331.11</v>
      </c>
      <c r="G35" s="240">
        <v>45</v>
      </c>
      <c r="H35" s="165">
        <v>35531.440000000002</v>
      </c>
      <c r="I35" s="215">
        <v>45</v>
      </c>
      <c r="J35" s="51">
        <f t="shared" si="7"/>
        <v>22585.135777777778</v>
      </c>
      <c r="K35" s="50">
        <f t="shared" si="9"/>
        <v>-12946.304222222225</v>
      </c>
      <c r="L35" s="225"/>
      <c r="M35" s="223"/>
    </row>
    <row r="36" spans="1:14" x14ac:dyDescent="0.25">
      <c r="A36" s="38"/>
      <c r="B36" s="224"/>
      <c r="C36" s="236"/>
      <c r="D36" s="213" t="s">
        <v>238</v>
      </c>
      <c r="E36" s="237"/>
      <c r="F36" s="239"/>
      <c r="G36" s="240"/>
      <c r="H36" s="165">
        <v>0</v>
      </c>
      <c r="I36" s="215">
        <v>62.5</v>
      </c>
      <c r="J36" s="51">
        <f t="shared" ref="J36" si="10">F36/I36</f>
        <v>0</v>
      </c>
      <c r="K36" s="50">
        <f t="shared" ref="K36" si="11">J36-H36</f>
        <v>0</v>
      </c>
      <c r="L36" s="225"/>
      <c r="M36" s="223"/>
    </row>
    <row r="37" spans="1:14" x14ac:dyDescent="0.25">
      <c r="A37" s="38"/>
      <c r="B37" s="224"/>
      <c r="C37" s="236"/>
      <c r="E37" s="237"/>
      <c r="G37" s="240"/>
      <c r="H37" s="238"/>
      <c r="I37" s="243"/>
      <c r="J37" s="238"/>
      <c r="K37" s="50"/>
      <c r="L37" s="225"/>
      <c r="M37" s="223"/>
    </row>
    <row r="38" spans="1:14" x14ac:dyDescent="0.25">
      <c r="A38" s="38"/>
      <c r="B38" s="224"/>
      <c r="C38" s="236" t="s">
        <v>159</v>
      </c>
      <c r="E38" s="237"/>
      <c r="G38" s="240"/>
      <c r="H38" s="238"/>
      <c r="I38" s="244"/>
      <c r="J38" s="238"/>
      <c r="K38" s="177"/>
      <c r="L38" s="225"/>
      <c r="M38" s="223"/>
    </row>
    <row r="39" spans="1:14" x14ac:dyDescent="0.25">
      <c r="A39" s="38"/>
      <c r="B39" s="224"/>
      <c r="C39" s="213"/>
      <c r="D39" s="38" t="s">
        <v>160</v>
      </c>
      <c r="E39" s="237" t="s">
        <v>282</v>
      </c>
      <c r="F39" s="214">
        <v>26513</v>
      </c>
      <c r="G39" s="240"/>
      <c r="H39" s="264">
        <v>0</v>
      </c>
      <c r="I39" s="244">
        <v>7</v>
      </c>
      <c r="J39" s="51">
        <f t="shared" ref="J39" si="12">F39/I39</f>
        <v>3787.5714285714284</v>
      </c>
      <c r="K39" s="177">
        <f>J39-H39</f>
        <v>3787.5714285714284</v>
      </c>
      <c r="L39" s="225"/>
      <c r="M39" s="223"/>
    </row>
    <row r="40" spans="1:14" x14ac:dyDescent="0.25">
      <c r="A40" s="38"/>
      <c r="B40" s="224"/>
      <c r="C40" s="213"/>
      <c r="D40" s="213" t="s">
        <v>257</v>
      </c>
      <c r="E40" s="397" t="s">
        <v>284</v>
      </c>
      <c r="F40" s="214">
        <v>28948.19</v>
      </c>
      <c r="G40" s="177"/>
      <c r="H40" s="51">
        <v>0</v>
      </c>
      <c r="I40" s="177"/>
      <c r="J40" s="245"/>
      <c r="K40" s="177"/>
      <c r="L40" s="225"/>
      <c r="M40" s="223"/>
    </row>
    <row r="41" spans="1:14" x14ac:dyDescent="0.25">
      <c r="A41" s="38"/>
      <c r="B41" s="224"/>
      <c r="C41" s="246" t="s">
        <v>20</v>
      </c>
      <c r="F41" s="247">
        <f>SUM(F12:F40)</f>
        <v>2683710.42</v>
      </c>
      <c r="G41" s="248"/>
      <c r="H41" s="247">
        <f>SUM(H12:H40)</f>
        <v>67416.320000000007</v>
      </c>
      <c r="I41" s="249"/>
      <c r="J41" s="247">
        <f>SUM(J12:J40)</f>
        <v>73409.055017142862</v>
      </c>
      <c r="K41" s="249">
        <f>SUM(K12:K40)</f>
        <v>5992.7350171428525</v>
      </c>
      <c r="L41" s="225"/>
      <c r="M41" s="223"/>
      <c r="N41" s="107"/>
    </row>
    <row r="42" spans="1:14" x14ac:dyDescent="0.25">
      <c r="A42" s="38"/>
      <c r="B42" s="227"/>
      <c r="C42" s="250"/>
      <c r="D42" s="250"/>
      <c r="E42" s="250"/>
      <c r="F42" s="251"/>
      <c r="G42" s="250"/>
      <c r="H42" s="252"/>
      <c r="I42" s="250"/>
      <c r="J42" s="252"/>
      <c r="K42" s="250"/>
      <c r="L42" s="229"/>
      <c r="M42" s="253"/>
    </row>
    <row r="43" spans="1:14" x14ac:dyDescent="0.25">
      <c r="A43" s="38"/>
      <c r="B43" s="38"/>
      <c r="C43" s="213"/>
      <c r="D43" s="213"/>
      <c r="E43" s="213"/>
      <c r="G43" s="213"/>
      <c r="H43" s="245"/>
      <c r="I43" s="213"/>
      <c r="J43" s="245"/>
      <c r="K43" s="213"/>
      <c r="L43" s="213"/>
      <c r="M43" s="213"/>
    </row>
    <row r="44" spans="1:14" x14ac:dyDescent="0.25">
      <c r="D44" s="213" t="s">
        <v>161</v>
      </c>
    </row>
    <row r="45" spans="1:14" x14ac:dyDescent="0.25">
      <c r="D45" s="213"/>
    </row>
    <row r="47" spans="1:14" hidden="1" x14ac:dyDescent="0.25">
      <c r="D47" s="38" t="s">
        <v>162</v>
      </c>
      <c r="F47" s="214">
        <f>J41</f>
        <v>73409.055017142862</v>
      </c>
    </row>
    <row r="48" spans="1:14" ht="18" hidden="1" x14ac:dyDescent="0.4">
      <c r="D48" s="38" t="s">
        <v>163</v>
      </c>
      <c r="F48" s="255">
        <f>SAO!C32</f>
        <v>67416</v>
      </c>
      <c r="J48" s="256"/>
    </row>
    <row r="49" spans="4:11" hidden="1" x14ac:dyDescent="0.25">
      <c r="D49" s="38" t="s">
        <v>164</v>
      </c>
      <c r="F49" s="214">
        <f>F47-F48</f>
        <v>5993.0550171428622</v>
      </c>
      <c r="G49" s="107"/>
    </row>
    <row r="51" spans="4:11" x14ac:dyDescent="0.25">
      <c r="F51" s="247"/>
      <c r="G51" s="248"/>
      <c r="H51" s="247"/>
      <c r="I51" s="249"/>
      <c r="J51" s="247"/>
      <c r="K51" s="249"/>
    </row>
  </sheetData>
  <mergeCells count="5">
    <mergeCell ref="C5:K5"/>
    <mergeCell ref="G9:H9"/>
    <mergeCell ref="I9:J9"/>
    <mergeCell ref="C3:K3"/>
    <mergeCell ref="C4:K4"/>
  </mergeCells>
  <printOptions horizontalCentered="1" verticalCentered="1"/>
  <pageMargins left="0.7" right="0.7" top="0.75" bottom="0.75" header="0.3" footer="0.3"/>
  <pageSetup scale="77" fitToHeight="2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630B1-5320-458A-B984-AF0BD6A9981A}">
  <sheetPr>
    <pageSetUpPr fitToPage="1"/>
  </sheetPr>
  <dimension ref="B1:O26"/>
  <sheetViews>
    <sheetView showGridLines="0" topLeftCell="B7" workbookViewId="0">
      <selection activeCell="M21" sqref="M21"/>
    </sheetView>
  </sheetViews>
  <sheetFormatPr defaultColWidth="8.77734375" defaultRowHeight="15" x14ac:dyDescent="0.25"/>
  <cols>
    <col min="1" max="1" width="1.77734375" style="48" customWidth="1"/>
    <col min="2" max="2" width="33" style="48" bestFit="1" customWidth="1"/>
    <col min="3" max="3" width="14" style="76" customWidth="1"/>
    <col min="4" max="13" width="10.44140625" style="76" customWidth="1"/>
    <col min="14" max="14" width="0.77734375" style="48" customWidth="1"/>
    <col min="15" max="15" width="1.5546875" style="48" customWidth="1"/>
    <col min="16" max="16384" width="8.77734375" style="48"/>
  </cols>
  <sheetData>
    <row r="1" spans="2:15" x14ac:dyDescent="0.25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0"/>
    </row>
    <row r="2" spans="2:15" x14ac:dyDescent="0.25"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4"/>
    </row>
    <row r="3" spans="2:15" ht="18.75" x14ac:dyDescent="0.3">
      <c r="B3" s="430" t="s">
        <v>99</v>
      </c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55"/>
      <c r="N3" s="56"/>
    </row>
    <row r="4" spans="2:15" ht="18.75" x14ac:dyDescent="0.3">
      <c r="B4" s="432" t="s">
        <v>44</v>
      </c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57"/>
      <c r="N4" s="56"/>
    </row>
    <row r="5" spans="2:15" ht="15.75" x14ac:dyDescent="0.25">
      <c r="B5" s="434" t="str">
        <f>SAO!A2</f>
        <v>Fountain Run Water District #1</v>
      </c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55"/>
      <c r="N5" s="56"/>
    </row>
    <row r="6" spans="2:15" ht="15.75" x14ac:dyDescent="0.25">
      <c r="B6" s="436" t="s">
        <v>296</v>
      </c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51"/>
      <c r="N6" s="56"/>
    </row>
    <row r="7" spans="2:15" ht="15.75" thickBot="1" x14ac:dyDescent="0.3">
      <c r="B7" s="58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6"/>
    </row>
    <row r="8" spans="2:15" x14ac:dyDescent="0.25">
      <c r="B8" s="196"/>
      <c r="C8" s="59"/>
      <c r="D8" s="53"/>
      <c r="E8" s="59"/>
      <c r="F8" s="60"/>
      <c r="G8" s="59"/>
      <c r="H8" s="60"/>
      <c r="I8" s="59"/>
      <c r="J8" s="60"/>
      <c r="K8" s="59"/>
      <c r="L8" s="60"/>
      <c r="M8" s="53"/>
      <c r="N8" s="54"/>
    </row>
    <row r="9" spans="2:15" x14ac:dyDescent="0.25">
      <c r="B9" s="61"/>
      <c r="C9" s="438">
        <v>2027</v>
      </c>
      <c r="D9" s="439"/>
      <c r="E9" s="438">
        <v>2028</v>
      </c>
      <c r="F9" s="439"/>
      <c r="G9" s="438">
        <v>2029</v>
      </c>
      <c r="H9" s="439"/>
      <c r="I9" s="438">
        <v>2030</v>
      </c>
      <c r="J9" s="439"/>
      <c r="K9" s="438">
        <v>2031</v>
      </c>
      <c r="L9" s="439"/>
      <c r="M9" s="51"/>
      <c r="N9" s="56"/>
    </row>
    <row r="10" spans="2:15" ht="17.25" x14ac:dyDescent="0.25">
      <c r="B10" s="61"/>
      <c r="C10" s="62"/>
      <c r="D10" s="63" t="s">
        <v>45</v>
      </c>
      <c r="E10" s="64"/>
      <c r="F10" s="63" t="s">
        <v>45</v>
      </c>
      <c r="G10" s="64"/>
      <c r="H10" s="63" t="s">
        <v>45</v>
      </c>
      <c r="I10" s="64"/>
      <c r="J10" s="63" t="s">
        <v>45</v>
      </c>
      <c r="K10" s="64"/>
      <c r="L10" s="63" t="s">
        <v>45</v>
      </c>
      <c r="M10" s="51"/>
      <c r="N10" s="56"/>
    </row>
    <row r="11" spans="2:15" x14ac:dyDescent="0.25">
      <c r="B11" s="61"/>
      <c r="C11" s="198" t="s">
        <v>46</v>
      </c>
      <c r="D11" s="199" t="s">
        <v>47</v>
      </c>
      <c r="E11" s="200" t="s">
        <v>46</v>
      </c>
      <c r="F11" s="199" t="s">
        <v>47</v>
      </c>
      <c r="G11" s="200" t="s">
        <v>46</v>
      </c>
      <c r="H11" s="199" t="s">
        <v>47</v>
      </c>
      <c r="I11" s="200" t="s">
        <v>46</v>
      </c>
      <c r="J11" s="199" t="s">
        <v>47</v>
      </c>
      <c r="K11" s="200" t="s">
        <v>46</v>
      </c>
      <c r="L11" s="199" t="s">
        <v>47</v>
      </c>
      <c r="M11" s="198" t="s">
        <v>20</v>
      </c>
      <c r="N11" s="56"/>
    </row>
    <row r="12" spans="2:15" x14ac:dyDescent="0.25">
      <c r="B12" s="65" t="s">
        <v>260</v>
      </c>
      <c r="C12" s="197">
        <v>11000</v>
      </c>
      <c r="D12" s="202">
        <f>575+300</f>
        <v>875</v>
      </c>
      <c r="E12" s="197">
        <v>12000</v>
      </c>
      <c r="F12" s="202">
        <v>300</v>
      </c>
      <c r="G12" s="197"/>
      <c r="H12" s="202"/>
      <c r="I12" s="197"/>
      <c r="J12" s="202"/>
      <c r="K12" s="197">
        <v>0</v>
      </c>
      <c r="L12" s="202">
        <v>0</v>
      </c>
      <c r="M12" s="66">
        <f t="shared" ref="M12:M16" si="0">SUM(C12:L12)</f>
        <v>24175</v>
      </c>
      <c r="N12" s="56"/>
    </row>
    <row r="13" spans="2:15" x14ac:dyDescent="0.25">
      <c r="B13" s="65" t="s">
        <v>261</v>
      </c>
      <c r="C13" s="197">
        <v>16000</v>
      </c>
      <c r="D13" s="197">
        <f>6013+5813</f>
        <v>11826</v>
      </c>
      <c r="E13" s="314">
        <v>17000</v>
      </c>
      <c r="F13" s="197">
        <f>5813+5600</f>
        <v>11413</v>
      </c>
      <c r="G13" s="314">
        <v>17000</v>
      </c>
      <c r="H13" s="197">
        <f>5600+5388</f>
        <v>10988</v>
      </c>
      <c r="I13" s="314">
        <v>18000</v>
      </c>
      <c r="J13" s="313">
        <f>5388+5163</f>
        <v>10551</v>
      </c>
      <c r="K13" s="197">
        <v>18000</v>
      </c>
      <c r="L13" s="313">
        <f>5163+4938</f>
        <v>10101</v>
      </c>
      <c r="M13" s="66">
        <f t="shared" si="0"/>
        <v>140879</v>
      </c>
      <c r="N13" s="56"/>
    </row>
    <row r="14" spans="2:15" x14ac:dyDescent="0.25">
      <c r="B14" s="65"/>
      <c r="C14" s="197"/>
      <c r="D14" s="197"/>
      <c r="E14" s="314"/>
      <c r="F14" s="197"/>
      <c r="G14" s="314"/>
      <c r="H14" s="197"/>
      <c r="I14" s="314"/>
      <c r="J14" s="313"/>
      <c r="K14" s="197"/>
      <c r="L14" s="313"/>
      <c r="M14" s="66">
        <f t="shared" si="0"/>
        <v>0</v>
      </c>
      <c r="N14" s="56"/>
    </row>
    <row r="15" spans="2:15" x14ac:dyDescent="0.25">
      <c r="B15" s="341"/>
      <c r="C15" s="314"/>
      <c r="D15" s="197"/>
      <c r="E15" s="314"/>
      <c r="F15" s="197"/>
      <c r="G15" s="314"/>
      <c r="H15" s="197"/>
      <c r="I15" s="314"/>
      <c r="J15" s="197"/>
      <c r="K15" s="314"/>
      <c r="L15" s="197"/>
      <c r="M15" s="342">
        <f t="shared" si="0"/>
        <v>0</v>
      </c>
      <c r="N15" s="50"/>
      <c r="O15" s="343"/>
    </row>
    <row r="16" spans="2:15" x14ac:dyDescent="0.25">
      <c r="B16" s="65"/>
      <c r="C16" s="201"/>
      <c r="D16" s="313"/>
      <c r="E16" s="197"/>
      <c r="F16" s="313"/>
      <c r="G16" s="197"/>
      <c r="H16" s="313"/>
      <c r="I16" s="197"/>
      <c r="J16" s="313"/>
      <c r="K16" s="197"/>
      <c r="L16" s="313"/>
      <c r="M16" s="342">
        <f t="shared" si="0"/>
        <v>0</v>
      </c>
      <c r="N16" s="67"/>
    </row>
    <row r="17" spans="2:14" x14ac:dyDescent="0.25">
      <c r="B17" s="65" t="s">
        <v>1</v>
      </c>
      <c r="C17" s="203">
        <f>SUM(C12:C16)</f>
        <v>27000</v>
      </c>
      <c r="D17" s="204">
        <f>SUM(D12:D16)</f>
        <v>12701</v>
      </c>
      <c r="E17" s="203">
        <f t="shared" ref="E17:L17" si="1">SUM(E12:E15)</f>
        <v>29000</v>
      </c>
      <c r="F17" s="344">
        <f>SUM(F12:F16)</f>
        <v>11713</v>
      </c>
      <c r="G17" s="204">
        <f>SUM(G12:G16)</f>
        <v>17000</v>
      </c>
      <c r="H17" s="204">
        <f t="shared" si="1"/>
        <v>10988</v>
      </c>
      <c r="I17" s="203">
        <f t="shared" si="1"/>
        <v>18000</v>
      </c>
      <c r="J17" s="204">
        <f t="shared" si="1"/>
        <v>10551</v>
      </c>
      <c r="K17" s="203">
        <f t="shared" si="1"/>
        <v>18000</v>
      </c>
      <c r="L17" s="204">
        <f t="shared" si="1"/>
        <v>10101</v>
      </c>
      <c r="M17" s="205">
        <f>SUM(M12:M16)</f>
        <v>165054</v>
      </c>
      <c r="N17" s="206"/>
    </row>
    <row r="18" spans="2:14" x14ac:dyDescent="0.25">
      <c r="B18" s="68"/>
      <c r="C18" s="55"/>
      <c r="D18" s="55"/>
      <c r="E18" s="55"/>
      <c r="F18" s="55"/>
      <c r="G18" s="55"/>
      <c r="H18" s="55"/>
      <c r="I18" s="55"/>
      <c r="J18" s="69"/>
      <c r="K18" s="69"/>
      <c r="L18" s="69"/>
      <c r="M18" s="55"/>
      <c r="N18" s="56"/>
    </row>
    <row r="19" spans="2:14" x14ac:dyDescent="0.25">
      <c r="B19" s="70"/>
      <c r="C19" s="71"/>
      <c r="D19" s="55"/>
      <c r="E19" s="71"/>
      <c r="F19" s="71"/>
      <c r="G19" s="71"/>
      <c r="H19" s="71"/>
      <c r="I19" s="55" t="s">
        <v>48</v>
      </c>
      <c r="J19" s="51"/>
      <c r="K19" s="55"/>
      <c r="L19" s="71"/>
      <c r="M19" s="71">
        <f>M17/5</f>
        <v>33010.800000000003</v>
      </c>
      <c r="N19" s="56"/>
    </row>
    <row r="20" spans="2:14" x14ac:dyDescent="0.25">
      <c r="B20" s="72"/>
      <c r="C20" s="55"/>
      <c r="D20" s="51"/>
      <c r="E20" s="55"/>
      <c r="F20" s="55"/>
      <c r="G20" s="55"/>
      <c r="H20" s="55"/>
      <c r="I20" s="55"/>
      <c r="J20" s="51"/>
      <c r="K20" s="51"/>
      <c r="L20" s="55"/>
      <c r="M20" s="73"/>
      <c r="N20" s="56"/>
    </row>
    <row r="21" spans="2:14" x14ac:dyDescent="0.25">
      <c r="B21" s="70"/>
      <c r="C21" s="55"/>
      <c r="D21" s="55"/>
      <c r="E21" s="55"/>
      <c r="F21" s="55"/>
      <c r="G21" s="55"/>
      <c r="H21" s="55"/>
      <c r="I21" s="55" t="s">
        <v>49</v>
      </c>
      <c r="J21" s="51"/>
      <c r="K21" s="55"/>
      <c r="L21" s="55"/>
      <c r="M21" s="71">
        <f>M19*$B$26</f>
        <v>6602.1600000000008</v>
      </c>
      <c r="N21" s="56"/>
    </row>
    <row r="22" spans="2:14" x14ac:dyDescent="0.25">
      <c r="B22" s="74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67"/>
    </row>
    <row r="25" spans="2:14" x14ac:dyDescent="0.25">
      <c r="B25" s="48" t="s">
        <v>57</v>
      </c>
      <c r="M25" s="77"/>
    </row>
    <row r="26" spans="2:14" x14ac:dyDescent="0.25">
      <c r="B26" s="78">
        <v>0.2</v>
      </c>
    </row>
  </sheetData>
  <mergeCells count="9">
    <mergeCell ref="B3:L3"/>
    <mergeCell ref="B4:L4"/>
    <mergeCell ref="B5:L5"/>
    <mergeCell ref="B6:L6"/>
    <mergeCell ref="C9:D9"/>
    <mergeCell ref="E9:F9"/>
    <mergeCell ref="G9:H9"/>
    <mergeCell ref="I9:J9"/>
    <mergeCell ref="K9:L9"/>
  </mergeCells>
  <pageMargins left="0.7" right="0.7" top="0.75" bottom="0.75" header="0.3" footer="0.3"/>
  <pageSetup scale="6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2B56D-C709-4B50-AF3D-F7AB7B39738A}">
  <dimension ref="A1:D12"/>
  <sheetViews>
    <sheetView workbookViewId="0">
      <selection activeCell="D5" sqref="D5"/>
    </sheetView>
  </sheetViews>
  <sheetFormatPr defaultRowHeight="15" x14ac:dyDescent="0.25"/>
  <cols>
    <col min="1" max="1" width="20.5546875" style="38" customWidth="1"/>
    <col min="2" max="2" width="8.5546875" style="38" customWidth="1"/>
    <col min="3" max="3" width="8.5546875" style="315" customWidth="1"/>
    <col min="4" max="4" width="12.5546875" style="315" customWidth="1"/>
    <col min="5" max="16384" width="8.88671875" style="38"/>
  </cols>
  <sheetData>
    <row r="1" spans="1:4" x14ac:dyDescent="0.25">
      <c r="A1" s="38" t="s">
        <v>308</v>
      </c>
    </row>
    <row r="2" spans="1:4" x14ac:dyDescent="0.25">
      <c r="B2" s="150" t="s">
        <v>210</v>
      </c>
      <c r="C2" s="316" t="s">
        <v>211</v>
      </c>
      <c r="D2" s="316" t="s">
        <v>186</v>
      </c>
    </row>
    <row r="3" spans="1:4" x14ac:dyDescent="0.25">
      <c r="A3" s="38" t="s">
        <v>208</v>
      </c>
      <c r="B3" s="38">
        <v>0</v>
      </c>
      <c r="C3" s="315">
        <v>60</v>
      </c>
      <c r="D3" s="315">
        <f>B3*C3</f>
        <v>0</v>
      </c>
    </row>
    <row r="4" spans="1:4" x14ac:dyDescent="0.25">
      <c r="A4" s="38" t="s">
        <v>209</v>
      </c>
      <c r="B4" s="38">
        <v>0</v>
      </c>
      <c r="C4" s="316">
        <v>100</v>
      </c>
      <c r="D4" s="315">
        <f t="shared" ref="D4:D5" si="0">B4*C4</f>
        <v>0</v>
      </c>
    </row>
    <row r="5" spans="1:4" x14ac:dyDescent="0.25">
      <c r="A5" s="38" t="s">
        <v>309</v>
      </c>
      <c r="B5" s="38">
        <v>2</v>
      </c>
      <c r="C5" s="316">
        <v>165</v>
      </c>
      <c r="D5" s="315">
        <f t="shared" si="0"/>
        <v>330</v>
      </c>
    </row>
    <row r="6" spans="1:4" x14ac:dyDescent="0.25">
      <c r="A6" s="38" t="s">
        <v>132</v>
      </c>
      <c r="D6" s="315">
        <f>SUM(D3:D5)</f>
        <v>330</v>
      </c>
    </row>
    <row r="9" spans="1:4" ht="17.25" x14ac:dyDescent="0.4">
      <c r="A9" s="38" t="s">
        <v>310</v>
      </c>
      <c r="C9" s="345"/>
      <c r="D9" s="346"/>
    </row>
    <row r="11" spans="1:4" x14ac:dyDescent="0.25">
      <c r="A11" s="1" t="s">
        <v>311</v>
      </c>
      <c r="B11" s="415">
        <v>0.3</v>
      </c>
      <c r="C11" s="416">
        <f>D6*B11</f>
        <v>99</v>
      </c>
    </row>
    <row r="12" spans="1:4" x14ac:dyDescent="0.25">
      <c r="A12" s="1" t="s">
        <v>312</v>
      </c>
      <c r="B12" s="415">
        <v>0.7</v>
      </c>
      <c r="C12" s="416">
        <f>D6*B12</f>
        <v>230.99999999999997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SAO</vt:lpstr>
      <vt:lpstr>Revenue Requirement</vt:lpstr>
      <vt:lpstr>Notes</vt:lpstr>
      <vt:lpstr>Wages and Benefits</vt:lpstr>
      <vt:lpstr>Medical</vt:lpstr>
      <vt:lpstr>Water Loss</vt:lpstr>
      <vt:lpstr>Depreciation</vt:lpstr>
      <vt:lpstr>Debt Service</vt:lpstr>
      <vt:lpstr>Tap Fees</vt:lpstr>
      <vt:lpstr>Rate Case Expenses</vt:lpstr>
      <vt:lpstr>Rates</vt:lpstr>
      <vt:lpstr>Bills</vt:lpstr>
      <vt:lpstr>Existing Billing Analysis</vt:lpstr>
      <vt:lpstr>Proposed Billing Analysis</vt:lpstr>
      <vt:lpstr>Analysis by county</vt:lpstr>
      <vt:lpstr>Bills!Print_Area</vt:lpstr>
      <vt:lpstr>'Debt Service'!Print_Area</vt:lpstr>
      <vt:lpstr>Depreciation!Print_Area</vt:lpstr>
      <vt:lpstr>'Existing Billing Analysis'!Print_Area</vt:lpstr>
      <vt:lpstr>'Proposed Billing Analysis'!Print_Area</vt:lpstr>
      <vt:lpstr>Rates!Print_Area</vt:lpstr>
      <vt:lpstr>'Revenue Requirement'!Print_Area</vt:lpstr>
      <vt:lpstr>SAO!Print_Area</vt:lpstr>
      <vt:lpstr>'Water Loss'!Print_Area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steve purdy</cp:lastModifiedBy>
  <cp:lastPrinted>2026-06-15T18:05:18Z</cp:lastPrinted>
  <dcterms:created xsi:type="dcterms:W3CDTF">2016-05-18T14:12:06Z</dcterms:created>
  <dcterms:modified xsi:type="dcterms:W3CDTF">2026-06-28T20:45:47Z</dcterms:modified>
</cp:coreProperties>
</file>